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C:\Models\SATIMGE\Waste\"/>
    </mc:Choice>
  </mc:AlternateContent>
  <xr:revisionPtr revIDLastSave="0" documentId="13_ncr:1_{9E25130A-CA58-4018-BF3A-A78622788004}" xr6:coauthVersionLast="44" xr6:coauthVersionMax="44" xr10:uidLastSave="{00000000-0000-0000-0000-000000000000}"/>
  <bookViews>
    <workbookView xWindow="-450" yWindow="-17250" windowWidth="28770" windowHeight="15570" activeTab="2" xr2:uid="{D1868735-4811-4645-83E8-76812F0F27C3}"/>
  </bookViews>
  <sheets>
    <sheet name="Overview" sheetId="15" r:id="rId1"/>
    <sheet name="IndexG2E" sheetId="20" r:id="rId2"/>
    <sheet name="IndexE2G" sheetId="21" r:id="rId3"/>
    <sheet name="Drivers" sheetId="22" r:id="rId4"/>
    <sheet name="GHGSummary" sheetId="23" r:id="rId5"/>
    <sheet name="Input data" sheetId="4" r:id="rId6"/>
    <sheet name="Output data (results)" sheetId="6" r:id="rId7"/>
    <sheet name="Baseline data (from input)" sheetId="10" r:id="rId8"/>
    <sheet name="Results (plots)" sheetId="14" r:id="rId9"/>
    <sheet name="Recycling - Case 1" sheetId="11" r:id="rId10"/>
    <sheet name="Recycling - Case 2" sheetId="16" r:id="rId11"/>
    <sheet name="Recycling - Case 3" sheetId="17" r:id="rId12"/>
    <sheet name="Waste Summary 2017 SASOW" sheetId="12" state="hidden" r:id="rId13"/>
    <sheet name="Policies" sheetId="13" state="hidden" r:id="rId14"/>
    <sheet name="Parameters" sheetId="1" r:id="rId15"/>
    <sheet name="4A SWD Case 1" sheetId="3" r:id="rId16"/>
    <sheet name="4A SWD Case 2" sheetId="18" r:id="rId17"/>
    <sheet name="4A SWD Case 3" sheetId="19" r:id="rId18"/>
    <sheet name="4B Biological treatment " sheetId="9" r:id="rId19"/>
    <sheet name="4C2 Open-burning " sheetId="8" r:id="rId20"/>
    <sheet name="4D Wastewater treatment and dis" sheetId="7" r:id="rId21"/>
    <sheet name="MSW characteristics" sheetId="2" state="hidden" r:id="rId22"/>
  </sheets>
  <externalReferences>
    <externalReference r:id="rId23"/>
  </externalReferences>
  <definedNames>
    <definedName name="CH4_fraction">[1]Parameters!$E$39</definedName>
    <definedName name="DOCF">[1]Parameters!$E$23</definedName>
    <definedName name="year">[1]Parameters!$E$9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21" l="1"/>
  <c r="C7" i="20"/>
  <c r="D117" i="4" l="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16" i="4"/>
  <c r="C148" i="4"/>
  <c r="B148" i="4"/>
  <c r="C147" i="4"/>
  <c r="B147" i="4"/>
  <c r="C146" i="4"/>
  <c r="B146" i="4"/>
  <c r="C145" i="4"/>
  <c r="B145" i="4"/>
  <c r="C144" i="4"/>
  <c r="B144" i="4"/>
  <c r="C143" i="4"/>
  <c r="B143" i="4"/>
  <c r="C142" i="4"/>
  <c r="B142" i="4"/>
  <c r="C141" i="4"/>
  <c r="B141" i="4"/>
  <c r="C140" i="4"/>
  <c r="B140" i="4"/>
  <c r="C139" i="4"/>
  <c r="B139" i="4"/>
  <c r="C138" i="4"/>
  <c r="B138" i="4"/>
  <c r="C137" i="4"/>
  <c r="B137" i="4"/>
  <c r="C136" i="4"/>
  <c r="B136" i="4"/>
  <c r="C135" i="4"/>
  <c r="B135" i="4"/>
  <c r="C134" i="4"/>
  <c r="B134" i="4"/>
  <c r="C133" i="4"/>
  <c r="B133"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I4" i="23"/>
  <c r="J3" i="23"/>
  <c r="J4" i="23"/>
  <c r="J5" i="23"/>
  <c r="J6" i="23"/>
  <c r="J7" i="23"/>
  <c r="J8" i="23"/>
  <c r="J9" i="23"/>
  <c r="J2" i="23"/>
  <c r="E15" i="23" l="1"/>
  <c r="F15" i="23" s="1"/>
  <c r="G15" i="23" s="1"/>
  <c r="H15" i="23" s="1"/>
  <c r="I15" i="23" s="1"/>
  <c r="J15" i="23" s="1"/>
  <c r="K15" i="23" s="1"/>
  <c r="L15" i="23" s="1"/>
  <c r="M15" i="23" s="1"/>
  <c r="N15" i="23" s="1"/>
  <c r="O15" i="23" s="1"/>
  <c r="P15" i="23" s="1"/>
  <c r="Q15" i="23" s="1"/>
  <c r="R15" i="23" s="1"/>
  <c r="S15" i="23" s="1"/>
  <c r="T15" i="23" s="1"/>
  <c r="U15" i="23" s="1"/>
  <c r="V15" i="23" s="1"/>
  <c r="W15" i="23" s="1"/>
  <c r="X15" i="23" s="1"/>
  <c r="Y15" i="23" s="1"/>
  <c r="Z15" i="23" s="1"/>
  <c r="AA15" i="23" s="1"/>
  <c r="AB15" i="23" s="1"/>
  <c r="AC15" i="23" s="1"/>
  <c r="AD15" i="23" s="1"/>
  <c r="AE15" i="23" s="1"/>
  <c r="AF15" i="23" s="1"/>
  <c r="AG15" i="23" s="1"/>
  <c r="AH15" i="23" s="1"/>
  <c r="AI15" i="23" s="1"/>
  <c r="AJ15" i="23" s="1"/>
  <c r="AK15" i="23" s="1"/>
  <c r="AL15" i="23" s="1"/>
  <c r="AM15" i="23" s="1"/>
  <c r="AN15" i="23" s="1"/>
  <c r="AO15" i="23" s="1"/>
  <c r="AP15" i="23" s="1"/>
  <c r="CJ42" i="6" l="1"/>
  <c r="CL42" i="6"/>
  <c r="CJ43" i="6"/>
  <c r="CL43" i="6"/>
  <c r="CJ44" i="6"/>
  <c r="CL44" i="6"/>
  <c r="CJ45" i="6"/>
  <c r="CL45" i="6"/>
  <c r="CJ46" i="6"/>
  <c r="CL46" i="6"/>
  <c r="CJ47" i="6"/>
  <c r="CL47" i="6"/>
  <c r="CJ48" i="6"/>
  <c r="CL48" i="6"/>
  <c r="CJ49" i="6"/>
  <c r="CL49" i="6"/>
  <c r="CJ50" i="6"/>
  <c r="CL50" i="6"/>
  <c r="CJ51" i="6"/>
  <c r="CL51" i="6"/>
  <c r="CJ52" i="6"/>
  <c r="CL52" i="6"/>
  <c r="CJ53" i="6"/>
  <c r="CL53" i="6"/>
  <c r="CJ54" i="6"/>
  <c r="CL54" i="6"/>
  <c r="CJ55" i="6"/>
  <c r="CL55" i="6"/>
  <c r="CJ56" i="6"/>
  <c r="CL56" i="6"/>
  <c r="CJ57" i="6"/>
  <c r="CL57" i="6"/>
  <c r="CJ58" i="6"/>
  <c r="CL58" i="6"/>
  <c r="CJ59" i="6"/>
  <c r="CL59" i="6"/>
  <c r="CJ60" i="6"/>
  <c r="CL60" i="6"/>
  <c r="CL27" i="6"/>
  <c r="CJ27" i="6"/>
  <c r="CF27" i="6"/>
  <c r="CH27" i="6"/>
  <c r="CF42" i="6"/>
  <c r="CH42" i="6"/>
  <c r="CF43" i="6"/>
  <c r="CH43" i="6"/>
  <c r="CF44" i="6"/>
  <c r="CH44" i="6"/>
  <c r="CF45" i="6"/>
  <c r="CH45" i="6"/>
  <c r="CF46" i="6"/>
  <c r="CH46" i="6"/>
  <c r="CF47" i="6"/>
  <c r="CH47" i="6"/>
  <c r="CF48" i="6"/>
  <c r="CH48" i="6"/>
  <c r="CF49" i="6"/>
  <c r="CH49" i="6"/>
  <c r="CF50" i="6"/>
  <c r="CH50" i="6"/>
  <c r="CF51" i="6"/>
  <c r="CH51" i="6"/>
  <c r="CF52" i="6"/>
  <c r="CH52" i="6"/>
  <c r="CF53" i="6"/>
  <c r="CH53" i="6"/>
  <c r="CF54" i="6"/>
  <c r="CH54" i="6"/>
  <c r="CF55" i="6"/>
  <c r="CH55" i="6"/>
  <c r="CF56" i="6"/>
  <c r="CH56" i="6"/>
  <c r="CF57" i="6"/>
  <c r="CH57" i="6"/>
  <c r="CF58" i="6"/>
  <c r="CH58" i="6"/>
  <c r="CF59" i="6"/>
  <c r="CH59" i="6"/>
  <c r="CF60" i="6"/>
  <c r="CH60" i="6"/>
  <c r="CB40" i="6"/>
  <c r="CD40" i="6"/>
  <c r="CB47" i="6"/>
  <c r="CD47" i="6"/>
  <c r="CB57" i="6"/>
  <c r="CD57" i="6"/>
  <c r="CB58" i="6"/>
  <c r="CD58" i="6"/>
  <c r="CB59" i="6"/>
  <c r="CD59" i="6"/>
  <c r="CB60" i="6"/>
  <c r="CD60" i="6"/>
  <c r="CD27" i="6"/>
  <c r="CB27" i="6"/>
  <c r="AT8" i="10" l="1"/>
  <c r="AT9" i="10"/>
  <c r="AT10" i="10"/>
  <c r="AT11" i="10"/>
  <c r="AT12" i="10"/>
  <c r="AT13" i="10"/>
  <c r="AT14" i="10"/>
  <c r="AT15" i="10"/>
  <c r="AT16" i="10"/>
  <c r="AT17" i="10"/>
  <c r="AT18" i="10"/>
  <c r="AT19" i="10"/>
  <c r="AT20" i="10"/>
  <c r="AT21" i="10"/>
  <c r="AT22" i="10"/>
  <c r="AT23" i="10"/>
  <c r="AT24" i="10"/>
  <c r="AT25" i="10"/>
  <c r="AT26" i="10"/>
  <c r="AT27" i="10"/>
  <c r="AT28" i="10"/>
  <c r="AT29" i="10"/>
  <c r="AT30" i="10"/>
  <c r="AT31" i="10"/>
  <c r="AT32" i="10"/>
  <c r="AT33" i="10"/>
  <c r="AT34" i="10"/>
  <c r="AT35" i="10"/>
  <c r="AT36" i="10"/>
  <c r="AT37" i="10"/>
  <c r="AT38" i="10"/>
  <c r="AT39" i="10"/>
  <c r="AT40" i="10"/>
  <c r="AT41" i="10"/>
  <c r="AT42" i="10"/>
  <c r="AT43" i="10"/>
  <c r="AT44" i="10"/>
  <c r="AT45" i="10"/>
  <c r="AT46" i="10"/>
  <c r="AT47" i="10"/>
  <c r="AT48" i="10"/>
  <c r="AT49" i="10"/>
  <c r="AT50" i="10"/>
  <c r="AT51" i="10"/>
  <c r="AT52" i="10"/>
  <c r="AT53" i="10"/>
  <c r="AT54" i="10"/>
  <c r="AT55" i="10"/>
  <c r="AT73" i="10"/>
  <c r="BZ26" i="6" s="1"/>
  <c r="AT7" i="10"/>
  <c r="AT6" i="10"/>
  <c r="F28" i="6"/>
  <c r="F62" i="6"/>
  <c r="F96" i="6"/>
  <c r="F130" i="6"/>
  <c r="F164" i="6"/>
  <c r="F198" i="6"/>
  <c r="E28" i="6"/>
  <c r="E62" i="6"/>
  <c r="E96" i="6"/>
  <c r="E130" i="6"/>
  <c r="E164" i="6"/>
  <c r="E198" i="6"/>
  <c r="D28" i="6"/>
  <c r="D62" i="6"/>
  <c r="D96" i="6"/>
  <c r="D130" i="6"/>
  <c r="D164" i="6"/>
  <c r="D198" i="6"/>
  <c r="D11" i="6"/>
  <c r="D12" i="6"/>
  <c r="D13" i="6"/>
  <c r="D14" i="6"/>
  <c r="D15" i="6"/>
  <c r="D16" i="6"/>
  <c r="D17" i="6"/>
  <c r="D18" i="6"/>
  <c r="D19" i="6"/>
  <c r="D10" i="6"/>
  <c r="C256" i="9"/>
  <c r="L256" i="9"/>
  <c r="M256" i="9" s="1"/>
  <c r="V284" i="9"/>
  <c r="O284" i="9"/>
  <c r="N284" i="9"/>
  <c r="V283" i="9"/>
  <c r="O283" i="9"/>
  <c r="N283" i="9"/>
  <c r="V282" i="9"/>
  <c r="O282" i="9"/>
  <c r="N282" i="9"/>
  <c r="V281" i="9"/>
  <c r="O281" i="9"/>
  <c r="N281" i="9"/>
  <c r="V280" i="9"/>
  <c r="O280" i="9"/>
  <c r="N280" i="9"/>
  <c r="V279" i="9"/>
  <c r="O279" i="9"/>
  <c r="N279" i="9"/>
  <c r="V278" i="9"/>
  <c r="O278" i="9"/>
  <c r="N278" i="9"/>
  <c r="V277" i="9"/>
  <c r="O277" i="9"/>
  <c r="N277" i="9"/>
  <c r="V276" i="9"/>
  <c r="O276" i="9"/>
  <c r="N276" i="9"/>
  <c r="V275" i="9"/>
  <c r="O275" i="9"/>
  <c r="N275" i="9"/>
  <c r="V274" i="9"/>
  <c r="O274" i="9"/>
  <c r="N274" i="9"/>
  <c r="V273" i="9"/>
  <c r="O273" i="9"/>
  <c r="N273" i="9"/>
  <c r="V272" i="9"/>
  <c r="O272" i="9"/>
  <c r="N272" i="9"/>
  <c r="V271" i="9"/>
  <c r="O271" i="9"/>
  <c r="N271" i="9"/>
  <c r="V270" i="9"/>
  <c r="O270" i="9"/>
  <c r="N270" i="9"/>
  <c r="V269" i="9"/>
  <c r="O269" i="9"/>
  <c r="N269" i="9"/>
  <c r="V268" i="9"/>
  <c r="O268" i="9"/>
  <c r="N268" i="9"/>
  <c r="V267" i="9"/>
  <c r="O267" i="9"/>
  <c r="N267" i="9"/>
  <c r="V266" i="9"/>
  <c r="O266" i="9"/>
  <c r="N266" i="9"/>
  <c r="V265" i="9"/>
  <c r="O265" i="9"/>
  <c r="N265" i="9"/>
  <c r="V264" i="9"/>
  <c r="O264" i="9"/>
  <c r="N264" i="9"/>
  <c r="V263" i="9"/>
  <c r="O263" i="9"/>
  <c r="N263" i="9"/>
  <c r="V262" i="9"/>
  <c r="O262" i="9"/>
  <c r="N262" i="9"/>
  <c r="V261" i="9"/>
  <c r="O261" i="9"/>
  <c r="N261" i="9"/>
  <c r="V260" i="9"/>
  <c r="O260" i="9"/>
  <c r="N260" i="9"/>
  <c r="V259" i="9"/>
  <c r="O259" i="9"/>
  <c r="N259" i="9"/>
  <c r="V258" i="9"/>
  <c r="O258" i="9"/>
  <c r="N258" i="9"/>
  <c r="V257" i="9"/>
  <c r="O257" i="9"/>
  <c r="N257" i="9"/>
  <c r="V256" i="9"/>
  <c r="O256" i="9"/>
  <c r="N256" i="9"/>
  <c r="V255" i="9"/>
  <c r="O255" i="9"/>
  <c r="N255" i="9"/>
  <c r="V254" i="9"/>
  <c r="O254" i="9"/>
  <c r="N254" i="9"/>
  <c r="V253" i="9"/>
  <c r="O253" i="9"/>
  <c r="N253" i="9"/>
  <c r="V252" i="9"/>
  <c r="O252" i="9"/>
  <c r="N252" i="9"/>
  <c r="L188" i="9"/>
  <c r="M188" i="9" s="1"/>
  <c r="C188" i="9"/>
  <c r="C189" i="9" s="1"/>
  <c r="D189" i="9" s="1"/>
  <c r="V216" i="9"/>
  <c r="V215" i="9"/>
  <c r="V214" i="9"/>
  <c r="V213" i="9"/>
  <c r="V212" i="9"/>
  <c r="V211" i="9"/>
  <c r="V210" i="9"/>
  <c r="V209" i="9"/>
  <c r="V208" i="9"/>
  <c r="V207" i="9"/>
  <c r="V206" i="9"/>
  <c r="V205" i="9"/>
  <c r="V204" i="9"/>
  <c r="V203" i="9"/>
  <c r="V202" i="9"/>
  <c r="V201" i="9"/>
  <c r="V200" i="9"/>
  <c r="V199" i="9"/>
  <c r="V198" i="9"/>
  <c r="V197" i="9"/>
  <c r="V196" i="9"/>
  <c r="V195" i="9"/>
  <c r="V194" i="9"/>
  <c r="V193" i="9"/>
  <c r="V192" i="9"/>
  <c r="V191" i="9"/>
  <c r="V190" i="9"/>
  <c r="V189" i="9"/>
  <c r="V188" i="9"/>
  <c r="V187" i="9"/>
  <c r="N187" i="9"/>
  <c r="N189" i="9" s="1"/>
  <c r="N191" i="9" s="1"/>
  <c r="N193" i="9" s="1"/>
  <c r="N195" i="9" s="1"/>
  <c r="N197" i="9" s="1"/>
  <c r="N199" i="9" s="1"/>
  <c r="N201" i="9" s="1"/>
  <c r="N203" i="9" s="1"/>
  <c r="N205" i="9" s="1"/>
  <c r="N207" i="9" s="1"/>
  <c r="N209" i="9" s="1"/>
  <c r="N211" i="9" s="1"/>
  <c r="N213" i="9" s="1"/>
  <c r="N215" i="9" s="1"/>
  <c r="V186" i="9"/>
  <c r="V185" i="9"/>
  <c r="O185" i="9"/>
  <c r="O187" i="9" s="1"/>
  <c r="O189" i="9" s="1"/>
  <c r="O191" i="9" s="1"/>
  <c r="O193" i="9" s="1"/>
  <c r="O195" i="9" s="1"/>
  <c r="O197" i="9" s="1"/>
  <c r="O199" i="9" s="1"/>
  <c r="O201" i="9" s="1"/>
  <c r="O203" i="9" s="1"/>
  <c r="O205" i="9" s="1"/>
  <c r="O207" i="9" s="1"/>
  <c r="O209" i="9" s="1"/>
  <c r="O211" i="9" s="1"/>
  <c r="O213" i="9" s="1"/>
  <c r="O215" i="9" s="1"/>
  <c r="N185" i="9"/>
  <c r="V184" i="9"/>
  <c r="L120" i="9"/>
  <c r="M120" i="9" s="1"/>
  <c r="C120" i="9"/>
  <c r="D120" i="9" s="1"/>
  <c r="V148" i="9"/>
  <c r="V147" i="9"/>
  <c r="V146" i="9"/>
  <c r="V145" i="9"/>
  <c r="V144" i="9"/>
  <c r="V143" i="9"/>
  <c r="V142" i="9"/>
  <c r="V141" i="9"/>
  <c r="V140" i="9"/>
  <c r="V139" i="9"/>
  <c r="V138" i="9"/>
  <c r="V137" i="9"/>
  <c r="V136" i="9"/>
  <c r="V135" i="9"/>
  <c r="V134" i="9"/>
  <c r="V133" i="9"/>
  <c r="V132" i="9"/>
  <c r="V131" i="9"/>
  <c r="V130" i="9"/>
  <c r="V129" i="9"/>
  <c r="V128" i="9"/>
  <c r="V127" i="9"/>
  <c r="V126" i="9"/>
  <c r="V125" i="9"/>
  <c r="V124" i="9"/>
  <c r="V123" i="9"/>
  <c r="V122" i="9"/>
  <c r="V121" i="9"/>
  <c r="V120" i="9"/>
  <c r="V119" i="9"/>
  <c r="V118" i="9"/>
  <c r="V117" i="9"/>
  <c r="O117" i="9"/>
  <c r="O119" i="9" s="1"/>
  <c r="O121" i="9" s="1"/>
  <c r="O123" i="9" s="1"/>
  <c r="O125" i="9" s="1"/>
  <c r="O127" i="9" s="1"/>
  <c r="O129" i="9" s="1"/>
  <c r="O131" i="9" s="1"/>
  <c r="O133" i="9" s="1"/>
  <c r="O135" i="9" s="1"/>
  <c r="O137" i="9" s="1"/>
  <c r="O139" i="9" s="1"/>
  <c r="O141" i="9" s="1"/>
  <c r="O143" i="9" s="1"/>
  <c r="O145" i="9" s="1"/>
  <c r="O147" i="9" s="1"/>
  <c r="N117" i="9"/>
  <c r="N119" i="9" s="1"/>
  <c r="N121" i="9" s="1"/>
  <c r="N123" i="9" s="1"/>
  <c r="N125" i="9" s="1"/>
  <c r="N127" i="9" s="1"/>
  <c r="N129" i="9" s="1"/>
  <c r="N131" i="9" s="1"/>
  <c r="N133" i="9" s="1"/>
  <c r="N135" i="9" s="1"/>
  <c r="N137" i="9" s="1"/>
  <c r="N139" i="9" s="1"/>
  <c r="N141" i="9" s="1"/>
  <c r="N143" i="9" s="1"/>
  <c r="N145" i="9" s="1"/>
  <c r="N147" i="9" s="1"/>
  <c r="V116" i="9"/>
  <c r="V115" i="9"/>
  <c r="S115" i="9"/>
  <c r="W115" i="9" s="1"/>
  <c r="Q115" i="9"/>
  <c r="U115" i="9" s="1"/>
  <c r="P115" i="9"/>
  <c r="T115" i="9" s="1"/>
  <c r="V150" i="9"/>
  <c r="N151" i="9"/>
  <c r="N153" i="9" s="1"/>
  <c r="N155" i="9" s="1"/>
  <c r="N157" i="9" s="1"/>
  <c r="N159" i="9" s="1"/>
  <c r="N161" i="9" s="1"/>
  <c r="N163" i="9" s="1"/>
  <c r="N165" i="9" s="1"/>
  <c r="N167" i="9" s="1"/>
  <c r="N169" i="9" s="1"/>
  <c r="N171" i="9" s="1"/>
  <c r="N173" i="9" s="1"/>
  <c r="N175" i="9" s="1"/>
  <c r="N177" i="9" s="1"/>
  <c r="N179" i="9" s="1"/>
  <c r="N181" i="9" s="1"/>
  <c r="O151" i="9"/>
  <c r="O153" i="9" s="1"/>
  <c r="O155" i="9" s="1"/>
  <c r="O157" i="9" s="1"/>
  <c r="O159" i="9" s="1"/>
  <c r="O161" i="9" s="1"/>
  <c r="O163" i="9" s="1"/>
  <c r="O165" i="9" s="1"/>
  <c r="O167" i="9" s="1"/>
  <c r="O169" i="9" s="1"/>
  <c r="O171" i="9" s="1"/>
  <c r="O173" i="9" s="1"/>
  <c r="O175" i="9" s="1"/>
  <c r="O177" i="9" s="1"/>
  <c r="O179" i="9" s="1"/>
  <c r="O181" i="9" s="1"/>
  <c r="V151" i="9"/>
  <c r="V152" i="9"/>
  <c r="V153" i="9"/>
  <c r="C154" i="9"/>
  <c r="D154" i="9"/>
  <c r="L154" i="9"/>
  <c r="L155" i="9" s="1"/>
  <c r="M154" i="9"/>
  <c r="V154" i="9"/>
  <c r="V155" i="9"/>
  <c r="V156" i="9"/>
  <c r="V157" i="9"/>
  <c r="V158" i="9"/>
  <c r="V159" i="9"/>
  <c r="V160" i="9"/>
  <c r="V161" i="9"/>
  <c r="V162" i="9"/>
  <c r="V163" i="9"/>
  <c r="V164" i="9"/>
  <c r="V165" i="9"/>
  <c r="V166" i="9"/>
  <c r="V167" i="9"/>
  <c r="V168" i="9"/>
  <c r="V169" i="9"/>
  <c r="V170" i="9"/>
  <c r="V171" i="9"/>
  <c r="V172" i="9"/>
  <c r="V173" i="9"/>
  <c r="V174" i="9"/>
  <c r="V175" i="9"/>
  <c r="V176" i="9"/>
  <c r="V177" i="9"/>
  <c r="V178" i="9"/>
  <c r="V179" i="9"/>
  <c r="V180" i="9"/>
  <c r="V181" i="9"/>
  <c r="V182" i="9"/>
  <c r="J188" i="17"/>
  <c r="J189" i="17" s="1"/>
  <c r="J190" i="17" s="1"/>
  <c r="J191" i="17" s="1"/>
  <c r="J192" i="17" s="1"/>
  <c r="J193" i="17" s="1"/>
  <c r="J194" i="17" s="1"/>
  <c r="J195" i="17" s="1"/>
  <c r="J196" i="17" s="1"/>
  <c r="J197" i="17" s="1"/>
  <c r="J198" i="17" s="1"/>
  <c r="J199" i="17" s="1"/>
  <c r="J200" i="17" s="1"/>
  <c r="J201" i="17" s="1"/>
  <c r="J202" i="17" s="1"/>
  <c r="J203" i="17" s="1"/>
  <c r="J204" i="17" s="1"/>
  <c r="J205" i="17" s="1"/>
  <c r="J206" i="17" s="1"/>
  <c r="J207" i="17" s="1"/>
  <c r="J208" i="17" s="1"/>
  <c r="J148" i="17"/>
  <c r="J189" i="11"/>
  <c r="J190" i="11" s="1"/>
  <c r="J191" i="11" s="1"/>
  <c r="J192" i="11" s="1"/>
  <c r="J193" i="11" s="1"/>
  <c r="J194" i="11" s="1"/>
  <c r="J195" i="11" s="1"/>
  <c r="J196" i="11" s="1"/>
  <c r="J197" i="11" s="1"/>
  <c r="J198" i="11" s="1"/>
  <c r="J199" i="11" s="1"/>
  <c r="J200" i="11" s="1"/>
  <c r="J201" i="11" s="1"/>
  <c r="J202" i="11" s="1"/>
  <c r="J203" i="11" s="1"/>
  <c r="J204" i="11" s="1"/>
  <c r="J205" i="11" s="1"/>
  <c r="J206" i="11" s="1"/>
  <c r="J207" i="11" s="1"/>
  <c r="J208" i="11" s="1"/>
  <c r="BT26" i="6" l="1"/>
  <c r="D188" i="9"/>
  <c r="L257" i="9"/>
  <c r="M257" i="9" s="1"/>
  <c r="L189" i="9"/>
  <c r="C190" i="9"/>
  <c r="D190" i="9" s="1"/>
  <c r="C121" i="9"/>
  <c r="D121" i="9" s="1"/>
  <c r="L156" i="9"/>
  <c r="D155" i="9"/>
  <c r="D156" i="9" s="1"/>
  <c r="D157" i="9" s="1"/>
  <c r="L121" i="9"/>
  <c r="M121" i="9" s="1"/>
  <c r="C155" i="9"/>
  <c r="M155" i="9"/>
  <c r="J149" i="17"/>
  <c r="J150" i="17" s="1"/>
  <c r="J151" i="17" s="1"/>
  <c r="J152" i="17" s="1"/>
  <c r="J153" i="17" s="1"/>
  <c r="J154" i="17" s="1"/>
  <c r="J155" i="17" s="1"/>
  <c r="J156" i="17" s="1"/>
  <c r="J157" i="17" s="1"/>
  <c r="J158" i="17" s="1"/>
  <c r="J159" i="17" s="1"/>
  <c r="J160" i="17" s="1"/>
  <c r="J161" i="17" s="1"/>
  <c r="J162" i="17" s="1"/>
  <c r="J163" i="17" s="1"/>
  <c r="J164" i="17" s="1"/>
  <c r="J165" i="17" s="1"/>
  <c r="J166" i="17" s="1"/>
  <c r="J167" i="17" s="1"/>
  <c r="J168" i="17" s="1"/>
  <c r="BN26" i="6"/>
  <c r="W97" i="16"/>
  <c r="W98" i="16" s="1"/>
  <c r="W99" i="16" s="1"/>
  <c r="H130" i="11"/>
  <c r="BX93" i="11"/>
  <c r="BX93" i="16"/>
  <c r="Q198" i="6"/>
  <c r="R198" i="6"/>
  <c r="S198" i="6"/>
  <c r="T198" i="6"/>
  <c r="AI87" i="19"/>
  <c r="AI88" i="19"/>
  <c r="AI89" i="19"/>
  <c r="AI90" i="19"/>
  <c r="AI91" i="19"/>
  <c r="AI92" i="19"/>
  <c r="AI93" i="19"/>
  <c r="AI94" i="19"/>
  <c r="AI95" i="19"/>
  <c r="AI96" i="19"/>
  <c r="AI97" i="19"/>
  <c r="AI98" i="19"/>
  <c r="AI99" i="19"/>
  <c r="AI100" i="19"/>
  <c r="AI101" i="19"/>
  <c r="AI102" i="19"/>
  <c r="AI103" i="19"/>
  <c r="AI104" i="19"/>
  <c r="AI105" i="19"/>
  <c r="AI106" i="19"/>
  <c r="AI107" i="19"/>
  <c r="AI108" i="19"/>
  <c r="AI109" i="19"/>
  <c r="AI110" i="19"/>
  <c r="AI111" i="19"/>
  <c r="AI112" i="19"/>
  <c r="AI113" i="19"/>
  <c r="AI114" i="19"/>
  <c r="AI115" i="19"/>
  <c r="AI116" i="19"/>
  <c r="AI117" i="19"/>
  <c r="AI118" i="19"/>
  <c r="AI86" i="19"/>
  <c r="Y87" i="19"/>
  <c r="Y88" i="19"/>
  <c r="Y89" i="19"/>
  <c r="Y90" i="19"/>
  <c r="Y91" i="19"/>
  <c r="Y92" i="19"/>
  <c r="Y93" i="19"/>
  <c r="Y94" i="19"/>
  <c r="Y95" i="19"/>
  <c r="Y96" i="19"/>
  <c r="Y97" i="19"/>
  <c r="Y98" i="19"/>
  <c r="Y99" i="19"/>
  <c r="Y100" i="19"/>
  <c r="Y101" i="19"/>
  <c r="Y102" i="19"/>
  <c r="Y103" i="19"/>
  <c r="Y104" i="19"/>
  <c r="Y105" i="19"/>
  <c r="Y106" i="19"/>
  <c r="Y107" i="19"/>
  <c r="Y108" i="19"/>
  <c r="Y109" i="19"/>
  <c r="Y110" i="19"/>
  <c r="Y111" i="19"/>
  <c r="Y112" i="19"/>
  <c r="Y113" i="19"/>
  <c r="Y114" i="19"/>
  <c r="Y115" i="19"/>
  <c r="Y116" i="19"/>
  <c r="Y117" i="19"/>
  <c r="Y118" i="19"/>
  <c r="Y86" i="19"/>
  <c r="AI87" i="18"/>
  <c r="AI88" i="18"/>
  <c r="AI89" i="18"/>
  <c r="AI90" i="18"/>
  <c r="AI91" i="18"/>
  <c r="AI92" i="18"/>
  <c r="AI93" i="18"/>
  <c r="AI94" i="18"/>
  <c r="AI95" i="18"/>
  <c r="AI96" i="18"/>
  <c r="AI97" i="18"/>
  <c r="AI98" i="18"/>
  <c r="AI99" i="18"/>
  <c r="AI100" i="18"/>
  <c r="AI101" i="18"/>
  <c r="AI102" i="18"/>
  <c r="AI103" i="18"/>
  <c r="AI104" i="18"/>
  <c r="AI105" i="18"/>
  <c r="AI106" i="18"/>
  <c r="AI107" i="18"/>
  <c r="AI108" i="18"/>
  <c r="AI109" i="18"/>
  <c r="AI110" i="18"/>
  <c r="AI111" i="18"/>
  <c r="AI112" i="18"/>
  <c r="AI113" i="18"/>
  <c r="AI114" i="18"/>
  <c r="AI115" i="18"/>
  <c r="AI116" i="18"/>
  <c r="AI117" i="18"/>
  <c r="AI118" i="18"/>
  <c r="AI86" i="18"/>
  <c r="Y68" i="3"/>
  <c r="N271" i="1"/>
  <c r="N272" i="1"/>
  <c r="N273" i="1"/>
  <c r="N274" i="1"/>
  <c r="N275" i="1"/>
  <c r="N276" i="1"/>
  <c r="N277" i="1"/>
  <c r="N278" i="1"/>
  <c r="N279" i="1"/>
  <c r="N280" i="1"/>
  <c r="N281" i="1"/>
  <c r="N282" i="1"/>
  <c r="N283" i="1"/>
  <c r="N284" i="1"/>
  <c r="N285" i="1"/>
  <c r="N286" i="1"/>
  <c r="N287" i="1"/>
  <c r="N288" i="1"/>
  <c r="N289" i="1"/>
  <c r="N290" i="1"/>
  <c r="N291" i="1"/>
  <c r="N258" i="1"/>
  <c r="N259" i="1"/>
  <c r="N260" i="1"/>
  <c r="N261" i="1"/>
  <c r="N262" i="1"/>
  <c r="N263" i="1"/>
  <c r="N264" i="1"/>
  <c r="N265" i="1"/>
  <c r="N266" i="1"/>
  <c r="N267" i="1"/>
  <c r="N268" i="1"/>
  <c r="N269" i="1"/>
  <c r="N270" i="1"/>
  <c r="AI19" i="19"/>
  <c r="AI20" i="19"/>
  <c r="AI21" i="19"/>
  <c r="AI22" i="19"/>
  <c r="AI23" i="19"/>
  <c r="AI24" i="19"/>
  <c r="AI25" i="19"/>
  <c r="AI26" i="19"/>
  <c r="AI27" i="19"/>
  <c r="AI28" i="19"/>
  <c r="AI29" i="19"/>
  <c r="AI30" i="19"/>
  <c r="AI31" i="19"/>
  <c r="AI32" i="19"/>
  <c r="AI33" i="19"/>
  <c r="AI34" i="19"/>
  <c r="AI35" i="19"/>
  <c r="AI36" i="19"/>
  <c r="AI37" i="19"/>
  <c r="AI38" i="19"/>
  <c r="AI39" i="19"/>
  <c r="AI40" i="19"/>
  <c r="AI41" i="19"/>
  <c r="AI42" i="19"/>
  <c r="AI43" i="19"/>
  <c r="AI44" i="19"/>
  <c r="AI45" i="19"/>
  <c r="AI46" i="19"/>
  <c r="AI47" i="19"/>
  <c r="AI48" i="19"/>
  <c r="AI49" i="19"/>
  <c r="AI50" i="19"/>
  <c r="AI51" i="19"/>
  <c r="AI52" i="19"/>
  <c r="AI53" i="19"/>
  <c r="AI54" i="19"/>
  <c r="AI55" i="19"/>
  <c r="AI56" i="19"/>
  <c r="AI57" i="19"/>
  <c r="AI58" i="19"/>
  <c r="AI59" i="19"/>
  <c r="AI60" i="19"/>
  <c r="AI61" i="19"/>
  <c r="AI62" i="19"/>
  <c r="AI63" i="19"/>
  <c r="AI64" i="19"/>
  <c r="AI65" i="19"/>
  <c r="AI66" i="19"/>
  <c r="AI67" i="19"/>
  <c r="AI68" i="19"/>
  <c r="AI69" i="19"/>
  <c r="AI70" i="19"/>
  <c r="AI71" i="19"/>
  <c r="AI72" i="19"/>
  <c r="AI73" i="19"/>
  <c r="AI74" i="19"/>
  <c r="AI75" i="19"/>
  <c r="AI76" i="19"/>
  <c r="AI77" i="19"/>
  <c r="AI78" i="19"/>
  <c r="AI79" i="19"/>
  <c r="AI80" i="19"/>
  <c r="AI81" i="19"/>
  <c r="AI82" i="19"/>
  <c r="AI83" i="19"/>
  <c r="AI84" i="19"/>
  <c r="AI85" i="19"/>
  <c r="AI18" i="19"/>
  <c r="C9" i="4"/>
  <c r="AI29" i="18"/>
  <c r="AI30" i="18"/>
  <c r="AI31" i="18"/>
  <c r="AI32" i="18"/>
  <c r="AI33" i="18"/>
  <c r="AI34" i="18"/>
  <c r="AI35" i="18"/>
  <c r="AI36" i="18"/>
  <c r="AI37" i="18"/>
  <c r="AI38" i="18"/>
  <c r="AI39" i="18"/>
  <c r="AI40" i="18"/>
  <c r="AI41" i="18"/>
  <c r="AI42" i="18"/>
  <c r="AI43" i="18"/>
  <c r="AI44" i="18"/>
  <c r="AI45" i="18"/>
  <c r="AI46" i="18"/>
  <c r="AI47" i="18"/>
  <c r="AI48" i="18"/>
  <c r="AI49" i="18"/>
  <c r="AI50" i="18"/>
  <c r="AI51" i="18"/>
  <c r="AI52" i="18"/>
  <c r="AI53" i="18"/>
  <c r="AI54" i="18"/>
  <c r="AI55" i="18"/>
  <c r="AI56" i="18"/>
  <c r="AI57" i="18"/>
  <c r="AI58" i="18"/>
  <c r="AI59" i="18"/>
  <c r="AI60" i="18"/>
  <c r="AI61" i="18"/>
  <c r="AI62" i="18"/>
  <c r="AI63" i="18"/>
  <c r="AI64" i="18"/>
  <c r="AI65" i="18"/>
  <c r="AI66" i="18"/>
  <c r="AI67" i="18"/>
  <c r="AI68" i="18"/>
  <c r="AI69" i="18"/>
  <c r="AI70" i="18"/>
  <c r="AI71" i="18"/>
  <c r="AI72" i="18"/>
  <c r="AI73" i="18"/>
  <c r="AI74" i="18"/>
  <c r="AI75" i="18"/>
  <c r="AI76" i="18"/>
  <c r="AI77" i="18"/>
  <c r="AI78" i="18"/>
  <c r="AI79" i="18"/>
  <c r="AI80" i="18"/>
  <c r="AI81" i="18"/>
  <c r="AI82" i="18"/>
  <c r="AI83" i="18"/>
  <c r="AI84" i="18"/>
  <c r="AI85" i="18"/>
  <c r="AI19" i="18"/>
  <c r="AI20" i="18"/>
  <c r="AI21" i="18"/>
  <c r="AI22" i="18"/>
  <c r="AI23" i="18"/>
  <c r="AI24" i="18"/>
  <c r="AI25" i="18"/>
  <c r="AI26" i="18"/>
  <c r="AI27" i="18"/>
  <c r="AI28" i="18"/>
  <c r="AI18" i="18"/>
  <c r="E116" i="4" l="1"/>
  <c r="E117" i="4" s="1"/>
  <c r="E118" i="4" s="1"/>
  <c r="E119" i="4" s="1"/>
  <c r="E120" i="4" s="1"/>
  <c r="E121" i="4" s="1"/>
  <c r="E122" i="4" s="1"/>
  <c r="E123" i="4" s="1"/>
  <c r="E124" i="4" s="1"/>
  <c r="E125" i="4" s="1"/>
  <c r="E126" i="4" s="1"/>
  <c r="E127" i="4" s="1"/>
  <c r="E128" i="4" s="1"/>
  <c r="E129" i="4" s="1"/>
  <c r="E130" i="4" s="1"/>
  <c r="E131" i="4" s="1"/>
  <c r="E132" i="4" s="1"/>
  <c r="E133" i="4" s="1"/>
  <c r="E134" i="4" s="1"/>
  <c r="E135" i="4" s="1"/>
  <c r="E136" i="4" s="1"/>
  <c r="E137" i="4" s="1"/>
  <c r="E138" i="4" s="1"/>
  <c r="E139" i="4" s="1"/>
  <c r="E140" i="4" s="1"/>
  <c r="E141" i="4" s="1"/>
  <c r="E142" i="4" s="1"/>
  <c r="E143" i="4" s="1"/>
  <c r="E144" i="4" s="1"/>
  <c r="E145" i="4" s="1"/>
  <c r="E146" i="4" s="1"/>
  <c r="E147" i="4" s="1"/>
  <c r="E148" i="4" s="1"/>
  <c r="C122" i="9"/>
  <c r="D122" i="9" s="1"/>
  <c r="L258" i="9"/>
  <c r="M258" i="9" s="1"/>
  <c r="L190" i="9"/>
  <c r="M189" i="9"/>
  <c r="C191" i="9"/>
  <c r="D191" i="9" s="1"/>
  <c r="L122" i="9"/>
  <c r="M122" i="9" s="1"/>
  <c r="L157" i="9"/>
  <c r="C156" i="9"/>
  <c r="D158" i="9"/>
  <c r="M156" i="9"/>
  <c r="U198" i="6"/>
  <c r="AI19" i="3"/>
  <c r="AI20" i="3"/>
  <c r="AI21" i="3"/>
  <c r="AI22" i="3"/>
  <c r="AI23" i="3"/>
  <c r="AI24" i="3"/>
  <c r="AI25" i="3"/>
  <c r="AI26" i="3"/>
  <c r="AI27" i="3"/>
  <c r="AI28" i="3"/>
  <c r="AI29" i="3"/>
  <c r="AI30" i="3"/>
  <c r="AI31" i="3"/>
  <c r="AI32" i="3"/>
  <c r="AI33" i="3"/>
  <c r="AI34" i="3"/>
  <c r="AI35" i="3"/>
  <c r="AI36" i="3"/>
  <c r="AI37" i="3"/>
  <c r="AI38" i="3"/>
  <c r="AI39" i="3"/>
  <c r="AI40" i="3"/>
  <c r="AI41" i="3"/>
  <c r="AI42" i="3"/>
  <c r="AI43" i="3"/>
  <c r="AI44" i="3"/>
  <c r="AI45" i="3"/>
  <c r="AI46" i="3"/>
  <c r="AI47" i="3"/>
  <c r="AI48" i="3"/>
  <c r="AI49" i="3"/>
  <c r="AI50" i="3"/>
  <c r="AI51" i="3"/>
  <c r="AI52" i="3"/>
  <c r="AI53" i="3"/>
  <c r="AI54" i="3"/>
  <c r="AI55" i="3"/>
  <c r="AI56" i="3"/>
  <c r="AI57" i="3"/>
  <c r="AI58" i="3"/>
  <c r="AI59" i="3"/>
  <c r="AI60" i="3"/>
  <c r="AI61" i="3"/>
  <c r="AI62" i="3"/>
  <c r="AI63" i="3"/>
  <c r="AI64" i="3"/>
  <c r="AI65" i="3"/>
  <c r="AI66" i="3"/>
  <c r="AI67" i="3"/>
  <c r="AI68" i="3"/>
  <c r="AI69" i="3"/>
  <c r="AI70" i="3"/>
  <c r="AI71" i="3"/>
  <c r="AI72" i="3"/>
  <c r="AI73" i="3"/>
  <c r="AI74" i="3"/>
  <c r="AI75" i="3"/>
  <c r="AI76" i="3"/>
  <c r="AI77" i="3"/>
  <c r="AI78" i="3"/>
  <c r="AI79" i="3"/>
  <c r="AI80" i="3"/>
  <c r="AI81" i="3"/>
  <c r="AI82" i="3"/>
  <c r="AI83" i="3"/>
  <c r="AI84" i="3"/>
  <c r="AI85" i="3"/>
  <c r="AI18" i="3"/>
  <c r="Y18" i="3"/>
  <c r="C123" i="9" l="1"/>
  <c r="D123" i="9" s="1"/>
  <c r="L259" i="9"/>
  <c r="M259" i="9" s="1"/>
  <c r="M190" i="9"/>
  <c r="L191" i="9"/>
  <c r="C192" i="9"/>
  <c r="D192" i="9" s="1"/>
  <c r="L123" i="9"/>
  <c r="M123" i="9" s="1"/>
  <c r="L158" i="9"/>
  <c r="C124" i="9"/>
  <c r="D124" i="9" s="1"/>
  <c r="C157" i="9"/>
  <c r="M157" i="9"/>
  <c r="D159" i="9"/>
  <c r="BX93" i="17"/>
  <c r="C208" i="17"/>
  <c r="B208" i="17"/>
  <c r="C207" i="17"/>
  <c r="B207" i="17"/>
  <c r="C206" i="17"/>
  <c r="B206" i="17"/>
  <c r="C205" i="17"/>
  <c r="B205" i="17"/>
  <c r="C204" i="17"/>
  <c r="B204" i="17"/>
  <c r="C203" i="17"/>
  <c r="B203" i="17"/>
  <c r="C202" i="17"/>
  <c r="B202" i="17"/>
  <c r="C201" i="17"/>
  <c r="B201" i="17"/>
  <c r="C200" i="17"/>
  <c r="B200" i="17"/>
  <c r="C199" i="17"/>
  <c r="B199" i="17"/>
  <c r="C198" i="17"/>
  <c r="B198" i="17"/>
  <c r="C197" i="17"/>
  <c r="B197" i="17"/>
  <c r="C196" i="17"/>
  <c r="B196" i="17"/>
  <c r="C195" i="17"/>
  <c r="B195" i="17"/>
  <c r="C194" i="17"/>
  <c r="B194" i="17"/>
  <c r="C193" i="17"/>
  <c r="B193" i="17"/>
  <c r="C192" i="17"/>
  <c r="B192" i="17"/>
  <c r="C191" i="17"/>
  <c r="B191" i="17"/>
  <c r="C190" i="17"/>
  <c r="B190" i="17"/>
  <c r="C189" i="17"/>
  <c r="B189" i="17"/>
  <c r="C188" i="17"/>
  <c r="B188" i="17"/>
  <c r="C187" i="17"/>
  <c r="B187" i="17"/>
  <c r="C186" i="17"/>
  <c r="B186" i="17"/>
  <c r="N185" i="17"/>
  <c r="C185" i="17"/>
  <c r="B185" i="17"/>
  <c r="C184" i="17"/>
  <c r="B184" i="17"/>
  <c r="C183" i="17"/>
  <c r="B183" i="17"/>
  <c r="C182" i="17"/>
  <c r="B182" i="17"/>
  <c r="C181" i="17"/>
  <c r="B181" i="17"/>
  <c r="N180" i="17"/>
  <c r="C180" i="17"/>
  <c r="B180" i="17"/>
  <c r="C179" i="17"/>
  <c r="B179" i="17"/>
  <c r="C178" i="17"/>
  <c r="B178" i="17"/>
  <c r="C177" i="17"/>
  <c r="B177" i="17"/>
  <c r="D176" i="17"/>
  <c r="C176" i="17"/>
  <c r="B176" i="17"/>
  <c r="C175" i="17"/>
  <c r="B175" i="17"/>
  <c r="G174" i="17"/>
  <c r="H174" i="17" s="1"/>
  <c r="I176" i="17" l="1"/>
  <c r="CA96" i="17"/>
  <c r="BZ28" i="6" s="1"/>
  <c r="L260" i="9"/>
  <c r="M260" i="9" s="1"/>
  <c r="L192" i="9"/>
  <c r="M191" i="9"/>
  <c r="C193" i="9"/>
  <c r="D193" i="9" s="1"/>
  <c r="L124" i="9"/>
  <c r="M124" i="9" s="1"/>
  <c r="L159" i="9"/>
  <c r="C125" i="9"/>
  <c r="D125" i="9" s="1"/>
  <c r="M158" i="9"/>
  <c r="C158" i="9"/>
  <c r="D160" i="9"/>
  <c r="N186" i="17"/>
  <c r="L261" i="9" l="1"/>
  <c r="M261" i="9" s="1"/>
  <c r="M192" i="9"/>
  <c r="L193" i="9"/>
  <c r="C194" i="9"/>
  <c r="D194" i="9" s="1"/>
  <c r="L160" i="9"/>
  <c r="C126" i="9"/>
  <c r="D126" i="9" s="1"/>
  <c r="L125" i="9"/>
  <c r="M125" i="9" s="1"/>
  <c r="D161" i="9"/>
  <c r="C159" i="9"/>
  <c r="M159" i="9"/>
  <c r="N187" i="17"/>
  <c r="J188" i="16"/>
  <c r="J148" i="16"/>
  <c r="J189" i="16"/>
  <c r="J190" i="16" s="1"/>
  <c r="N185" i="16"/>
  <c r="N186" i="16" s="1"/>
  <c r="N180" i="16"/>
  <c r="G174" i="16"/>
  <c r="H174" i="16" s="1"/>
  <c r="C208" i="16"/>
  <c r="B208" i="16"/>
  <c r="C207" i="16"/>
  <c r="B207" i="16"/>
  <c r="C206" i="16"/>
  <c r="B206" i="16"/>
  <c r="C205" i="16"/>
  <c r="B205" i="16"/>
  <c r="C204" i="16"/>
  <c r="B204" i="16"/>
  <c r="C203" i="16"/>
  <c r="B203" i="16"/>
  <c r="C202" i="16"/>
  <c r="B202" i="16"/>
  <c r="C201" i="16"/>
  <c r="B201" i="16"/>
  <c r="C200" i="16"/>
  <c r="B200" i="16"/>
  <c r="C199" i="16"/>
  <c r="B199" i="16"/>
  <c r="C198" i="16"/>
  <c r="B198" i="16"/>
  <c r="C197" i="16"/>
  <c r="B197" i="16"/>
  <c r="C196" i="16"/>
  <c r="B196" i="16"/>
  <c r="C195" i="16"/>
  <c r="B195" i="16"/>
  <c r="C194" i="16"/>
  <c r="B194" i="16"/>
  <c r="C193" i="16"/>
  <c r="B193" i="16"/>
  <c r="C192" i="16"/>
  <c r="B192" i="16"/>
  <c r="C191" i="16"/>
  <c r="B191" i="16"/>
  <c r="C190" i="16"/>
  <c r="B190" i="16"/>
  <c r="C189" i="16"/>
  <c r="B189" i="16"/>
  <c r="C188" i="16"/>
  <c r="B188" i="16"/>
  <c r="C187" i="16"/>
  <c r="B187" i="16"/>
  <c r="C186" i="16"/>
  <c r="B186" i="16"/>
  <c r="C185" i="16"/>
  <c r="B185" i="16"/>
  <c r="C184" i="16"/>
  <c r="B184" i="16"/>
  <c r="C183" i="16"/>
  <c r="B183" i="16"/>
  <c r="C182" i="16"/>
  <c r="B182" i="16"/>
  <c r="C181" i="16"/>
  <c r="B181" i="16"/>
  <c r="C180" i="16"/>
  <c r="B180" i="16"/>
  <c r="C179" i="16"/>
  <c r="B179" i="16"/>
  <c r="C178" i="16"/>
  <c r="B178" i="16"/>
  <c r="C177" i="16"/>
  <c r="B177" i="16"/>
  <c r="D176" i="16"/>
  <c r="CA96" i="16" s="1"/>
  <c r="C176" i="16"/>
  <c r="B176" i="16"/>
  <c r="C175" i="16"/>
  <c r="B175" i="16"/>
  <c r="D176" i="11"/>
  <c r="CA96" i="11" s="1"/>
  <c r="BN28" i="6" s="1"/>
  <c r="B176" i="11"/>
  <c r="C176" i="11"/>
  <c r="B177" i="11"/>
  <c r="C177" i="11"/>
  <c r="B178" i="11"/>
  <c r="C178" i="11"/>
  <c r="B179" i="11"/>
  <c r="C179" i="11"/>
  <c r="B180" i="11"/>
  <c r="C180" i="11"/>
  <c r="B181" i="11"/>
  <c r="C181" i="11"/>
  <c r="B182" i="11"/>
  <c r="C182" i="11"/>
  <c r="B183" i="11"/>
  <c r="C183" i="11"/>
  <c r="B184" i="11"/>
  <c r="C184" i="11"/>
  <c r="B185" i="11"/>
  <c r="C185" i="11"/>
  <c r="B186" i="11"/>
  <c r="C186" i="11"/>
  <c r="B187" i="11"/>
  <c r="C187" i="11"/>
  <c r="B188" i="11"/>
  <c r="C188" i="11"/>
  <c r="B189" i="11"/>
  <c r="C189" i="11"/>
  <c r="B190" i="11"/>
  <c r="C190" i="11"/>
  <c r="B191" i="11"/>
  <c r="C191" i="11"/>
  <c r="B192" i="11"/>
  <c r="C192" i="11"/>
  <c r="B193" i="11"/>
  <c r="C193" i="11"/>
  <c r="B194" i="11"/>
  <c r="C194" i="11"/>
  <c r="B195" i="11"/>
  <c r="C195" i="11"/>
  <c r="B196" i="11"/>
  <c r="C196" i="11"/>
  <c r="B197" i="11"/>
  <c r="C197" i="11"/>
  <c r="B198" i="11"/>
  <c r="C198" i="11"/>
  <c r="B199" i="11"/>
  <c r="C199" i="11"/>
  <c r="B200" i="11"/>
  <c r="C200" i="11"/>
  <c r="B201" i="11"/>
  <c r="C201" i="11"/>
  <c r="B202" i="11"/>
  <c r="C202" i="11"/>
  <c r="B203" i="11"/>
  <c r="C203" i="11"/>
  <c r="B204" i="11"/>
  <c r="C204" i="11"/>
  <c r="B205" i="11"/>
  <c r="C205" i="11"/>
  <c r="B206" i="11"/>
  <c r="C206" i="11"/>
  <c r="B207" i="11"/>
  <c r="C207" i="11"/>
  <c r="B208" i="11"/>
  <c r="C208" i="11"/>
  <c r="B175" i="11"/>
  <c r="C175" i="11"/>
  <c r="N186" i="11"/>
  <c r="N185" i="11"/>
  <c r="N180" i="11"/>
  <c r="G174" i="11"/>
  <c r="H174" i="11" s="1"/>
  <c r="I116" i="4"/>
  <c r="I117" i="4"/>
  <c r="I118" i="4" s="1"/>
  <c r="I119" i="4" s="1"/>
  <c r="I120" i="4" s="1"/>
  <c r="I121" i="4" s="1"/>
  <c r="I122" i="4" s="1"/>
  <c r="I123" i="4" s="1"/>
  <c r="I124" i="4" s="1"/>
  <c r="I125" i="4" s="1"/>
  <c r="I126" i="4" s="1"/>
  <c r="I127" i="4" s="1"/>
  <c r="I128" i="4" s="1"/>
  <c r="I129" i="4" s="1"/>
  <c r="I130" i="4" s="1"/>
  <c r="I131" i="4" s="1"/>
  <c r="I132" i="4" s="1"/>
  <c r="I133" i="4" s="1"/>
  <c r="I134" i="4" s="1"/>
  <c r="I135" i="4" s="1"/>
  <c r="I136" i="4" s="1"/>
  <c r="I137" i="4" s="1"/>
  <c r="I138" i="4" s="1"/>
  <c r="I139" i="4" s="1"/>
  <c r="I140" i="4" s="1"/>
  <c r="I141" i="4" s="1"/>
  <c r="I142" i="4" s="1"/>
  <c r="I143" i="4" s="1"/>
  <c r="I144" i="4" s="1"/>
  <c r="I145" i="4" s="1"/>
  <c r="I146" i="4" s="1"/>
  <c r="I147" i="4" s="1"/>
  <c r="I148" i="4" s="1"/>
  <c r="L262" i="9" l="1"/>
  <c r="M262" i="9" s="1"/>
  <c r="L194" i="9"/>
  <c r="M193" i="9"/>
  <c r="C195" i="9"/>
  <c r="D195" i="9" s="1"/>
  <c r="C127" i="9"/>
  <c r="D127" i="9" s="1"/>
  <c r="L161" i="9"/>
  <c r="L126" i="9"/>
  <c r="M126" i="9" s="1"/>
  <c r="C160" i="9"/>
  <c r="M160" i="9"/>
  <c r="D162" i="9"/>
  <c r="I176" i="11"/>
  <c r="I176" i="16"/>
  <c r="BT28" i="6"/>
  <c r="N188" i="17"/>
  <c r="J149" i="16"/>
  <c r="J150" i="16" s="1"/>
  <c r="J151" i="16" s="1"/>
  <c r="J152" i="16" s="1"/>
  <c r="J153" i="16" s="1"/>
  <c r="J154" i="16" s="1"/>
  <c r="J155" i="16" s="1"/>
  <c r="J156" i="16" s="1"/>
  <c r="J157" i="16" s="1"/>
  <c r="J158" i="16" s="1"/>
  <c r="J159" i="16" s="1"/>
  <c r="J160" i="16" s="1"/>
  <c r="J161" i="16" s="1"/>
  <c r="J162" i="16" s="1"/>
  <c r="J163" i="16" s="1"/>
  <c r="J164" i="16" s="1"/>
  <c r="J165" i="16" s="1"/>
  <c r="J166" i="16" s="1"/>
  <c r="J167" i="16" s="1"/>
  <c r="J168" i="16" s="1"/>
  <c r="J191" i="16"/>
  <c r="J192" i="16" s="1"/>
  <c r="N187" i="16"/>
  <c r="N187" i="11"/>
  <c r="E115" i="4"/>
  <c r="D175" i="17" l="1"/>
  <c r="D175" i="11"/>
  <c r="D175" i="16"/>
  <c r="L263" i="9"/>
  <c r="M263" i="9" s="1"/>
  <c r="M194" i="9"/>
  <c r="L195" i="9"/>
  <c r="C196" i="9"/>
  <c r="D196" i="9" s="1"/>
  <c r="C128" i="9"/>
  <c r="D128" i="9" s="1"/>
  <c r="L162" i="9"/>
  <c r="L127" i="9"/>
  <c r="M127" i="9" s="1"/>
  <c r="C161" i="9"/>
  <c r="D163" i="9"/>
  <c r="M161" i="9"/>
  <c r="D177" i="17"/>
  <c r="CA97" i="17" s="1"/>
  <c r="D177" i="16"/>
  <c r="CA97" i="16" s="1"/>
  <c r="D177" i="11"/>
  <c r="N189" i="17"/>
  <c r="N188" i="16"/>
  <c r="J193" i="16"/>
  <c r="N188" i="11"/>
  <c r="CA95" i="11" l="1"/>
  <c r="BN27" i="6" s="1"/>
  <c r="I175" i="11"/>
  <c r="CA95" i="16"/>
  <c r="BT27" i="6" s="1"/>
  <c r="I175" i="16"/>
  <c r="I175" i="17"/>
  <c r="CA95" i="17"/>
  <c r="BZ27" i="6" s="1"/>
  <c r="L264" i="9"/>
  <c r="M264" i="9" s="1"/>
  <c r="L196" i="9"/>
  <c r="M195" i="9"/>
  <c r="C197" i="9"/>
  <c r="D197" i="9" s="1"/>
  <c r="C129" i="9"/>
  <c r="D129" i="9" s="1"/>
  <c r="L163" i="9"/>
  <c r="L128" i="9"/>
  <c r="M128" i="9" s="1"/>
  <c r="M162" i="9"/>
  <c r="C162" i="9"/>
  <c r="D164" i="9"/>
  <c r="I177" i="11"/>
  <c r="CA97" i="11"/>
  <c r="BN29" i="6" s="1"/>
  <c r="I177" i="16"/>
  <c r="BT29" i="6"/>
  <c r="I177" i="17"/>
  <c r="BZ29" i="6"/>
  <c r="D178" i="17"/>
  <c r="CA98" i="17" s="1"/>
  <c r="D178" i="16"/>
  <c r="CA98" i="16" s="1"/>
  <c r="D178" i="11"/>
  <c r="N190" i="17"/>
  <c r="N189" i="16"/>
  <c r="J194" i="16"/>
  <c r="N189" i="11"/>
  <c r="D115" i="4"/>
  <c r="D114" i="4" s="1"/>
  <c r="AT72" i="10" l="1"/>
  <c r="E114" i="4"/>
  <c r="L265" i="9"/>
  <c r="M265" i="9" s="1"/>
  <c r="M196" i="9"/>
  <c r="L197" i="9"/>
  <c r="C198" i="9"/>
  <c r="D198" i="9" s="1"/>
  <c r="L129" i="9"/>
  <c r="M129" i="9" s="1"/>
  <c r="L164" i="9"/>
  <c r="C130" i="9"/>
  <c r="D130" i="9" s="1"/>
  <c r="D165" i="9"/>
  <c r="C163" i="9"/>
  <c r="M163" i="9"/>
  <c r="I178" i="11"/>
  <c r="CA98" i="11"/>
  <c r="BN30" i="6" s="1"/>
  <c r="I178" i="16"/>
  <c r="BT30" i="6"/>
  <c r="I178" i="17"/>
  <c r="BZ30" i="6"/>
  <c r="D179" i="17"/>
  <c r="CA99" i="17" s="1"/>
  <c r="D179" i="16"/>
  <c r="CA99" i="16" s="1"/>
  <c r="D179" i="11"/>
  <c r="N191" i="17"/>
  <c r="J195" i="16"/>
  <c r="N190" i="16"/>
  <c r="N190" i="11"/>
  <c r="BK26" i="6"/>
  <c r="D113" i="4"/>
  <c r="BT25" i="6" l="1"/>
  <c r="BZ25" i="6"/>
  <c r="BN25" i="6"/>
  <c r="AT71" i="10"/>
  <c r="E113" i="4"/>
  <c r="L266" i="9"/>
  <c r="M266" i="9" s="1"/>
  <c r="L198" i="9"/>
  <c r="M197" i="9"/>
  <c r="C199" i="9"/>
  <c r="D199" i="9" s="1"/>
  <c r="L165" i="9"/>
  <c r="C131" i="9"/>
  <c r="D131" i="9" s="1"/>
  <c r="L130" i="9"/>
  <c r="M130" i="9" s="1"/>
  <c r="D166" i="9"/>
  <c r="C164" i="9"/>
  <c r="M164" i="9"/>
  <c r="I179" i="11"/>
  <c r="CA99" i="11"/>
  <c r="BN31" i="6" s="1"/>
  <c r="I179" i="16"/>
  <c r="BT31" i="6"/>
  <c r="I179" i="17"/>
  <c r="BZ31" i="6"/>
  <c r="D180" i="17"/>
  <c r="CA100" i="17" s="1"/>
  <c r="D180" i="11"/>
  <c r="D180" i="16"/>
  <c r="CA100" i="16" s="1"/>
  <c r="N192" i="17"/>
  <c r="N191" i="16"/>
  <c r="J196" i="16"/>
  <c r="N191" i="11"/>
  <c r="D112" i="4"/>
  <c r="BK25" i="6"/>
  <c r="BW26" i="6"/>
  <c r="BQ26" i="6"/>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B135" i="17"/>
  <c r="C135" i="17"/>
  <c r="D79" i="17"/>
  <c r="E79" i="17"/>
  <c r="F79" i="17"/>
  <c r="G79" i="17"/>
  <c r="H79" i="17"/>
  <c r="L20" i="12"/>
  <c r="K19" i="12"/>
  <c r="L19" i="12"/>
  <c r="M19" i="12"/>
  <c r="N19" i="12"/>
  <c r="O19" i="12"/>
  <c r="B30" i="12"/>
  <c r="K12" i="12"/>
  <c r="L12" i="12"/>
  <c r="M12" i="12"/>
  <c r="N12" i="12"/>
  <c r="O12" i="12"/>
  <c r="K16" i="12"/>
  <c r="L16" i="12"/>
  <c r="M16" i="12"/>
  <c r="N16" i="12"/>
  <c r="O16" i="12"/>
  <c r="K8" i="12"/>
  <c r="L8" i="12"/>
  <c r="M8" i="12"/>
  <c r="N8" i="12"/>
  <c r="O8" i="12"/>
  <c r="J8" i="12"/>
  <c r="H46" i="11"/>
  <c r="H47" i="11" s="1"/>
  <c r="V44" i="11"/>
  <c r="U44" i="11"/>
  <c r="T44" i="11"/>
  <c r="S44" i="11"/>
  <c r="R44" i="11"/>
  <c r="Q44" i="11"/>
  <c r="O44" i="11"/>
  <c r="O45" i="11" s="1"/>
  <c r="O46" i="11" s="1"/>
  <c r="O47" i="11" s="1"/>
  <c r="N44" i="11"/>
  <c r="N45" i="11" s="1"/>
  <c r="N46" i="11" s="1"/>
  <c r="N47" i="11" s="1"/>
  <c r="M44" i="11"/>
  <c r="M45" i="11" s="1"/>
  <c r="M46" i="11" s="1"/>
  <c r="M47" i="11" s="1"/>
  <c r="L44" i="11"/>
  <c r="L45" i="11" s="1"/>
  <c r="L46" i="11" s="1"/>
  <c r="L47" i="11" s="1"/>
  <c r="K44" i="11"/>
  <c r="K45" i="11" s="1"/>
  <c r="K46" i="11" s="1"/>
  <c r="K47" i="11" s="1"/>
  <c r="J44" i="11"/>
  <c r="J45" i="11" s="1"/>
  <c r="H44" i="11"/>
  <c r="G44" i="11"/>
  <c r="F44" i="11"/>
  <c r="E44" i="11"/>
  <c r="D44" i="11"/>
  <c r="C44" i="11"/>
  <c r="H46" i="16"/>
  <c r="H47" i="16" s="1"/>
  <c r="V44" i="16"/>
  <c r="U44" i="16"/>
  <c r="T44" i="16"/>
  <c r="S44" i="16"/>
  <c r="R44" i="16"/>
  <c r="Q44" i="16"/>
  <c r="O44" i="16"/>
  <c r="O45" i="16" s="1"/>
  <c r="O46" i="16" s="1"/>
  <c r="O47" i="16" s="1"/>
  <c r="N44" i="16"/>
  <c r="N45" i="16" s="1"/>
  <c r="N46" i="16" s="1"/>
  <c r="N47" i="16" s="1"/>
  <c r="M44" i="16"/>
  <c r="M45" i="16" s="1"/>
  <c r="M46" i="16" s="1"/>
  <c r="M47" i="16" s="1"/>
  <c r="L44" i="16"/>
  <c r="L45" i="16" s="1"/>
  <c r="L46" i="16" s="1"/>
  <c r="L47" i="16" s="1"/>
  <c r="K44" i="16"/>
  <c r="K45" i="16" s="1"/>
  <c r="K46" i="16" s="1"/>
  <c r="K47" i="16" s="1"/>
  <c r="J44" i="16"/>
  <c r="J45" i="16" s="1"/>
  <c r="H44" i="16"/>
  <c r="G44" i="16"/>
  <c r="F44" i="16"/>
  <c r="E44" i="16"/>
  <c r="D44" i="16"/>
  <c r="C44" i="16"/>
  <c r="G37" i="16"/>
  <c r="F37" i="16"/>
  <c r="E37" i="16"/>
  <c r="G35" i="16"/>
  <c r="G36" i="16" s="1"/>
  <c r="F35" i="16"/>
  <c r="F36" i="16" s="1"/>
  <c r="E35" i="16"/>
  <c r="D35" i="16"/>
  <c r="D36" i="16" s="1"/>
  <c r="D38" i="16" s="1"/>
  <c r="D37" i="16" s="1"/>
  <c r="D39" i="16" s="1"/>
  <c r="C35" i="16"/>
  <c r="C36" i="16" s="1"/>
  <c r="C38" i="16" s="1"/>
  <c r="C37" i="16" s="1"/>
  <c r="C39" i="16" s="1"/>
  <c r="AT70" i="10" l="1"/>
  <c r="E112" i="4"/>
  <c r="BZ24" i="6"/>
  <c r="BT24" i="6"/>
  <c r="BN24" i="6"/>
  <c r="S45" i="16"/>
  <c r="S46" i="16" s="1"/>
  <c r="S47" i="16" s="1"/>
  <c r="E45" i="16"/>
  <c r="E46" i="16" s="1"/>
  <c r="E47" i="16" s="1"/>
  <c r="W44" i="16"/>
  <c r="T45" i="16"/>
  <c r="T46" i="16" s="1"/>
  <c r="T47" i="16" s="1"/>
  <c r="I44" i="16"/>
  <c r="G45" i="16"/>
  <c r="G46" i="16" s="1"/>
  <c r="G47" i="16" s="1"/>
  <c r="Q45" i="16"/>
  <c r="U45" i="16"/>
  <c r="U46" i="16" s="1"/>
  <c r="U47" i="16" s="1"/>
  <c r="D45" i="16"/>
  <c r="D46" i="16" s="1"/>
  <c r="D47" i="16" s="1"/>
  <c r="R45" i="16"/>
  <c r="R46" i="16" s="1"/>
  <c r="R47" i="16" s="1"/>
  <c r="L267" i="9"/>
  <c r="M267" i="9" s="1"/>
  <c r="M198" i="9"/>
  <c r="L199" i="9"/>
  <c r="C200" i="9"/>
  <c r="D200" i="9" s="1"/>
  <c r="C132" i="9"/>
  <c r="D132" i="9" s="1"/>
  <c r="L131" i="9"/>
  <c r="M131" i="9" s="1"/>
  <c r="L166" i="9"/>
  <c r="C165" i="9"/>
  <c r="M165" i="9"/>
  <c r="D167" i="9"/>
  <c r="I180" i="16"/>
  <c r="BT32" i="6"/>
  <c r="I180" i="11"/>
  <c r="CA100" i="11"/>
  <c r="BN32" i="6" s="1"/>
  <c r="I180" i="17"/>
  <c r="BZ32" i="6"/>
  <c r="D181" i="17"/>
  <c r="CA101" i="17" s="1"/>
  <c r="D181" i="11"/>
  <c r="D181" i="16"/>
  <c r="CA101" i="16" s="1"/>
  <c r="N193" i="17"/>
  <c r="N192" i="16"/>
  <c r="J197" i="16"/>
  <c r="G45" i="11"/>
  <c r="G46" i="11" s="1"/>
  <c r="G47" i="11" s="1"/>
  <c r="Q45" i="11"/>
  <c r="I44" i="11"/>
  <c r="N192" i="11"/>
  <c r="BQ25" i="6"/>
  <c r="BW25" i="6"/>
  <c r="D111" i="4"/>
  <c r="BK24" i="6"/>
  <c r="U45" i="11"/>
  <c r="U46" i="11" s="1"/>
  <c r="U47" i="11" s="1"/>
  <c r="D45" i="11"/>
  <c r="D46" i="11" s="1"/>
  <c r="D47" i="11" s="1"/>
  <c r="R45" i="11"/>
  <c r="R46" i="11" s="1"/>
  <c r="R47" i="11" s="1"/>
  <c r="S45" i="11"/>
  <c r="S46" i="11" s="1"/>
  <c r="S47" i="11" s="1"/>
  <c r="W44" i="11"/>
  <c r="E45" i="11"/>
  <c r="E46" i="11" s="1"/>
  <c r="E47" i="11" s="1"/>
  <c r="T45" i="11"/>
  <c r="T46" i="11" s="1"/>
  <c r="T47" i="11" s="1"/>
  <c r="Q46" i="11"/>
  <c r="J46" i="11"/>
  <c r="P45" i="11"/>
  <c r="F45" i="11"/>
  <c r="F46" i="11" s="1"/>
  <c r="F47" i="11" s="1"/>
  <c r="P44" i="11"/>
  <c r="C45" i="11"/>
  <c r="Q46" i="16"/>
  <c r="J46" i="16"/>
  <c r="P45" i="16"/>
  <c r="F45" i="16"/>
  <c r="F46" i="16" s="1"/>
  <c r="F47" i="16" s="1"/>
  <c r="P44" i="16"/>
  <c r="C45" i="16"/>
  <c r="E36" i="16"/>
  <c r="AT69" i="10" l="1"/>
  <c r="E111" i="4"/>
  <c r="BT23" i="6"/>
  <c r="BZ23" i="6"/>
  <c r="BN23" i="6"/>
  <c r="W45" i="16"/>
  <c r="L268" i="9"/>
  <c r="M268" i="9" s="1"/>
  <c r="L200" i="9"/>
  <c r="M199" i="9"/>
  <c r="C201" i="9"/>
  <c r="D201" i="9" s="1"/>
  <c r="L132" i="9"/>
  <c r="M132" i="9" s="1"/>
  <c r="L167" i="9"/>
  <c r="C133" i="9"/>
  <c r="D133" i="9" s="1"/>
  <c r="C166" i="9"/>
  <c r="M166" i="9"/>
  <c r="D168" i="9"/>
  <c r="I181" i="16"/>
  <c r="BT33" i="6"/>
  <c r="I181" i="11"/>
  <c r="CA101" i="11"/>
  <c r="BN33" i="6" s="1"/>
  <c r="I181" i="17"/>
  <c r="BZ33" i="6"/>
  <c r="D182" i="17"/>
  <c r="CA102" i="17" s="1"/>
  <c r="D182" i="16"/>
  <c r="CA102" i="16" s="1"/>
  <c r="D182" i="11"/>
  <c r="N194" i="17"/>
  <c r="N193" i="16"/>
  <c r="J198" i="16"/>
  <c r="N193" i="11"/>
  <c r="BW24" i="6"/>
  <c r="BQ24" i="6"/>
  <c r="D110" i="4"/>
  <c r="BK23" i="6"/>
  <c r="W45" i="11"/>
  <c r="I45" i="11"/>
  <c r="C46" i="11"/>
  <c r="J47" i="11"/>
  <c r="P47" i="11" s="1"/>
  <c r="P46" i="11"/>
  <c r="W46" i="11"/>
  <c r="Q47" i="11"/>
  <c r="W47" i="11" s="1"/>
  <c r="I45" i="16"/>
  <c r="C46" i="16"/>
  <c r="J47" i="16"/>
  <c r="P47" i="16" s="1"/>
  <c r="P46" i="16"/>
  <c r="W46" i="16"/>
  <c r="Q47" i="16"/>
  <c r="W47" i="16" s="1"/>
  <c r="BT22" i="6" l="1"/>
  <c r="BZ22" i="6"/>
  <c r="BN22" i="6"/>
  <c r="AT68" i="10"/>
  <c r="E110" i="4"/>
  <c r="L269" i="9"/>
  <c r="M269" i="9" s="1"/>
  <c r="M200" i="9"/>
  <c r="L201" i="9"/>
  <c r="C202" i="9"/>
  <c r="D202" i="9" s="1"/>
  <c r="C134" i="9"/>
  <c r="D134" i="9" s="1"/>
  <c r="L133" i="9"/>
  <c r="M133" i="9" s="1"/>
  <c r="L168" i="9"/>
  <c r="M167" i="9"/>
  <c r="C167" i="9"/>
  <c r="D169" i="9"/>
  <c r="I182" i="11"/>
  <c r="CA102" i="11"/>
  <c r="BN34" i="6" s="1"/>
  <c r="I182" i="16"/>
  <c r="BT34" i="6"/>
  <c r="I182" i="17"/>
  <c r="BZ34" i="6"/>
  <c r="D183" i="17"/>
  <c r="CA103" i="17" s="1"/>
  <c r="D183" i="16"/>
  <c r="CA103" i="16" s="1"/>
  <c r="D183" i="11"/>
  <c r="N195" i="17"/>
  <c r="N194" i="16"/>
  <c r="J199" i="16"/>
  <c r="N194" i="11"/>
  <c r="BQ23" i="6"/>
  <c r="BW23" i="6"/>
  <c r="D109" i="4"/>
  <c r="BK22" i="6"/>
  <c r="I46" i="11"/>
  <c r="C47" i="11"/>
  <c r="I47" i="11" s="1"/>
  <c r="C47" i="16"/>
  <c r="I47" i="16" s="1"/>
  <c r="I46" i="16"/>
  <c r="B118" i="19"/>
  <c r="B117" i="19"/>
  <c r="B116" i="19"/>
  <c r="B115" i="19"/>
  <c r="B114" i="19"/>
  <c r="B113" i="19"/>
  <c r="B112" i="19"/>
  <c r="B111" i="19"/>
  <c r="B110" i="19"/>
  <c r="B109" i="19"/>
  <c r="B108" i="19"/>
  <c r="B107" i="19"/>
  <c r="B106" i="19"/>
  <c r="B105" i="19"/>
  <c r="B104" i="19"/>
  <c r="B103" i="19"/>
  <c r="B102" i="19"/>
  <c r="B101" i="19"/>
  <c r="B100" i="19"/>
  <c r="B99" i="19"/>
  <c r="B98" i="19"/>
  <c r="B97" i="19"/>
  <c r="B96" i="19"/>
  <c r="B95" i="19"/>
  <c r="B94" i="19"/>
  <c r="B93" i="19"/>
  <c r="B92" i="19"/>
  <c r="B91" i="19"/>
  <c r="B90" i="19"/>
  <c r="B89" i="19"/>
  <c r="B88" i="19"/>
  <c r="B87" i="19"/>
  <c r="B86" i="19"/>
  <c r="Y85" i="19"/>
  <c r="O85" i="19"/>
  <c r="B85" i="19"/>
  <c r="Y84" i="19"/>
  <c r="O84" i="19"/>
  <c r="B84" i="19"/>
  <c r="Y83" i="19"/>
  <c r="O83" i="19"/>
  <c r="B83" i="19"/>
  <c r="Y82" i="19"/>
  <c r="O82" i="19"/>
  <c r="B82" i="19"/>
  <c r="Y81" i="19"/>
  <c r="O81" i="19"/>
  <c r="B81" i="19"/>
  <c r="Y80" i="19"/>
  <c r="O80" i="19"/>
  <c r="B80" i="19"/>
  <c r="Y79" i="19"/>
  <c r="O79" i="19"/>
  <c r="B79" i="19"/>
  <c r="Y78" i="19"/>
  <c r="O78" i="19"/>
  <c r="B78" i="19"/>
  <c r="Y77" i="19"/>
  <c r="O77" i="19"/>
  <c r="B77" i="19"/>
  <c r="Y76" i="19"/>
  <c r="O76" i="19"/>
  <c r="B76" i="19"/>
  <c r="Y75" i="19"/>
  <c r="O75" i="19"/>
  <c r="B75" i="19"/>
  <c r="Y74" i="19"/>
  <c r="O74" i="19"/>
  <c r="B74" i="19"/>
  <c r="Y73" i="19"/>
  <c r="O73" i="19"/>
  <c r="B73" i="19"/>
  <c r="Y72" i="19"/>
  <c r="O72" i="19"/>
  <c r="B72" i="19"/>
  <c r="Y71" i="19"/>
  <c r="O71" i="19"/>
  <c r="B71" i="19"/>
  <c r="Y70" i="19"/>
  <c r="O70" i="19"/>
  <c r="B70" i="19"/>
  <c r="Y69" i="19"/>
  <c r="O69" i="19"/>
  <c r="B69" i="19"/>
  <c r="Y68" i="19"/>
  <c r="O68" i="19"/>
  <c r="B68" i="19"/>
  <c r="Y67" i="19"/>
  <c r="O67" i="19"/>
  <c r="B67" i="19"/>
  <c r="Y66" i="19"/>
  <c r="O66" i="19"/>
  <c r="B66" i="19"/>
  <c r="Y65" i="19"/>
  <c r="O65" i="19"/>
  <c r="B65" i="19"/>
  <c r="Y64" i="19"/>
  <c r="O64" i="19"/>
  <c r="B64" i="19"/>
  <c r="Y63" i="19"/>
  <c r="O63" i="19"/>
  <c r="B63" i="19"/>
  <c r="Y62" i="19"/>
  <c r="O62" i="19"/>
  <c r="B62" i="19"/>
  <c r="Y61" i="19"/>
  <c r="O61" i="19"/>
  <c r="B61" i="19"/>
  <c r="Y60" i="19"/>
  <c r="O60" i="19"/>
  <c r="B60" i="19"/>
  <c r="Y59" i="19"/>
  <c r="O59" i="19"/>
  <c r="B59" i="19"/>
  <c r="Y58" i="19"/>
  <c r="O58" i="19"/>
  <c r="B58" i="19"/>
  <c r="Y57" i="19"/>
  <c r="O57" i="19"/>
  <c r="B57" i="19"/>
  <c r="Y56" i="19"/>
  <c r="O56" i="19"/>
  <c r="B56" i="19"/>
  <c r="Y55" i="19"/>
  <c r="O55" i="19"/>
  <c r="B55" i="19"/>
  <c r="Y54" i="19"/>
  <c r="O54" i="19"/>
  <c r="B54" i="19"/>
  <c r="Y53" i="19"/>
  <c r="O53" i="19"/>
  <c r="B53" i="19"/>
  <c r="Y52" i="19"/>
  <c r="O52" i="19"/>
  <c r="B52" i="19"/>
  <c r="Y51" i="19"/>
  <c r="O51" i="19"/>
  <c r="B51" i="19"/>
  <c r="Y50" i="19"/>
  <c r="O50" i="19"/>
  <c r="B50" i="19"/>
  <c r="Y49" i="19"/>
  <c r="O49" i="19"/>
  <c r="B49" i="19"/>
  <c r="Y48" i="19"/>
  <c r="O48" i="19"/>
  <c r="B48" i="19"/>
  <c r="Y47" i="19"/>
  <c r="O47" i="19"/>
  <c r="B47" i="19"/>
  <c r="Y46" i="19"/>
  <c r="O46" i="19"/>
  <c r="B46" i="19"/>
  <c r="Y45" i="19"/>
  <c r="O45" i="19"/>
  <c r="B45" i="19"/>
  <c r="Y44" i="19"/>
  <c r="O44" i="19"/>
  <c r="B44" i="19"/>
  <c r="Y43" i="19"/>
  <c r="O43" i="19"/>
  <c r="B43" i="19"/>
  <c r="Y42" i="19"/>
  <c r="O42" i="19"/>
  <c r="B42" i="19"/>
  <c r="Y41" i="19"/>
  <c r="O41" i="19"/>
  <c r="B41" i="19"/>
  <c r="Y40" i="19"/>
  <c r="O40" i="19"/>
  <c r="B40" i="19"/>
  <c r="Y39" i="19"/>
  <c r="O39" i="19"/>
  <c r="B39" i="19"/>
  <c r="Y38" i="19"/>
  <c r="O38" i="19"/>
  <c r="B38" i="19"/>
  <c r="Y37" i="19"/>
  <c r="O37" i="19"/>
  <c r="B37" i="19"/>
  <c r="Y36" i="19"/>
  <c r="O36" i="19"/>
  <c r="B36" i="19"/>
  <c r="Y35" i="19"/>
  <c r="O35" i="19"/>
  <c r="B35" i="19"/>
  <c r="Y34" i="19"/>
  <c r="O34" i="19"/>
  <c r="B34" i="19"/>
  <c r="Y33" i="19"/>
  <c r="O33" i="19"/>
  <c r="B33" i="19"/>
  <c r="Y32" i="19"/>
  <c r="O32" i="19"/>
  <c r="B32" i="19"/>
  <c r="Y31" i="19"/>
  <c r="O31" i="19"/>
  <c r="B31" i="19"/>
  <c r="Y30" i="19"/>
  <c r="O30" i="19"/>
  <c r="B30" i="19"/>
  <c r="Y29" i="19"/>
  <c r="O29" i="19"/>
  <c r="B29" i="19"/>
  <c r="Y28" i="19"/>
  <c r="O28" i="19"/>
  <c r="B28" i="19"/>
  <c r="Y27" i="19"/>
  <c r="O27" i="19"/>
  <c r="B27" i="19"/>
  <c r="Y26" i="19"/>
  <c r="O26" i="19"/>
  <c r="B26" i="19"/>
  <c r="Y25" i="19"/>
  <c r="O25" i="19"/>
  <c r="B25" i="19"/>
  <c r="Y24" i="19"/>
  <c r="O24" i="19"/>
  <c r="B24" i="19"/>
  <c r="Y23" i="19"/>
  <c r="O23" i="19"/>
  <c r="B23" i="19"/>
  <c r="Y22" i="19"/>
  <c r="O22" i="19"/>
  <c r="B22" i="19"/>
  <c r="Y21" i="19"/>
  <c r="O21" i="19"/>
  <c r="B21" i="19"/>
  <c r="Y20" i="19"/>
  <c r="O20" i="19"/>
  <c r="B20" i="19"/>
  <c r="Y19" i="19"/>
  <c r="O19" i="19"/>
  <c r="B19" i="19"/>
  <c r="Y18" i="19"/>
  <c r="O18" i="19"/>
  <c r="B18" i="19"/>
  <c r="E10" i="19"/>
  <c r="D10" i="19"/>
  <c r="C10" i="19"/>
  <c r="E9" i="19"/>
  <c r="D9" i="19"/>
  <c r="C9" i="19"/>
  <c r="E8" i="19"/>
  <c r="D8" i="19"/>
  <c r="C8" i="19"/>
  <c r="E7" i="19"/>
  <c r="D7" i="19"/>
  <c r="C7" i="19"/>
  <c r="E6" i="19"/>
  <c r="D6" i="19"/>
  <c r="C6" i="19"/>
  <c r="E5" i="19"/>
  <c r="D5" i="19"/>
  <c r="C5" i="19"/>
  <c r="E4" i="19"/>
  <c r="D4" i="19"/>
  <c r="C4" i="19"/>
  <c r="E3" i="19"/>
  <c r="AT28" i="19" s="1"/>
  <c r="D3" i="19"/>
  <c r="C3" i="19"/>
  <c r="E258" i="1"/>
  <c r="E271" i="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F271" i="1"/>
  <c r="F272" i="1" s="1"/>
  <c r="F273" i="1" s="1"/>
  <c r="F274" i="1" s="1"/>
  <c r="F275" i="1" s="1"/>
  <c r="F276" i="1" s="1"/>
  <c r="F277" i="1" s="1"/>
  <c r="F278" i="1" s="1"/>
  <c r="F279" i="1" s="1"/>
  <c r="F280" i="1" s="1"/>
  <c r="F281" i="1" s="1"/>
  <c r="F282" i="1" s="1"/>
  <c r="F283" i="1" s="1"/>
  <c r="F284" i="1" s="1"/>
  <c r="F285" i="1" s="1"/>
  <c r="F286" i="1" s="1"/>
  <c r="F287" i="1" s="1"/>
  <c r="F288" i="1" s="1"/>
  <c r="F289" i="1" s="1"/>
  <c r="F290" i="1" s="1"/>
  <c r="F291" i="1" s="1"/>
  <c r="G271" i="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H271"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G258" i="1"/>
  <c r="F258" i="1"/>
  <c r="R258" i="1"/>
  <c r="D258" i="1"/>
  <c r="C258" i="1"/>
  <c r="G37" i="17"/>
  <c r="F37" i="17"/>
  <c r="E37" i="17"/>
  <c r="G35" i="17"/>
  <c r="G36" i="17" s="1"/>
  <c r="F35" i="17"/>
  <c r="F36" i="17" s="1"/>
  <c r="E35" i="17"/>
  <c r="D35" i="17"/>
  <c r="D36" i="17" s="1"/>
  <c r="D38" i="17" s="1"/>
  <c r="D37" i="17" s="1"/>
  <c r="D39" i="17" s="1"/>
  <c r="D271" i="1" s="1"/>
  <c r="D272" i="1" s="1"/>
  <c r="C35" i="17"/>
  <c r="C36" i="17" s="1"/>
  <c r="C38" i="17" s="1"/>
  <c r="C37" i="17" s="1"/>
  <c r="C39" i="17" s="1"/>
  <c r="C271" i="1" s="1"/>
  <c r="C272" i="1" s="1"/>
  <c r="C273" i="1" s="1"/>
  <c r="F108" i="17"/>
  <c r="E108" i="17"/>
  <c r="AT67" i="10" l="1"/>
  <c r="E109" i="4"/>
  <c r="BZ21" i="6"/>
  <c r="BT21" i="6"/>
  <c r="BN21" i="6"/>
  <c r="L270" i="9"/>
  <c r="M270" i="9" s="1"/>
  <c r="L202" i="9"/>
  <c r="M201" i="9"/>
  <c r="C203" i="9"/>
  <c r="D203" i="9" s="1"/>
  <c r="L134" i="9"/>
  <c r="M134" i="9" s="1"/>
  <c r="C135" i="9"/>
  <c r="D135" i="9" s="1"/>
  <c r="L169" i="9"/>
  <c r="D170" i="9"/>
  <c r="C168" i="9"/>
  <c r="M168" i="9"/>
  <c r="I183" i="11"/>
  <c r="CA103" i="11"/>
  <c r="BN35" i="6" s="1"/>
  <c r="I183" i="16"/>
  <c r="BT35" i="6"/>
  <c r="I183" i="17"/>
  <c r="BZ35" i="6"/>
  <c r="D184" i="17"/>
  <c r="CA104" i="17" s="1"/>
  <c r="D184" i="11"/>
  <c r="D184" i="16"/>
  <c r="CA104" i="16" s="1"/>
  <c r="AJ116" i="19"/>
  <c r="AJ112" i="19"/>
  <c r="AJ108" i="19"/>
  <c r="AJ104" i="19"/>
  <c r="AJ100" i="19"/>
  <c r="AJ96" i="19"/>
  <c r="AJ92" i="19"/>
  <c r="AJ88" i="19"/>
  <c r="AJ84" i="19"/>
  <c r="AJ80" i="19"/>
  <c r="AJ76" i="19"/>
  <c r="AJ72" i="19"/>
  <c r="AJ115" i="19"/>
  <c r="AJ111" i="19"/>
  <c r="AJ107" i="19"/>
  <c r="AJ103" i="19"/>
  <c r="AJ99" i="19"/>
  <c r="AJ95" i="19"/>
  <c r="AJ91" i="19"/>
  <c r="AJ87" i="19"/>
  <c r="AJ83" i="19"/>
  <c r="AJ79" i="19"/>
  <c r="AJ75" i="19"/>
  <c r="AJ117" i="19"/>
  <c r="AJ113" i="19"/>
  <c r="AJ109" i="19"/>
  <c r="AJ105" i="19"/>
  <c r="AJ101" i="19"/>
  <c r="AJ97" i="19"/>
  <c r="AJ93" i="19"/>
  <c r="AJ89" i="19"/>
  <c r="AJ85" i="19"/>
  <c r="AJ81" i="19"/>
  <c r="AJ77" i="19"/>
  <c r="AJ73" i="19"/>
  <c r="AJ114" i="19"/>
  <c r="AJ98" i="19"/>
  <c r="AJ82" i="19"/>
  <c r="AJ69" i="19"/>
  <c r="AJ65" i="19"/>
  <c r="AJ61" i="19"/>
  <c r="AJ57" i="19"/>
  <c r="AJ53" i="19"/>
  <c r="AJ49" i="19"/>
  <c r="AJ45" i="19"/>
  <c r="AJ41" i="19"/>
  <c r="AJ118" i="19"/>
  <c r="AJ102" i="19"/>
  <c r="AJ86" i="19"/>
  <c r="AJ68" i="19"/>
  <c r="AJ64" i="19"/>
  <c r="AJ60" i="19"/>
  <c r="AJ56" i="19"/>
  <c r="AJ52" i="19"/>
  <c r="AJ48" i="19"/>
  <c r="AJ44" i="19"/>
  <c r="AJ40" i="19"/>
  <c r="AJ106" i="19"/>
  <c r="AJ90" i="19"/>
  <c r="AJ74" i="19"/>
  <c r="AJ67" i="19"/>
  <c r="AJ63" i="19"/>
  <c r="AJ59" i="19"/>
  <c r="AJ55" i="19"/>
  <c r="AJ51" i="19"/>
  <c r="AJ47" i="19"/>
  <c r="AJ43" i="19"/>
  <c r="AJ39" i="19"/>
  <c r="AJ110" i="19"/>
  <c r="AJ58" i="19"/>
  <c r="AJ42" i="19"/>
  <c r="AJ38" i="19"/>
  <c r="AJ34" i="19"/>
  <c r="AJ30" i="19"/>
  <c r="AJ26" i="19"/>
  <c r="AJ22" i="19"/>
  <c r="AJ18" i="19"/>
  <c r="AJ94" i="19"/>
  <c r="AJ54" i="19"/>
  <c r="AJ35" i="19"/>
  <c r="AJ62" i="19"/>
  <c r="AJ46" i="19"/>
  <c r="AJ37" i="19"/>
  <c r="AJ33" i="19"/>
  <c r="AJ29" i="19"/>
  <c r="AJ25" i="19"/>
  <c r="AJ21" i="19"/>
  <c r="AJ70" i="19"/>
  <c r="AJ31" i="19"/>
  <c r="AJ27" i="19"/>
  <c r="AJ78" i="19"/>
  <c r="AJ66" i="19"/>
  <c r="AJ50" i="19"/>
  <c r="AJ36" i="19"/>
  <c r="AJ32" i="19"/>
  <c r="AJ28" i="19"/>
  <c r="AJ24" i="19"/>
  <c r="AJ20" i="19"/>
  <c r="AJ71" i="19"/>
  <c r="AJ23" i="19"/>
  <c r="AJ19" i="19"/>
  <c r="AU28" i="19"/>
  <c r="AW28" i="19" s="1"/>
  <c r="N196" i="17"/>
  <c r="J200" i="16"/>
  <c r="N195" i="16"/>
  <c r="N195" i="11"/>
  <c r="BW22" i="6"/>
  <c r="BQ22" i="6"/>
  <c r="D108" i="4"/>
  <c r="BK21" i="6"/>
  <c r="AV28" i="19"/>
  <c r="Z118" i="19"/>
  <c r="Z114" i="19"/>
  <c r="Z110" i="19"/>
  <c r="Z115" i="19"/>
  <c r="Z111" i="19"/>
  <c r="Z116" i="19"/>
  <c r="Z112" i="19"/>
  <c r="Z108" i="19"/>
  <c r="Z109" i="19"/>
  <c r="Z106" i="19"/>
  <c r="Z102" i="19"/>
  <c r="Z107" i="19"/>
  <c r="Z103" i="19"/>
  <c r="Z117" i="19"/>
  <c r="Z113" i="19"/>
  <c r="Z104" i="19"/>
  <c r="Z105" i="19"/>
  <c r="Z97" i="19"/>
  <c r="Z98" i="19"/>
  <c r="Z101" i="19"/>
  <c r="Z99" i="19"/>
  <c r="Z95" i="19"/>
  <c r="Z100" i="19"/>
  <c r="Z96" i="19"/>
  <c r="Z94" i="19"/>
  <c r="Z90" i="19"/>
  <c r="Z86" i="19"/>
  <c r="Z84" i="19"/>
  <c r="Z82" i="19"/>
  <c r="Z80" i="19"/>
  <c r="Z91" i="19"/>
  <c r="Z87" i="19"/>
  <c r="Z92" i="19"/>
  <c r="Z88" i="19"/>
  <c r="Z85" i="19"/>
  <c r="Z83" i="19"/>
  <c r="Z81" i="19"/>
  <c r="Z67" i="19"/>
  <c r="Z93" i="19"/>
  <c r="Z89" i="19"/>
  <c r="Z79" i="19"/>
  <c r="Z77" i="19"/>
  <c r="Z73" i="19"/>
  <c r="Z69" i="19"/>
  <c r="Z65" i="19"/>
  <c r="Z74" i="19"/>
  <c r="Z70" i="19"/>
  <c r="Z66" i="19"/>
  <c r="Z63" i="19"/>
  <c r="Z61" i="19"/>
  <c r="Z59" i="19"/>
  <c r="Z57" i="19"/>
  <c r="Z75" i="19"/>
  <c r="Z55" i="19"/>
  <c r="Z54" i="19"/>
  <c r="Z52" i="19"/>
  <c r="Z50" i="19"/>
  <c r="Z48" i="19"/>
  <c r="Z46" i="19"/>
  <c r="Z44" i="19"/>
  <c r="Z42" i="19"/>
  <c r="Z40" i="19"/>
  <c r="Z38" i="19"/>
  <c r="Z36" i="19"/>
  <c r="Z34" i="19"/>
  <c r="Z32" i="19"/>
  <c r="Z30" i="19"/>
  <c r="Z78" i="19"/>
  <c r="Z76" i="19"/>
  <c r="Z68" i="19"/>
  <c r="Z72" i="19"/>
  <c r="Z71" i="19"/>
  <c r="Z60" i="19"/>
  <c r="Z53" i="19"/>
  <c r="Z51" i="19"/>
  <c r="Z49" i="19"/>
  <c r="Z47" i="19"/>
  <c r="Z45" i="19"/>
  <c r="Z43" i="19"/>
  <c r="Z41" i="19"/>
  <c r="Z39" i="19"/>
  <c r="Z37" i="19"/>
  <c r="Z35" i="19"/>
  <c r="Z33" i="19"/>
  <c r="Z31" i="19"/>
  <c r="Z29" i="19"/>
  <c r="Z27" i="19"/>
  <c r="Z25" i="19"/>
  <c r="Z23" i="19"/>
  <c r="Z21" i="19"/>
  <c r="Z19" i="19"/>
  <c r="Z62" i="19"/>
  <c r="Z64" i="19"/>
  <c r="Z56" i="19"/>
  <c r="AT18" i="19"/>
  <c r="AU18" i="19" s="1"/>
  <c r="AT20" i="19"/>
  <c r="AU20" i="19" s="1"/>
  <c r="AT22" i="19"/>
  <c r="AU22" i="19" s="1"/>
  <c r="AT24" i="19"/>
  <c r="AU24" i="19" s="1"/>
  <c r="AT26" i="19"/>
  <c r="AU26" i="19" s="1"/>
  <c r="AT114" i="19"/>
  <c r="AT110" i="19"/>
  <c r="AT115" i="19"/>
  <c r="AT111" i="19"/>
  <c r="AT116" i="19"/>
  <c r="AT112" i="19"/>
  <c r="AT108" i="19"/>
  <c r="AT106" i="19"/>
  <c r="AT102" i="19"/>
  <c r="AT109" i="19"/>
  <c r="AT107" i="19"/>
  <c r="AT103" i="19"/>
  <c r="AT104" i="19"/>
  <c r="AT117" i="19"/>
  <c r="AT97" i="19"/>
  <c r="AT118" i="19"/>
  <c r="AT113" i="19"/>
  <c r="AT105" i="19"/>
  <c r="AT101" i="19"/>
  <c r="AT100" i="19"/>
  <c r="AT98" i="19"/>
  <c r="AT94" i="19"/>
  <c r="AT99" i="19"/>
  <c r="AT95" i="19"/>
  <c r="AT90" i="19"/>
  <c r="AT86" i="19"/>
  <c r="AT91" i="19"/>
  <c r="AT87" i="19"/>
  <c r="AT84" i="19"/>
  <c r="AU84" i="19" s="1"/>
  <c r="AT82" i="19"/>
  <c r="AU82" i="19" s="1"/>
  <c r="AT80" i="19"/>
  <c r="AU80" i="19" s="1"/>
  <c r="AT96" i="19"/>
  <c r="AT92" i="19"/>
  <c r="AT88" i="19"/>
  <c r="AT89" i="19"/>
  <c r="AT79" i="19"/>
  <c r="AU79" i="19" s="1"/>
  <c r="AT77" i="19"/>
  <c r="AU77" i="19" s="1"/>
  <c r="AT75" i="19"/>
  <c r="AU75" i="19" s="1"/>
  <c r="AT73" i="19"/>
  <c r="AU73" i="19" s="1"/>
  <c r="AT71" i="19"/>
  <c r="AU71" i="19" s="1"/>
  <c r="AT69" i="19"/>
  <c r="AU69" i="19" s="1"/>
  <c r="AT67" i="19"/>
  <c r="AT85" i="19"/>
  <c r="AU85" i="19" s="1"/>
  <c r="AT83" i="19"/>
  <c r="AU83" i="19" s="1"/>
  <c r="AT81" i="19"/>
  <c r="AU81" i="19" s="1"/>
  <c r="AT78" i="19"/>
  <c r="AU78" i="19" s="1"/>
  <c r="AT76" i="19"/>
  <c r="AU76" i="19" s="1"/>
  <c r="AT74" i="19"/>
  <c r="AU74" i="19" s="1"/>
  <c r="AT72" i="19"/>
  <c r="AU72" i="19" s="1"/>
  <c r="AT70" i="19"/>
  <c r="AU70" i="19" s="1"/>
  <c r="AT68" i="19"/>
  <c r="AU68" i="19" s="1"/>
  <c r="AT65" i="19"/>
  <c r="AT62" i="19"/>
  <c r="AU62" i="19" s="1"/>
  <c r="AT60" i="19"/>
  <c r="AU60" i="19" s="1"/>
  <c r="AT58" i="19"/>
  <c r="AU58" i="19" s="1"/>
  <c r="AT56" i="19"/>
  <c r="AU56" i="19" s="1"/>
  <c r="AT54" i="19"/>
  <c r="AU54" i="19" s="1"/>
  <c r="AT66" i="19"/>
  <c r="AT63" i="19"/>
  <c r="AU63" i="19" s="1"/>
  <c r="AT61" i="19"/>
  <c r="AU61" i="19" s="1"/>
  <c r="AT59" i="19"/>
  <c r="AU59" i="19" s="1"/>
  <c r="AT57" i="19"/>
  <c r="AU57" i="19" s="1"/>
  <c r="AT52" i="19"/>
  <c r="AU52" i="19" s="1"/>
  <c r="AT50" i="19"/>
  <c r="AU50" i="19" s="1"/>
  <c r="AT48" i="19"/>
  <c r="AU48" i="19" s="1"/>
  <c r="AT46" i="19"/>
  <c r="AU46" i="19" s="1"/>
  <c r="AT44" i="19"/>
  <c r="AU44" i="19" s="1"/>
  <c r="AT42" i="19"/>
  <c r="AU42" i="19" s="1"/>
  <c r="AT40" i="19"/>
  <c r="AU40" i="19" s="1"/>
  <c r="AT38" i="19"/>
  <c r="AU38" i="19" s="1"/>
  <c r="AT36" i="19"/>
  <c r="AU36" i="19" s="1"/>
  <c r="AT34" i="19"/>
  <c r="AU34" i="19" s="1"/>
  <c r="AT32" i="19"/>
  <c r="AU32" i="19" s="1"/>
  <c r="AT30" i="19"/>
  <c r="AU30" i="19" s="1"/>
  <c r="AT64" i="19"/>
  <c r="AT53" i="19"/>
  <c r="AU53" i="19" s="1"/>
  <c r="AT51" i="19"/>
  <c r="AU51" i="19" s="1"/>
  <c r="AT49" i="19"/>
  <c r="AU49" i="19" s="1"/>
  <c r="AT47" i="19"/>
  <c r="AU47" i="19" s="1"/>
  <c r="AT45" i="19"/>
  <c r="AU45" i="19" s="1"/>
  <c r="AT43" i="19"/>
  <c r="AU43" i="19" s="1"/>
  <c r="AT41" i="19"/>
  <c r="AU41" i="19" s="1"/>
  <c r="AT39" i="19"/>
  <c r="AU39" i="19" s="1"/>
  <c r="AT37" i="19"/>
  <c r="AU37" i="19" s="1"/>
  <c r="AT35" i="19"/>
  <c r="AU35" i="19" s="1"/>
  <c r="AT33" i="19"/>
  <c r="AU33" i="19" s="1"/>
  <c r="AT31" i="19"/>
  <c r="AU31" i="19" s="1"/>
  <c r="AT29" i="19"/>
  <c r="AU29" i="19" s="1"/>
  <c r="AT27" i="19"/>
  <c r="AU27" i="19" s="1"/>
  <c r="AT25" i="19"/>
  <c r="AU25" i="19" s="1"/>
  <c r="AT23" i="19"/>
  <c r="AU23" i="19" s="1"/>
  <c r="AT21" i="19"/>
  <c r="AU21" i="19" s="1"/>
  <c r="AT19" i="19"/>
  <c r="AU19" i="19" s="1"/>
  <c r="AT93" i="19"/>
  <c r="AT55" i="19"/>
  <c r="AU55" i="19" s="1"/>
  <c r="Z58" i="19"/>
  <c r="Z18" i="19"/>
  <c r="Z20" i="19"/>
  <c r="Z22" i="19"/>
  <c r="Z24" i="19"/>
  <c r="Z26" i="19"/>
  <c r="Z28" i="19"/>
  <c r="R271" i="1"/>
  <c r="O98" i="19" s="1"/>
  <c r="C274" i="1"/>
  <c r="H258" i="1"/>
  <c r="R272" i="1"/>
  <c r="O99" i="19" s="1"/>
  <c r="D273" i="1"/>
  <c r="D274" i="1" s="1"/>
  <c r="D275" i="1" s="1"/>
  <c r="D276" i="1" s="1"/>
  <c r="D277" i="1" s="1"/>
  <c r="D278" i="1" s="1"/>
  <c r="D279" i="1" s="1"/>
  <c r="D280" i="1" s="1"/>
  <c r="D281" i="1" s="1"/>
  <c r="D282" i="1" s="1"/>
  <c r="D283" i="1" s="1"/>
  <c r="D284" i="1" s="1"/>
  <c r="D285" i="1" s="1"/>
  <c r="D286" i="1" s="1"/>
  <c r="D287" i="1" s="1"/>
  <c r="D288" i="1" s="1"/>
  <c r="D289" i="1" s="1"/>
  <c r="D290" i="1" s="1"/>
  <c r="D291" i="1" s="1"/>
  <c r="H272" i="1"/>
  <c r="E36" i="17"/>
  <c r="Y206" i="7"/>
  <c r="H46" i="17"/>
  <c r="H47" i="17" s="1"/>
  <c r="M206" i="7" s="1"/>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N219" i="9"/>
  <c r="O219" i="9"/>
  <c r="O218" i="9"/>
  <c r="N218" i="9"/>
  <c r="AT66" i="10" l="1"/>
  <c r="E108" i="4"/>
  <c r="BZ20" i="6"/>
  <c r="BT20" i="6"/>
  <c r="BN20" i="6"/>
  <c r="L271" i="9"/>
  <c r="M271" i="9" s="1"/>
  <c r="M202" i="9"/>
  <c r="L203" i="9"/>
  <c r="C204" i="9"/>
  <c r="D204" i="9" s="1"/>
  <c r="L170" i="9"/>
  <c r="C136" i="9"/>
  <c r="D136" i="9" s="1"/>
  <c r="L135" i="9"/>
  <c r="M135" i="9" s="1"/>
  <c r="M169" i="9"/>
  <c r="C169" i="9"/>
  <c r="D171" i="9"/>
  <c r="I184" i="16"/>
  <c r="BT36" i="6"/>
  <c r="I184" i="11"/>
  <c r="CA104" i="11"/>
  <c r="BN36" i="6" s="1"/>
  <c r="I184" i="17"/>
  <c r="BZ36" i="6"/>
  <c r="D185" i="17"/>
  <c r="CA105" i="17" s="1"/>
  <c r="D185" i="11"/>
  <c r="D185" i="16"/>
  <c r="CA105" i="16" s="1"/>
  <c r="S286" i="1"/>
  <c r="N197" i="17"/>
  <c r="N196" i="16"/>
  <c r="J201" i="16"/>
  <c r="N196" i="11"/>
  <c r="BQ21" i="6"/>
  <c r="BW21" i="6"/>
  <c r="D107" i="4"/>
  <c r="BK20" i="6"/>
  <c r="AW35" i="19"/>
  <c r="AV35" i="19"/>
  <c r="AW51" i="19"/>
  <c r="AV51" i="19"/>
  <c r="AV48" i="19"/>
  <c r="AW48" i="19"/>
  <c r="AW54" i="19"/>
  <c r="AV54" i="19"/>
  <c r="AV72" i="19"/>
  <c r="AW72" i="19"/>
  <c r="AV69" i="19"/>
  <c r="AW69" i="19"/>
  <c r="AW26" i="19"/>
  <c r="AV26" i="19"/>
  <c r="AW29" i="19"/>
  <c r="AV29" i="19"/>
  <c r="AW53" i="19"/>
  <c r="AV53" i="19"/>
  <c r="AV42" i="19"/>
  <c r="AW42" i="19"/>
  <c r="AV61" i="19"/>
  <c r="AW61" i="19"/>
  <c r="AV74" i="19"/>
  <c r="AW74" i="19"/>
  <c r="AV79" i="19"/>
  <c r="AW79" i="19"/>
  <c r="AW24" i="19"/>
  <c r="AV24" i="19"/>
  <c r="AV55" i="19"/>
  <c r="AW55" i="19"/>
  <c r="AV23" i="19"/>
  <c r="AW23" i="19"/>
  <c r="AW31" i="19"/>
  <c r="AV31" i="19"/>
  <c r="AW39" i="19"/>
  <c r="AV39" i="19"/>
  <c r="AW47" i="19"/>
  <c r="AV47" i="19"/>
  <c r="AV36" i="19"/>
  <c r="AW36" i="19"/>
  <c r="AV44" i="19"/>
  <c r="AW44" i="19"/>
  <c r="AV52" i="19"/>
  <c r="AW52" i="19"/>
  <c r="AV63" i="19"/>
  <c r="AW63" i="19"/>
  <c r="AW58" i="19"/>
  <c r="AV58" i="19"/>
  <c r="AV68" i="19"/>
  <c r="AW68" i="19"/>
  <c r="AV76" i="19"/>
  <c r="AW76" i="19"/>
  <c r="AW85" i="19"/>
  <c r="AV85" i="19"/>
  <c r="AV73" i="19"/>
  <c r="AW73" i="19"/>
  <c r="AW80" i="19"/>
  <c r="AV80" i="19"/>
  <c r="AW22" i="19"/>
  <c r="AV22" i="19"/>
  <c r="AV19" i="19"/>
  <c r="AW19" i="19"/>
  <c r="AV27" i="19"/>
  <c r="AW27" i="19"/>
  <c r="AW43" i="19"/>
  <c r="AV43" i="19"/>
  <c r="AV32" i="19"/>
  <c r="AW32" i="19"/>
  <c r="AV40" i="19"/>
  <c r="AW40" i="19"/>
  <c r="AV59" i="19"/>
  <c r="AW59" i="19"/>
  <c r="AW62" i="19"/>
  <c r="AV62" i="19"/>
  <c r="AW81" i="19"/>
  <c r="AV81" i="19"/>
  <c r="AV77" i="19"/>
  <c r="AW77" i="19"/>
  <c r="AW84" i="19"/>
  <c r="AV84" i="19"/>
  <c r="AW18" i="19"/>
  <c r="AY18" i="19" s="1"/>
  <c r="AV18" i="19"/>
  <c r="AX18" i="19" s="1"/>
  <c r="AV21" i="19"/>
  <c r="AW21" i="19"/>
  <c r="AW37" i="19"/>
  <c r="AV37" i="19"/>
  <c r="AW45" i="19"/>
  <c r="AV45" i="19"/>
  <c r="AV34" i="19"/>
  <c r="AW34" i="19"/>
  <c r="AV50" i="19"/>
  <c r="AW50" i="19"/>
  <c r="AW56" i="19"/>
  <c r="AV56" i="19"/>
  <c r="AW83" i="19"/>
  <c r="AV83" i="19"/>
  <c r="AV71" i="19"/>
  <c r="AW71" i="19"/>
  <c r="AV25" i="19"/>
  <c r="AW25" i="19"/>
  <c r="AW33" i="19"/>
  <c r="AV33" i="19"/>
  <c r="AW41" i="19"/>
  <c r="AV41" i="19"/>
  <c r="AW49" i="19"/>
  <c r="AV49" i="19"/>
  <c r="AV30" i="19"/>
  <c r="AW30" i="19"/>
  <c r="AV38" i="19"/>
  <c r="AW38" i="19"/>
  <c r="AV46" i="19"/>
  <c r="AW46" i="19"/>
  <c r="AV57" i="19"/>
  <c r="AW57" i="19"/>
  <c r="AW60" i="19"/>
  <c r="AV60" i="19"/>
  <c r="AV70" i="19"/>
  <c r="AW70" i="19"/>
  <c r="AV78" i="19"/>
  <c r="AW78" i="19"/>
  <c r="AV75" i="19"/>
  <c r="AW75" i="19"/>
  <c r="AW82" i="19"/>
  <c r="AV82" i="19"/>
  <c r="AW20" i="19"/>
  <c r="AV20" i="19"/>
  <c r="H273" i="1"/>
  <c r="C275" i="1"/>
  <c r="H274" i="1"/>
  <c r="R274" i="1"/>
  <c r="O101" i="19" s="1"/>
  <c r="R273" i="1"/>
  <c r="O100" i="19" s="1"/>
  <c r="Y207" i="7"/>
  <c r="M207" i="7"/>
  <c r="J23" i="8"/>
  <c r="J24" i="8"/>
  <c r="B118" i="18"/>
  <c r="B117" i="18"/>
  <c r="B116" i="18"/>
  <c r="B115" i="18"/>
  <c r="B114" i="18"/>
  <c r="B113" i="18"/>
  <c r="B112" i="18"/>
  <c r="B111" i="18"/>
  <c r="B110" i="18"/>
  <c r="B109" i="18"/>
  <c r="B108" i="18"/>
  <c r="B107" i="18"/>
  <c r="B106" i="18"/>
  <c r="B105" i="18"/>
  <c r="B104" i="18"/>
  <c r="B103" i="18"/>
  <c r="B102" i="18"/>
  <c r="B101" i="18"/>
  <c r="B100" i="18"/>
  <c r="B99" i="18"/>
  <c r="B98" i="18"/>
  <c r="B97" i="18"/>
  <c r="B96" i="18"/>
  <c r="B95" i="18"/>
  <c r="B94" i="18"/>
  <c r="B93" i="18"/>
  <c r="B92" i="18"/>
  <c r="B91" i="18"/>
  <c r="B90" i="18"/>
  <c r="B89" i="18"/>
  <c r="B88" i="18"/>
  <c r="B87" i="18"/>
  <c r="B86" i="18"/>
  <c r="Y85" i="18"/>
  <c r="O85" i="18"/>
  <c r="B85" i="18"/>
  <c r="Y84" i="18"/>
  <c r="O84" i="18"/>
  <c r="B84" i="18"/>
  <c r="Y83" i="18"/>
  <c r="O83" i="18"/>
  <c r="B83" i="18"/>
  <c r="Y82" i="18"/>
  <c r="O82" i="18"/>
  <c r="B82" i="18"/>
  <c r="Y81" i="18"/>
  <c r="O81" i="18"/>
  <c r="B81" i="18"/>
  <c r="Y80" i="18"/>
  <c r="O80" i="18"/>
  <c r="B80" i="18"/>
  <c r="Y79" i="18"/>
  <c r="O79" i="18"/>
  <c r="B79" i="18"/>
  <c r="Y78" i="18"/>
  <c r="O78" i="18"/>
  <c r="B78" i="18"/>
  <c r="Y77" i="18"/>
  <c r="O77" i="18"/>
  <c r="B77" i="18"/>
  <c r="Y76" i="18"/>
  <c r="O76" i="18"/>
  <c r="B76" i="18"/>
  <c r="Y75" i="18"/>
  <c r="O75" i="18"/>
  <c r="B75" i="18"/>
  <c r="Y74" i="18"/>
  <c r="O74" i="18"/>
  <c r="B74" i="18"/>
  <c r="Y73" i="18"/>
  <c r="O73" i="18"/>
  <c r="B73" i="18"/>
  <c r="Y72" i="18"/>
  <c r="O72" i="18"/>
  <c r="B72" i="18"/>
  <c r="Y71" i="18"/>
  <c r="O71" i="18"/>
  <c r="B71" i="18"/>
  <c r="Y70" i="18"/>
  <c r="O70" i="18"/>
  <c r="B70" i="18"/>
  <c r="Y69" i="18"/>
  <c r="O69" i="18"/>
  <c r="B69" i="18"/>
  <c r="Y68" i="18"/>
  <c r="O68" i="18"/>
  <c r="B68" i="18"/>
  <c r="Y67" i="18"/>
  <c r="O67" i="18"/>
  <c r="B67" i="18"/>
  <c r="Y66" i="18"/>
  <c r="O66" i="18"/>
  <c r="B66" i="18"/>
  <c r="Y65" i="18"/>
  <c r="O65" i="18"/>
  <c r="B65" i="18"/>
  <c r="Y64" i="18"/>
  <c r="O64" i="18"/>
  <c r="B64" i="18"/>
  <c r="Y63" i="18"/>
  <c r="O63" i="18"/>
  <c r="B63" i="18"/>
  <c r="Y62" i="18"/>
  <c r="O62" i="18"/>
  <c r="B62" i="18"/>
  <c r="Y61" i="18"/>
  <c r="O61" i="18"/>
  <c r="B61" i="18"/>
  <c r="Y60" i="18"/>
  <c r="O60" i="18"/>
  <c r="B60" i="18"/>
  <c r="Y59" i="18"/>
  <c r="O59" i="18"/>
  <c r="B59" i="18"/>
  <c r="Y58" i="18"/>
  <c r="O58" i="18"/>
  <c r="B58" i="18"/>
  <c r="Y57" i="18"/>
  <c r="O57" i="18"/>
  <c r="B57" i="18"/>
  <c r="Y56" i="18"/>
  <c r="O56" i="18"/>
  <c r="B56" i="18"/>
  <c r="Y55" i="18"/>
  <c r="O55" i="18"/>
  <c r="B55" i="18"/>
  <c r="Y54" i="18"/>
  <c r="O54" i="18"/>
  <c r="B54" i="18"/>
  <c r="Y53" i="18"/>
  <c r="O53" i="18"/>
  <c r="B53" i="18"/>
  <c r="Y52" i="18"/>
  <c r="O52" i="18"/>
  <c r="B52" i="18"/>
  <c r="Y51" i="18"/>
  <c r="O51" i="18"/>
  <c r="B51" i="18"/>
  <c r="Y50" i="18"/>
  <c r="O50" i="18"/>
  <c r="B50" i="18"/>
  <c r="Y49" i="18"/>
  <c r="O49" i="18"/>
  <c r="B49" i="18"/>
  <c r="Y48" i="18"/>
  <c r="O48" i="18"/>
  <c r="B48" i="18"/>
  <c r="Y47" i="18"/>
  <c r="O47" i="18"/>
  <c r="B47" i="18"/>
  <c r="Y46" i="18"/>
  <c r="O46" i="18"/>
  <c r="B46" i="18"/>
  <c r="Y45" i="18"/>
  <c r="O45" i="18"/>
  <c r="B45" i="18"/>
  <c r="Y44" i="18"/>
  <c r="O44" i="18"/>
  <c r="B44" i="18"/>
  <c r="Y43" i="18"/>
  <c r="O43" i="18"/>
  <c r="B43" i="18"/>
  <c r="Y42" i="18"/>
  <c r="O42" i="18"/>
  <c r="B42" i="18"/>
  <c r="Y41" i="18"/>
  <c r="O41" i="18"/>
  <c r="B41" i="18"/>
  <c r="Y40" i="18"/>
  <c r="O40" i="18"/>
  <c r="B40" i="18"/>
  <c r="Y39" i="18"/>
  <c r="O39" i="18"/>
  <c r="B39" i="18"/>
  <c r="Y38" i="18"/>
  <c r="O38" i="18"/>
  <c r="B38" i="18"/>
  <c r="Y37" i="18"/>
  <c r="O37" i="18"/>
  <c r="B37" i="18"/>
  <c r="Y36" i="18"/>
  <c r="O36" i="18"/>
  <c r="B36" i="18"/>
  <c r="Y35" i="18"/>
  <c r="O35" i="18"/>
  <c r="B35" i="18"/>
  <c r="Y34" i="18"/>
  <c r="O34" i="18"/>
  <c r="B34" i="18"/>
  <c r="Y33" i="18"/>
  <c r="O33" i="18"/>
  <c r="B33" i="18"/>
  <c r="Y32" i="18"/>
  <c r="O32" i="18"/>
  <c r="B32" i="18"/>
  <c r="Y31" i="18"/>
  <c r="O31" i="18"/>
  <c r="B31" i="18"/>
  <c r="Y30" i="18"/>
  <c r="O30" i="18"/>
  <c r="B30" i="18"/>
  <c r="Y29" i="18"/>
  <c r="O29" i="18"/>
  <c r="B29" i="18"/>
  <c r="Y28" i="18"/>
  <c r="O28" i="18"/>
  <c r="B28" i="18"/>
  <c r="Y27" i="18"/>
  <c r="O27" i="18"/>
  <c r="B27" i="18"/>
  <c r="Y26" i="18"/>
  <c r="O26" i="18"/>
  <c r="B26" i="18"/>
  <c r="Y25" i="18"/>
  <c r="O25" i="18"/>
  <c r="B25" i="18"/>
  <c r="Y24" i="18"/>
  <c r="O24" i="18"/>
  <c r="B24" i="18"/>
  <c r="Y23" i="18"/>
  <c r="O23" i="18"/>
  <c r="B23" i="18"/>
  <c r="Y22" i="18"/>
  <c r="O22" i="18"/>
  <c r="B22" i="18"/>
  <c r="Y21" i="18"/>
  <c r="O21" i="18"/>
  <c r="B21" i="18"/>
  <c r="Y20" i="18"/>
  <c r="O20" i="18"/>
  <c r="B20" i="18"/>
  <c r="Y19" i="18"/>
  <c r="O19" i="18"/>
  <c r="B19" i="18"/>
  <c r="Y18" i="18"/>
  <c r="O18" i="18"/>
  <c r="B18" i="18"/>
  <c r="E10" i="18"/>
  <c r="D10" i="18"/>
  <c r="C10" i="18"/>
  <c r="E9" i="18"/>
  <c r="D9" i="18"/>
  <c r="C9" i="18"/>
  <c r="E8" i="18"/>
  <c r="D8" i="18"/>
  <c r="C8" i="18"/>
  <c r="E7" i="18"/>
  <c r="D7" i="18"/>
  <c r="C7" i="18"/>
  <c r="E6" i="18"/>
  <c r="D6" i="18"/>
  <c r="C6" i="18"/>
  <c r="E5" i="18"/>
  <c r="D5" i="18"/>
  <c r="C5" i="18"/>
  <c r="E4" i="18"/>
  <c r="D4" i="18"/>
  <c r="C4" i="18"/>
  <c r="E3" i="18"/>
  <c r="AT77" i="18" s="1"/>
  <c r="D3" i="18"/>
  <c r="Z49" i="18" s="1"/>
  <c r="C3" i="18"/>
  <c r="R223" i="1"/>
  <c r="S223" i="1"/>
  <c r="Y86" i="18" s="1"/>
  <c r="S224" i="1"/>
  <c r="Y87" i="18" s="1"/>
  <c r="S225" i="1"/>
  <c r="Y88" i="18" s="1"/>
  <c r="S226" i="1"/>
  <c r="Y89" i="18" s="1"/>
  <c r="S227" i="1"/>
  <c r="Y90" i="18" s="1"/>
  <c r="S228" i="1"/>
  <c r="Y91" i="18" s="1"/>
  <c r="S229" i="1"/>
  <c r="Y92" i="18" s="1"/>
  <c r="S230" i="1"/>
  <c r="Y93" i="18" s="1"/>
  <c r="S231" i="1"/>
  <c r="Y94" i="18" s="1"/>
  <c r="S232" i="1"/>
  <c r="Y95" i="18" s="1"/>
  <c r="S233" i="1"/>
  <c r="Y96" i="18" s="1"/>
  <c r="S234" i="1"/>
  <c r="Y97" i="18" s="1"/>
  <c r="S235" i="1"/>
  <c r="Y98" i="18" s="1"/>
  <c r="S236" i="1"/>
  <c r="Y99" i="18" s="1"/>
  <c r="S237" i="1"/>
  <c r="Y100" i="18" s="1"/>
  <c r="S238" i="1"/>
  <c r="Y101" i="18" s="1"/>
  <c r="S239" i="1"/>
  <c r="Y102" i="18" s="1"/>
  <c r="S240" i="1"/>
  <c r="Y103" i="18" s="1"/>
  <c r="S241" i="1"/>
  <c r="Y104" i="18" s="1"/>
  <c r="S242" i="1"/>
  <c r="Y105" i="18" s="1"/>
  <c r="S243" i="1"/>
  <c r="Y106" i="18" s="1"/>
  <c r="S244" i="1"/>
  <c r="Y107" i="18" s="1"/>
  <c r="S245" i="1"/>
  <c r="Y108" i="18" s="1"/>
  <c r="S246" i="1"/>
  <c r="Y109" i="18" s="1"/>
  <c r="S247" i="1"/>
  <c r="Y110" i="18" s="1"/>
  <c r="S248" i="1"/>
  <c r="Y111" i="18" s="1"/>
  <c r="S249" i="1"/>
  <c r="Y112" i="18" s="1"/>
  <c r="S250" i="1"/>
  <c r="Y113" i="18" s="1"/>
  <c r="S251" i="1"/>
  <c r="Y114" i="18" s="1"/>
  <c r="S252" i="1"/>
  <c r="Y115" i="18" s="1"/>
  <c r="S253" i="1"/>
  <c r="Y116" i="18" s="1"/>
  <c r="S254" i="1"/>
  <c r="Y117" i="18" s="1"/>
  <c r="S255" i="1"/>
  <c r="Y118" i="18" s="1"/>
  <c r="S256"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E236" i="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F236" i="1"/>
  <c r="F237" i="1" s="1"/>
  <c r="F238" i="1" s="1"/>
  <c r="F239" i="1" s="1"/>
  <c r="F240" i="1" s="1"/>
  <c r="F241" i="1" s="1"/>
  <c r="F242" i="1" s="1"/>
  <c r="F243" i="1" s="1"/>
  <c r="F244" i="1" s="1"/>
  <c r="F245" i="1" s="1"/>
  <c r="F246" i="1" s="1"/>
  <c r="F247" i="1" s="1"/>
  <c r="F248" i="1" s="1"/>
  <c r="F249" i="1" s="1"/>
  <c r="F250" i="1" s="1"/>
  <c r="F251" i="1" s="1"/>
  <c r="F252" i="1" s="1"/>
  <c r="F253" i="1" s="1"/>
  <c r="F254" i="1" s="1"/>
  <c r="F255" i="1" s="1"/>
  <c r="F256" i="1" s="1"/>
  <c r="G236" i="1"/>
  <c r="G237" i="1" s="1"/>
  <c r="G238" i="1" s="1"/>
  <c r="G239" i="1" s="1"/>
  <c r="G240" i="1" s="1"/>
  <c r="G241" i="1" s="1"/>
  <c r="G242" i="1" s="1"/>
  <c r="G243" i="1" s="1"/>
  <c r="G244" i="1" s="1"/>
  <c r="G245" i="1" s="1"/>
  <c r="G246" i="1" s="1"/>
  <c r="G247" i="1" s="1"/>
  <c r="G248" i="1" s="1"/>
  <c r="G249" i="1" s="1"/>
  <c r="G250" i="1" s="1"/>
  <c r="G251" i="1" s="1"/>
  <c r="G252" i="1" s="1"/>
  <c r="G253" i="1" s="1"/>
  <c r="G254" i="1" s="1"/>
  <c r="G255" i="1" s="1"/>
  <c r="G256" i="1" s="1"/>
  <c r="BT19" i="6" l="1"/>
  <c r="BZ19" i="6"/>
  <c r="BN19" i="6"/>
  <c r="AT65" i="10"/>
  <c r="E107" i="4"/>
  <c r="L272" i="9"/>
  <c r="M272" i="9" s="1"/>
  <c r="L204" i="9"/>
  <c r="M203" i="9"/>
  <c r="C205" i="9"/>
  <c r="D205" i="9" s="1"/>
  <c r="L136" i="9"/>
  <c r="M136" i="9" s="1"/>
  <c r="L171" i="9"/>
  <c r="C137" i="9"/>
  <c r="D137" i="9" s="1"/>
  <c r="D172" i="9"/>
  <c r="M170" i="9"/>
  <c r="C170" i="9"/>
  <c r="I185" i="16"/>
  <c r="BT37" i="6"/>
  <c r="I185" i="11"/>
  <c r="CA105" i="11"/>
  <c r="BN37" i="6" s="1"/>
  <c r="D186" i="17"/>
  <c r="CA106" i="17" s="1"/>
  <c r="D186" i="16"/>
  <c r="CA106" i="16" s="1"/>
  <c r="D186" i="11"/>
  <c r="I185" i="17"/>
  <c r="BZ37" i="6"/>
  <c r="S287" i="1"/>
  <c r="Z60" i="18"/>
  <c r="Z70" i="18"/>
  <c r="AU77" i="18"/>
  <c r="AW77" i="18" s="1"/>
  <c r="Z19" i="18"/>
  <c r="AT64" i="18"/>
  <c r="AJ116" i="18"/>
  <c r="AJ112" i="18"/>
  <c r="AJ108" i="18"/>
  <c r="AJ104" i="18"/>
  <c r="AJ100" i="18"/>
  <c r="AJ96" i="18"/>
  <c r="AJ92" i="18"/>
  <c r="AJ88" i="18"/>
  <c r="AJ84" i="18"/>
  <c r="AJ80" i="18"/>
  <c r="AJ76" i="18"/>
  <c r="AJ72" i="18"/>
  <c r="AJ115" i="18"/>
  <c r="AJ111" i="18"/>
  <c r="AJ107" i="18"/>
  <c r="AJ103" i="18"/>
  <c r="AJ99" i="18"/>
  <c r="AJ95" i="18"/>
  <c r="AJ91" i="18"/>
  <c r="AJ87" i="18"/>
  <c r="AJ83" i="18"/>
  <c r="AJ79" i="18"/>
  <c r="AJ75" i="18"/>
  <c r="AJ118" i="18"/>
  <c r="AJ114" i="18"/>
  <c r="AJ110" i="18"/>
  <c r="AJ106" i="18"/>
  <c r="AJ102" i="18"/>
  <c r="AJ98" i="18"/>
  <c r="AJ94" i="18"/>
  <c r="AJ90" i="18"/>
  <c r="AJ86" i="18"/>
  <c r="AJ82" i="18"/>
  <c r="AJ78" i="18"/>
  <c r="AJ74" i="18"/>
  <c r="AJ117" i="18"/>
  <c r="AJ101" i="18"/>
  <c r="AJ85" i="18"/>
  <c r="AJ71" i="18"/>
  <c r="AJ70" i="18"/>
  <c r="AJ66" i="18"/>
  <c r="AJ62" i="18"/>
  <c r="AJ58" i="18"/>
  <c r="AJ54" i="18"/>
  <c r="AJ50" i="18"/>
  <c r="AJ46" i="18"/>
  <c r="AJ42" i="18"/>
  <c r="AJ105" i="18"/>
  <c r="AJ89" i="18"/>
  <c r="AJ73" i="18"/>
  <c r="AJ69" i="18"/>
  <c r="AJ65" i="18"/>
  <c r="AJ61" i="18"/>
  <c r="AJ57" i="18"/>
  <c r="AJ53" i="18"/>
  <c r="AJ49" i="18"/>
  <c r="AJ45" i="18"/>
  <c r="AJ41" i="18"/>
  <c r="AJ35" i="18"/>
  <c r="AJ31" i="18"/>
  <c r="AJ27" i="18"/>
  <c r="AJ23" i="18"/>
  <c r="AJ19" i="18"/>
  <c r="AJ109" i="18"/>
  <c r="AJ97" i="18"/>
  <c r="AJ77" i="18"/>
  <c r="AJ68" i="18"/>
  <c r="AJ63" i="18"/>
  <c r="AJ60" i="18"/>
  <c r="AJ55" i="18"/>
  <c r="AJ52" i="18"/>
  <c r="AJ47" i="18"/>
  <c r="AJ44" i="18"/>
  <c r="AJ39" i="18"/>
  <c r="AJ38" i="18"/>
  <c r="AJ34" i="18"/>
  <c r="AJ30" i="18"/>
  <c r="AJ26" i="18"/>
  <c r="AJ22" i="18"/>
  <c r="AJ37" i="18"/>
  <c r="AJ33" i="18"/>
  <c r="AJ29" i="18"/>
  <c r="AJ25" i="18"/>
  <c r="AJ21" i="18"/>
  <c r="AJ93" i="18"/>
  <c r="AJ59" i="18"/>
  <c r="AJ56" i="18"/>
  <c r="AJ24" i="18"/>
  <c r="AJ18" i="18"/>
  <c r="AJ51" i="18"/>
  <c r="AJ67" i="18"/>
  <c r="AJ64" i="18"/>
  <c r="AJ28" i="18"/>
  <c r="AJ20" i="18"/>
  <c r="AJ113" i="18"/>
  <c r="AJ81" i="18"/>
  <c r="AJ43" i="18"/>
  <c r="AJ40" i="18"/>
  <c r="AJ32" i="18"/>
  <c r="AJ48" i="18"/>
  <c r="AJ36" i="18"/>
  <c r="Z25" i="18"/>
  <c r="Z57" i="18"/>
  <c r="Z21" i="18"/>
  <c r="Z41" i="18"/>
  <c r="Z23" i="18"/>
  <c r="Z33" i="18"/>
  <c r="N198" i="17"/>
  <c r="J202" i="16"/>
  <c r="N197" i="16"/>
  <c r="N197" i="11"/>
  <c r="BW20" i="6"/>
  <c r="BQ20" i="6"/>
  <c r="D106" i="4"/>
  <c r="BK19" i="6"/>
  <c r="AY19" i="19"/>
  <c r="AX19" i="19"/>
  <c r="AX20" i="19" s="1"/>
  <c r="R275" i="1"/>
  <c r="O102" i="19" s="1"/>
  <c r="C276" i="1"/>
  <c r="H275" i="1"/>
  <c r="M208" i="7"/>
  <c r="Y208" i="7"/>
  <c r="Z118" i="18"/>
  <c r="Z114" i="18"/>
  <c r="Z110" i="18"/>
  <c r="Z115" i="18"/>
  <c r="Z111" i="18"/>
  <c r="Z116" i="18"/>
  <c r="Z112" i="18"/>
  <c r="Z117" i="18"/>
  <c r="Z106" i="18"/>
  <c r="Z107" i="18"/>
  <c r="Z108" i="18"/>
  <c r="Z104" i="18"/>
  <c r="Z102" i="18"/>
  <c r="Z98" i="18"/>
  <c r="Z109" i="18"/>
  <c r="Z103" i="18"/>
  <c r="Z99" i="18"/>
  <c r="Z113" i="18"/>
  <c r="Z105" i="18"/>
  <c r="Z100" i="18"/>
  <c r="Z97" i="18"/>
  <c r="Z94" i="18"/>
  <c r="Z92" i="18"/>
  <c r="Z90" i="18"/>
  <c r="Z88" i="18"/>
  <c r="Z86" i="18"/>
  <c r="Z84" i="18"/>
  <c r="Z95" i="18"/>
  <c r="Z93" i="18"/>
  <c r="Z91" i="18"/>
  <c r="Z89" i="18"/>
  <c r="Z87" i="18"/>
  <c r="Z85" i="18"/>
  <c r="Z82" i="18"/>
  <c r="Z80" i="18"/>
  <c r="Z78" i="18"/>
  <c r="Z76" i="18"/>
  <c r="Z74" i="18"/>
  <c r="Z72" i="18"/>
  <c r="Z96" i="18"/>
  <c r="Z83" i="18"/>
  <c r="Z81" i="18"/>
  <c r="Z79" i="18"/>
  <c r="Z77" i="18"/>
  <c r="Z75" i="18"/>
  <c r="Z73" i="18"/>
  <c r="Z71" i="18"/>
  <c r="Z101" i="18"/>
  <c r="Z65" i="18"/>
  <c r="Z69" i="18"/>
  <c r="Z66" i="18"/>
  <c r="Z63" i="18"/>
  <c r="Z61" i="18"/>
  <c r="Z59" i="18"/>
  <c r="Z67" i="18"/>
  <c r="Z68" i="18"/>
  <c r="Z58" i="18"/>
  <c r="Z64" i="18"/>
  <c r="Z56" i="18"/>
  <c r="Z54" i="18"/>
  <c r="Z52" i="18"/>
  <c r="Z50" i="18"/>
  <c r="Z48" i="18"/>
  <c r="Z46" i="18"/>
  <c r="Z44" i="18"/>
  <c r="Z42" i="18"/>
  <c r="Z40" i="18"/>
  <c r="Z38" i="18"/>
  <c r="Z36" i="18"/>
  <c r="Z34" i="18"/>
  <c r="Z32" i="18"/>
  <c r="Z30" i="18"/>
  <c r="Z28" i="18"/>
  <c r="Z26" i="18"/>
  <c r="Z62" i="18"/>
  <c r="AT18" i="18"/>
  <c r="AU18" i="18" s="1"/>
  <c r="AT20" i="18"/>
  <c r="AU20" i="18" s="1"/>
  <c r="AT22" i="18"/>
  <c r="AU22" i="18" s="1"/>
  <c r="AT24" i="18"/>
  <c r="AU24" i="18" s="1"/>
  <c r="Z27" i="18"/>
  <c r="Z35" i="18"/>
  <c r="Z43" i="18"/>
  <c r="Z51" i="18"/>
  <c r="AT114" i="18"/>
  <c r="AT110" i="18"/>
  <c r="AT115" i="18"/>
  <c r="AT111" i="18"/>
  <c r="AT116" i="18"/>
  <c r="AT112" i="18"/>
  <c r="AT106" i="18"/>
  <c r="AT113" i="18"/>
  <c r="AT107" i="18"/>
  <c r="AT117" i="18"/>
  <c r="AT108" i="18"/>
  <c r="AT104" i="18"/>
  <c r="AT105" i="18"/>
  <c r="AT102" i="18"/>
  <c r="AT98" i="18"/>
  <c r="AT118" i="18"/>
  <c r="AT103" i="18"/>
  <c r="AT99" i="18"/>
  <c r="AT100" i="18"/>
  <c r="AT109" i="18"/>
  <c r="AT97" i="18"/>
  <c r="AT101" i="18"/>
  <c r="AT94" i="18"/>
  <c r="AT92" i="18"/>
  <c r="AT90" i="18"/>
  <c r="AT88" i="18"/>
  <c r="AT86" i="18"/>
  <c r="AT84" i="18"/>
  <c r="AU84" i="18" s="1"/>
  <c r="AT95" i="18"/>
  <c r="AT96" i="18"/>
  <c r="AT93" i="18"/>
  <c r="AT91" i="18"/>
  <c r="AT89" i="18"/>
  <c r="AT87" i="18"/>
  <c r="AT85" i="18"/>
  <c r="AU85" i="18" s="1"/>
  <c r="AT82" i="18"/>
  <c r="AU82" i="18" s="1"/>
  <c r="AT80" i="18"/>
  <c r="AU80" i="18" s="1"/>
  <c r="AT78" i="18"/>
  <c r="AU78" i="18" s="1"/>
  <c r="AT76" i="18"/>
  <c r="AU76" i="18" s="1"/>
  <c r="AT74" i="18"/>
  <c r="AU74" i="18" s="1"/>
  <c r="AT72" i="18"/>
  <c r="AU72" i="18" s="1"/>
  <c r="AT83" i="18"/>
  <c r="AU83" i="18" s="1"/>
  <c r="AT71" i="18"/>
  <c r="AU71" i="18" s="1"/>
  <c r="AT70" i="18"/>
  <c r="AU70" i="18" s="1"/>
  <c r="AT68" i="18"/>
  <c r="AU68" i="18" s="1"/>
  <c r="AT65" i="18"/>
  <c r="AT62" i="18"/>
  <c r="AU62" i="18" s="1"/>
  <c r="AT60" i="18"/>
  <c r="AU60" i="18" s="1"/>
  <c r="AT58" i="18"/>
  <c r="AU58" i="18" s="1"/>
  <c r="AT73" i="18"/>
  <c r="AU73" i="18" s="1"/>
  <c r="AT66" i="18"/>
  <c r="AT75" i="18"/>
  <c r="AU75" i="18" s="1"/>
  <c r="AT69" i="18"/>
  <c r="AU69" i="18" s="1"/>
  <c r="AT67" i="18"/>
  <c r="AT63" i="18"/>
  <c r="AU63" i="18" s="1"/>
  <c r="AT61" i="18"/>
  <c r="AU61" i="18" s="1"/>
  <c r="AT59" i="18"/>
  <c r="AU59" i="18" s="1"/>
  <c r="AT57" i="18"/>
  <c r="AU57" i="18" s="1"/>
  <c r="AT55" i="18"/>
  <c r="AU55" i="18" s="1"/>
  <c r="AT53" i="18"/>
  <c r="AU53" i="18" s="1"/>
  <c r="AT51" i="18"/>
  <c r="AU51" i="18" s="1"/>
  <c r="AT49" i="18"/>
  <c r="AU49" i="18" s="1"/>
  <c r="AT47" i="18"/>
  <c r="AU47" i="18" s="1"/>
  <c r="AT45" i="18"/>
  <c r="AU45" i="18" s="1"/>
  <c r="AT43" i="18"/>
  <c r="AU43" i="18" s="1"/>
  <c r="AT41" i="18"/>
  <c r="AU41" i="18" s="1"/>
  <c r="AT39" i="18"/>
  <c r="AU39" i="18" s="1"/>
  <c r="AT37" i="18"/>
  <c r="AU37" i="18" s="1"/>
  <c r="AT35" i="18"/>
  <c r="AU35" i="18" s="1"/>
  <c r="AT33" i="18"/>
  <c r="AU33" i="18" s="1"/>
  <c r="AT31" i="18"/>
  <c r="AU31" i="18" s="1"/>
  <c r="AT29" i="18"/>
  <c r="AU29" i="18" s="1"/>
  <c r="AT27" i="18"/>
  <c r="AU27" i="18" s="1"/>
  <c r="AT56" i="18"/>
  <c r="AU56" i="18" s="1"/>
  <c r="AT54" i="18"/>
  <c r="AU54" i="18" s="1"/>
  <c r="AT52" i="18"/>
  <c r="AU52" i="18" s="1"/>
  <c r="AT50" i="18"/>
  <c r="AU50" i="18" s="1"/>
  <c r="AT48" i="18"/>
  <c r="AU48" i="18" s="1"/>
  <c r="AT46" i="18"/>
  <c r="AU46" i="18" s="1"/>
  <c r="AT44" i="18"/>
  <c r="AU44" i="18" s="1"/>
  <c r="AT42" i="18"/>
  <c r="AU42" i="18" s="1"/>
  <c r="AT40" i="18"/>
  <c r="AU40" i="18" s="1"/>
  <c r="AT38" i="18"/>
  <c r="AU38" i="18" s="1"/>
  <c r="AT36" i="18"/>
  <c r="AU36" i="18" s="1"/>
  <c r="AT34" i="18"/>
  <c r="AU34" i="18" s="1"/>
  <c r="AT32" i="18"/>
  <c r="AU32" i="18" s="1"/>
  <c r="AT30" i="18"/>
  <c r="AU30" i="18" s="1"/>
  <c r="AT28" i="18"/>
  <c r="AU28" i="18" s="1"/>
  <c r="AT26" i="18"/>
  <c r="AU26" i="18" s="1"/>
  <c r="Z18" i="18"/>
  <c r="Z20" i="18"/>
  <c r="Z22" i="18"/>
  <c r="Z24" i="18"/>
  <c r="Z29" i="18"/>
  <c r="Z37" i="18"/>
  <c r="Z45" i="18"/>
  <c r="Z53" i="18"/>
  <c r="AT79" i="18"/>
  <c r="AU79" i="18" s="1"/>
  <c r="AT19" i="18"/>
  <c r="AU19" i="18" s="1"/>
  <c r="AT21" i="18"/>
  <c r="AU21" i="18" s="1"/>
  <c r="AT23" i="18"/>
  <c r="AU23" i="18" s="1"/>
  <c r="AT25" i="18"/>
  <c r="AU25" i="18" s="1"/>
  <c r="Z31" i="18"/>
  <c r="Z39" i="18"/>
  <c r="Z47" i="18"/>
  <c r="Z55" i="18"/>
  <c r="AT81" i="18"/>
  <c r="AU81" i="18" s="1"/>
  <c r="M222" i="9"/>
  <c r="L222" i="9"/>
  <c r="C222" i="9"/>
  <c r="C223" i="9" s="1"/>
  <c r="D222" i="9"/>
  <c r="V250" i="9"/>
  <c r="V249" i="9"/>
  <c r="V248" i="9"/>
  <c r="V247" i="9"/>
  <c r="V246" i="9"/>
  <c r="V245" i="9"/>
  <c r="V244" i="9"/>
  <c r="V243" i="9"/>
  <c r="V242" i="9"/>
  <c r="V241" i="9"/>
  <c r="V240" i="9"/>
  <c r="V239" i="9"/>
  <c r="V238" i="9"/>
  <c r="V237" i="9"/>
  <c r="V236" i="9"/>
  <c r="V235" i="9"/>
  <c r="V234" i="9"/>
  <c r="V233" i="9"/>
  <c r="V232" i="9"/>
  <c r="V231" i="9"/>
  <c r="V230" i="9"/>
  <c r="V229" i="9"/>
  <c r="V228" i="9"/>
  <c r="V227" i="9"/>
  <c r="V226" i="9"/>
  <c r="V225" i="9"/>
  <c r="V224" i="9"/>
  <c r="V223" i="9"/>
  <c r="V222" i="9"/>
  <c r="V221" i="9"/>
  <c r="V220" i="9"/>
  <c r="V219" i="9"/>
  <c r="V218" i="9"/>
  <c r="B168" i="17"/>
  <c r="B167" i="17"/>
  <c r="B166" i="17"/>
  <c r="B165" i="17"/>
  <c r="B164" i="17"/>
  <c r="B163" i="17"/>
  <c r="B162" i="17"/>
  <c r="B161" i="17"/>
  <c r="B160" i="17"/>
  <c r="B159" i="17"/>
  <c r="B158" i="17"/>
  <c r="B157" i="17"/>
  <c r="B156" i="17"/>
  <c r="B155" i="17"/>
  <c r="B154" i="17"/>
  <c r="B153" i="17"/>
  <c r="B152" i="17"/>
  <c r="B151" i="17"/>
  <c r="B150" i="17"/>
  <c r="B149" i="17"/>
  <c r="B148" i="17"/>
  <c r="B147" i="17"/>
  <c r="D146" i="17"/>
  <c r="B146" i="17"/>
  <c r="N145" i="17"/>
  <c r="B145" i="17"/>
  <c r="B144" i="17"/>
  <c r="B143" i="17"/>
  <c r="B142" i="17"/>
  <c r="B141" i="17"/>
  <c r="N140" i="17"/>
  <c r="D140" i="17"/>
  <c r="B140" i="17"/>
  <c r="D139" i="17"/>
  <c r="B139" i="17"/>
  <c r="B138" i="17"/>
  <c r="B137" i="17"/>
  <c r="B136" i="17"/>
  <c r="G134" i="17"/>
  <c r="H134" i="17" s="1"/>
  <c r="C128" i="17"/>
  <c r="B128" i="17"/>
  <c r="C127" i="17"/>
  <c r="B127" i="17"/>
  <c r="C126" i="17"/>
  <c r="B126" i="17"/>
  <c r="C125" i="17"/>
  <c r="B125" i="17"/>
  <c r="C124" i="17"/>
  <c r="B124" i="17"/>
  <c r="C123" i="17"/>
  <c r="B123" i="17"/>
  <c r="C122" i="17"/>
  <c r="B122" i="17"/>
  <c r="C121" i="17"/>
  <c r="B121" i="17"/>
  <c r="C120" i="17"/>
  <c r="B120" i="17"/>
  <c r="C119" i="17"/>
  <c r="B119" i="17"/>
  <c r="C118" i="17"/>
  <c r="B118" i="17"/>
  <c r="C117" i="17"/>
  <c r="B117" i="17"/>
  <c r="C116" i="17"/>
  <c r="B116" i="17"/>
  <c r="C115" i="17"/>
  <c r="B115" i="17"/>
  <c r="C114" i="17"/>
  <c r="B114" i="17"/>
  <c r="C113" i="17"/>
  <c r="B113" i="17"/>
  <c r="C112" i="17"/>
  <c r="B112" i="17"/>
  <c r="C111" i="17"/>
  <c r="B111" i="17"/>
  <c r="C110" i="17"/>
  <c r="B110" i="17"/>
  <c r="C109" i="17"/>
  <c r="B109" i="17"/>
  <c r="O108" i="17"/>
  <c r="O109" i="17" s="1"/>
  <c r="O110" i="17" s="1"/>
  <c r="O111" i="17" s="1"/>
  <c r="O112" i="17" s="1"/>
  <c r="O113" i="17" s="1"/>
  <c r="O114" i="17" s="1"/>
  <c r="O115" i="17" s="1"/>
  <c r="O116" i="17" s="1"/>
  <c r="O117" i="17" s="1"/>
  <c r="O118" i="17" s="1"/>
  <c r="O119" i="17" s="1"/>
  <c r="O120" i="17" s="1"/>
  <c r="O121" i="17" s="1"/>
  <c r="O122" i="17" s="1"/>
  <c r="O123" i="17" s="1"/>
  <c r="O124" i="17" s="1"/>
  <c r="O125" i="17" s="1"/>
  <c r="O126" i="17" s="1"/>
  <c r="O127" i="17" s="1"/>
  <c r="O128" i="17" s="1"/>
  <c r="N108" i="17"/>
  <c r="N109" i="17" s="1"/>
  <c r="N110" i="17" s="1"/>
  <c r="N111" i="17" s="1"/>
  <c r="N112" i="17" s="1"/>
  <c r="N113" i="17" s="1"/>
  <c r="N114" i="17" s="1"/>
  <c r="N115" i="17" s="1"/>
  <c r="N116" i="17" s="1"/>
  <c r="N117" i="17" s="1"/>
  <c r="N118" i="17" s="1"/>
  <c r="N119" i="17" s="1"/>
  <c r="N120" i="17" s="1"/>
  <c r="N121" i="17" s="1"/>
  <c r="N122" i="17" s="1"/>
  <c r="N123" i="17" s="1"/>
  <c r="N124" i="17" s="1"/>
  <c r="N125" i="17" s="1"/>
  <c r="N126" i="17" s="1"/>
  <c r="N127" i="17" s="1"/>
  <c r="N128" i="17" s="1"/>
  <c r="M108" i="17"/>
  <c r="M109" i="17" s="1"/>
  <c r="L108" i="17"/>
  <c r="C108" i="17"/>
  <c r="B108" i="17"/>
  <c r="C107" i="17"/>
  <c r="B107" i="17"/>
  <c r="D106" i="17"/>
  <c r="C106" i="17"/>
  <c r="B106" i="17"/>
  <c r="W105" i="17"/>
  <c r="W106" i="17" s="1"/>
  <c r="W107" i="17" s="1"/>
  <c r="W108" i="17" s="1"/>
  <c r="C105" i="17"/>
  <c r="B105" i="17"/>
  <c r="C104" i="17"/>
  <c r="B104" i="17"/>
  <c r="C103" i="17"/>
  <c r="B103" i="17"/>
  <c r="C102" i="17"/>
  <c r="B102" i="17"/>
  <c r="C101" i="17"/>
  <c r="B101" i="17"/>
  <c r="D100" i="17"/>
  <c r="C100" i="17"/>
  <c r="B100" i="17"/>
  <c r="D99" i="17"/>
  <c r="C99" i="17"/>
  <c r="B99" i="17"/>
  <c r="C98" i="17"/>
  <c r="B98" i="17"/>
  <c r="C97" i="17"/>
  <c r="B97" i="17"/>
  <c r="C96" i="17"/>
  <c r="B96" i="17"/>
  <c r="G95" i="17"/>
  <c r="C95" i="17"/>
  <c r="B95" i="17"/>
  <c r="C79" i="17"/>
  <c r="C80" i="17" s="1"/>
  <c r="M64" i="17"/>
  <c r="L64" i="17"/>
  <c r="K64" i="17"/>
  <c r="J64" i="17"/>
  <c r="I64" i="17"/>
  <c r="H64" i="17"/>
  <c r="G64" i="17"/>
  <c r="F64" i="17"/>
  <c r="E64" i="17"/>
  <c r="D64" i="17"/>
  <c r="C64" i="17"/>
  <c r="M63" i="17"/>
  <c r="L63" i="17"/>
  <c r="K63" i="17"/>
  <c r="J63" i="17"/>
  <c r="I63" i="17"/>
  <c r="H63" i="17"/>
  <c r="G63" i="17"/>
  <c r="F63" i="17"/>
  <c r="E63" i="17"/>
  <c r="D63" i="17"/>
  <c r="C63" i="17"/>
  <c r="M62" i="17"/>
  <c r="L62" i="17"/>
  <c r="K62" i="17"/>
  <c r="J62" i="17"/>
  <c r="I62" i="17"/>
  <c r="H62" i="17"/>
  <c r="G62" i="17"/>
  <c r="F62" i="17"/>
  <c r="E62" i="17"/>
  <c r="D62" i="17"/>
  <c r="C62" i="17"/>
  <c r="M61" i="17"/>
  <c r="L61" i="17"/>
  <c r="K61" i="17"/>
  <c r="J61" i="17"/>
  <c r="I61" i="17"/>
  <c r="H61" i="17"/>
  <c r="G61" i="17"/>
  <c r="F61" i="17"/>
  <c r="E61" i="17"/>
  <c r="D61" i="17"/>
  <c r="C61" i="17"/>
  <c r="M60" i="17"/>
  <c r="L60" i="17"/>
  <c r="K60" i="17"/>
  <c r="J60" i="17"/>
  <c r="I60" i="17"/>
  <c r="H60" i="17"/>
  <c r="G60" i="17"/>
  <c r="F60" i="17"/>
  <c r="E60" i="17"/>
  <c r="D60" i="17"/>
  <c r="C60" i="17"/>
  <c r="M59" i="17"/>
  <c r="L59" i="17"/>
  <c r="K59" i="17"/>
  <c r="J59" i="17"/>
  <c r="I59" i="17"/>
  <c r="H59" i="17"/>
  <c r="G59" i="17"/>
  <c r="F59" i="17"/>
  <c r="E59" i="17"/>
  <c r="D59" i="17"/>
  <c r="C59" i="17"/>
  <c r="D27" i="17"/>
  <c r="G26" i="17"/>
  <c r="W100" i="17" s="1"/>
  <c r="F26" i="17"/>
  <c r="H26" i="17" s="1"/>
  <c r="D26" i="17"/>
  <c r="H20" i="17"/>
  <c r="F20" i="17"/>
  <c r="E20" i="17"/>
  <c r="D20" i="17"/>
  <c r="M110" i="17" s="1"/>
  <c r="C20" i="17"/>
  <c r="L110" i="17" s="1"/>
  <c r="H13" i="17"/>
  <c r="G13" i="17"/>
  <c r="E13" i="17"/>
  <c r="D13" i="17"/>
  <c r="C13" i="17"/>
  <c r="B13" i="17"/>
  <c r="D11" i="17"/>
  <c r="E10" i="17"/>
  <c r="F6" i="17"/>
  <c r="H6" i="17" s="1"/>
  <c r="E6" i="17"/>
  <c r="G6" i="17" s="1"/>
  <c r="D6" i="17"/>
  <c r="F5" i="17"/>
  <c r="H5" i="17" s="1"/>
  <c r="E5" i="17"/>
  <c r="G5" i="17" s="1"/>
  <c r="D5" i="17"/>
  <c r="F4" i="17"/>
  <c r="H4" i="17" s="1"/>
  <c r="E4" i="17"/>
  <c r="G4" i="17" s="1"/>
  <c r="D4" i="17"/>
  <c r="N83" i="9"/>
  <c r="N221" i="9" s="1"/>
  <c r="O83" i="9"/>
  <c r="O82" i="9"/>
  <c r="N82" i="9"/>
  <c r="L86" i="9"/>
  <c r="Q81" i="9"/>
  <c r="U81" i="9" s="1"/>
  <c r="S81" i="9"/>
  <c r="W81" i="9" s="1"/>
  <c r="V81" i="9"/>
  <c r="V82" i="9"/>
  <c r="V83" i="9"/>
  <c r="V84" i="9"/>
  <c r="V85" i="9"/>
  <c r="V86" i="9"/>
  <c r="V87" i="9"/>
  <c r="V88" i="9"/>
  <c r="V89" i="9"/>
  <c r="V90" i="9"/>
  <c r="V91" i="9"/>
  <c r="V92" i="9"/>
  <c r="V93" i="9"/>
  <c r="V94" i="9"/>
  <c r="V95" i="9"/>
  <c r="V96" i="9"/>
  <c r="V97" i="9"/>
  <c r="V98" i="9"/>
  <c r="V99" i="9"/>
  <c r="V100" i="9"/>
  <c r="V101" i="9"/>
  <c r="V102" i="9"/>
  <c r="V103" i="9"/>
  <c r="V104" i="9"/>
  <c r="V105" i="9"/>
  <c r="V106" i="9"/>
  <c r="V107" i="9"/>
  <c r="V108" i="9"/>
  <c r="V109" i="9"/>
  <c r="V110" i="9"/>
  <c r="V111" i="9"/>
  <c r="V112" i="9"/>
  <c r="V113" i="9"/>
  <c r="V114" i="9"/>
  <c r="C86" i="9"/>
  <c r="D86" i="9" s="1"/>
  <c r="BZ18" i="6" l="1"/>
  <c r="BT18" i="6"/>
  <c r="BN18" i="6"/>
  <c r="AT64" i="10"/>
  <c r="E106" i="4"/>
  <c r="I146" i="17"/>
  <c r="BX106" i="17"/>
  <c r="BW38" i="6" s="1"/>
  <c r="I139" i="17"/>
  <c r="BX99" i="17"/>
  <c r="BW31" i="6" s="1"/>
  <c r="I140" i="17"/>
  <c r="BX100" i="17"/>
  <c r="BW32" i="6" s="1"/>
  <c r="L273" i="9"/>
  <c r="M273" i="9" s="1"/>
  <c r="M204" i="9"/>
  <c r="L205" i="9"/>
  <c r="C206" i="9"/>
  <c r="D206" i="9" s="1"/>
  <c r="L87" i="9"/>
  <c r="M86" i="9"/>
  <c r="L172" i="9"/>
  <c r="C87" i="9"/>
  <c r="N85" i="9"/>
  <c r="L137" i="9"/>
  <c r="M137" i="9" s="1"/>
  <c r="C138" i="9"/>
  <c r="D138" i="9" s="1"/>
  <c r="C171" i="9"/>
  <c r="D173" i="9"/>
  <c r="M171" i="9"/>
  <c r="I186" i="16"/>
  <c r="BT38" i="6"/>
  <c r="I186" i="11"/>
  <c r="CA106" i="11"/>
  <c r="BN38" i="6" s="1"/>
  <c r="I186" i="17"/>
  <c r="BZ38" i="6"/>
  <c r="D187" i="17"/>
  <c r="CA107" i="17" s="1"/>
  <c r="D187" i="11"/>
  <c r="D187" i="16"/>
  <c r="CA107" i="16" s="1"/>
  <c r="S288" i="1"/>
  <c r="AV77" i="18"/>
  <c r="N199" i="17"/>
  <c r="N198" i="16"/>
  <c r="J203" i="16"/>
  <c r="N198" i="11"/>
  <c r="D105" i="4"/>
  <c r="BK18" i="6"/>
  <c r="BQ19" i="6"/>
  <c r="BW19" i="6"/>
  <c r="AX21" i="19"/>
  <c r="AY21" i="19"/>
  <c r="AY20" i="19"/>
  <c r="C277" i="1"/>
  <c r="H276" i="1"/>
  <c r="R276" i="1"/>
  <c r="O103" i="19" s="1"/>
  <c r="Y209" i="7"/>
  <c r="M209" i="7"/>
  <c r="D80" i="17"/>
  <c r="H80" i="17"/>
  <c r="H17" i="17" s="1"/>
  <c r="F80" i="17"/>
  <c r="G80" i="17"/>
  <c r="E109" i="17"/>
  <c r="C206" i="7"/>
  <c r="M111" i="17"/>
  <c r="M112" i="17" s="1"/>
  <c r="M113" i="17" s="1"/>
  <c r="M114" i="17" s="1"/>
  <c r="M115" i="17" s="1"/>
  <c r="M116" i="17" s="1"/>
  <c r="M117" i="17" s="1"/>
  <c r="M118" i="17" s="1"/>
  <c r="M119" i="17" s="1"/>
  <c r="M120" i="17" s="1"/>
  <c r="M121" i="17" s="1"/>
  <c r="M122" i="17" s="1"/>
  <c r="M123" i="17" s="1"/>
  <c r="M124" i="17" s="1"/>
  <c r="M125" i="17" s="1"/>
  <c r="M126" i="17" s="1"/>
  <c r="M127" i="17" s="1"/>
  <c r="M128" i="17" s="1"/>
  <c r="N62" i="17"/>
  <c r="N61" i="17"/>
  <c r="N60" i="17"/>
  <c r="N64" i="17"/>
  <c r="N59" i="17"/>
  <c r="N63" i="17"/>
  <c r="E80" i="17"/>
  <c r="O85" i="9"/>
  <c r="O221" i="9"/>
  <c r="N84" i="9"/>
  <c r="N220" i="9"/>
  <c r="O84" i="9"/>
  <c r="O220" i="9"/>
  <c r="N87" i="9"/>
  <c r="N223" i="9"/>
  <c r="AV42" i="18"/>
  <c r="AW42" i="18"/>
  <c r="AW27" i="18"/>
  <c r="AV27" i="18"/>
  <c r="AW51" i="18"/>
  <c r="AV51" i="18"/>
  <c r="AV69" i="18"/>
  <c r="AW69" i="18"/>
  <c r="AW68" i="18"/>
  <c r="AV68" i="18"/>
  <c r="AV24" i="18"/>
  <c r="AW24" i="18"/>
  <c r="AW19" i="18"/>
  <c r="AV19" i="18"/>
  <c r="AV28" i="18"/>
  <c r="AW28" i="18"/>
  <c r="AV36" i="18"/>
  <c r="AW36" i="18"/>
  <c r="AV44" i="18"/>
  <c r="AW44" i="18"/>
  <c r="AV52" i="18"/>
  <c r="AW52" i="18"/>
  <c r="AW29" i="18"/>
  <c r="AV29" i="18"/>
  <c r="AW37" i="18"/>
  <c r="AV37" i="18"/>
  <c r="AW45" i="18"/>
  <c r="AV45" i="18"/>
  <c r="AW53" i="18"/>
  <c r="AV53" i="18"/>
  <c r="AV61" i="18"/>
  <c r="AW61" i="18"/>
  <c r="AW75" i="18"/>
  <c r="AV75" i="18"/>
  <c r="AW60" i="18"/>
  <c r="AV60" i="18"/>
  <c r="AW70" i="18"/>
  <c r="AV70" i="18"/>
  <c r="AW74" i="18"/>
  <c r="AV74" i="18"/>
  <c r="AW82" i="18"/>
  <c r="AV82" i="18"/>
  <c r="AW84" i="18"/>
  <c r="AV84" i="18"/>
  <c r="AV22" i="18"/>
  <c r="AW22" i="18"/>
  <c r="AW21" i="18"/>
  <c r="AV21" i="18"/>
  <c r="AV34" i="18"/>
  <c r="AW34" i="18"/>
  <c r="AW35" i="18"/>
  <c r="AV35" i="18"/>
  <c r="AW58" i="18"/>
  <c r="AV58" i="18"/>
  <c r="AW80" i="18"/>
  <c r="AV80" i="18"/>
  <c r="AW25" i="18"/>
  <c r="AV25" i="18"/>
  <c r="AV30" i="18"/>
  <c r="AW30" i="18"/>
  <c r="AV38" i="18"/>
  <c r="AW38" i="18"/>
  <c r="AV46" i="18"/>
  <c r="AW46" i="18"/>
  <c r="AV54" i="18"/>
  <c r="AW54" i="18"/>
  <c r="AW31" i="18"/>
  <c r="AV31" i="18"/>
  <c r="AW39" i="18"/>
  <c r="AV39" i="18"/>
  <c r="AW47" i="18"/>
  <c r="AV47" i="18"/>
  <c r="AW55" i="18"/>
  <c r="AV55" i="18"/>
  <c r="AV63" i="18"/>
  <c r="AW63" i="18"/>
  <c r="AW62" i="18"/>
  <c r="AV62" i="18"/>
  <c r="AW71" i="18"/>
  <c r="AV71" i="18"/>
  <c r="AW76" i="18"/>
  <c r="AV76" i="18"/>
  <c r="AW85" i="18"/>
  <c r="AV85" i="18"/>
  <c r="AV20" i="18"/>
  <c r="AW20" i="18"/>
  <c r="AW26" i="18"/>
  <c r="AV26" i="18"/>
  <c r="AV50" i="18"/>
  <c r="AW50" i="18"/>
  <c r="AW43" i="18"/>
  <c r="AV43" i="18"/>
  <c r="AV59" i="18"/>
  <c r="AW59" i="18"/>
  <c r="AW72" i="18"/>
  <c r="AV72" i="18"/>
  <c r="AV18" i="18"/>
  <c r="AX18" i="18" s="1"/>
  <c r="AW18" i="18"/>
  <c r="AY18" i="18" s="1"/>
  <c r="AW81" i="18"/>
  <c r="AV81" i="18"/>
  <c r="AW23" i="18"/>
  <c r="AV23" i="18"/>
  <c r="AW79" i="18"/>
  <c r="AV79" i="18"/>
  <c r="AV32" i="18"/>
  <c r="AW32" i="18"/>
  <c r="AV40" i="18"/>
  <c r="AW40" i="18"/>
  <c r="AV48" i="18"/>
  <c r="AW48" i="18"/>
  <c r="AV56" i="18"/>
  <c r="AW56" i="18"/>
  <c r="AW33" i="18"/>
  <c r="AV33" i="18"/>
  <c r="AW41" i="18"/>
  <c r="AV41" i="18"/>
  <c r="AW49" i="18"/>
  <c r="AV49" i="18"/>
  <c r="AV57" i="18"/>
  <c r="AW57" i="18"/>
  <c r="AW73" i="18"/>
  <c r="AV73" i="18"/>
  <c r="AV83" i="18"/>
  <c r="AW83" i="18"/>
  <c r="AW78" i="18"/>
  <c r="AV78" i="18"/>
  <c r="C224" i="9"/>
  <c r="D223" i="9"/>
  <c r="L223" i="9"/>
  <c r="M223" i="9"/>
  <c r="W109" i="17"/>
  <c r="L109" i="17"/>
  <c r="L111" i="17" s="1"/>
  <c r="L112" i="17" s="1"/>
  <c r="L113" i="17" s="1"/>
  <c r="L114" i="17" s="1"/>
  <c r="L115" i="17" s="1"/>
  <c r="L116" i="17" s="1"/>
  <c r="L117" i="17" s="1"/>
  <c r="L118" i="17" s="1"/>
  <c r="L119" i="17" s="1"/>
  <c r="L120" i="17" s="1"/>
  <c r="L121" i="17" s="1"/>
  <c r="L122" i="17" s="1"/>
  <c r="L123" i="17" s="1"/>
  <c r="L124" i="17" s="1"/>
  <c r="L125" i="17" s="1"/>
  <c r="L126" i="17" s="1"/>
  <c r="L127" i="17" s="1"/>
  <c r="L128" i="17" s="1"/>
  <c r="N146" i="17"/>
  <c r="Y172" i="7"/>
  <c r="Y173" i="7" s="1"/>
  <c r="Y174" i="7" s="1"/>
  <c r="Y175" i="7" s="1"/>
  <c r="Y176" i="7" s="1"/>
  <c r="Y177" i="7" s="1"/>
  <c r="Y178" i="7" s="1"/>
  <c r="Y179" i="7" s="1"/>
  <c r="Y180" i="7" s="1"/>
  <c r="Y181" i="7" s="1"/>
  <c r="Y182" i="7" s="1"/>
  <c r="Y183" i="7" s="1"/>
  <c r="Y184" i="7" s="1"/>
  <c r="Y185" i="7" s="1"/>
  <c r="Y186" i="7" s="1"/>
  <c r="Y187" i="7" s="1"/>
  <c r="Y188" i="7" s="1"/>
  <c r="Y189" i="7" s="1"/>
  <c r="Y190" i="7" s="1"/>
  <c r="Y191" i="7" s="1"/>
  <c r="Y192" i="7" s="1"/>
  <c r="G95" i="16"/>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60" i="7"/>
  <c r="Y158" i="7"/>
  <c r="M158" i="7"/>
  <c r="G95" i="11"/>
  <c r="AT63" i="10" l="1"/>
  <c r="E105" i="4"/>
  <c r="BZ17" i="6"/>
  <c r="BT17" i="6"/>
  <c r="BN17" i="6"/>
  <c r="H18" i="17"/>
  <c r="J175" i="17"/>
  <c r="K175" i="17" s="1"/>
  <c r="J135" i="17"/>
  <c r="L274" i="9"/>
  <c r="M274" i="9" s="1"/>
  <c r="L206" i="9"/>
  <c r="M205" i="9"/>
  <c r="C207" i="9"/>
  <c r="D207" i="9" s="1"/>
  <c r="C88" i="9"/>
  <c r="D87" i="9"/>
  <c r="L88" i="9"/>
  <c r="M87" i="9"/>
  <c r="C139" i="9"/>
  <c r="D139" i="9" s="1"/>
  <c r="L138" i="9"/>
  <c r="M138" i="9" s="1"/>
  <c r="L173" i="9"/>
  <c r="M172" i="9"/>
  <c r="D174" i="9"/>
  <c r="C172" i="9"/>
  <c r="I187" i="16"/>
  <c r="BT39" i="6"/>
  <c r="I187" i="11"/>
  <c r="CA107" i="11"/>
  <c r="BN39" i="6" s="1"/>
  <c r="D188" i="17"/>
  <c r="CA108" i="17" s="1"/>
  <c r="D188" i="11"/>
  <c r="D188" i="16"/>
  <c r="CA108" i="16" s="1"/>
  <c r="I187" i="17"/>
  <c r="BZ39" i="6"/>
  <c r="S289" i="1"/>
  <c r="N200" i="17"/>
  <c r="J204" i="16"/>
  <c r="N199" i="16"/>
  <c r="N199" i="11"/>
  <c r="BQ18" i="6"/>
  <c r="BW18" i="6"/>
  <c r="D104" i="4"/>
  <c r="BK17" i="6"/>
  <c r="AY22" i="19"/>
  <c r="AX22" i="19"/>
  <c r="R277" i="1"/>
  <c r="O104" i="19" s="1"/>
  <c r="H277" i="1"/>
  <c r="C278" i="1"/>
  <c r="Y210" i="7"/>
  <c r="M210" i="7"/>
  <c r="E110" i="17"/>
  <c r="C207" i="7"/>
  <c r="N89" i="9"/>
  <c r="N225" i="9"/>
  <c r="N86" i="9"/>
  <c r="N222" i="9"/>
  <c r="O86" i="9"/>
  <c r="O222" i="9"/>
  <c r="O87" i="9"/>
  <c r="O223" i="9"/>
  <c r="AX19" i="18"/>
  <c r="AX20" i="18" s="1"/>
  <c r="AY20" i="18"/>
  <c r="AY19" i="18"/>
  <c r="D224" i="9"/>
  <c r="M224" i="9"/>
  <c r="L224" i="9"/>
  <c r="C225" i="9"/>
  <c r="N147" i="17"/>
  <c r="W110" i="17"/>
  <c r="AT62" i="10" l="1"/>
  <c r="E104" i="4"/>
  <c r="BZ16" i="6"/>
  <c r="BN16" i="6"/>
  <c r="BT16" i="6"/>
  <c r="L275" i="9"/>
  <c r="M275" i="9" s="1"/>
  <c r="M206" i="9"/>
  <c r="L207" i="9"/>
  <c r="C208" i="9"/>
  <c r="D208" i="9" s="1"/>
  <c r="C89" i="9"/>
  <c r="D88" i="9"/>
  <c r="L89" i="9"/>
  <c r="M88" i="9"/>
  <c r="L174" i="9"/>
  <c r="L139" i="9"/>
  <c r="M139" i="9" s="1"/>
  <c r="C140" i="9"/>
  <c r="D140" i="9" s="1"/>
  <c r="M173" i="9"/>
  <c r="C173" i="9"/>
  <c r="D175" i="9"/>
  <c r="I188" i="16"/>
  <c r="K188" i="16" s="1"/>
  <c r="BT40" i="6"/>
  <c r="I188" i="11"/>
  <c r="CA108" i="11"/>
  <c r="BN40" i="6" s="1"/>
  <c r="BZ40" i="6"/>
  <c r="I188" i="17"/>
  <c r="K188" i="17" s="1"/>
  <c r="D189" i="17"/>
  <c r="CA109" i="17" s="1"/>
  <c r="D189" i="16"/>
  <c r="CA109" i="16" s="1"/>
  <c r="D189" i="11"/>
  <c r="S290" i="1"/>
  <c r="N201" i="17"/>
  <c r="J205" i="16"/>
  <c r="N200" i="16"/>
  <c r="N200" i="11"/>
  <c r="D103" i="4"/>
  <c r="BK16" i="6"/>
  <c r="BQ17" i="6"/>
  <c r="BW17" i="6"/>
  <c r="D136" i="17"/>
  <c r="BX96" i="17" s="1"/>
  <c r="BW28" i="6" s="1"/>
  <c r="D96" i="17"/>
  <c r="D95" i="17"/>
  <c r="D135" i="17"/>
  <c r="BX95" i="17" s="1"/>
  <c r="AX23" i="19"/>
  <c r="AY23" i="19"/>
  <c r="C279" i="1"/>
  <c r="H278" i="1"/>
  <c r="R278" i="1"/>
  <c r="O105" i="19" s="1"/>
  <c r="M211" i="7"/>
  <c r="Y211" i="7"/>
  <c r="E111" i="17"/>
  <c r="C208" i="7"/>
  <c r="O89" i="9"/>
  <c r="O225" i="9"/>
  <c r="N88" i="9"/>
  <c r="N224" i="9"/>
  <c r="O88" i="9"/>
  <c r="O224" i="9"/>
  <c r="N91" i="9"/>
  <c r="N227" i="9"/>
  <c r="AY21" i="18"/>
  <c r="AX21" i="18"/>
  <c r="C226" i="9"/>
  <c r="L225" i="9"/>
  <c r="M225" i="9"/>
  <c r="D225" i="9"/>
  <c r="W111" i="17"/>
  <c r="N148" i="17"/>
  <c r="AT61" i="10" l="1"/>
  <c r="E103" i="4"/>
  <c r="BT15" i="6"/>
  <c r="BZ15" i="6"/>
  <c r="BN15" i="6"/>
  <c r="L276" i="9"/>
  <c r="M276" i="9" s="1"/>
  <c r="L208" i="9"/>
  <c r="M207" i="9"/>
  <c r="C209" i="9"/>
  <c r="D209" i="9" s="1"/>
  <c r="M89" i="9"/>
  <c r="L90" i="9"/>
  <c r="C90" i="9"/>
  <c r="D89" i="9"/>
  <c r="L140" i="9"/>
  <c r="M140" i="9" s="1"/>
  <c r="C141" i="9"/>
  <c r="D141" i="9" s="1"/>
  <c r="L175" i="9"/>
  <c r="C174" i="9"/>
  <c r="D176" i="9"/>
  <c r="M174" i="9"/>
  <c r="I189" i="16"/>
  <c r="K189" i="16" s="1"/>
  <c r="BT41" i="6"/>
  <c r="I189" i="11"/>
  <c r="CA109" i="11"/>
  <c r="BN41" i="6" s="1"/>
  <c r="BZ41" i="6"/>
  <c r="I189" i="17"/>
  <c r="K189" i="17" s="1"/>
  <c r="D190" i="17"/>
  <c r="CA110" i="17" s="1"/>
  <c r="D190" i="16"/>
  <c r="CA110" i="16" s="1"/>
  <c r="D190" i="11"/>
  <c r="S291" i="1"/>
  <c r="N202" i="17"/>
  <c r="J206" i="16"/>
  <c r="N201" i="16"/>
  <c r="N201" i="11"/>
  <c r="BW16" i="6"/>
  <c r="BQ16" i="6"/>
  <c r="D102" i="4"/>
  <c r="BK15" i="6"/>
  <c r="I136" i="17"/>
  <c r="I135" i="17"/>
  <c r="K135" i="17" s="1"/>
  <c r="BW27" i="6"/>
  <c r="D98" i="16"/>
  <c r="D97" i="17"/>
  <c r="D137" i="17"/>
  <c r="BX97" i="17" s="1"/>
  <c r="BW29" i="6" s="1"/>
  <c r="AY24" i="19"/>
  <c r="AX24" i="19"/>
  <c r="R279" i="1"/>
  <c r="O106" i="19" s="1"/>
  <c r="C280" i="1"/>
  <c r="H279" i="1"/>
  <c r="Y212" i="7"/>
  <c r="M212" i="7"/>
  <c r="E112" i="17"/>
  <c r="C209" i="7"/>
  <c r="N93" i="9"/>
  <c r="N229" i="9"/>
  <c r="N90" i="9"/>
  <c r="N226" i="9"/>
  <c r="O90" i="9"/>
  <c r="O226" i="9"/>
  <c r="O91" i="9"/>
  <c r="O227" i="9"/>
  <c r="AY22" i="18"/>
  <c r="AX22" i="18"/>
  <c r="D226" i="9"/>
  <c r="M226" i="9"/>
  <c r="L226" i="9"/>
  <c r="C227" i="9"/>
  <c r="W112" i="17"/>
  <c r="N149" i="17"/>
  <c r="E108" i="16"/>
  <c r="C172" i="7" s="1"/>
  <c r="N140" i="16"/>
  <c r="W100" i="16"/>
  <c r="M108" i="16"/>
  <c r="N108" i="16"/>
  <c r="O108" i="16"/>
  <c r="L108" i="16"/>
  <c r="C168" i="16"/>
  <c r="B168" i="16"/>
  <c r="C167" i="16"/>
  <c r="B167" i="16"/>
  <c r="C166" i="16"/>
  <c r="B166" i="16"/>
  <c r="C165" i="16"/>
  <c r="B165" i="16"/>
  <c r="C164" i="16"/>
  <c r="B164" i="16"/>
  <c r="C163" i="16"/>
  <c r="B163" i="16"/>
  <c r="C162" i="16"/>
  <c r="B162" i="16"/>
  <c r="C161" i="16"/>
  <c r="B161" i="16"/>
  <c r="C160" i="16"/>
  <c r="B160" i="16"/>
  <c r="C159" i="16"/>
  <c r="B159" i="16"/>
  <c r="C158" i="16"/>
  <c r="B158" i="16"/>
  <c r="C157" i="16"/>
  <c r="B157" i="16"/>
  <c r="C156" i="16"/>
  <c r="B156" i="16"/>
  <c r="C155" i="16"/>
  <c r="B155" i="16"/>
  <c r="C154" i="16"/>
  <c r="B154" i="16"/>
  <c r="C153" i="16"/>
  <c r="B153" i="16"/>
  <c r="C152" i="16"/>
  <c r="B152" i="16"/>
  <c r="C151" i="16"/>
  <c r="B151" i="16"/>
  <c r="C150" i="16"/>
  <c r="B150" i="16"/>
  <c r="C149" i="16"/>
  <c r="B149" i="16"/>
  <c r="C148" i="16"/>
  <c r="B148" i="16"/>
  <c r="C147" i="16"/>
  <c r="B147" i="16"/>
  <c r="D146" i="16"/>
  <c r="C146" i="16"/>
  <c r="B146" i="16"/>
  <c r="N145" i="16"/>
  <c r="N146" i="16" s="1"/>
  <c r="N147" i="16" s="1"/>
  <c r="N148" i="16" s="1"/>
  <c r="N149" i="16" s="1"/>
  <c r="C145" i="16"/>
  <c r="B145" i="16"/>
  <c r="C144" i="16"/>
  <c r="B144" i="16"/>
  <c r="C143" i="16"/>
  <c r="B143" i="16"/>
  <c r="C142" i="16"/>
  <c r="B142" i="16"/>
  <c r="C141" i="16"/>
  <c r="B141" i="16"/>
  <c r="D140" i="16"/>
  <c r="BX100" i="16" s="1"/>
  <c r="BQ32" i="6" s="1"/>
  <c r="C140" i="16"/>
  <c r="B140" i="16"/>
  <c r="D139" i="16"/>
  <c r="BX99" i="16" s="1"/>
  <c r="BQ31" i="6" s="1"/>
  <c r="C139" i="16"/>
  <c r="B139" i="16"/>
  <c r="D138" i="16"/>
  <c r="BX98" i="16" s="1"/>
  <c r="BQ30" i="6" s="1"/>
  <c r="C138" i="16"/>
  <c r="B138" i="16"/>
  <c r="D137" i="16"/>
  <c r="BX97" i="16" s="1"/>
  <c r="BQ29" i="6" s="1"/>
  <c r="C137" i="16"/>
  <c r="B137" i="16"/>
  <c r="D136" i="16"/>
  <c r="BX96" i="16" s="1"/>
  <c r="BQ28" i="6" s="1"/>
  <c r="C136" i="16"/>
  <c r="B136" i="16"/>
  <c r="D135" i="16"/>
  <c r="BX95" i="16" s="1"/>
  <c r="C135" i="16"/>
  <c r="B135" i="16"/>
  <c r="G134" i="16"/>
  <c r="H134" i="16" s="1"/>
  <c r="C128" i="16"/>
  <c r="B128" i="16"/>
  <c r="C127" i="16"/>
  <c r="B127" i="16"/>
  <c r="C126" i="16"/>
  <c r="B126" i="16"/>
  <c r="C125" i="16"/>
  <c r="B125" i="16"/>
  <c r="C124" i="16"/>
  <c r="B124" i="16"/>
  <c r="C123" i="16"/>
  <c r="B123" i="16"/>
  <c r="C122" i="16"/>
  <c r="B122" i="16"/>
  <c r="C121" i="16"/>
  <c r="B121" i="16"/>
  <c r="C120" i="16"/>
  <c r="B120" i="16"/>
  <c r="C119" i="16"/>
  <c r="B119" i="16"/>
  <c r="C118" i="16"/>
  <c r="B118" i="16"/>
  <c r="C117" i="16"/>
  <c r="B117" i="16"/>
  <c r="C116" i="16"/>
  <c r="B116" i="16"/>
  <c r="C115" i="16"/>
  <c r="B115" i="16"/>
  <c r="C114" i="16"/>
  <c r="B114" i="16"/>
  <c r="C113" i="16"/>
  <c r="B113" i="16"/>
  <c r="C112" i="16"/>
  <c r="B112" i="16"/>
  <c r="C111" i="16"/>
  <c r="B111" i="16"/>
  <c r="C110" i="16"/>
  <c r="B110" i="16"/>
  <c r="C109" i="16"/>
  <c r="B109" i="16"/>
  <c r="C108" i="16"/>
  <c r="B108" i="16"/>
  <c r="C107" i="16"/>
  <c r="B107" i="16"/>
  <c r="D106" i="16"/>
  <c r="C106" i="16"/>
  <c r="B106" i="16"/>
  <c r="W105" i="16"/>
  <c r="C105" i="16"/>
  <c r="B105" i="16"/>
  <c r="C104" i="16"/>
  <c r="B104" i="16"/>
  <c r="C103" i="16"/>
  <c r="B103" i="16"/>
  <c r="C102" i="16"/>
  <c r="B102" i="16"/>
  <c r="C101" i="16"/>
  <c r="B101" i="16"/>
  <c r="D100" i="16"/>
  <c r="C100" i="16"/>
  <c r="B100" i="16"/>
  <c r="D99" i="16"/>
  <c r="C99" i="16"/>
  <c r="B99" i="16"/>
  <c r="C98" i="16"/>
  <c r="B98" i="16"/>
  <c r="D97" i="16"/>
  <c r="C97" i="16"/>
  <c r="B97" i="16"/>
  <c r="D96" i="16"/>
  <c r="C96" i="16"/>
  <c r="B96" i="16"/>
  <c r="D95" i="16"/>
  <c r="C95" i="16"/>
  <c r="B95" i="16"/>
  <c r="H79" i="16"/>
  <c r="G79" i="16"/>
  <c r="F79" i="16"/>
  <c r="E79" i="16"/>
  <c r="D79" i="16"/>
  <c r="C79" i="16"/>
  <c r="C80" i="16" s="1"/>
  <c r="M64" i="16"/>
  <c r="L64" i="16"/>
  <c r="K64" i="16"/>
  <c r="J64" i="16"/>
  <c r="I64" i="16"/>
  <c r="H64" i="16"/>
  <c r="G64" i="16"/>
  <c r="F64" i="16"/>
  <c r="E64" i="16"/>
  <c r="D64" i="16"/>
  <c r="C64" i="16"/>
  <c r="M63" i="16"/>
  <c r="L63" i="16"/>
  <c r="K63" i="16"/>
  <c r="J63" i="16"/>
  <c r="I63" i="16"/>
  <c r="H63" i="16"/>
  <c r="G63" i="16"/>
  <c r="F63" i="16"/>
  <c r="E63" i="16"/>
  <c r="D63" i="16"/>
  <c r="C63" i="16"/>
  <c r="M62" i="16"/>
  <c r="L62" i="16"/>
  <c r="K62" i="16"/>
  <c r="J62" i="16"/>
  <c r="I62" i="16"/>
  <c r="H62" i="16"/>
  <c r="G62" i="16"/>
  <c r="F62" i="16"/>
  <c r="E62" i="16"/>
  <c r="D62" i="16"/>
  <c r="C62" i="16"/>
  <c r="M61" i="16"/>
  <c r="L61" i="16"/>
  <c r="K61" i="16"/>
  <c r="J61" i="16"/>
  <c r="I61" i="16"/>
  <c r="H61" i="16"/>
  <c r="G61" i="16"/>
  <c r="F61" i="16"/>
  <c r="E61" i="16"/>
  <c r="D61" i="16"/>
  <c r="C61" i="16"/>
  <c r="M60" i="16"/>
  <c r="L60" i="16"/>
  <c r="K60" i="16"/>
  <c r="J60" i="16"/>
  <c r="I60" i="16"/>
  <c r="H60" i="16"/>
  <c r="G60" i="16"/>
  <c r="F60" i="16"/>
  <c r="E60" i="16"/>
  <c r="D60" i="16"/>
  <c r="C60" i="16"/>
  <c r="M59" i="16"/>
  <c r="L59" i="16"/>
  <c r="K59" i="16"/>
  <c r="J59" i="16"/>
  <c r="I59" i="16"/>
  <c r="H59" i="16"/>
  <c r="G59" i="16"/>
  <c r="F59" i="16"/>
  <c r="E59" i="16"/>
  <c r="D59" i="16"/>
  <c r="C59" i="16"/>
  <c r="M172" i="7"/>
  <c r="M173" i="7" s="1"/>
  <c r="M174" i="7" s="1"/>
  <c r="M175" i="7" s="1"/>
  <c r="M176" i="7" s="1"/>
  <c r="M177" i="7" s="1"/>
  <c r="M178" i="7" s="1"/>
  <c r="M179" i="7" s="1"/>
  <c r="M180" i="7" s="1"/>
  <c r="M181" i="7" s="1"/>
  <c r="M182" i="7" s="1"/>
  <c r="M183" i="7" s="1"/>
  <c r="M184" i="7" s="1"/>
  <c r="M185" i="7" s="1"/>
  <c r="M186" i="7" s="1"/>
  <c r="M187" i="7" s="1"/>
  <c r="M188" i="7" s="1"/>
  <c r="M189" i="7" s="1"/>
  <c r="M190" i="7" s="1"/>
  <c r="M191" i="7" s="1"/>
  <c r="M192" i="7" s="1"/>
  <c r="D27" i="16"/>
  <c r="G26" i="16"/>
  <c r="F26" i="16"/>
  <c r="H26" i="16" s="1"/>
  <c r="D26" i="16"/>
  <c r="H20" i="16"/>
  <c r="F20" i="16"/>
  <c r="E20" i="16"/>
  <c r="D20" i="16"/>
  <c r="C20" i="16"/>
  <c r="H13" i="16"/>
  <c r="G13" i="16"/>
  <c r="E13" i="16"/>
  <c r="D13" i="16"/>
  <c r="C13" i="16"/>
  <c r="B13" i="16"/>
  <c r="D11" i="16"/>
  <c r="E10" i="16"/>
  <c r="F6" i="16"/>
  <c r="H6" i="16" s="1"/>
  <c r="E6" i="16"/>
  <c r="G6" i="16" s="1"/>
  <c r="D6" i="16"/>
  <c r="F5" i="16"/>
  <c r="H5" i="16" s="1"/>
  <c r="E5" i="16"/>
  <c r="G5" i="16" s="1"/>
  <c r="D5" i="16"/>
  <c r="G4" i="16"/>
  <c r="F4" i="16"/>
  <c r="H4" i="16" s="1"/>
  <c r="D4" i="16"/>
  <c r="E37" i="11"/>
  <c r="E221" i="1" s="1"/>
  <c r="F37" i="11"/>
  <c r="F221" i="1" s="1"/>
  <c r="G37" i="11"/>
  <c r="G221" i="1" s="1"/>
  <c r="AT60" i="10" l="1"/>
  <c r="E102" i="4"/>
  <c r="BT14" i="6"/>
  <c r="BZ14" i="6"/>
  <c r="BN14" i="6"/>
  <c r="D80" i="16"/>
  <c r="BX106" i="16"/>
  <c r="BQ38" i="6" s="1"/>
  <c r="L277" i="9"/>
  <c r="M277" i="9" s="1"/>
  <c r="M208" i="9"/>
  <c r="L209" i="9"/>
  <c r="C210" i="9"/>
  <c r="D210" i="9" s="1"/>
  <c r="M90" i="9"/>
  <c r="L91" i="9"/>
  <c r="C91" i="9"/>
  <c r="D90" i="9"/>
  <c r="C142" i="9"/>
  <c r="D142" i="9" s="1"/>
  <c r="L141" i="9"/>
  <c r="M141" i="9" s="1"/>
  <c r="L176" i="9"/>
  <c r="M175" i="9"/>
  <c r="D177" i="9"/>
  <c r="C175" i="9"/>
  <c r="I190" i="11"/>
  <c r="CA110" i="11"/>
  <c r="BN42" i="6" s="1"/>
  <c r="I190" i="16"/>
  <c r="K190" i="16" s="1"/>
  <c r="BT42" i="6"/>
  <c r="D191" i="17"/>
  <c r="CA111" i="17" s="1"/>
  <c r="D191" i="16"/>
  <c r="CA111" i="16" s="1"/>
  <c r="D191" i="11"/>
  <c r="BZ42" i="6"/>
  <c r="I190" i="17"/>
  <c r="N203" i="17"/>
  <c r="N202" i="16"/>
  <c r="J207" i="16"/>
  <c r="N202" i="11"/>
  <c r="BQ27" i="6"/>
  <c r="I135" i="16"/>
  <c r="I139" i="16"/>
  <c r="BQ15" i="6"/>
  <c r="BW15" i="6"/>
  <c r="I138" i="16"/>
  <c r="I146" i="16"/>
  <c r="D101" i="4"/>
  <c r="BK14" i="6"/>
  <c r="I137" i="16"/>
  <c r="I136" i="16"/>
  <c r="I140" i="16"/>
  <c r="I137" i="17"/>
  <c r="D98" i="17"/>
  <c r="D138" i="17"/>
  <c r="BX98" i="17" s="1"/>
  <c r="BW30" i="6" s="1"/>
  <c r="G80" i="16"/>
  <c r="H80" i="16"/>
  <c r="H17" i="16" s="1"/>
  <c r="E109" i="16"/>
  <c r="E80" i="16"/>
  <c r="N59" i="16"/>
  <c r="N63" i="16"/>
  <c r="F80" i="16"/>
  <c r="N62" i="16"/>
  <c r="N61" i="16"/>
  <c r="N60" i="16"/>
  <c r="N64" i="16"/>
  <c r="AY25" i="19"/>
  <c r="AX25" i="19"/>
  <c r="C281" i="1"/>
  <c r="H280" i="1"/>
  <c r="R280" i="1"/>
  <c r="O107" i="19" s="1"/>
  <c r="M213" i="7"/>
  <c r="Y213" i="7"/>
  <c r="E113" i="17"/>
  <c r="C210" i="7"/>
  <c r="O93" i="9"/>
  <c r="O229" i="9"/>
  <c r="N92" i="9"/>
  <c r="N228" i="9"/>
  <c r="O92" i="9"/>
  <c r="O228" i="9"/>
  <c r="N95" i="9"/>
  <c r="N231" i="9"/>
  <c r="AY23" i="18"/>
  <c r="AX23" i="18"/>
  <c r="C228" i="9"/>
  <c r="D227" i="9"/>
  <c r="L227" i="9"/>
  <c r="M227" i="9"/>
  <c r="W113" i="17"/>
  <c r="N150" i="17"/>
  <c r="M109" i="16"/>
  <c r="M110" i="16" s="1"/>
  <c r="N109" i="16"/>
  <c r="N110" i="16" s="1"/>
  <c r="N111" i="16" s="1"/>
  <c r="N112" i="16" s="1"/>
  <c r="N113" i="16" s="1"/>
  <c r="N114" i="16" s="1"/>
  <c r="N115" i="16" s="1"/>
  <c r="N116" i="16" s="1"/>
  <c r="N117" i="16" s="1"/>
  <c r="N118" i="16" s="1"/>
  <c r="N119" i="16" s="1"/>
  <c r="N120" i="16" s="1"/>
  <c r="N121" i="16" s="1"/>
  <c r="N122" i="16" s="1"/>
  <c r="N123" i="16" s="1"/>
  <c r="N124" i="16" s="1"/>
  <c r="N125" i="16" s="1"/>
  <c r="N126" i="16" s="1"/>
  <c r="N127" i="16" s="1"/>
  <c r="N128" i="16" s="1"/>
  <c r="O109" i="16"/>
  <c r="O110" i="16" s="1"/>
  <c r="O111" i="16" s="1"/>
  <c r="O112" i="16" s="1"/>
  <c r="O113" i="16" s="1"/>
  <c r="O114" i="16" s="1"/>
  <c r="O115" i="16" s="1"/>
  <c r="O116" i="16" s="1"/>
  <c r="O117" i="16" s="1"/>
  <c r="O118" i="16" s="1"/>
  <c r="O119" i="16" s="1"/>
  <c r="O120" i="16" s="1"/>
  <c r="O121" i="16" s="1"/>
  <c r="O122" i="16" s="1"/>
  <c r="O123" i="16" s="1"/>
  <c r="O124" i="16" s="1"/>
  <c r="O125" i="16" s="1"/>
  <c r="O126" i="16" s="1"/>
  <c r="O127" i="16" s="1"/>
  <c r="O128" i="16" s="1"/>
  <c r="W106" i="16"/>
  <c r="N150" i="16"/>
  <c r="AT59" i="10" l="1"/>
  <c r="E101" i="4"/>
  <c r="BT13" i="6"/>
  <c r="BZ13" i="6"/>
  <c r="BN13" i="6"/>
  <c r="J175" i="16"/>
  <c r="K175" i="16" s="1"/>
  <c r="J135" i="16"/>
  <c r="H18" i="16"/>
  <c r="L278" i="9"/>
  <c r="M278" i="9" s="1"/>
  <c r="L210" i="9"/>
  <c r="M209" i="9"/>
  <c r="C211" i="9"/>
  <c r="D211" i="9" s="1"/>
  <c r="C92" i="9"/>
  <c r="D91" i="9"/>
  <c r="M91" i="9"/>
  <c r="L92" i="9"/>
  <c r="L177" i="9"/>
  <c r="L142" i="9"/>
  <c r="M142" i="9" s="1"/>
  <c r="C143" i="9"/>
  <c r="D143" i="9" s="1"/>
  <c r="C176" i="9"/>
  <c r="D178" i="9"/>
  <c r="M176" i="9"/>
  <c r="I191" i="11"/>
  <c r="CA111" i="11"/>
  <c r="BN43" i="6" s="1"/>
  <c r="I191" i="16"/>
  <c r="K191" i="16" s="1"/>
  <c r="BT43" i="6"/>
  <c r="K190" i="17"/>
  <c r="BZ43" i="6"/>
  <c r="I191" i="17"/>
  <c r="D192" i="17"/>
  <c r="CA112" i="17" s="1"/>
  <c r="D192" i="11"/>
  <c r="D192" i="16"/>
  <c r="CA112" i="16" s="1"/>
  <c r="N204" i="17"/>
  <c r="J208" i="16"/>
  <c r="N203" i="16"/>
  <c r="N203" i="11"/>
  <c r="D100" i="4"/>
  <c r="BK13" i="6"/>
  <c r="K135" i="16"/>
  <c r="BQ14" i="6"/>
  <c r="BW14" i="6"/>
  <c r="D101" i="17"/>
  <c r="D141" i="17"/>
  <c r="BX101" i="17" s="1"/>
  <c r="BW33" i="6" s="1"/>
  <c r="D141" i="16"/>
  <c r="BX101" i="16" s="1"/>
  <c r="BQ33" i="6" s="1"/>
  <c r="D101" i="16"/>
  <c r="I138" i="17"/>
  <c r="C173" i="7"/>
  <c r="E110" i="16"/>
  <c r="AX26" i="19"/>
  <c r="AY26" i="19"/>
  <c r="R281" i="1"/>
  <c r="O108" i="19" s="1"/>
  <c r="C282" i="1"/>
  <c r="H281" i="1"/>
  <c r="Y214" i="7"/>
  <c r="M214" i="7"/>
  <c r="E114" i="17"/>
  <c r="C211" i="7"/>
  <c r="N97" i="9"/>
  <c r="N233" i="9"/>
  <c r="N94" i="9"/>
  <c r="N230" i="9"/>
  <c r="O94" i="9"/>
  <c r="O230" i="9"/>
  <c r="O95" i="9"/>
  <c r="O231" i="9"/>
  <c r="AY24" i="18"/>
  <c r="AX24" i="18"/>
  <c r="L228" i="9"/>
  <c r="M228" i="9"/>
  <c r="C229" i="9"/>
  <c r="D228" i="9"/>
  <c r="N151" i="17"/>
  <c r="W114" i="17"/>
  <c r="M111" i="16"/>
  <c r="W107" i="16"/>
  <c r="L109" i="16"/>
  <c r="N151" i="16"/>
  <c r="AT58" i="10" l="1"/>
  <c r="E100" i="4"/>
  <c r="BT12" i="6"/>
  <c r="BZ12" i="6"/>
  <c r="BN12" i="6"/>
  <c r="L279" i="9"/>
  <c r="M279" i="9" s="1"/>
  <c r="M210" i="9"/>
  <c r="L211" i="9"/>
  <c r="C212" i="9"/>
  <c r="D212" i="9" s="1"/>
  <c r="M92" i="9"/>
  <c r="L93" i="9"/>
  <c r="C93" i="9"/>
  <c r="D92" i="9"/>
  <c r="L143" i="9"/>
  <c r="M143" i="9" s="1"/>
  <c r="L178" i="9"/>
  <c r="C144" i="9"/>
  <c r="D144" i="9" s="1"/>
  <c r="D179" i="9"/>
  <c r="M177" i="9"/>
  <c r="C177" i="9"/>
  <c r="I192" i="11"/>
  <c r="CA112" i="11"/>
  <c r="BN44" i="6" s="1"/>
  <c r="I192" i="16"/>
  <c r="BT44" i="6"/>
  <c r="K191" i="17"/>
  <c r="BZ44" i="6"/>
  <c r="I192" i="17"/>
  <c r="D193" i="17"/>
  <c r="CA113" i="17" s="1"/>
  <c r="D193" i="11"/>
  <c r="D193" i="16"/>
  <c r="CA113" i="16" s="1"/>
  <c r="N205" i="17"/>
  <c r="N204" i="16"/>
  <c r="N204" i="11"/>
  <c r="BQ13" i="6"/>
  <c r="BW13" i="6"/>
  <c r="D99" i="4"/>
  <c r="BK12" i="6"/>
  <c r="I141" i="16"/>
  <c r="D142" i="17"/>
  <c r="BX102" i="17" s="1"/>
  <c r="BW34" i="6" s="1"/>
  <c r="D102" i="17"/>
  <c r="D102" i="16"/>
  <c r="D142" i="16"/>
  <c r="BX102" i="16" s="1"/>
  <c r="BQ34" i="6" s="1"/>
  <c r="I141" i="17"/>
  <c r="C174" i="7"/>
  <c r="E111" i="16"/>
  <c r="AX27" i="19"/>
  <c r="AY27" i="19"/>
  <c r="C283" i="1"/>
  <c r="H282" i="1"/>
  <c r="R282" i="1"/>
  <c r="O109" i="19" s="1"/>
  <c r="M215" i="7"/>
  <c r="Y215" i="7"/>
  <c r="E115" i="17"/>
  <c r="C212" i="7"/>
  <c r="O97" i="9"/>
  <c r="O233" i="9"/>
  <c r="N96" i="9"/>
  <c r="N232" i="9"/>
  <c r="O96" i="9"/>
  <c r="O232" i="9"/>
  <c r="N99" i="9"/>
  <c r="N235" i="9"/>
  <c r="AY25" i="18"/>
  <c r="AX25" i="18"/>
  <c r="C230" i="9"/>
  <c r="M229" i="9"/>
  <c r="D229" i="9"/>
  <c r="L229" i="9"/>
  <c r="N152" i="17"/>
  <c r="W115" i="17"/>
  <c r="L110" i="16"/>
  <c r="N152" i="16"/>
  <c r="M112" i="16"/>
  <c r="W108" i="16"/>
  <c r="AT57" i="10" l="1"/>
  <c r="E99" i="4"/>
  <c r="BZ11" i="6"/>
  <c r="BT11" i="6"/>
  <c r="BN11" i="6"/>
  <c r="L280" i="9"/>
  <c r="M280" i="9" s="1"/>
  <c r="L212" i="9"/>
  <c r="M211" i="9"/>
  <c r="C213" i="9"/>
  <c r="D213" i="9" s="1"/>
  <c r="C94" i="9"/>
  <c r="D93" i="9"/>
  <c r="M93" i="9"/>
  <c r="L94" i="9"/>
  <c r="L179" i="9"/>
  <c r="L144" i="9"/>
  <c r="M144" i="9" s="1"/>
  <c r="C145" i="9"/>
  <c r="D145" i="9" s="1"/>
  <c r="C178" i="9"/>
  <c r="M178" i="9"/>
  <c r="D180" i="9"/>
  <c r="K192" i="16"/>
  <c r="I193" i="16"/>
  <c r="K193" i="16" s="1"/>
  <c r="BT45" i="6"/>
  <c r="I193" i="11"/>
  <c r="CA113" i="11"/>
  <c r="BN45" i="6" s="1"/>
  <c r="D194" i="17"/>
  <c r="CA114" i="17" s="1"/>
  <c r="D194" i="16"/>
  <c r="CA114" i="16" s="1"/>
  <c r="D194" i="11"/>
  <c r="BZ45" i="6"/>
  <c r="I193" i="17"/>
  <c r="K192" i="17"/>
  <c r="N206" i="17"/>
  <c r="N205" i="16"/>
  <c r="N205" i="11"/>
  <c r="D98" i="4"/>
  <c r="BK11" i="6"/>
  <c r="I142" i="16"/>
  <c r="BW12" i="6"/>
  <c r="BQ12" i="6"/>
  <c r="I142" i="17"/>
  <c r="D103" i="17"/>
  <c r="D143" i="17"/>
  <c r="BX103" i="17" s="1"/>
  <c r="D143" i="16"/>
  <c r="D103" i="16"/>
  <c r="E112" i="16"/>
  <c r="C175" i="7"/>
  <c r="AX28" i="19"/>
  <c r="AY28" i="19"/>
  <c r="R283" i="1"/>
  <c r="O110" i="19" s="1"/>
  <c r="H283" i="1"/>
  <c r="C284" i="1"/>
  <c r="Y216" i="7"/>
  <c r="M216" i="7"/>
  <c r="E116" i="17"/>
  <c r="C213" i="7"/>
  <c r="N101" i="9"/>
  <c r="N237" i="9"/>
  <c r="N98" i="9"/>
  <c r="N234" i="9"/>
  <c r="O98" i="9"/>
  <c r="O234" i="9"/>
  <c r="O99" i="9"/>
  <c r="O235" i="9"/>
  <c r="AY26" i="18"/>
  <c r="AX26" i="18"/>
  <c r="M230" i="9"/>
  <c r="L230" i="9"/>
  <c r="D230" i="9"/>
  <c r="C231" i="9"/>
  <c r="W116" i="17"/>
  <c r="N153" i="17"/>
  <c r="W109" i="16"/>
  <c r="M113" i="16"/>
  <c r="N153" i="16"/>
  <c r="L111" i="16"/>
  <c r="BK10" i="6" l="1"/>
  <c r="BW10" i="6" s="1"/>
  <c r="AT56" i="10"/>
  <c r="E98" i="4"/>
  <c r="BZ10" i="6"/>
  <c r="BT10" i="6"/>
  <c r="BN10" i="6"/>
  <c r="BX103" i="16"/>
  <c r="BQ35" i="6" s="1"/>
  <c r="L281" i="9"/>
  <c r="M281" i="9" s="1"/>
  <c r="M212" i="9"/>
  <c r="L213" i="9"/>
  <c r="C214" i="9"/>
  <c r="D214" i="9" s="1"/>
  <c r="M94" i="9"/>
  <c r="L95" i="9"/>
  <c r="C95" i="9"/>
  <c r="D94" i="9"/>
  <c r="L180" i="9"/>
  <c r="C146" i="9"/>
  <c r="D146" i="9" s="1"/>
  <c r="L145" i="9"/>
  <c r="M145" i="9" s="1"/>
  <c r="C179" i="9"/>
  <c r="M179" i="9"/>
  <c r="D181" i="9"/>
  <c r="I194" i="16"/>
  <c r="K194" i="16" s="1"/>
  <c r="BT46" i="6"/>
  <c r="I194" i="11"/>
  <c r="CA114" i="11"/>
  <c r="BN46" i="6" s="1"/>
  <c r="D195" i="17"/>
  <c r="CA115" i="17" s="1"/>
  <c r="D195" i="16"/>
  <c r="CA115" i="16" s="1"/>
  <c r="D195" i="11"/>
  <c r="K193" i="17"/>
  <c r="BZ46" i="6"/>
  <c r="I194" i="17"/>
  <c r="N207" i="17"/>
  <c r="N206" i="16"/>
  <c r="N206" i="11"/>
  <c r="BQ11" i="6"/>
  <c r="BW11" i="6"/>
  <c r="I143" i="16"/>
  <c r="I143" i="17"/>
  <c r="BW35" i="6"/>
  <c r="D144" i="17"/>
  <c r="BX104" i="17" s="1"/>
  <c r="D104" i="17"/>
  <c r="D104" i="16"/>
  <c r="D144" i="16"/>
  <c r="E113" i="16"/>
  <c r="C176" i="7"/>
  <c r="AX29" i="19"/>
  <c r="AY29" i="19"/>
  <c r="C285" i="1"/>
  <c r="H284" i="1"/>
  <c r="R284" i="1"/>
  <c r="O111" i="19" s="1"/>
  <c r="M217" i="7"/>
  <c r="Y217" i="7"/>
  <c r="E117" i="17"/>
  <c r="C214" i="7"/>
  <c r="O101" i="9"/>
  <c r="O237" i="9"/>
  <c r="N100" i="9"/>
  <c r="N236" i="9"/>
  <c r="O100" i="9"/>
  <c r="O236" i="9"/>
  <c r="N103" i="9"/>
  <c r="N239" i="9"/>
  <c r="AY27" i="18"/>
  <c r="AX27" i="18"/>
  <c r="D231" i="9"/>
  <c r="C232" i="9"/>
  <c r="M231" i="9"/>
  <c r="L231" i="9"/>
  <c r="N154" i="17"/>
  <c r="W117" i="17"/>
  <c r="N154" i="16"/>
  <c r="M114" i="16"/>
  <c r="W110" i="16"/>
  <c r="L112" i="16"/>
  <c r="BQ10" i="6" l="1"/>
  <c r="BX104" i="16"/>
  <c r="BQ36" i="6" s="1"/>
  <c r="L282" i="9"/>
  <c r="M282" i="9" s="1"/>
  <c r="L214" i="9"/>
  <c r="M213" i="9"/>
  <c r="C215" i="9"/>
  <c r="D215" i="9" s="1"/>
  <c r="C96" i="9"/>
  <c r="D95" i="9"/>
  <c r="M95" i="9"/>
  <c r="L96" i="9"/>
  <c r="C147" i="9"/>
  <c r="D147" i="9" s="1"/>
  <c r="L181" i="9"/>
  <c r="L146" i="9"/>
  <c r="M146" i="9" s="1"/>
  <c r="M180" i="9"/>
  <c r="D182" i="9"/>
  <c r="C180" i="9"/>
  <c r="I195" i="11"/>
  <c r="CA115" i="11"/>
  <c r="BN47" i="6" s="1"/>
  <c r="I195" i="16"/>
  <c r="K195" i="16" s="1"/>
  <c r="BT47" i="6"/>
  <c r="K194" i="17"/>
  <c r="BZ47" i="6"/>
  <c r="I195" i="17"/>
  <c r="D196" i="17"/>
  <c r="CA116" i="17" s="1"/>
  <c r="D196" i="11"/>
  <c r="D196" i="16"/>
  <c r="CA116" i="16" s="1"/>
  <c r="N208" i="17"/>
  <c r="N207" i="16"/>
  <c r="N207" i="11"/>
  <c r="I144" i="16"/>
  <c r="I144" i="17"/>
  <c r="BW36" i="6"/>
  <c r="D105" i="17"/>
  <c r="D145" i="17"/>
  <c r="BX105" i="17" s="1"/>
  <c r="D145" i="16"/>
  <c r="D105" i="16"/>
  <c r="E114" i="16"/>
  <c r="C177" i="7"/>
  <c r="AX30" i="19"/>
  <c r="AY30" i="19"/>
  <c r="R285" i="1"/>
  <c r="O112" i="19" s="1"/>
  <c r="C286" i="1"/>
  <c r="H285" i="1"/>
  <c r="Y218" i="7"/>
  <c r="M218" i="7"/>
  <c r="E118" i="17"/>
  <c r="C215" i="7"/>
  <c r="N105" i="9"/>
  <c r="N241" i="9"/>
  <c r="N102" i="9"/>
  <c r="N238" i="9"/>
  <c r="O102" i="9"/>
  <c r="O238" i="9"/>
  <c r="O103" i="9"/>
  <c r="O239" i="9"/>
  <c r="AY28" i="18"/>
  <c r="AX28" i="18"/>
  <c r="L232" i="9"/>
  <c r="D232" i="9"/>
  <c r="M232" i="9"/>
  <c r="C233" i="9"/>
  <c r="W118" i="17"/>
  <c r="N155" i="17"/>
  <c r="L113" i="16"/>
  <c r="M115" i="16"/>
  <c r="W111" i="16"/>
  <c r="N155" i="16"/>
  <c r="BX105" i="16" l="1"/>
  <c r="BQ37" i="6" s="1"/>
  <c r="L283" i="9"/>
  <c r="M283" i="9" s="1"/>
  <c r="M214" i="9"/>
  <c r="L215" i="9"/>
  <c r="C216" i="9"/>
  <c r="C97" i="9"/>
  <c r="D96" i="9"/>
  <c r="M96" i="9"/>
  <c r="L97" i="9"/>
  <c r="L147" i="9"/>
  <c r="M147" i="9" s="1"/>
  <c r="L182" i="9"/>
  <c r="C148" i="9"/>
  <c r="C181" i="9"/>
  <c r="M181" i="9"/>
  <c r="I196" i="16"/>
  <c r="K196" i="16" s="1"/>
  <c r="BT48" i="6"/>
  <c r="I196" i="11"/>
  <c r="CA116" i="11"/>
  <c r="BN48" i="6" s="1"/>
  <c r="K195" i="17"/>
  <c r="BZ48" i="6"/>
  <c r="I196" i="17"/>
  <c r="D197" i="17"/>
  <c r="CA117" i="17" s="1"/>
  <c r="D197" i="16"/>
  <c r="CA117" i="16" s="1"/>
  <c r="D197" i="11"/>
  <c r="N208" i="16"/>
  <c r="N208" i="11"/>
  <c r="I145" i="16"/>
  <c r="D147" i="17"/>
  <c r="BX107" i="17" s="1"/>
  <c r="D107" i="17"/>
  <c r="D107" i="16"/>
  <c r="D147" i="16"/>
  <c r="I145" i="17"/>
  <c r="BW37" i="6"/>
  <c r="E115" i="16"/>
  <c r="C178" i="7"/>
  <c r="AX31" i="19"/>
  <c r="AY31" i="19"/>
  <c r="C287" i="1"/>
  <c r="H286" i="1"/>
  <c r="R286" i="1"/>
  <c r="O113" i="19" s="1"/>
  <c r="Y219" i="7"/>
  <c r="M219" i="7"/>
  <c r="E119" i="17"/>
  <c r="C216" i="7"/>
  <c r="N104" i="9"/>
  <c r="N240" i="9"/>
  <c r="O105" i="9"/>
  <c r="O241" i="9"/>
  <c r="O104" i="9"/>
  <c r="O240" i="9"/>
  <c r="N107" i="9"/>
  <c r="N243" i="9"/>
  <c r="AX29" i="18"/>
  <c r="AY29" i="18"/>
  <c r="C234" i="9"/>
  <c r="M233" i="9"/>
  <c r="D233" i="9"/>
  <c r="L233" i="9"/>
  <c r="W119" i="17"/>
  <c r="N156" i="17"/>
  <c r="M116" i="16"/>
  <c r="N156" i="16"/>
  <c r="L114" i="16"/>
  <c r="W112" i="16"/>
  <c r="BX107" i="16" l="1"/>
  <c r="BQ39" i="6" s="1"/>
  <c r="D216" i="9"/>
  <c r="L284" i="9"/>
  <c r="L216" i="9"/>
  <c r="M216" i="9" s="1"/>
  <c r="M215" i="9"/>
  <c r="M97" i="9"/>
  <c r="L98" i="9"/>
  <c r="D148" i="9"/>
  <c r="C98" i="9"/>
  <c r="D97" i="9"/>
  <c r="L148" i="9"/>
  <c r="M148" i="9" s="1"/>
  <c r="C182" i="9"/>
  <c r="M182" i="9"/>
  <c r="I197" i="16"/>
  <c r="K197" i="16" s="1"/>
  <c r="BT49" i="6"/>
  <c r="I197" i="11"/>
  <c r="CA117" i="11"/>
  <c r="BN49" i="6" s="1"/>
  <c r="I197" i="17"/>
  <c r="BZ49" i="6"/>
  <c r="D198" i="17"/>
  <c r="CA118" i="17" s="1"/>
  <c r="D198" i="16"/>
  <c r="CA118" i="16" s="1"/>
  <c r="D198" i="11"/>
  <c r="K196" i="17"/>
  <c r="I147" i="17"/>
  <c r="BW39" i="6"/>
  <c r="I147" i="16"/>
  <c r="D108" i="17"/>
  <c r="D148" i="17"/>
  <c r="BX108" i="17" s="1"/>
  <c r="D148" i="16"/>
  <c r="D108" i="16"/>
  <c r="E116" i="16"/>
  <c r="C179" i="7"/>
  <c r="AX32" i="19"/>
  <c r="AY32" i="19"/>
  <c r="R287" i="1"/>
  <c r="O114" i="19" s="1"/>
  <c r="H287" i="1"/>
  <c r="C288" i="1"/>
  <c r="Y220" i="7"/>
  <c r="M220" i="7"/>
  <c r="E120" i="17"/>
  <c r="C217" i="7"/>
  <c r="N109" i="9"/>
  <c r="N245" i="9"/>
  <c r="O107" i="9"/>
  <c r="O243" i="9"/>
  <c r="O106" i="9"/>
  <c r="O242" i="9"/>
  <c r="N106" i="9"/>
  <c r="N242" i="9"/>
  <c r="AY30" i="18"/>
  <c r="AX30" i="18"/>
  <c r="C235" i="9"/>
  <c r="L234" i="9"/>
  <c r="D234" i="9"/>
  <c r="M234" i="9"/>
  <c r="N157" i="17"/>
  <c r="W120" i="17"/>
  <c r="W113" i="16"/>
  <c r="L115" i="16"/>
  <c r="M117" i="16"/>
  <c r="N157" i="16"/>
  <c r="BX108" i="16" l="1"/>
  <c r="BQ40" i="6" s="1"/>
  <c r="M284" i="9"/>
  <c r="C99" i="9"/>
  <c r="D98" i="9"/>
  <c r="M98" i="9"/>
  <c r="L99" i="9"/>
  <c r="I198" i="11"/>
  <c r="CA118" i="11"/>
  <c r="BN50" i="6" s="1"/>
  <c r="I198" i="16"/>
  <c r="K198" i="16" s="1"/>
  <c r="BT50" i="6"/>
  <c r="I198" i="17"/>
  <c r="BZ50" i="6"/>
  <c r="D199" i="17"/>
  <c r="CA119" i="17" s="1"/>
  <c r="D199" i="11"/>
  <c r="D199" i="16"/>
  <c r="CA119" i="16" s="1"/>
  <c r="K197" i="17"/>
  <c r="I148" i="16"/>
  <c r="I148" i="17"/>
  <c r="BW40" i="6"/>
  <c r="D109" i="17"/>
  <c r="D149" i="17"/>
  <c r="BX109" i="17" s="1"/>
  <c r="D109" i="16"/>
  <c r="D149" i="16"/>
  <c r="E117" i="16"/>
  <c r="C180" i="7"/>
  <c r="AX33" i="19"/>
  <c r="AY33" i="19"/>
  <c r="C289" i="1"/>
  <c r="H288" i="1"/>
  <c r="R288" i="1"/>
  <c r="O115" i="19" s="1"/>
  <c r="Y221" i="7"/>
  <c r="M221" i="7"/>
  <c r="E121" i="17"/>
  <c r="C218" i="7"/>
  <c r="N108" i="9"/>
  <c r="N244" i="9"/>
  <c r="O109" i="9"/>
  <c r="O245" i="9"/>
  <c r="O108" i="9"/>
  <c r="O244" i="9"/>
  <c r="N111" i="9"/>
  <c r="N247" i="9"/>
  <c r="AX31" i="18"/>
  <c r="AY31" i="18"/>
  <c r="D235" i="9"/>
  <c r="M235" i="9"/>
  <c r="C236" i="9"/>
  <c r="L235" i="9"/>
  <c r="N158" i="17"/>
  <c r="W121" i="17"/>
  <c r="M118" i="16"/>
  <c r="L116" i="16"/>
  <c r="W114" i="16"/>
  <c r="N158" i="16"/>
  <c r="BX109" i="16" l="1"/>
  <c r="BQ41" i="6" s="1"/>
  <c r="M99" i="9"/>
  <c r="L100" i="9"/>
  <c r="C100" i="9"/>
  <c r="D99" i="9"/>
  <c r="I199" i="16"/>
  <c r="K199" i="16" s="1"/>
  <c r="BT51" i="6"/>
  <c r="I199" i="11"/>
  <c r="CA119" i="11"/>
  <c r="BN51" i="6" s="1"/>
  <c r="I199" i="17"/>
  <c r="BZ51" i="6"/>
  <c r="D200" i="17"/>
  <c r="CA120" i="17" s="1"/>
  <c r="D200" i="11"/>
  <c r="D200" i="16"/>
  <c r="CA120" i="16" s="1"/>
  <c r="K198" i="17"/>
  <c r="I149" i="16"/>
  <c r="D150" i="17"/>
  <c r="BX110" i="17" s="1"/>
  <c r="D110" i="17"/>
  <c r="D150" i="16"/>
  <c r="D110" i="16"/>
  <c r="I149" i="17"/>
  <c r="BW41" i="6"/>
  <c r="E118" i="16"/>
  <c r="C181" i="7"/>
  <c r="AY34" i="19"/>
  <c r="AX34" i="19"/>
  <c r="R289" i="1"/>
  <c r="O116" i="19" s="1"/>
  <c r="C290" i="1"/>
  <c r="H289" i="1"/>
  <c r="M222" i="7"/>
  <c r="Y222" i="7"/>
  <c r="E122" i="17"/>
  <c r="C219" i="7"/>
  <c r="N113" i="9"/>
  <c r="N249" i="9"/>
  <c r="O111" i="9"/>
  <c r="O247" i="9"/>
  <c r="O110" i="9"/>
  <c r="O246" i="9"/>
  <c r="N110" i="9"/>
  <c r="N246" i="9"/>
  <c r="AX32" i="18"/>
  <c r="AY32" i="18"/>
  <c r="C237" i="9"/>
  <c r="L236" i="9"/>
  <c r="M236" i="9"/>
  <c r="D236" i="9"/>
  <c r="W122" i="17"/>
  <c r="N159" i="17"/>
  <c r="L117" i="16"/>
  <c r="W115" i="16"/>
  <c r="M119" i="16"/>
  <c r="N159" i="16"/>
  <c r="BX110" i="16" l="1"/>
  <c r="BQ42" i="6" s="1"/>
  <c r="C101" i="9"/>
  <c r="D100" i="9"/>
  <c r="M100" i="9"/>
  <c r="L101" i="9"/>
  <c r="I200" i="16"/>
  <c r="K200" i="16" s="1"/>
  <c r="BT52" i="6"/>
  <c r="I200" i="11"/>
  <c r="CA120" i="11"/>
  <c r="BN52" i="6" s="1"/>
  <c r="D201" i="17"/>
  <c r="CA121" i="17" s="1"/>
  <c r="D201" i="11"/>
  <c r="D201" i="16"/>
  <c r="CA121" i="16" s="1"/>
  <c r="K199" i="17"/>
  <c r="I200" i="17"/>
  <c r="BZ52" i="6"/>
  <c r="I150" i="17"/>
  <c r="BW42" i="6"/>
  <c r="I150" i="16"/>
  <c r="D111" i="17"/>
  <c r="D151" i="17"/>
  <c r="BX111" i="17" s="1"/>
  <c r="D111" i="16"/>
  <c r="D151" i="16"/>
  <c r="E119" i="16"/>
  <c r="C182" i="7"/>
  <c r="AY35" i="19"/>
  <c r="AX35" i="19"/>
  <c r="C291" i="1"/>
  <c r="H290" i="1"/>
  <c r="R290" i="1"/>
  <c r="O117" i="19" s="1"/>
  <c r="Y223" i="7"/>
  <c r="M223" i="7"/>
  <c r="E123" i="17"/>
  <c r="C220" i="7"/>
  <c r="N112" i="9"/>
  <c r="N248" i="9"/>
  <c r="O113" i="9"/>
  <c r="O249" i="9"/>
  <c r="O112" i="9"/>
  <c r="O248" i="9"/>
  <c r="AX33" i="18"/>
  <c r="AY33" i="18"/>
  <c r="M237" i="9"/>
  <c r="L237" i="9"/>
  <c r="D237" i="9"/>
  <c r="C238" i="9"/>
  <c r="W123" i="17"/>
  <c r="N160" i="17"/>
  <c r="M120" i="16"/>
  <c r="N160" i="16"/>
  <c r="W116" i="16"/>
  <c r="L118" i="16"/>
  <c r="BX111" i="16" l="1"/>
  <c r="BQ43" i="6" s="1"/>
  <c r="M101" i="9"/>
  <c r="L102" i="9"/>
  <c r="D101" i="9"/>
  <c r="C102" i="9"/>
  <c r="I201" i="16"/>
  <c r="K201" i="16" s="1"/>
  <c r="BT53" i="6"/>
  <c r="I201" i="11"/>
  <c r="CA121" i="11"/>
  <c r="BN53" i="6" s="1"/>
  <c r="I201" i="17"/>
  <c r="BZ53" i="6"/>
  <c r="K200" i="17"/>
  <c r="D202" i="17"/>
  <c r="CA122" i="17" s="1"/>
  <c r="D202" i="16"/>
  <c r="CA122" i="16" s="1"/>
  <c r="D202" i="11"/>
  <c r="I151" i="16"/>
  <c r="D152" i="17"/>
  <c r="BX112" i="17" s="1"/>
  <c r="D112" i="17"/>
  <c r="D152" i="16"/>
  <c r="D112" i="16"/>
  <c r="I151" i="17"/>
  <c r="BW43" i="6"/>
  <c r="E120" i="16"/>
  <c r="C183" i="7"/>
  <c r="AY36" i="19"/>
  <c r="AX36" i="19"/>
  <c r="R291" i="1"/>
  <c r="O118" i="19" s="1"/>
  <c r="H291" i="1"/>
  <c r="Y224" i="7"/>
  <c r="M224" i="7"/>
  <c r="E124" i="17"/>
  <c r="C221" i="7"/>
  <c r="O114" i="9"/>
  <c r="O250" i="9"/>
  <c r="N114" i="9"/>
  <c r="N250" i="9"/>
  <c r="AY34" i="18"/>
  <c r="AX34" i="18"/>
  <c r="D238" i="9"/>
  <c r="C239" i="9"/>
  <c r="L238" i="9"/>
  <c r="M238" i="9"/>
  <c r="N161" i="17"/>
  <c r="W124" i="17"/>
  <c r="M121" i="16"/>
  <c r="L119" i="16"/>
  <c r="W117" i="16"/>
  <c r="N161" i="16"/>
  <c r="BX112" i="16" l="1"/>
  <c r="BQ44" i="6" s="1"/>
  <c r="C103" i="9"/>
  <c r="D102" i="9"/>
  <c r="M102" i="9"/>
  <c r="L103" i="9"/>
  <c r="N116" i="9"/>
  <c r="N118" i="9" s="1"/>
  <c r="N120" i="9" s="1"/>
  <c r="N150" i="9"/>
  <c r="N152" i="9" s="1"/>
  <c r="N154" i="9" s="1"/>
  <c r="O150" i="9"/>
  <c r="O152" i="9" s="1"/>
  <c r="O154" i="9" s="1"/>
  <c r="O116" i="9"/>
  <c r="O118" i="9" s="1"/>
  <c r="O120" i="9" s="1"/>
  <c r="I202" i="11"/>
  <c r="CA122" i="11"/>
  <c r="BN54" i="6" s="1"/>
  <c r="I202" i="16"/>
  <c r="K202" i="16" s="1"/>
  <c r="BT54" i="6"/>
  <c r="K201" i="17"/>
  <c r="I202" i="17"/>
  <c r="BZ54" i="6"/>
  <c r="D203" i="17"/>
  <c r="CA123" i="17" s="1"/>
  <c r="D203" i="16"/>
  <c r="CA123" i="16" s="1"/>
  <c r="D203" i="11"/>
  <c r="I152" i="17"/>
  <c r="BW44" i="6"/>
  <c r="I152" i="16"/>
  <c r="D113" i="17"/>
  <c r="D153" i="17"/>
  <c r="BX113" i="17" s="1"/>
  <c r="D113" i="16"/>
  <c r="D153" i="16"/>
  <c r="E121" i="16"/>
  <c r="C184" i="7"/>
  <c r="AX37" i="19"/>
  <c r="AY37" i="19"/>
  <c r="Y225" i="7"/>
  <c r="M225" i="7"/>
  <c r="E125" i="17"/>
  <c r="C222" i="7"/>
  <c r="AY35" i="18"/>
  <c r="AX35" i="18"/>
  <c r="L239" i="9"/>
  <c r="D239" i="9"/>
  <c r="M239" i="9"/>
  <c r="C240" i="9"/>
  <c r="W125" i="17"/>
  <c r="N162" i="17"/>
  <c r="N162" i="16"/>
  <c r="W118" i="16"/>
  <c r="M122" i="16"/>
  <c r="L120" i="16"/>
  <c r="BX113" i="16" l="1"/>
  <c r="BQ45" i="6" s="1"/>
  <c r="M103" i="9"/>
  <c r="L104" i="9"/>
  <c r="C104" i="9"/>
  <c r="D103" i="9"/>
  <c r="O122" i="9"/>
  <c r="O156" i="9"/>
  <c r="N156" i="9"/>
  <c r="N122" i="9"/>
  <c r="I203" i="11"/>
  <c r="CA123" i="11"/>
  <c r="BN55" i="6" s="1"/>
  <c r="I203" i="16"/>
  <c r="K203" i="16" s="1"/>
  <c r="BT55" i="6"/>
  <c r="I203" i="17"/>
  <c r="BZ55" i="6"/>
  <c r="D204" i="17"/>
  <c r="CA124" i="17" s="1"/>
  <c r="D204" i="11"/>
  <c r="D204" i="16"/>
  <c r="CA124" i="16" s="1"/>
  <c r="K202" i="17"/>
  <c r="I153" i="16"/>
  <c r="D154" i="17"/>
  <c r="BX114" i="17" s="1"/>
  <c r="D114" i="17"/>
  <c r="D154" i="16"/>
  <c r="D114" i="16"/>
  <c r="I153" i="17"/>
  <c r="BW45" i="6"/>
  <c r="E122" i="16"/>
  <c r="C185" i="7"/>
  <c r="AY38" i="19"/>
  <c r="AX38" i="19"/>
  <c r="M226" i="7"/>
  <c r="Y226" i="7"/>
  <c r="E126" i="17"/>
  <c r="C223" i="7"/>
  <c r="AX36" i="18"/>
  <c r="AY36" i="18"/>
  <c r="M240" i="9"/>
  <c r="D240" i="9"/>
  <c r="C241" i="9"/>
  <c r="L240" i="9"/>
  <c r="N163" i="17"/>
  <c r="W126" i="17"/>
  <c r="N163" i="16"/>
  <c r="M123" i="16"/>
  <c r="L121" i="16"/>
  <c r="W119" i="16"/>
  <c r="BX114" i="16" l="1"/>
  <c r="BQ46" i="6" s="1"/>
  <c r="C105" i="9"/>
  <c r="D104" i="9"/>
  <c r="M104" i="9"/>
  <c r="L105" i="9"/>
  <c r="N124" i="9"/>
  <c r="O158" i="9"/>
  <c r="N158" i="9"/>
  <c r="O124" i="9"/>
  <c r="I204" i="16"/>
  <c r="K204" i="16" s="1"/>
  <c r="BT56" i="6"/>
  <c r="I204" i="11"/>
  <c r="CA124" i="11"/>
  <c r="BN56" i="6" s="1"/>
  <c r="K203" i="17"/>
  <c r="D205" i="17"/>
  <c r="CA125" i="17" s="1"/>
  <c r="D205" i="16"/>
  <c r="CA125" i="16" s="1"/>
  <c r="D205" i="11"/>
  <c r="I204" i="17"/>
  <c r="BZ56" i="6"/>
  <c r="I154" i="17"/>
  <c r="BW46" i="6"/>
  <c r="D115" i="17"/>
  <c r="D155" i="17"/>
  <c r="BX115" i="17" s="1"/>
  <c r="D115" i="16"/>
  <c r="D155" i="16"/>
  <c r="I154" i="16"/>
  <c r="E123" i="16"/>
  <c r="C186" i="7"/>
  <c r="AX39" i="19"/>
  <c r="AY39" i="19"/>
  <c r="E127" i="17"/>
  <c r="C224" i="7"/>
  <c r="AX37" i="18"/>
  <c r="AY37" i="18"/>
  <c r="M241" i="9"/>
  <c r="L241" i="9"/>
  <c r="C242" i="9"/>
  <c r="D241" i="9"/>
  <c r="W127" i="17"/>
  <c r="N164" i="17"/>
  <c r="L122" i="16"/>
  <c r="M124" i="16"/>
  <c r="W120" i="16"/>
  <c r="N164" i="16"/>
  <c r="BX115" i="16" l="1"/>
  <c r="BQ47" i="6" s="1"/>
  <c r="M105" i="9"/>
  <c r="L106" i="9"/>
  <c r="C106" i="9"/>
  <c r="D105" i="9"/>
  <c r="O126" i="9"/>
  <c r="O160" i="9"/>
  <c r="N160" i="9"/>
  <c r="N126" i="9"/>
  <c r="I205" i="11"/>
  <c r="CA125" i="11"/>
  <c r="BN57" i="6" s="1"/>
  <c r="I205" i="16"/>
  <c r="K205" i="16" s="1"/>
  <c r="BT57" i="6"/>
  <c r="K204" i="17"/>
  <c r="D206" i="17"/>
  <c r="CA126" i="17" s="1"/>
  <c r="D206" i="16"/>
  <c r="CA126" i="16" s="1"/>
  <c r="D206" i="11"/>
  <c r="I205" i="17"/>
  <c r="BZ57" i="6"/>
  <c r="I155" i="16"/>
  <c r="I155" i="17"/>
  <c r="BW47" i="6"/>
  <c r="D156" i="17"/>
  <c r="BX116" i="17" s="1"/>
  <c r="D116" i="17"/>
  <c r="D156" i="16"/>
  <c r="D116" i="16"/>
  <c r="E124" i="16"/>
  <c r="C187" i="7"/>
  <c r="AY40" i="19"/>
  <c r="AX40" i="19"/>
  <c r="E128" i="17"/>
  <c r="C226" i="7" s="1"/>
  <c r="C225" i="7"/>
  <c r="AY38" i="18"/>
  <c r="AX38" i="18"/>
  <c r="L242" i="9"/>
  <c r="C243" i="9"/>
  <c r="M242" i="9"/>
  <c r="D242" i="9"/>
  <c r="N165" i="17"/>
  <c r="W128" i="17"/>
  <c r="N165" i="16"/>
  <c r="W121" i="16"/>
  <c r="M125" i="16"/>
  <c r="L123" i="16"/>
  <c r="BX116" i="16" l="1"/>
  <c r="BQ48" i="6" s="1"/>
  <c r="C107" i="9"/>
  <c r="D106" i="9"/>
  <c r="M106" i="9"/>
  <c r="L107" i="9"/>
  <c r="N128" i="9"/>
  <c r="O162" i="9"/>
  <c r="N162" i="9"/>
  <c r="O128" i="9"/>
  <c r="I206" i="16"/>
  <c r="K206" i="16" s="1"/>
  <c r="BT58" i="6"/>
  <c r="I206" i="11"/>
  <c r="CA126" i="11"/>
  <c r="BN58" i="6" s="1"/>
  <c r="I206" i="17"/>
  <c r="BZ58" i="6"/>
  <c r="K205" i="17"/>
  <c r="D207" i="17"/>
  <c r="CA127" i="17" s="1"/>
  <c r="D207" i="16"/>
  <c r="CA127" i="16" s="1"/>
  <c r="D207" i="11"/>
  <c r="I156" i="16"/>
  <c r="I156" i="17"/>
  <c r="BW48" i="6"/>
  <c r="D117" i="17"/>
  <c r="D157" i="17"/>
  <c r="BX117" i="17" s="1"/>
  <c r="D117" i="16"/>
  <c r="D157" i="16"/>
  <c r="E125" i="16"/>
  <c r="C188" i="7"/>
  <c r="AX41" i="19"/>
  <c r="AY41" i="19"/>
  <c r="AY39" i="18"/>
  <c r="AX39" i="18"/>
  <c r="M243" i="9"/>
  <c r="D243" i="9"/>
  <c r="L243" i="9"/>
  <c r="C244" i="9"/>
  <c r="N166" i="17"/>
  <c r="W122" i="16"/>
  <c r="N166" i="16"/>
  <c r="L124" i="16"/>
  <c r="M126" i="16"/>
  <c r="BX117" i="16" l="1"/>
  <c r="BQ49" i="6" s="1"/>
  <c r="M107" i="9"/>
  <c r="L108" i="9"/>
  <c r="C108" i="9"/>
  <c r="D107" i="9"/>
  <c r="O130" i="9"/>
  <c r="O164" i="9"/>
  <c r="N164" i="9"/>
  <c r="N130" i="9"/>
  <c r="I207" i="16"/>
  <c r="BT59" i="6"/>
  <c r="I207" i="11"/>
  <c r="CA127" i="11"/>
  <c r="BN59" i="6" s="1"/>
  <c r="D208" i="17"/>
  <c r="CA128" i="17" s="1"/>
  <c r="D208" i="11"/>
  <c r="D208" i="16"/>
  <c r="CA128" i="16" s="1"/>
  <c r="K206" i="17"/>
  <c r="I207" i="17"/>
  <c r="BZ59" i="6"/>
  <c r="I157" i="16"/>
  <c r="I157" i="17"/>
  <c r="BW49" i="6"/>
  <c r="D158" i="17"/>
  <c r="BX118" i="17" s="1"/>
  <c r="D118" i="17"/>
  <c r="D158" i="16"/>
  <c r="D118" i="16"/>
  <c r="E126" i="16"/>
  <c r="C189" i="7"/>
  <c r="AY42" i="19"/>
  <c r="AX42" i="19"/>
  <c r="AX40" i="18"/>
  <c r="AY40" i="18"/>
  <c r="L244" i="9"/>
  <c r="D244" i="9"/>
  <c r="C245" i="9"/>
  <c r="M244" i="9"/>
  <c r="N167" i="17"/>
  <c r="M127" i="16"/>
  <c r="L125" i="16"/>
  <c r="N167" i="16"/>
  <c r="W123" i="16"/>
  <c r="BX118" i="16" l="1"/>
  <c r="BQ50" i="6" s="1"/>
  <c r="C109" i="9"/>
  <c r="D108" i="9"/>
  <c r="M108" i="9"/>
  <c r="L109" i="9"/>
  <c r="N132" i="9"/>
  <c r="O166" i="9"/>
  <c r="N166" i="9"/>
  <c r="O132" i="9"/>
  <c r="K207" i="16"/>
  <c r="I208" i="16"/>
  <c r="BT60" i="6"/>
  <c r="I208" i="11"/>
  <c r="CA128" i="11"/>
  <c r="BN60" i="6" s="1"/>
  <c r="I208" i="17"/>
  <c r="BZ60" i="6"/>
  <c r="K207" i="17"/>
  <c r="D119" i="17"/>
  <c r="D159" i="17"/>
  <c r="BX119" i="17" s="1"/>
  <c r="D119" i="16"/>
  <c r="D159" i="16"/>
  <c r="I158" i="16"/>
  <c r="I158" i="17"/>
  <c r="BW50" i="6"/>
  <c r="E127" i="16"/>
  <c r="C190" i="7"/>
  <c r="AX43" i="19"/>
  <c r="AY43" i="19"/>
  <c r="AY41" i="18"/>
  <c r="AX41" i="18"/>
  <c r="M245" i="9"/>
  <c r="C246" i="9"/>
  <c r="D245" i="9"/>
  <c r="L245" i="9"/>
  <c r="N168" i="17"/>
  <c r="L126" i="16"/>
  <c r="N168" i="16"/>
  <c r="W124" i="16"/>
  <c r="M128" i="16"/>
  <c r="BX119" i="16" l="1"/>
  <c r="BQ51" i="6" s="1"/>
  <c r="M109" i="9"/>
  <c r="L110" i="9"/>
  <c r="C110" i="9"/>
  <c r="D109" i="9"/>
  <c r="O134" i="9"/>
  <c r="O168" i="9"/>
  <c r="N168" i="9"/>
  <c r="N134" i="9"/>
  <c r="K208" i="16"/>
  <c r="K208" i="17"/>
  <c r="I159" i="17"/>
  <c r="BW51" i="6"/>
  <c r="I159" i="16"/>
  <c r="D160" i="17"/>
  <c r="BX120" i="17" s="1"/>
  <c r="D120" i="17"/>
  <c r="D160" i="16"/>
  <c r="D120" i="16"/>
  <c r="E128" i="16"/>
  <c r="C192" i="7" s="1"/>
  <c r="C191" i="7"/>
  <c r="AY44" i="19"/>
  <c r="AX44" i="19"/>
  <c r="AX42" i="18"/>
  <c r="AY42" i="18"/>
  <c r="D246" i="9"/>
  <c r="L246" i="9"/>
  <c r="C247" i="9"/>
  <c r="M246" i="9"/>
  <c r="W125" i="16"/>
  <c r="L127" i="16"/>
  <c r="BX120" i="16" l="1"/>
  <c r="BQ52" i="6" s="1"/>
  <c r="C111" i="9"/>
  <c r="D110" i="9"/>
  <c r="M110" i="9"/>
  <c r="L111" i="9"/>
  <c r="N136" i="9"/>
  <c r="O170" i="9"/>
  <c r="N170" i="9"/>
  <c r="O136" i="9"/>
  <c r="I160" i="16"/>
  <c r="D121" i="17"/>
  <c r="D161" i="17"/>
  <c r="BX121" i="17" s="1"/>
  <c r="D121" i="16"/>
  <c r="D161" i="16"/>
  <c r="I160" i="17"/>
  <c r="BW52" i="6"/>
  <c r="AY45" i="19"/>
  <c r="AX45" i="19"/>
  <c r="AX43" i="18"/>
  <c r="AY43" i="18"/>
  <c r="C248" i="9"/>
  <c r="L247" i="9"/>
  <c r="M247" i="9"/>
  <c r="D247" i="9"/>
  <c r="L128" i="16"/>
  <c r="W126" i="16"/>
  <c r="BX121" i="16" l="1"/>
  <c r="BQ53" i="6" s="1"/>
  <c r="M111" i="9"/>
  <c r="L112" i="9"/>
  <c r="D111" i="9"/>
  <c r="C112" i="9"/>
  <c r="O138" i="9"/>
  <c r="O172" i="9"/>
  <c r="N172" i="9"/>
  <c r="N138" i="9"/>
  <c r="I161" i="16"/>
  <c r="D162" i="17"/>
  <c r="BX122" i="17" s="1"/>
  <c r="D122" i="17"/>
  <c r="D162" i="16"/>
  <c r="D122" i="16"/>
  <c r="I161" i="17"/>
  <c r="BW53" i="6"/>
  <c r="AY46" i="19"/>
  <c r="AX46" i="19"/>
  <c r="AY44" i="18"/>
  <c r="AX44" i="18"/>
  <c r="D248" i="9"/>
  <c r="C249" i="9"/>
  <c r="M248" i="9"/>
  <c r="L248" i="9"/>
  <c r="W127" i="16"/>
  <c r="BX122" i="16" l="1"/>
  <c r="BQ54" i="6" s="1"/>
  <c r="D112" i="9"/>
  <c r="C113" i="9"/>
  <c r="M112" i="9"/>
  <c r="L113" i="9"/>
  <c r="N140" i="9"/>
  <c r="O174" i="9"/>
  <c r="N174" i="9"/>
  <c r="O140" i="9"/>
  <c r="I162" i="17"/>
  <c r="BW54" i="6"/>
  <c r="D123" i="17"/>
  <c r="D163" i="17"/>
  <c r="BX123" i="17" s="1"/>
  <c r="D123" i="16"/>
  <c r="D163" i="16"/>
  <c r="I162" i="16"/>
  <c r="AX47" i="19"/>
  <c r="AY47" i="19"/>
  <c r="AY45" i="18"/>
  <c r="AX45" i="18"/>
  <c r="L249" i="9"/>
  <c r="M249" i="9"/>
  <c r="C250" i="9"/>
  <c r="D249" i="9"/>
  <c r="W128" i="16"/>
  <c r="BX123" i="16" l="1"/>
  <c r="BQ55" i="6" s="1"/>
  <c r="M113" i="9"/>
  <c r="L114" i="9"/>
  <c r="M114" i="9" s="1"/>
  <c r="D113" i="9"/>
  <c r="C114" i="9"/>
  <c r="D114" i="9" s="1"/>
  <c r="O142" i="9"/>
  <c r="O176" i="9"/>
  <c r="N176" i="9"/>
  <c r="N142" i="9"/>
  <c r="D164" i="17"/>
  <c r="BX124" i="17" s="1"/>
  <c r="D124" i="17"/>
  <c r="D164" i="16"/>
  <c r="D124" i="16"/>
  <c r="I163" i="16"/>
  <c r="I163" i="17"/>
  <c r="BW55" i="6"/>
  <c r="AY48" i="19"/>
  <c r="AX48" i="19"/>
  <c r="AX46" i="18"/>
  <c r="AY46" i="18"/>
  <c r="M250" i="9"/>
  <c r="D250" i="9"/>
  <c r="L250" i="9"/>
  <c r="BX124" i="16" l="1"/>
  <c r="BQ56" i="6" s="1"/>
  <c r="N144" i="9"/>
  <c r="O178" i="9"/>
  <c r="N178" i="9"/>
  <c r="O144" i="9"/>
  <c r="D125" i="17"/>
  <c r="D165" i="17"/>
  <c r="BX125" i="17" s="1"/>
  <c r="D125" i="16"/>
  <c r="D165" i="16"/>
  <c r="I164" i="16"/>
  <c r="I164" i="17"/>
  <c r="BW56" i="6"/>
  <c r="AX49" i="19"/>
  <c r="AY49" i="19"/>
  <c r="AX47" i="18"/>
  <c r="AY47" i="18"/>
  <c r="BX125" i="16" l="1"/>
  <c r="BQ57" i="6" s="1"/>
  <c r="O146" i="9"/>
  <c r="O180" i="9"/>
  <c r="N180" i="9"/>
  <c r="N146" i="9"/>
  <c r="I165" i="17"/>
  <c r="BW57" i="6"/>
  <c r="I165" i="16"/>
  <c r="D166" i="17"/>
  <c r="BX126" i="17" s="1"/>
  <c r="D126" i="17"/>
  <c r="D166" i="16"/>
  <c r="D126" i="16"/>
  <c r="AY50" i="19"/>
  <c r="AX50" i="19"/>
  <c r="AY48" i="18"/>
  <c r="AX48" i="18"/>
  <c r="BX126" i="16" l="1"/>
  <c r="BQ58" i="6" s="1"/>
  <c r="N148" i="9"/>
  <c r="O182" i="9"/>
  <c r="N182" i="9"/>
  <c r="O148" i="9"/>
  <c r="D127" i="17"/>
  <c r="D167" i="17"/>
  <c r="BX127" i="17" s="1"/>
  <c r="D127" i="16"/>
  <c r="D167" i="16"/>
  <c r="I166" i="16"/>
  <c r="I166" i="17"/>
  <c r="BW58" i="6"/>
  <c r="AY51" i="19"/>
  <c r="AX51" i="19"/>
  <c r="AY49" i="18"/>
  <c r="AX49" i="18"/>
  <c r="BX127" i="16" l="1"/>
  <c r="BQ59" i="6" s="1"/>
  <c r="O184" i="9"/>
  <c r="O186" i="9" s="1"/>
  <c r="O188" i="9" s="1"/>
  <c r="N184" i="9"/>
  <c r="N186" i="9" s="1"/>
  <c r="N188" i="9" s="1"/>
  <c r="I167" i="17"/>
  <c r="BW59" i="6"/>
  <c r="I167" i="16"/>
  <c r="D168" i="17"/>
  <c r="BX128" i="17" s="1"/>
  <c r="D128" i="17"/>
  <c r="D168" i="16"/>
  <c r="D128" i="16"/>
  <c r="AX52" i="19"/>
  <c r="AY52" i="19"/>
  <c r="AY50" i="18"/>
  <c r="AX50" i="18"/>
  <c r="BX128" i="16" l="1"/>
  <c r="BQ60" i="6" s="1"/>
  <c r="N190" i="9"/>
  <c r="O190" i="9"/>
  <c r="I168" i="17"/>
  <c r="BW60" i="6"/>
  <c r="I168" i="16"/>
  <c r="AY53" i="19"/>
  <c r="AX53" i="19"/>
  <c r="AX51" i="18"/>
  <c r="AY51" i="18"/>
  <c r="O192" i="9" l="1"/>
  <c r="N192" i="9"/>
  <c r="AY54" i="19"/>
  <c r="AX54" i="19"/>
  <c r="AX52" i="18"/>
  <c r="AY52" i="18"/>
  <c r="N194" i="9" l="1"/>
  <c r="O194" i="9"/>
  <c r="AY55" i="19"/>
  <c r="AX55" i="19"/>
  <c r="AY53" i="18"/>
  <c r="AX53" i="18"/>
  <c r="B136" i="11"/>
  <c r="C136" i="11"/>
  <c r="D136" i="11"/>
  <c r="BX96" i="11" s="1"/>
  <c r="B137" i="11"/>
  <c r="C137" i="11"/>
  <c r="D137" i="11"/>
  <c r="BX97" i="11" s="1"/>
  <c r="B138" i="11"/>
  <c r="C138" i="11"/>
  <c r="D138" i="11"/>
  <c r="BX98" i="11" s="1"/>
  <c r="B139" i="11"/>
  <c r="C139" i="11"/>
  <c r="D139" i="11"/>
  <c r="BX99" i="11" s="1"/>
  <c r="B140" i="11"/>
  <c r="C140" i="11"/>
  <c r="D140" i="11"/>
  <c r="BX100" i="11" s="1"/>
  <c r="B141" i="11"/>
  <c r="C141" i="11"/>
  <c r="D141" i="11"/>
  <c r="BX101" i="11" s="1"/>
  <c r="B142" i="11"/>
  <c r="C142" i="11"/>
  <c r="D142" i="11"/>
  <c r="BX102" i="11" s="1"/>
  <c r="B143" i="11"/>
  <c r="C143" i="11"/>
  <c r="D143" i="11"/>
  <c r="BX103" i="11" s="1"/>
  <c r="B144" i="11"/>
  <c r="C144" i="11"/>
  <c r="D144" i="11"/>
  <c r="BX104" i="11" s="1"/>
  <c r="B145" i="11"/>
  <c r="C145" i="11"/>
  <c r="D145" i="11"/>
  <c r="BX105" i="11" s="1"/>
  <c r="B146" i="11"/>
  <c r="C146" i="11"/>
  <c r="D146" i="11"/>
  <c r="BX106" i="11" s="1"/>
  <c r="B147" i="11"/>
  <c r="C147" i="11"/>
  <c r="D147" i="11"/>
  <c r="BX107" i="11" s="1"/>
  <c r="B148" i="11"/>
  <c r="C148" i="11"/>
  <c r="D148" i="11"/>
  <c r="BX108" i="11" s="1"/>
  <c r="B149" i="11"/>
  <c r="C149" i="11"/>
  <c r="D149" i="11"/>
  <c r="BX109" i="11" s="1"/>
  <c r="B150" i="11"/>
  <c r="C150" i="11"/>
  <c r="D150" i="11"/>
  <c r="BX110" i="11" s="1"/>
  <c r="B151" i="11"/>
  <c r="C151" i="11"/>
  <c r="D151" i="11"/>
  <c r="BX111" i="11" s="1"/>
  <c r="B152" i="11"/>
  <c r="C152" i="11"/>
  <c r="D152" i="11"/>
  <c r="BX112" i="11" s="1"/>
  <c r="B153" i="11"/>
  <c r="C153" i="11"/>
  <c r="D153" i="11"/>
  <c r="BX113" i="11" s="1"/>
  <c r="B154" i="11"/>
  <c r="C154" i="11"/>
  <c r="D154" i="11"/>
  <c r="BX114" i="11" s="1"/>
  <c r="B155" i="11"/>
  <c r="C155" i="11"/>
  <c r="D155" i="11"/>
  <c r="BX115" i="11" s="1"/>
  <c r="B156" i="11"/>
  <c r="C156" i="11"/>
  <c r="D156" i="11"/>
  <c r="BX116" i="11" s="1"/>
  <c r="B157" i="11"/>
  <c r="C157" i="11"/>
  <c r="D157" i="11"/>
  <c r="BX117" i="11" s="1"/>
  <c r="B158" i="11"/>
  <c r="C158" i="11"/>
  <c r="D158" i="11"/>
  <c r="BX118" i="11" s="1"/>
  <c r="B159" i="11"/>
  <c r="C159" i="11"/>
  <c r="D159" i="11"/>
  <c r="BX119" i="11" s="1"/>
  <c r="B160" i="11"/>
  <c r="C160" i="11"/>
  <c r="D160" i="11"/>
  <c r="BX120" i="11" s="1"/>
  <c r="B161" i="11"/>
  <c r="C161" i="11"/>
  <c r="D161" i="11"/>
  <c r="BX121" i="11" s="1"/>
  <c r="B162" i="11"/>
  <c r="C162" i="11"/>
  <c r="D162" i="11"/>
  <c r="BX122" i="11" s="1"/>
  <c r="B163" i="11"/>
  <c r="C163" i="11"/>
  <c r="D163" i="11"/>
  <c r="BX123" i="11" s="1"/>
  <c r="B164" i="11"/>
  <c r="C164" i="11"/>
  <c r="D164" i="11"/>
  <c r="BX124" i="11" s="1"/>
  <c r="B165" i="11"/>
  <c r="C165" i="11"/>
  <c r="D165" i="11"/>
  <c r="BX125" i="11" s="1"/>
  <c r="B166" i="11"/>
  <c r="C166" i="11"/>
  <c r="D166" i="11"/>
  <c r="BX126" i="11" s="1"/>
  <c r="B167" i="11"/>
  <c r="C167" i="11"/>
  <c r="D167" i="11"/>
  <c r="BX127" i="11" s="1"/>
  <c r="B168" i="11"/>
  <c r="C168" i="11"/>
  <c r="D168" i="11"/>
  <c r="BX128" i="11" s="1"/>
  <c r="B135" i="11"/>
  <c r="C135" i="11"/>
  <c r="D135" i="11"/>
  <c r="BX95" i="11" s="1"/>
  <c r="BK27" i="6" s="1"/>
  <c r="P6" i="12"/>
  <c r="O196" i="9" l="1"/>
  <c r="N196" i="9"/>
  <c r="I161" i="11"/>
  <c r="BK53" i="6"/>
  <c r="BK49" i="6"/>
  <c r="I157" i="11"/>
  <c r="BK41" i="6"/>
  <c r="I149" i="11"/>
  <c r="BK58" i="6"/>
  <c r="I166" i="11"/>
  <c r="BK46" i="6"/>
  <c r="I154" i="11"/>
  <c r="BK42" i="6"/>
  <c r="I150" i="11"/>
  <c r="I142" i="11"/>
  <c r="BK34" i="6"/>
  <c r="I167" i="11"/>
  <c r="BK59" i="6"/>
  <c r="BK55" i="6"/>
  <c r="I163" i="11"/>
  <c r="BK51" i="6"/>
  <c r="I159" i="11"/>
  <c r="BK47" i="6"/>
  <c r="I155" i="11"/>
  <c r="BK43" i="6"/>
  <c r="I151" i="11"/>
  <c r="BK39" i="6"/>
  <c r="I147" i="11"/>
  <c r="I143" i="11"/>
  <c r="BK35" i="6"/>
  <c r="I139" i="11"/>
  <c r="BK31" i="6"/>
  <c r="I135" i="11"/>
  <c r="BK57" i="6"/>
  <c r="I165" i="11"/>
  <c r="I153" i="11"/>
  <c r="BK45" i="6"/>
  <c r="I145" i="11"/>
  <c r="BK37" i="6"/>
  <c r="I141" i="11"/>
  <c r="BK33" i="6"/>
  <c r="BK29" i="6"/>
  <c r="I137" i="11"/>
  <c r="BK54" i="6"/>
  <c r="I162" i="11"/>
  <c r="BK50" i="6"/>
  <c r="I158" i="11"/>
  <c r="BK38" i="6"/>
  <c r="I146" i="11"/>
  <c r="BK30" i="6"/>
  <c r="I138" i="11"/>
  <c r="BK60" i="6"/>
  <c r="I168" i="11"/>
  <c r="BK56" i="6"/>
  <c r="I164" i="11"/>
  <c r="BK52" i="6"/>
  <c r="I160" i="11"/>
  <c r="BK48" i="6"/>
  <c r="I156" i="11"/>
  <c r="BK44" i="6"/>
  <c r="I152" i="11"/>
  <c r="BK40" i="6"/>
  <c r="I148" i="11"/>
  <c r="I144" i="11"/>
  <c r="BK36" i="6"/>
  <c r="I140" i="11"/>
  <c r="BK32" i="6"/>
  <c r="BK28" i="6"/>
  <c r="I136" i="11"/>
  <c r="AY56" i="19"/>
  <c r="AX56" i="19"/>
  <c r="AX54" i="18"/>
  <c r="AY54" i="18"/>
  <c r="K23" i="12"/>
  <c r="M23" i="12"/>
  <c r="O23" i="12"/>
  <c r="G35" i="4" s="1"/>
  <c r="J19" i="12"/>
  <c r="L23" i="12"/>
  <c r="N23" i="12"/>
  <c r="J23" i="12"/>
  <c r="L22" i="12"/>
  <c r="M22" i="12"/>
  <c r="N22" i="12"/>
  <c r="O22" i="12"/>
  <c r="P75" i="12"/>
  <c r="P76" i="12"/>
  <c r="P77" i="12"/>
  <c r="P78" i="12"/>
  <c r="P74" i="12"/>
  <c r="K6" i="12"/>
  <c r="L6" i="12"/>
  <c r="M6" i="12"/>
  <c r="N6" i="12"/>
  <c r="O6" i="12"/>
  <c r="N198" i="9" l="1"/>
  <c r="O198" i="9"/>
  <c r="G12" i="17"/>
  <c r="G12" i="16"/>
  <c r="C83" i="17"/>
  <c r="C83" i="16"/>
  <c r="C84" i="17"/>
  <c r="C84" i="16"/>
  <c r="C84" i="11"/>
  <c r="C83" i="11"/>
  <c r="AY57" i="19"/>
  <c r="AX57" i="19"/>
  <c r="AY55" i="18"/>
  <c r="AX55" i="18"/>
  <c r="K15" i="12"/>
  <c r="L15" i="12"/>
  <c r="M15" i="12"/>
  <c r="N15" i="12"/>
  <c r="N20" i="12" s="1"/>
  <c r="O15" i="12"/>
  <c r="M20" i="12"/>
  <c r="O20" i="12"/>
  <c r="K20" i="12"/>
  <c r="J68" i="12"/>
  <c r="J69" i="12"/>
  <c r="J70" i="12"/>
  <c r="O21" i="12"/>
  <c r="N21" i="12"/>
  <c r="M21" i="12"/>
  <c r="L21" i="12"/>
  <c r="K21" i="12"/>
  <c r="K22" i="12" s="1"/>
  <c r="J21" i="12"/>
  <c r="O14" i="12"/>
  <c r="N14" i="12"/>
  <c r="M14" i="12"/>
  <c r="L14" i="12"/>
  <c r="K14" i="12"/>
  <c r="O13" i="12"/>
  <c r="N13" i="12"/>
  <c r="M13" i="12"/>
  <c r="L13" i="12"/>
  <c r="K13" i="12"/>
  <c r="O11" i="12"/>
  <c r="N11" i="12"/>
  <c r="M11" i="12"/>
  <c r="L11" i="12"/>
  <c r="K11" i="12"/>
  <c r="O10" i="12"/>
  <c r="N10" i="12"/>
  <c r="M10" i="12"/>
  <c r="L10" i="12"/>
  <c r="K10" i="12"/>
  <c r="O9" i="12"/>
  <c r="N9" i="12"/>
  <c r="M9" i="12"/>
  <c r="L9" i="12"/>
  <c r="K9" i="12"/>
  <c r="K7" i="12"/>
  <c r="L7" i="12"/>
  <c r="M7" i="12"/>
  <c r="N7" i="12"/>
  <c r="O7" i="12"/>
  <c r="J7" i="12"/>
  <c r="J6" i="12"/>
  <c r="O200" i="9" l="1"/>
  <c r="N200" i="9"/>
  <c r="AY58" i="19"/>
  <c r="AX58" i="19"/>
  <c r="AX56" i="18"/>
  <c r="AY56" i="18"/>
  <c r="J22" i="12"/>
  <c r="N202" i="9" l="1"/>
  <c r="O202" i="9"/>
  <c r="AY59" i="19"/>
  <c r="AX59" i="19"/>
  <c r="AY57" i="18"/>
  <c r="AX57" i="18"/>
  <c r="B31" i="12"/>
  <c r="O204" i="9" l="1"/>
  <c r="N204" i="9"/>
  <c r="AY60" i="19"/>
  <c r="AX60" i="19"/>
  <c r="AY58" i="18"/>
  <c r="AX58" i="18"/>
  <c r="N17" i="12"/>
  <c r="O17" i="12"/>
  <c r="L17" i="12"/>
  <c r="K17" i="12"/>
  <c r="M17" i="12"/>
  <c r="N206" i="9" l="1"/>
  <c r="O206" i="9"/>
  <c r="AX61" i="19"/>
  <c r="AY61" i="19"/>
  <c r="AY59" i="18"/>
  <c r="AX59" i="18"/>
  <c r="D47" i="13"/>
  <c r="E47" i="13"/>
  <c r="F47" i="13"/>
  <c r="G47" i="13"/>
  <c r="C47" i="13"/>
  <c r="C20" i="4"/>
  <c r="C66" i="11" s="1"/>
  <c r="C67" i="11" s="1"/>
  <c r="B33" i="4"/>
  <c r="C60" i="11"/>
  <c r="D60" i="11"/>
  <c r="E60" i="11"/>
  <c r="F60" i="11"/>
  <c r="G60" i="11"/>
  <c r="H60" i="11"/>
  <c r="I60" i="11"/>
  <c r="J60" i="11"/>
  <c r="K60" i="11"/>
  <c r="L60" i="11"/>
  <c r="M60" i="11"/>
  <c r="C61" i="11"/>
  <c r="D61" i="11"/>
  <c r="E61" i="11"/>
  <c r="F61" i="11"/>
  <c r="G61" i="11"/>
  <c r="H61" i="11"/>
  <c r="I61" i="11"/>
  <c r="J61" i="11"/>
  <c r="K61" i="11"/>
  <c r="L61" i="11"/>
  <c r="M61" i="11"/>
  <c r="C62" i="11"/>
  <c r="D62" i="11"/>
  <c r="E62" i="11"/>
  <c r="F62" i="11"/>
  <c r="G62" i="11"/>
  <c r="H62" i="11"/>
  <c r="I62" i="11"/>
  <c r="J62" i="11"/>
  <c r="K62" i="11"/>
  <c r="L62" i="11"/>
  <c r="M62" i="11"/>
  <c r="C63" i="11"/>
  <c r="D63" i="11"/>
  <c r="E63" i="11"/>
  <c r="F63" i="11"/>
  <c r="G63" i="11"/>
  <c r="H63" i="11"/>
  <c r="I63" i="11"/>
  <c r="J63" i="11"/>
  <c r="K63" i="11"/>
  <c r="L63" i="11"/>
  <c r="M63" i="11"/>
  <c r="C64" i="11"/>
  <c r="D64" i="11"/>
  <c r="E64" i="11"/>
  <c r="F64" i="11"/>
  <c r="G64" i="11"/>
  <c r="H64" i="11"/>
  <c r="I64" i="11"/>
  <c r="J64" i="11"/>
  <c r="K64" i="11"/>
  <c r="L64" i="11"/>
  <c r="M64" i="11"/>
  <c r="D59" i="11"/>
  <c r="E59" i="11"/>
  <c r="F59" i="11"/>
  <c r="G59" i="11"/>
  <c r="H59" i="11"/>
  <c r="I59" i="11"/>
  <c r="J59" i="11"/>
  <c r="K59" i="11"/>
  <c r="L59" i="11"/>
  <c r="M59" i="11"/>
  <c r="C59" i="11"/>
  <c r="D11" i="11"/>
  <c r="D35" i="4"/>
  <c r="G12" i="11"/>
  <c r="N140" i="11"/>
  <c r="N145" i="11"/>
  <c r="N146" i="11" s="1"/>
  <c r="N147" i="11" s="1"/>
  <c r="W105" i="11"/>
  <c r="W106" i="11" s="1"/>
  <c r="W107" i="11" s="1"/>
  <c r="W108" i="11" s="1"/>
  <c r="W100" i="11"/>
  <c r="G134" i="11"/>
  <c r="H134" i="11" s="1"/>
  <c r="F26" i="11"/>
  <c r="D27" i="11"/>
  <c r="D26" i="11"/>
  <c r="F6" i="11"/>
  <c r="F5" i="11"/>
  <c r="F4" i="11"/>
  <c r="E128" i="11"/>
  <c r="C158" i="7" s="1"/>
  <c r="H20" i="11"/>
  <c r="F20" i="11"/>
  <c r="E20" i="11"/>
  <c r="D20" i="11"/>
  <c r="C20" i="11"/>
  <c r="G13" i="11"/>
  <c r="H13" i="11"/>
  <c r="B13" i="11"/>
  <c r="C13" i="11"/>
  <c r="D13" i="11"/>
  <c r="E13" i="11"/>
  <c r="E10" i="11"/>
  <c r="B128" i="11"/>
  <c r="C128" i="11"/>
  <c r="B123" i="11"/>
  <c r="C123" i="11"/>
  <c r="B124" i="11"/>
  <c r="C124" i="11"/>
  <c r="B125" i="11"/>
  <c r="C125" i="11"/>
  <c r="B126" i="11"/>
  <c r="C126" i="11"/>
  <c r="B127" i="11"/>
  <c r="C127" i="11"/>
  <c r="B112" i="11"/>
  <c r="C112" i="11"/>
  <c r="B113" i="11"/>
  <c r="C113" i="11"/>
  <c r="B114" i="11"/>
  <c r="C114" i="11"/>
  <c r="B115" i="11"/>
  <c r="C115" i="11"/>
  <c r="B116" i="11"/>
  <c r="C116" i="11"/>
  <c r="B117" i="11"/>
  <c r="C117" i="11"/>
  <c r="B118" i="11"/>
  <c r="C118" i="11"/>
  <c r="B119" i="11"/>
  <c r="C119" i="11"/>
  <c r="B120" i="11"/>
  <c r="C120" i="11"/>
  <c r="B121" i="11"/>
  <c r="C121" i="11"/>
  <c r="B122" i="11"/>
  <c r="C122" i="11"/>
  <c r="B96" i="11"/>
  <c r="C96" i="11"/>
  <c r="B97" i="11"/>
  <c r="C97" i="11"/>
  <c r="B98" i="11"/>
  <c r="C98" i="11"/>
  <c r="B99" i="11"/>
  <c r="C99" i="11"/>
  <c r="B100" i="11"/>
  <c r="C100" i="11"/>
  <c r="B101" i="11"/>
  <c r="C101" i="11"/>
  <c r="B102" i="11"/>
  <c r="C102" i="11"/>
  <c r="B103" i="11"/>
  <c r="C103" i="11"/>
  <c r="B104" i="11"/>
  <c r="C104" i="11"/>
  <c r="B105" i="11"/>
  <c r="C105" i="11"/>
  <c r="B106" i="11"/>
  <c r="C106" i="11"/>
  <c r="B107" i="11"/>
  <c r="C107" i="11"/>
  <c r="B108" i="11"/>
  <c r="C108" i="11"/>
  <c r="B109" i="11"/>
  <c r="C109" i="11"/>
  <c r="B110" i="11"/>
  <c r="C110" i="11"/>
  <c r="B111" i="11"/>
  <c r="C111" i="11"/>
  <c r="B95" i="11"/>
  <c r="C95" i="11"/>
  <c r="O208" i="9" l="1"/>
  <c r="N208" i="9"/>
  <c r="D12" i="11"/>
  <c r="D12" i="17"/>
  <c r="D12" i="16"/>
  <c r="C66" i="17"/>
  <c r="C66" i="16"/>
  <c r="B10" i="17"/>
  <c r="B10" i="16"/>
  <c r="AX62" i="19"/>
  <c r="AY62" i="19"/>
  <c r="AX60" i="18"/>
  <c r="AY60" i="18"/>
  <c r="N148" i="11"/>
  <c r="N59" i="11"/>
  <c r="N62" i="11"/>
  <c r="H35" i="4"/>
  <c r="N63" i="11"/>
  <c r="N61" i="11"/>
  <c r="N64" i="11"/>
  <c r="N60" i="11"/>
  <c r="W109" i="11"/>
  <c r="F48" i="13"/>
  <c r="F53" i="13" s="1"/>
  <c r="E48" i="13"/>
  <c r="E53" i="13" s="1"/>
  <c r="D50" i="13"/>
  <c r="E38" i="13"/>
  <c r="E39" i="13" s="1"/>
  <c r="E44" i="13" s="1"/>
  <c r="I32" i="13"/>
  <c r="C24" i="13"/>
  <c r="B24" i="13"/>
  <c r="H26" i="11"/>
  <c r="G26" i="11"/>
  <c r="E5" i="11"/>
  <c r="G5" i="11" s="1"/>
  <c r="E6" i="11"/>
  <c r="G6" i="11" s="1"/>
  <c r="E4" i="11"/>
  <c r="G4" i="11" s="1"/>
  <c r="H6" i="11"/>
  <c r="H5" i="11"/>
  <c r="H4" i="11"/>
  <c r="D79" i="11"/>
  <c r="E79" i="11"/>
  <c r="I28" i="13" s="1"/>
  <c r="F79" i="11"/>
  <c r="G79" i="11"/>
  <c r="H79" i="11"/>
  <c r="I29" i="13" s="1"/>
  <c r="C28" i="13"/>
  <c r="D28" i="13"/>
  <c r="E28" i="13"/>
  <c r="F28" i="13"/>
  <c r="G28" i="13"/>
  <c r="C29" i="13"/>
  <c r="F29" i="13"/>
  <c r="G29" i="13"/>
  <c r="C27" i="13"/>
  <c r="D27" i="13"/>
  <c r="D32" i="13" s="1"/>
  <c r="E27" i="13"/>
  <c r="E32" i="13" s="1"/>
  <c r="F27" i="13"/>
  <c r="F32" i="13" s="1"/>
  <c r="G27" i="13"/>
  <c r="G32" i="13" s="1"/>
  <c r="N210" i="9" l="1"/>
  <c r="O210" i="9"/>
  <c r="C67" i="17"/>
  <c r="C67" i="16"/>
  <c r="H12" i="11"/>
  <c r="H12" i="17"/>
  <c r="H12" i="16"/>
  <c r="AX63" i="19"/>
  <c r="AY63" i="19"/>
  <c r="AY61" i="18"/>
  <c r="AX61" i="18"/>
  <c r="N149" i="11"/>
  <c r="I30" i="13"/>
  <c r="I34" i="13" s="1"/>
  <c r="I33" i="13" s="1"/>
  <c r="I35" i="4"/>
  <c r="H47" i="13"/>
  <c r="W110" i="11"/>
  <c r="J27" i="13"/>
  <c r="J32" i="13" s="1"/>
  <c r="J28" i="13"/>
  <c r="J33" i="13" s="1"/>
  <c r="J29" i="13"/>
  <c r="H28" i="13"/>
  <c r="H27" i="13"/>
  <c r="E29" i="13"/>
  <c r="E31" i="13" s="1"/>
  <c r="F31" i="13"/>
  <c r="D29" i="13"/>
  <c r="D31" i="13" s="1"/>
  <c r="C48" i="13"/>
  <c r="F30" i="13"/>
  <c r="C30" i="13"/>
  <c r="G30" i="13"/>
  <c r="C31" i="13"/>
  <c r="G31" i="13"/>
  <c r="G35" i="13" s="1"/>
  <c r="C32" i="13"/>
  <c r="H32" i="13" s="1"/>
  <c r="O212" i="9" l="1"/>
  <c r="N212" i="9"/>
  <c r="I12" i="11"/>
  <c r="I12" i="17"/>
  <c r="I12" i="16"/>
  <c r="AX62" i="18"/>
  <c r="AY62" i="18"/>
  <c r="N150" i="11"/>
  <c r="I31" i="13"/>
  <c r="W111" i="11"/>
  <c r="E30" i="13"/>
  <c r="E34" i="13" s="1"/>
  <c r="E33" i="13" s="1"/>
  <c r="H29" i="13"/>
  <c r="H30" i="13" s="1"/>
  <c r="H31" i="13" s="1"/>
  <c r="D30" i="13"/>
  <c r="D34" i="13" s="1"/>
  <c r="D33" i="13" s="1"/>
  <c r="J30" i="13"/>
  <c r="C34" i="13"/>
  <c r="F34" i="13"/>
  <c r="F33" i="13" s="1"/>
  <c r="G34" i="13"/>
  <c r="G33" i="13" s="1"/>
  <c r="C53" i="13"/>
  <c r="C116" i="1"/>
  <c r="B121" i="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H121" i="1"/>
  <c r="N121" i="1"/>
  <c r="R121" i="1"/>
  <c r="S121" i="1"/>
  <c r="C122" i="1"/>
  <c r="D122" i="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E122" i="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F122" i="1"/>
  <c r="G122" i="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N122" i="1"/>
  <c r="R122" i="1"/>
  <c r="S122" i="1"/>
  <c r="F123" i="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N123" i="1"/>
  <c r="S123" i="1"/>
  <c r="N124" i="1"/>
  <c r="S124" i="1"/>
  <c r="N125" i="1"/>
  <c r="S125" i="1"/>
  <c r="N126" i="1"/>
  <c r="S126" i="1"/>
  <c r="N127" i="1"/>
  <c r="S127" i="1"/>
  <c r="N128" i="1"/>
  <c r="S128" i="1"/>
  <c r="N129" i="1"/>
  <c r="S129" i="1"/>
  <c r="N130" i="1"/>
  <c r="S130" i="1"/>
  <c r="N131" i="1"/>
  <c r="S131" i="1"/>
  <c r="N132" i="1"/>
  <c r="S132" i="1"/>
  <c r="N133" i="1"/>
  <c r="S133" i="1"/>
  <c r="N134" i="1"/>
  <c r="S134" i="1"/>
  <c r="N135" i="1"/>
  <c r="S135" i="1"/>
  <c r="N136" i="1"/>
  <c r="S136" i="1"/>
  <c r="N137" i="1"/>
  <c r="S137" i="1"/>
  <c r="N138" i="1"/>
  <c r="S138" i="1"/>
  <c r="N139" i="1"/>
  <c r="S139" i="1"/>
  <c r="N140" i="1"/>
  <c r="S140" i="1"/>
  <c r="N141" i="1"/>
  <c r="S141" i="1"/>
  <c r="N142" i="1"/>
  <c r="S142" i="1"/>
  <c r="N143" i="1"/>
  <c r="S143" i="1"/>
  <c r="N144" i="1"/>
  <c r="S144" i="1"/>
  <c r="N145" i="1"/>
  <c r="S145" i="1"/>
  <c r="N146" i="1"/>
  <c r="S146" i="1"/>
  <c r="N147" i="1"/>
  <c r="S147" i="1"/>
  <c r="N148" i="1"/>
  <c r="S148" i="1"/>
  <c r="N149" i="1"/>
  <c r="S149" i="1"/>
  <c r="N150" i="1"/>
  <c r="S150" i="1"/>
  <c r="N151" i="1"/>
  <c r="S151" i="1"/>
  <c r="N152" i="1"/>
  <c r="S152" i="1"/>
  <c r="N153" i="1"/>
  <c r="S153" i="1"/>
  <c r="N154" i="1"/>
  <c r="S154" i="1"/>
  <c r="N155" i="1"/>
  <c r="S155" i="1"/>
  <c r="N156" i="1"/>
  <c r="S156" i="1"/>
  <c r="N157" i="1"/>
  <c r="S157" i="1"/>
  <c r="N158" i="1"/>
  <c r="S158" i="1"/>
  <c r="N159" i="1"/>
  <c r="S159" i="1"/>
  <c r="N160" i="1"/>
  <c r="S160" i="1"/>
  <c r="N161" i="1"/>
  <c r="S161" i="1"/>
  <c r="N162" i="1"/>
  <c r="S162" i="1"/>
  <c r="N163" i="1"/>
  <c r="S163" i="1"/>
  <c r="N164" i="1"/>
  <c r="S164" i="1"/>
  <c r="N165" i="1"/>
  <c r="S165" i="1"/>
  <c r="N166" i="1"/>
  <c r="S166" i="1"/>
  <c r="N167" i="1"/>
  <c r="S167" i="1"/>
  <c r="N168" i="1"/>
  <c r="S168" i="1"/>
  <c r="N169" i="1"/>
  <c r="S169" i="1"/>
  <c r="G170" i="1"/>
  <c r="N170" i="1"/>
  <c r="S170" i="1"/>
  <c r="G171" i="1"/>
  <c r="G172" i="1" s="1"/>
  <c r="G173" i="1" s="1"/>
  <c r="G174" i="1" s="1"/>
  <c r="G175" i="1" s="1"/>
  <c r="G176" i="1" s="1"/>
  <c r="G177" i="1" s="1"/>
  <c r="G178" i="1" s="1"/>
  <c r="G179" i="1" s="1"/>
  <c r="G180" i="1" s="1"/>
  <c r="G181" i="1" s="1"/>
  <c r="G182" i="1" s="1"/>
  <c r="G183" i="1" s="1"/>
  <c r="G184" i="1" s="1"/>
  <c r="G185" i="1" s="1"/>
  <c r="G186" i="1" s="1"/>
  <c r="G187" i="1" s="1"/>
  <c r="G188" i="1" s="1"/>
  <c r="N171" i="1"/>
  <c r="S171" i="1"/>
  <c r="N172" i="1"/>
  <c r="S172" i="1"/>
  <c r="N173" i="1"/>
  <c r="S173" i="1"/>
  <c r="N174" i="1"/>
  <c r="S174" i="1"/>
  <c r="N175" i="1"/>
  <c r="S175" i="1"/>
  <c r="N176" i="1"/>
  <c r="S176" i="1"/>
  <c r="N177" i="1"/>
  <c r="S177" i="1"/>
  <c r="N178" i="1"/>
  <c r="S178" i="1"/>
  <c r="N179" i="1"/>
  <c r="S179" i="1"/>
  <c r="N180" i="1"/>
  <c r="S180" i="1"/>
  <c r="N181" i="1"/>
  <c r="S181" i="1"/>
  <c r="N182" i="1"/>
  <c r="S182" i="1"/>
  <c r="N183" i="1"/>
  <c r="S183" i="1"/>
  <c r="N184" i="1"/>
  <c r="S184" i="1"/>
  <c r="N185" i="1"/>
  <c r="S185" i="1"/>
  <c r="N186" i="1"/>
  <c r="S186" i="1"/>
  <c r="N187" i="1"/>
  <c r="S187" i="1"/>
  <c r="N188" i="1"/>
  <c r="S188" i="1"/>
  <c r="N190" i="1"/>
  <c r="S190" i="1"/>
  <c r="N191" i="1"/>
  <c r="S191" i="1"/>
  <c r="N192" i="1"/>
  <c r="S192" i="1"/>
  <c r="N193" i="1"/>
  <c r="S193" i="1"/>
  <c r="N194" i="1"/>
  <c r="S194" i="1"/>
  <c r="N195" i="1"/>
  <c r="S195" i="1"/>
  <c r="N196" i="1"/>
  <c r="S196" i="1"/>
  <c r="N197" i="1"/>
  <c r="S197" i="1"/>
  <c r="N198" i="1"/>
  <c r="S198" i="1"/>
  <c r="N199" i="1"/>
  <c r="S199" i="1"/>
  <c r="N200" i="1"/>
  <c r="S200" i="1"/>
  <c r="N201" i="1"/>
  <c r="S201" i="1"/>
  <c r="N202" i="1"/>
  <c r="S202" i="1"/>
  <c r="N203" i="1"/>
  <c r="S203" i="1"/>
  <c r="N204" i="1"/>
  <c r="S204" i="1"/>
  <c r="N205" i="1"/>
  <c r="S205" i="1"/>
  <c r="N206" i="1"/>
  <c r="S206" i="1"/>
  <c r="N207" i="1"/>
  <c r="S207" i="1"/>
  <c r="N208" i="1"/>
  <c r="S208" i="1"/>
  <c r="N209" i="1"/>
  <c r="S209" i="1"/>
  <c r="N210" i="1"/>
  <c r="S210" i="1"/>
  <c r="N211" i="1"/>
  <c r="S211" i="1"/>
  <c r="N212" i="1"/>
  <c r="S212" i="1"/>
  <c r="N213" i="1"/>
  <c r="S213" i="1"/>
  <c r="N214" i="1"/>
  <c r="S214" i="1"/>
  <c r="N215" i="1"/>
  <c r="S215" i="1"/>
  <c r="N216" i="1"/>
  <c r="S216" i="1"/>
  <c r="N217" i="1"/>
  <c r="S217" i="1"/>
  <c r="N218" i="1"/>
  <c r="S218" i="1"/>
  <c r="N219" i="1"/>
  <c r="S219" i="1"/>
  <c r="N220" i="1"/>
  <c r="S220" i="1"/>
  <c r="N221" i="1"/>
  <c r="S221" i="1"/>
  <c r="V64" i="9"/>
  <c r="V65" i="9"/>
  <c r="V66" i="9"/>
  <c r="V67" i="9"/>
  <c r="V68" i="9"/>
  <c r="V69" i="9"/>
  <c r="V70" i="9"/>
  <c r="V71" i="9"/>
  <c r="V72" i="9"/>
  <c r="V73" i="9"/>
  <c r="V74" i="9"/>
  <c r="V75" i="9"/>
  <c r="V76" i="9"/>
  <c r="V77" i="9"/>
  <c r="V78" i="9"/>
  <c r="V79" i="9"/>
  <c r="V80" i="9"/>
  <c r="V63" i="9"/>
  <c r="M80" i="9"/>
  <c r="M79" i="9"/>
  <c r="M78" i="9"/>
  <c r="M77" i="9"/>
  <c r="M76" i="9"/>
  <c r="M75" i="9"/>
  <c r="M74" i="9"/>
  <c r="M73" i="9"/>
  <c r="M72" i="9"/>
  <c r="M71" i="9"/>
  <c r="M70" i="9"/>
  <c r="M69" i="9"/>
  <c r="M68" i="9"/>
  <c r="M67" i="9"/>
  <c r="M66" i="9"/>
  <c r="M65" i="9"/>
  <c r="M64" i="9"/>
  <c r="M63" i="9"/>
  <c r="M62" i="9"/>
  <c r="L62" i="9"/>
  <c r="M61" i="9"/>
  <c r="L61" i="9"/>
  <c r="M60" i="9"/>
  <c r="L60" i="9"/>
  <c r="M59" i="9"/>
  <c r="L59" i="9"/>
  <c r="M58" i="9"/>
  <c r="L58" i="9"/>
  <c r="M57" i="9"/>
  <c r="L57" i="9"/>
  <c r="M56" i="9"/>
  <c r="L56" i="9"/>
  <c r="M55" i="9"/>
  <c r="L55" i="9"/>
  <c r="M54" i="9"/>
  <c r="L54" i="9"/>
  <c r="M53" i="9"/>
  <c r="L53" i="9"/>
  <c r="M52" i="9"/>
  <c r="L52" i="9"/>
  <c r="M51" i="9"/>
  <c r="L51" i="9"/>
  <c r="M50" i="9"/>
  <c r="L50" i="9"/>
  <c r="M49" i="9"/>
  <c r="L49" i="9"/>
  <c r="M48" i="9"/>
  <c r="L48" i="9"/>
  <c r="M47" i="9"/>
  <c r="L47" i="9"/>
  <c r="M46" i="9"/>
  <c r="L46" i="9"/>
  <c r="M45" i="9"/>
  <c r="L45" i="9"/>
  <c r="M44" i="9"/>
  <c r="L44" i="9"/>
  <c r="M43" i="9"/>
  <c r="L43" i="9"/>
  <c r="M42" i="9"/>
  <c r="L42" i="9"/>
  <c r="M41" i="9"/>
  <c r="L41" i="9"/>
  <c r="M40" i="9"/>
  <c r="L40" i="9"/>
  <c r="M39" i="9"/>
  <c r="L39" i="9"/>
  <c r="M38" i="9"/>
  <c r="L38" i="9"/>
  <c r="M37" i="9"/>
  <c r="L37" i="9"/>
  <c r="M36" i="9"/>
  <c r="L36" i="9"/>
  <c r="M35" i="9"/>
  <c r="L35" i="9"/>
  <c r="M34" i="9"/>
  <c r="L34" i="9"/>
  <c r="M33" i="9"/>
  <c r="L33" i="9"/>
  <c r="M32" i="9"/>
  <c r="L32" i="9"/>
  <c r="M31" i="9"/>
  <c r="L31" i="9"/>
  <c r="M30" i="9"/>
  <c r="L30" i="9"/>
  <c r="M29" i="9"/>
  <c r="L29" i="9"/>
  <c r="M28" i="9"/>
  <c r="L28" i="9"/>
  <c r="M27" i="9"/>
  <c r="L27" i="9"/>
  <c r="M26" i="9"/>
  <c r="L26" i="9"/>
  <c r="M25" i="9"/>
  <c r="L25" i="9"/>
  <c r="M24" i="9"/>
  <c r="L24" i="9"/>
  <c r="M23" i="9"/>
  <c r="L23" i="9"/>
  <c r="M22" i="9"/>
  <c r="L22" i="9"/>
  <c r="M21" i="9"/>
  <c r="L21" i="9"/>
  <c r="M20" i="9"/>
  <c r="L20" i="9"/>
  <c r="M19" i="9"/>
  <c r="L19" i="9"/>
  <c r="M18" i="9"/>
  <c r="L18" i="9"/>
  <c r="M17" i="9"/>
  <c r="L17" i="9"/>
  <c r="M16" i="9"/>
  <c r="L16" i="9"/>
  <c r="M15" i="9"/>
  <c r="L15" i="9"/>
  <c r="M14" i="9"/>
  <c r="L14" i="9"/>
  <c r="C40" i="4"/>
  <c r="C39" i="4"/>
  <c r="N214" i="9" l="1"/>
  <c r="O214" i="9"/>
  <c r="AI116" i="3"/>
  <c r="AI114" i="3"/>
  <c r="AI112" i="3"/>
  <c r="AI110" i="3"/>
  <c r="AI108" i="3"/>
  <c r="AI106" i="3"/>
  <c r="AI104" i="3"/>
  <c r="AI102" i="3"/>
  <c r="AI100" i="3"/>
  <c r="AI98" i="3"/>
  <c r="AI96" i="3"/>
  <c r="AI94" i="3"/>
  <c r="AI92" i="3"/>
  <c r="AI90" i="3"/>
  <c r="AI88" i="3"/>
  <c r="AI117" i="3"/>
  <c r="AI115" i="3"/>
  <c r="AI113" i="3"/>
  <c r="AI111" i="3"/>
  <c r="AI109" i="3"/>
  <c r="AI107" i="3"/>
  <c r="AI105" i="3"/>
  <c r="AI103" i="3"/>
  <c r="AI101" i="3"/>
  <c r="AI99" i="3"/>
  <c r="AI97" i="3"/>
  <c r="AI95" i="3"/>
  <c r="AI93" i="3"/>
  <c r="AI91" i="3"/>
  <c r="AI89" i="3"/>
  <c r="AI87" i="3"/>
  <c r="AI118" i="3"/>
  <c r="AY63" i="18"/>
  <c r="AX63" i="18"/>
  <c r="F223" i="1"/>
  <c r="F35" i="11"/>
  <c r="F36" i="11" s="1"/>
  <c r="G223" i="1"/>
  <c r="G35" i="11"/>
  <c r="G36" i="11" s="1"/>
  <c r="G201" i="1" s="1"/>
  <c r="E223" i="1"/>
  <c r="E35" i="11"/>
  <c r="D223" i="1"/>
  <c r="D35" i="11"/>
  <c r="D36" i="11" s="1"/>
  <c r="H122" i="1"/>
  <c r="B189" i="1"/>
  <c r="B223" i="1"/>
  <c r="B258" i="1" s="1"/>
  <c r="D50" i="17"/>
  <c r="D50" i="16"/>
  <c r="C50" i="17"/>
  <c r="C50" i="16"/>
  <c r="N151" i="11"/>
  <c r="F48" i="4"/>
  <c r="F49" i="4" s="1"/>
  <c r="C50" i="11"/>
  <c r="G48" i="4"/>
  <c r="G49" i="4" s="1"/>
  <c r="D50" i="11"/>
  <c r="W112" i="11"/>
  <c r="K29" i="13"/>
  <c r="D38" i="13" s="1"/>
  <c r="J34" i="13"/>
  <c r="J35" i="13" s="1"/>
  <c r="J31" i="13"/>
  <c r="H34" i="13"/>
  <c r="C33" i="13"/>
  <c r="H33" i="13" s="1"/>
  <c r="D57" i="7"/>
  <c r="C57" i="7"/>
  <c r="C123" i="1"/>
  <c r="D15" i="8"/>
  <c r="E15" i="8"/>
  <c r="F15" i="8"/>
  <c r="G15" i="8"/>
  <c r="H15" i="8"/>
  <c r="I15" i="8"/>
  <c r="C15" i="8"/>
  <c r="F66" i="1"/>
  <c r="E14" i="8" s="1"/>
  <c r="G66" i="1"/>
  <c r="F14" i="8" s="1"/>
  <c r="H66" i="1"/>
  <c r="G14" i="8" s="1"/>
  <c r="I66" i="1"/>
  <c r="H14" i="8" s="1"/>
  <c r="J66" i="1"/>
  <c r="I14" i="8" s="1"/>
  <c r="E66" i="1"/>
  <c r="D14" i="8" s="1"/>
  <c r="D66" i="1"/>
  <c r="C14" i="8" s="1"/>
  <c r="E36" i="11" l="1"/>
  <c r="O216" i="9"/>
  <c r="N216" i="9"/>
  <c r="B190" i="1"/>
  <c r="B224" i="1"/>
  <c r="B259" i="1" s="1"/>
  <c r="D38" i="11"/>
  <c r="D37" i="11" s="1"/>
  <c r="D201" i="1"/>
  <c r="F201" i="1"/>
  <c r="E201" i="1"/>
  <c r="D236" i="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N152" i="11"/>
  <c r="W113" i="11"/>
  <c r="K34" i="13"/>
  <c r="H35" i="13"/>
  <c r="F50" i="4"/>
  <c r="C58" i="7"/>
  <c r="G50" i="4"/>
  <c r="D58" i="7"/>
  <c r="H123" i="1"/>
  <c r="C124" i="1"/>
  <c r="R123" i="1"/>
  <c r="M6" i="10"/>
  <c r="N6" i="10"/>
  <c r="O6" i="10"/>
  <c r="L6" i="10"/>
  <c r="W6" i="10"/>
  <c r="I36" i="4"/>
  <c r="F36" i="4"/>
  <c r="F13" i="17" l="1"/>
  <c r="F13" i="16"/>
  <c r="F13" i="11"/>
  <c r="I13" i="11"/>
  <c r="I13" i="17"/>
  <c r="I13" i="16"/>
  <c r="D18" i="19"/>
  <c r="D18" i="18"/>
  <c r="D221" i="1"/>
  <c r="D39" i="11"/>
  <c r="B191" i="1"/>
  <c r="B225" i="1"/>
  <c r="B260" i="1" s="1"/>
  <c r="N153" i="11"/>
  <c r="D39" i="13"/>
  <c r="D44" i="13" s="1"/>
  <c r="W114" i="11"/>
  <c r="G51" i="4"/>
  <c r="D59" i="7"/>
  <c r="F51" i="4"/>
  <c r="C59" i="7"/>
  <c r="C125" i="1"/>
  <c r="R124" i="1"/>
  <c r="H124" i="1"/>
  <c r="G34" i="4"/>
  <c r="H34" i="4"/>
  <c r="E20" i="4"/>
  <c r="F20" i="4"/>
  <c r="G20" i="4"/>
  <c r="H20" i="4"/>
  <c r="I20" i="4"/>
  <c r="J20" i="4"/>
  <c r="K20" i="4"/>
  <c r="L20" i="4"/>
  <c r="M20" i="4"/>
  <c r="D20" i="4"/>
  <c r="D33" i="4"/>
  <c r="W7" i="10"/>
  <c r="D74" i="9"/>
  <c r="D75" i="9"/>
  <c r="D76" i="9"/>
  <c r="D77" i="9"/>
  <c r="D78" i="9"/>
  <c r="D79" i="9"/>
  <c r="D80" i="9"/>
  <c r="D64" i="9"/>
  <c r="D65" i="9"/>
  <c r="D66" i="9"/>
  <c r="D67" i="9"/>
  <c r="D68" i="9"/>
  <c r="D69" i="9"/>
  <c r="D70" i="9"/>
  <c r="D71" i="9"/>
  <c r="D72" i="9"/>
  <c r="D73" i="9"/>
  <c r="D63" i="9"/>
  <c r="D18" i="3"/>
  <c r="N189" i="1" l="1"/>
  <c r="S189" i="1"/>
  <c r="F66" i="11"/>
  <c r="F67" i="11" s="1"/>
  <c r="F66" i="17"/>
  <c r="F67" i="17" s="1"/>
  <c r="F66" i="16"/>
  <c r="F67" i="16" s="1"/>
  <c r="I66" i="11"/>
  <c r="I67" i="11" s="1"/>
  <c r="I66" i="17"/>
  <c r="I67" i="17" s="1"/>
  <c r="I66" i="16"/>
  <c r="I67" i="16" s="1"/>
  <c r="E66" i="11"/>
  <c r="E67" i="11" s="1"/>
  <c r="E66" i="17"/>
  <c r="E67" i="17" s="1"/>
  <c r="E66" i="16"/>
  <c r="E67" i="16" s="1"/>
  <c r="J66" i="11"/>
  <c r="J67" i="11" s="1"/>
  <c r="J66" i="17"/>
  <c r="J67" i="17" s="1"/>
  <c r="J66" i="16"/>
  <c r="J67" i="16" s="1"/>
  <c r="M66" i="11"/>
  <c r="M67" i="11" s="1"/>
  <c r="M66" i="17"/>
  <c r="M67" i="17" s="1"/>
  <c r="M66" i="16"/>
  <c r="M67" i="16" s="1"/>
  <c r="L66" i="11"/>
  <c r="L67" i="11" s="1"/>
  <c r="L66" i="17"/>
  <c r="L67" i="17" s="1"/>
  <c r="L66" i="16"/>
  <c r="L67" i="16" s="1"/>
  <c r="H66" i="11"/>
  <c r="H67" i="11" s="1"/>
  <c r="H66" i="17"/>
  <c r="H67" i="17" s="1"/>
  <c r="H66" i="16"/>
  <c r="H67" i="16" s="1"/>
  <c r="D66" i="11"/>
  <c r="D67" i="11" s="1"/>
  <c r="D66" i="17"/>
  <c r="D66" i="16"/>
  <c r="D10" i="11"/>
  <c r="D10" i="17"/>
  <c r="D10" i="16"/>
  <c r="K66" i="11"/>
  <c r="K67" i="11" s="1"/>
  <c r="K66" i="17"/>
  <c r="K67" i="17" s="1"/>
  <c r="K66" i="16"/>
  <c r="K67" i="16" s="1"/>
  <c r="G66" i="11"/>
  <c r="G67" i="11" s="1"/>
  <c r="G66" i="17"/>
  <c r="G67" i="17" s="1"/>
  <c r="G66" i="16"/>
  <c r="G67" i="16" s="1"/>
  <c r="H11" i="11"/>
  <c r="H11" i="17"/>
  <c r="H11" i="16"/>
  <c r="G11" i="11"/>
  <c r="G11" i="17"/>
  <c r="G11" i="16"/>
  <c r="B192" i="1"/>
  <c r="B226" i="1"/>
  <c r="B261" i="1" s="1"/>
  <c r="N154" i="11"/>
  <c r="G48" i="13"/>
  <c r="D48" i="13" s="1"/>
  <c r="D49" i="13" s="1"/>
  <c r="AA6" i="10"/>
  <c r="AA7" i="10" s="1"/>
  <c r="W115" i="11"/>
  <c r="F52" i="4"/>
  <c r="C60" i="7"/>
  <c r="G52" i="4"/>
  <c r="D60" i="7"/>
  <c r="W8" i="10"/>
  <c r="H125" i="1"/>
  <c r="C126" i="1"/>
  <c r="R125" i="1"/>
  <c r="Z6" i="10"/>
  <c r="Z7" i="10" s="1"/>
  <c r="Z8" i="10" s="1"/>
  <c r="Z9" i="10" s="1"/>
  <c r="Z10" i="10" s="1"/>
  <c r="Z11" i="10" s="1"/>
  <c r="Z12" i="10" s="1"/>
  <c r="Z13" i="10" s="1"/>
  <c r="Z14" i="10" s="1"/>
  <c r="Z15" i="10" s="1"/>
  <c r="Z16" i="10" s="1"/>
  <c r="Z17" i="10" s="1"/>
  <c r="Z18" i="10" s="1"/>
  <c r="Z19" i="10" s="1"/>
  <c r="Z20" i="10" s="1"/>
  <c r="Z21" i="10" s="1"/>
  <c r="Z22" i="10" s="1"/>
  <c r="Z23" i="10" s="1"/>
  <c r="Z24" i="10" s="1"/>
  <c r="Z25" i="10" s="1"/>
  <c r="Z26" i="10" s="1"/>
  <c r="Z27" i="10" s="1"/>
  <c r="Z28" i="10" s="1"/>
  <c r="Z29" i="10" s="1"/>
  <c r="Z30" i="10" s="1"/>
  <c r="Z31" i="10" s="1"/>
  <c r="Z32" i="10" s="1"/>
  <c r="Z33" i="10" s="1"/>
  <c r="Z34" i="10" s="1"/>
  <c r="Z35" i="10" s="1"/>
  <c r="Z36" i="10" s="1"/>
  <c r="Z37" i="10" s="1"/>
  <c r="Z38" i="10" s="1"/>
  <c r="Z39" i="10" s="1"/>
  <c r="Z40" i="10" s="1"/>
  <c r="Z41" i="10" s="1"/>
  <c r="Z42" i="10" s="1"/>
  <c r="Z43" i="10" s="1"/>
  <c r="Z44" i="10" s="1"/>
  <c r="Z45" i="10" s="1"/>
  <c r="Z46" i="10" s="1"/>
  <c r="Z47" i="10" s="1"/>
  <c r="Z48" i="10" s="1"/>
  <c r="Z49" i="10" s="1"/>
  <c r="Z50" i="10" s="1"/>
  <c r="Z51" i="10" s="1"/>
  <c r="Z52" i="10" s="1"/>
  <c r="Z53" i="10" s="1"/>
  <c r="Z54" i="10" s="1"/>
  <c r="Z55" i="10" s="1"/>
  <c r="Z56" i="10" s="1"/>
  <c r="Z57" i="10" s="1"/>
  <c r="Z58" i="10" s="1"/>
  <c r="Z59" i="10" s="1"/>
  <c r="Z60" i="10" s="1"/>
  <c r="Z61" i="10" s="1"/>
  <c r="Z62" i="10" s="1"/>
  <c r="Z63" i="10" s="1"/>
  <c r="Z64" i="10" s="1"/>
  <c r="Z65" i="10" s="1"/>
  <c r="Z66" i="10" s="1"/>
  <c r="Z67" i="10" s="1"/>
  <c r="Z68" i="10" s="1"/>
  <c r="Z69" i="10" s="1"/>
  <c r="Z70" i="10" s="1"/>
  <c r="Z71" i="10" s="1"/>
  <c r="Z72" i="10" s="1"/>
  <c r="Z73" i="10" s="1"/>
  <c r="I34" i="4"/>
  <c r="N20" i="4"/>
  <c r="M29" i="4" s="1"/>
  <c r="D19" i="4"/>
  <c r="E19" i="4"/>
  <c r="F19" i="4"/>
  <c r="G19" i="4"/>
  <c r="H19" i="4"/>
  <c r="I19" i="4"/>
  <c r="J19" i="4"/>
  <c r="K19" i="4"/>
  <c r="L19" i="4"/>
  <c r="M19" i="4"/>
  <c r="C19" i="4"/>
  <c r="N14" i="4"/>
  <c r="N15" i="4"/>
  <c r="N16" i="4"/>
  <c r="N17" i="4"/>
  <c r="N18" i="4"/>
  <c r="H33" i="4" s="1"/>
  <c r="N13" i="4"/>
  <c r="AI86" i="3" l="1"/>
  <c r="I65" i="17"/>
  <c r="I65" i="16"/>
  <c r="L65" i="17"/>
  <c r="F17" i="17" s="1"/>
  <c r="L65" i="16"/>
  <c r="F17" i="16" s="1"/>
  <c r="D65" i="17"/>
  <c r="D65" i="16"/>
  <c r="D67" i="16"/>
  <c r="N66" i="16"/>
  <c r="N67" i="16" s="1"/>
  <c r="H10" i="17"/>
  <c r="H10" i="16"/>
  <c r="K65" i="17"/>
  <c r="E17" i="17" s="1"/>
  <c r="K65" i="16"/>
  <c r="E17" i="16" s="1"/>
  <c r="G65" i="17"/>
  <c r="G65" i="16"/>
  <c r="M76" i="11"/>
  <c r="M76" i="17"/>
  <c r="M76" i="16"/>
  <c r="D67" i="17"/>
  <c r="N66" i="17"/>
  <c r="N67" i="17" s="1"/>
  <c r="M65" i="17"/>
  <c r="G17" i="17" s="1"/>
  <c r="M65" i="16"/>
  <c r="G17" i="16" s="1"/>
  <c r="E65" i="17"/>
  <c r="C17" i="17" s="1"/>
  <c r="E65" i="16"/>
  <c r="C17" i="16" s="1"/>
  <c r="H65" i="17"/>
  <c r="H65" i="16"/>
  <c r="C65" i="17"/>
  <c r="C65" i="16"/>
  <c r="J65" i="17"/>
  <c r="D17" i="17" s="1"/>
  <c r="J65" i="16"/>
  <c r="D17" i="16" s="1"/>
  <c r="F65" i="17"/>
  <c r="F65" i="16"/>
  <c r="N66" i="11"/>
  <c r="C38" i="13" s="1"/>
  <c r="I11" i="11"/>
  <c r="I11" i="17"/>
  <c r="I11" i="16"/>
  <c r="B193" i="1"/>
  <c r="B227" i="1"/>
  <c r="B262" i="1" s="1"/>
  <c r="N155" i="11"/>
  <c r="G53" i="13"/>
  <c r="M65" i="11"/>
  <c r="G17" i="11" s="1"/>
  <c r="I65" i="11"/>
  <c r="E65" i="11"/>
  <c r="C17" i="11" s="1"/>
  <c r="D65" i="11"/>
  <c r="L65" i="11"/>
  <c r="F17" i="11" s="1"/>
  <c r="L28" i="4"/>
  <c r="H65" i="11"/>
  <c r="K65" i="11"/>
  <c r="E17" i="11" s="1"/>
  <c r="G65" i="11"/>
  <c r="C65" i="11"/>
  <c r="N19" i="4"/>
  <c r="M28" i="4" s="1"/>
  <c r="J65" i="11"/>
  <c r="D17" i="11" s="1"/>
  <c r="F65" i="11"/>
  <c r="F28" i="4"/>
  <c r="D51" i="13"/>
  <c r="H48" i="13"/>
  <c r="W116" i="11"/>
  <c r="F25" i="4"/>
  <c r="J25" i="4"/>
  <c r="C25" i="4"/>
  <c r="G25" i="4"/>
  <c r="K25" i="4"/>
  <c r="D25" i="4"/>
  <c r="H25" i="4"/>
  <c r="L25" i="4"/>
  <c r="E25" i="4"/>
  <c r="I25" i="4"/>
  <c r="M25" i="4"/>
  <c r="E26" i="4"/>
  <c r="I26" i="4"/>
  <c r="M26" i="4"/>
  <c r="F26" i="4"/>
  <c r="J26" i="4"/>
  <c r="C26" i="4"/>
  <c r="G26" i="4"/>
  <c r="K26" i="4"/>
  <c r="D26" i="4"/>
  <c r="H26" i="4"/>
  <c r="L26" i="4"/>
  <c r="D29" i="4"/>
  <c r="L29" i="4"/>
  <c r="G29" i="4"/>
  <c r="E29" i="4"/>
  <c r="E22" i="4"/>
  <c r="I22" i="4"/>
  <c r="M22" i="4"/>
  <c r="F22" i="4"/>
  <c r="J22" i="4"/>
  <c r="G22" i="4"/>
  <c r="K22" i="4"/>
  <c r="C22" i="4"/>
  <c r="D22" i="4"/>
  <c r="H22" i="4"/>
  <c r="L22" i="4"/>
  <c r="F29" i="4"/>
  <c r="K29" i="4"/>
  <c r="I29" i="4"/>
  <c r="G24" i="4"/>
  <c r="K24" i="4"/>
  <c r="D24" i="4"/>
  <c r="H24" i="4"/>
  <c r="L24" i="4"/>
  <c r="E24" i="4"/>
  <c r="I24" i="4"/>
  <c r="M24" i="4"/>
  <c r="F24" i="4"/>
  <c r="J24" i="4"/>
  <c r="C24" i="4"/>
  <c r="D27" i="4"/>
  <c r="H27" i="4"/>
  <c r="L27" i="4"/>
  <c r="E27" i="4"/>
  <c r="I27" i="4"/>
  <c r="M27" i="4"/>
  <c r="F27" i="4"/>
  <c r="J27" i="4"/>
  <c r="C27" i="4"/>
  <c r="G27" i="4"/>
  <c r="K27" i="4"/>
  <c r="D23" i="4"/>
  <c r="H23" i="4"/>
  <c r="L23" i="4"/>
  <c r="E23" i="4"/>
  <c r="I23" i="4"/>
  <c r="M23" i="4"/>
  <c r="F23" i="4"/>
  <c r="J23" i="4"/>
  <c r="C23" i="4"/>
  <c r="G23" i="4"/>
  <c r="K23" i="4"/>
  <c r="J29" i="4"/>
  <c r="H29" i="4"/>
  <c r="G53" i="4"/>
  <c r="D61" i="7"/>
  <c r="F53" i="4"/>
  <c r="C61" i="7"/>
  <c r="W9" i="10"/>
  <c r="AA8" i="10"/>
  <c r="C127" i="1"/>
  <c r="R126" i="1"/>
  <c r="H126" i="1"/>
  <c r="G33" i="4"/>
  <c r="R22" i="10"/>
  <c r="G18" i="3"/>
  <c r="G19" i="3" s="1"/>
  <c r="G20" i="3" s="1"/>
  <c r="G21" i="3" s="1"/>
  <c r="G22" i="3" s="1"/>
  <c r="G23" i="3" s="1"/>
  <c r="G24" i="3" s="1"/>
  <c r="G25" i="3" s="1"/>
  <c r="G26" i="3" s="1"/>
  <c r="G27" i="3" s="1"/>
  <c r="G28" i="3" s="1"/>
  <c r="G29" i="3" s="1"/>
  <c r="G30" i="3" s="1"/>
  <c r="G31" i="3" s="1"/>
  <c r="G32" i="3" s="1"/>
  <c r="G33" i="3" s="1"/>
  <c r="G34" i="3" s="1"/>
  <c r="G35" i="3" s="1"/>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G76" i="3" s="1"/>
  <c r="G77" i="3" s="1"/>
  <c r="G78" i="3" s="1"/>
  <c r="G79" i="3" s="1"/>
  <c r="G80" i="3" s="1"/>
  <c r="G81" i="3" s="1"/>
  <c r="G82" i="3" s="1"/>
  <c r="G83" i="3" s="1"/>
  <c r="G84" i="3" s="1"/>
  <c r="G85" i="3" s="1"/>
  <c r="H18" i="3"/>
  <c r="H19" i="3" s="1"/>
  <c r="H20" i="3" s="1"/>
  <c r="H21" i="3" s="1"/>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H84" i="3" s="1"/>
  <c r="H85" i="3" s="1"/>
  <c r="I18" i="3"/>
  <c r="I19" i="3" s="1"/>
  <c r="I20" i="3" s="1"/>
  <c r="I21" i="3" s="1"/>
  <c r="I22" i="3" s="1"/>
  <c r="I23" i="3" s="1"/>
  <c r="I24" i="3" s="1"/>
  <c r="I25" i="3" s="1"/>
  <c r="I26" i="3" s="1"/>
  <c r="I27" i="3" s="1"/>
  <c r="I28" i="3" s="1"/>
  <c r="I29" i="3" s="1"/>
  <c r="I30" i="3" s="1"/>
  <c r="I31" i="3" s="1"/>
  <c r="I32" i="3" s="1"/>
  <c r="I33" i="3" s="1"/>
  <c r="I34" i="3" s="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I81" i="3" s="1"/>
  <c r="I82" i="3" s="1"/>
  <c r="I83" i="3" s="1"/>
  <c r="I84" i="3" s="1"/>
  <c r="I85" i="3" s="1"/>
  <c r="F18" i="3"/>
  <c r="F19" i="3" s="1"/>
  <c r="F20" i="3" s="1"/>
  <c r="F21" i="3" s="1"/>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F76" i="3" s="1"/>
  <c r="F77" i="3" s="1"/>
  <c r="F78" i="3" s="1"/>
  <c r="F79" i="3" s="1"/>
  <c r="F80" i="3" s="1"/>
  <c r="F81" i="3" s="1"/>
  <c r="F82" i="3" s="1"/>
  <c r="F83" i="3" s="1"/>
  <c r="F84" i="3" s="1"/>
  <c r="F85" i="3" s="1"/>
  <c r="J18" i="3"/>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C29" i="4"/>
  <c r="R52" i="10"/>
  <c r="R55" i="10"/>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48" i="4"/>
  <c r="F38" i="13" l="1"/>
  <c r="F39" i="13" s="1"/>
  <c r="C39" i="13" s="1"/>
  <c r="C40" i="13" s="1"/>
  <c r="C41" i="13"/>
  <c r="C74" i="11"/>
  <c r="C74" i="17"/>
  <c r="C74" i="16"/>
  <c r="M71" i="11"/>
  <c r="M71" i="17"/>
  <c r="M71" i="16"/>
  <c r="G69" i="11"/>
  <c r="G69" i="17"/>
  <c r="G69" i="16"/>
  <c r="J73" i="11"/>
  <c r="J73" i="17"/>
  <c r="J73" i="16"/>
  <c r="H76" i="11"/>
  <c r="J18" i="19"/>
  <c r="J19" i="19" s="1"/>
  <c r="J20" i="19" s="1"/>
  <c r="J21" i="19" s="1"/>
  <c r="J22" i="19" s="1"/>
  <c r="J23" i="19" s="1"/>
  <c r="J24" i="19" s="1"/>
  <c r="J25" i="19" s="1"/>
  <c r="J26" i="19" s="1"/>
  <c r="J27" i="19" s="1"/>
  <c r="J28" i="19" s="1"/>
  <c r="J29" i="19" s="1"/>
  <c r="J30" i="19" s="1"/>
  <c r="J31" i="19" s="1"/>
  <c r="J32" i="19" s="1"/>
  <c r="J33" i="19" s="1"/>
  <c r="J34" i="19" s="1"/>
  <c r="J35" i="19" s="1"/>
  <c r="J36" i="19" s="1"/>
  <c r="J37" i="19" s="1"/>
  <c r="J38" i="19" s="1"/>
  <c r="J39" i="19" s="1"/>
  <c r="J40" i="19" s="1"/>
  <c r="J41" i="19" s="1"/>
  <c r="J42" i="19" s="1"/>
  <c r="J43" i="19" s="1"/>
  <c r="J44" i="19" s="1"/>
  <c r="J45" i="19" s="1"/>
  <c r="J46" i="19" s="1"/>
  <c r="J47" i="19" s="1"/>
  <c r="J48" i="19" s="1"/>
  <c r="J49" i="19" s="1"/>
  <c r="J50" i="19" s="1"/>
  <c r="J51" i="19" s="1"/>
  <c r="J52" i="19" s="1"/>
  <c r="J53" i="19" s="1"/>
  <c r="J54" i="19" s="1"/>
  <c r="J55" i="19" s="1"/>
  <c r="J56" i="19" s="1"/>
  <c r="J57" i="19" s="1"/>
  <c r="J58" i="19" s="1"/>
  <c r="J59" i="19" s="1"/>
  <c r="J60" i="19" s="1"/>
  <c r="J61" i="19" s="1"/>
  <c r="J62" i="19" s="1"/>
  <c r="J63" i="19" s="1"/>
  <c r="J64" i="19" s="1"/>
  <c r="J65" i="19" s="1"/>
  <c r="J66" i="19" s="1"/>
  <c r="J67" i="19" s="1"/>
  <c r="J68" i="19" s="1"/>
  <c r="J69" i="19" s="1"/>
  <c r="J70" i="19" s="1"/>
  <c r="J71" i="19" s="1"/>
  <c r="J72" i="19" s="1"/>
  <c r="J73" i="19" s="1"/>
  <c r="J74" i="19" s="1"/>
  <c r="J75" i="19" s="1"/>
  <c r="J76" i="19" s="1"/>
  <c r="J77" i="19" s="1"/>
  <c r="J78" i="19" s="1"/>
  <c r="J79" i="19" s="1"/>
  <c r="J80" i="19" s="1"/>
  <c r="J81" i="19" s="1"/>
  <c r="J82" i="19" s="1"/>
  <c r="J83" i="19" s="1"/>
  <c r="J84" i="19" s="1"/>
  <c r="J85" i="19" s="1"/>
  <c r="J18" i="18"/>
  <c r="J19" i="18" s="1"/>
  <c r="J20" i="18" s="1"/>
  <c r="J21" i="18" s="1"/>
  <c r="J22" i="18" s="1"/>
  <c r="J23" i="18" s="1"/>
  <c r="J24" i="18" s="1"/>
  <c r="J25" i="18" s="1"/>
  <c r="J26" i="18" s="1"/>
  <c r="J27" i="18" s="1"/>
  <c r="J28" i="18" s="1"/>
  <c r="J29" i="18" s="1"/>
  <c r="J30" i="18" s="1"/>
  <c r="J31" i="18" s="1"/>
  <c r="J32" i="18" s="1"/>
  <c r="J33" i="18" s="1"/>
  <c r="J34" i="18" s="1"/>
  <c r="J35" i="18" s="1"/>
  <c r="J36" i="18" s="1"/>
  <c r="J37" i="18" s="1"/>
  <c r="J38" i="18" s="1"/>
  <c r="J39" i="18" s="1"/>
  <c r="J40" i="18" s="1"/>
  <c r="J41" i="18" s="1"/>
  <c r="J42" i="18" s="1"/>
  <c r="J43" i="18" s="1"/>
  <c r="J44" i="18" s="1"/>
  <c r="J45" i="18" s="1"/>
  <c r="J46" i="18" s="1"/>
  <c r="J47" i="18" s="1"/>
  <c r="J48" i="18" s="1"/>
  <c r="J49" i="18" s="1"/>
  <c r="J50" i="18" s="1"/>
  <c r="J51" i="18" s="1"/>
  <c r="J52" i="18" s="1"/>
  <c r="J53" i="18" s="1"/>
  <c r="J54" i="18" s="1"/>
  <c r="J55" i="18" s="1"/>
  <c r="J56" i="18" s="1"/>
  <c r="J57" i="18" s="1"/>
  <c r="J58" i="18" s="1"/>
  <c r="J59" i="18" s="1"/>
  <c r="J60" i="18" s="1"/>
  <c r="J61" i="18" s="1"/>
  <c r="J62" i="18" s="1"/>
  <c r="J63" i="18" s="1"/>
  <c r="J64" i="18" s="1"/>
  <c r="J65" i="18" s="1"/>
  <c r="J66" i="18" s="1"/>
  <c r="J67" i="18" s="1"/>
  <c r="J68" i="18" s="1"/>
  <c r="J69" i="18" s="1"/>
  <c r="J70" i="18" s="1"/>
  <c r="J71" i="18" s="1"/>
  <c r="J72" i="18" s="1"/>
  <c r="J73" i="18" s="1"/>
  <c r="J74" i="18" s="1"/>
  <c r="J75" i="18" s="1"/>
  <c r="J76" i="18" s="1"/>
  <c r="J77" i="18" s="1"/>
  <c r="J78" i="18" s="1"/>
  <c r="J79" i="18" s="1"/>
  <c r="J80" i="18" s="1"/>
  <c r="J81" i="18" s="1"/>
  <c r="J82" i="18" s="1"/>
  <c r="J83" i="18" s="1"/>
  <c r="J84" i="18" s="1"/>
  <c r="J85" i="18" s="1"/>
  <c r="H76" i="17"/>
  <c r="H76" i="16"/>
  <c r="C70" i="11"/>
  <c r="C70" i="17"/>
  <c r="C70" i="16"/>
  <c r="I70" i="11"/>
  <c r="I70" i="17"/>
  <c r="I70" i="16"/>
  <c r="D70" i="11"/>
  <c r="D70" i="17"/>
  <c r="D70" i="16"/>
  <c r="J74" i="11"/>
  <c r="J74" i="17"/>
  <c r="J74" i="16"/>
  <c r="E74" i="11"/>
  <c r="E74" i="17"/>
  <c r="E74" i="16"/>
  <c r="C71" i="11"/>
  <c r="C71" i="17"/>
  <c r="C71" i="16"/>
  <c r="I71" i="11"/>
  <c r="I71" i="17"/>
  <c r="I71" i="16"/>
  <c r="D71" i="11"/>
  <c r="D71" i="17"/>
  <c r="D71" i="16"/>
  <c r="K76" i="11"/>
  <c r="K76" i="17"/>
  <c r="K76" i="16"/>
  <c r="D69" i="11"/>
  <c r="D69" i="17"/>
  <c r="D69" i="16"/>
  <c r="J69" i="11"/>
  <c r="J69" i="17"/>
  <c r="J69" i="16"/>
  <c r="E69" i="11"/>
  <c r="E69" i="17"/>
  <c r="E69" i="16"/>
  <c r="D76" i="11"/>
  <c r="F18" i="19"/>
  <c r="F19" i="19" s="1"/>
  <c r="F20" i="19" s="1"/>
  <c r="F21" i="19" s="1"/>
  <c r="F22" i="19" s="1"/>
  <c r="F23" i="19" s="1"/>
  <c r="F24" i="19" s="1"/>
  <c r="F25" i="19" s="1"/>
  <c r="F26" i="19" s="1"/>
  <c r="F27" i="19" s="1"/>
  <c r="F28" i="19" s="1"/>
  <c r="F29" i="19" s="1"/>
  <c r="F30" i="19" s="1"/>
  <c r="F31" i="19" s="1"/>
  <c r="F32" i="19" s="1"/>
  <c r="F33" i="19" s="1"/>
  <c r="F34" i="19" s="1"/>
  <c r="F35" i="19" s="1"/>
  <c r="F36" i="19" s="1"/>
  <c r="F37" i="19" s="1"/>
  <c r="F38" i="19" s="1"/>
  <c r="F39" i="19" s="1"/>
  <c r="F40" i="19" s="1"/>
  <c r="F41" i="19" s="1"/>
  <c r="F42" i="19" s="1"/>
  <c r="F43" i="19" s="1"/>
  <c r="F44" i="19" s="1"/>
  <c r="F45" i="19" s="1"/>
  <c r="F46" i="19" s="1"/>
  <c r="F47" i="19" s="1"/>
  <c r="F48" i="19" s="1"/>
  <c r="F49" i="19" s="1"/>
  <c r="F50" i="19" s="1"/>
  <c r="F51" i="19" s="1"/>
  <c r="F52" i="19" s="1"/>
  <c r="F53" i="19" s="1"/>
  <c r="F54" i="19" s="1"/>
  <c r="F55" i="19" s="1"/>
  <c r="F56" i="19" s="1"/>
  <c r="F57" i="19" s="1"/>
  <c r="F58" i="19" s="1"/>
  <c r="F59" i="19" s="1"/>
  <c r="F60" i="19" s="1"/>
  <c r="F61" i="19" s="1"/>
  <c r="F62" i="19" s="1"/>
  <c r="F63" i="19" s="1"/>
  <c r="F64" i="19" s="1"/>
  <c r="F65" i="19" s="1"/>
  <c r="F66" i="19" s="1"/>
  <c r="F67" i="19" s="1"/>
  <c r="F68" i="19" s="1"/>
  <c r="F69" i="19" s="1"/>
  <c r="F70" i="19" s="1"/>
  <c r="F71" i="19" s="1"/>
  <c r="F72" i="19" s="1"/>
  <c r="F73" i="19" s="1"/>
  <c r="F74" i="19" s="1"/>
  <c r="F75" i="19" s="1"/>
  <c r="F76" i="19" s="1"/>
  <c r="F77" i="19" s="1"/>
  <c r="F78" i="19" s="1"/>
  <c r="F79" i="19" s="1"/>
  <c r="F80" i="19" s="1"/>
  <c r="F81" i="19" s="1"/>
  <c r="F82" i="19" s="1"/>
  <c r="F83" i="19" s="1"/>
  <c r="F84" i="19" s="1"/>
  <c r="F85" i="19" s="1"/>
  <c r="F18" i="18"/>
  <c r="F19" i="18" s="1"/>
  <c r="F20" i="18" s="1"/>
  <c r="F21" i="18" s="1"/>
  <c r="F22" i="18" s="1"/>
  <c r="F23" i="18" s="1"/>
  <c r="F24" i="18" s="1"/>
  <c r="F25" i="18" s="1"/>
  <c r="F26" i="18" s="1"/>
  <c r="F27" i="18" s="1"/>
  <c r="F28" i="18" s="1"/>
  <c r="F29" i="18" s="1"/>
  <c r="F30" i="18" s="1"/>
  <c r="F31" i="18" s="1"/>
  <c r="F32" i="18" s="1"/>
  <c r="F33" i="18" s="1"/>
  <c r="F34" i="18" s="1"/>
  <c r="F35" i="18" s="1"/>
  <c r="F36" i="18" s="1"/>
  <c r="F37" i="18" s="1"/>
  <c r="F38" i="18" s="1"/>
  <c r="F39" i="18" s="1"/>
  <c r="F40" i="18" s="1"/>
  <c r="F41" i="18" s="1"/>
  <c r="F42" i="18" s="1"/>
  <c r="F43" i="18" s="1"/>
  <c r="F44" i="18" s="1"/>
  <c r="F45" i="18" s="1"/>
  <c r="F46" i="18" s="1"/>
  <c r="F47" i="18" s="1"/>
  <c r="F48" i="18" s="1"/>
  <c r="F49" i="18" s="1"/>
  <c r="F50" i="18" s="1"/>
  <c r="F51" i="18" s="1"/>
  <c r="F52" i="18" s="1"/>
  <c r="F53" i="18" s="1"/>
  <c r="F54" i="18" s="1"/>
  <c r="F55" i="18" s="1"/>
  <c r="F56" i="18" s="1"/>
  <c r="F57" i="18" s="1"/>
  <c r="F58" i="18" s="1"/>
  <c r="F59" i="18" s="1"/>
  <c r="F60" i="18" s="1"/>
  <c r="F61" i="18" s="1"/>
  <c r="F62" i="18" s="1"/>
  <c r="F63" i="18" s="1"/>
  <c r="F64" i="18" s="1"/>
  <c r="F65" i="18" s="1"/>
  <c r="F66" i="18" s="1"/>
  <c r="F67" i="18" s="1"/>
  <c r="F68" i="18" s="1"/>
  <c r="F69" i="18" s="1"/>
  <c r="F70" i="18" s="1"/>
  <c r="F71" i="18" s="1"/>
  <c r="F72" i="18" s="1"/>
  <c r="F73" i="18" s="1"/>
  <c r="F74" i="18" s="1"/>
  <c r="F75" i="18" s="1"/>
  <c r="F76" i="18" s="1"/>
  <c r="F77" i="18" s="1"/>
  <c r="F78" i="18" s="1"/>
  <c r="F79" i="18" s="1"/>
  <c r="F80" i="18" s="1"/>
  <c r="F81" i="18" s="1"/>
  <c r="F82" i="18" s="1"/>
  <c r="F83" i="18" s="1"/>
  <c r="F84" i="18" s="1"/>
  <c r="F85" i="18" s="1"/>
  <c r="D76" i="17"/>
  <c r="D76" i="16"/>
  <c r="K73" i="11"/>
  <c r="K73" i="17"/>
  <c r="K73" i="16"/>
  <c r="F73" i="11"/>
  <c r="F73" i="17"/>
  <c r="F73" i="16"/>
  <c r="M72" i="11"/>
  <c r="M72" i="17"/>
  <c r="M72" i="16"/>
  <c r="H72" i="11"/>
  <c r="H72" i="17"/>
  <c r="H72" i="16"/>
  <c r="C72" i="11"/>
  <c r="C72" i="17"/>
  <c r="C72" i="16"/>
  <c r="L75" i="11"/>
  <c r="L75" i="17"/>
  <c r="L75" i="16"/>
  <c r="N65" i="16"/>
  <c r="C18" i="16"/>
  <c r="L95" i="16"/>
  <c r="N95" i="17"/>
  <c r="E18" i="17"/>
  <c r="F18" i="17"/>
  <c r="O95" i="17"/>
  <c r="G70" i="11"/>
  <c r="G70" i="17"/>
  <c r="G70" i="16"/>
  <c r="M70" i="11"/>
  <c r="M70" i="17"/>
  <c r="M70" i="16"/>
  <c r="I74" i="11"/>
  <c r="I74" i="17"/>
  <c r="I74" i="16"/>
  <c r="H71" i="11"/>
  <c r="H71" i="17"/>
  <c r="H71" i="16"/>
  <c r="I69" i="11"/>
  <c r="I69" i="17"/>
  <c r="I69" i="16"/>
  <c r="D73" i="11"/>
  <c r="D73" i="17"/>
  <c r="D73" i="16"/>
  <c r="E73" i="11"/>
  <c r="E73" i="17"/>
  <c r="E73" i="16"/>
  <c r="G72" i="11"/>
  <c r="G72" i="17"/>
  <c r="G72" i="16"/>
  <c r="F75" i="11"/>
  <c r="F75" i="17"/>
  <c r="F75" i="16"/>
  <c r="M95" i="17"/>
  <c r="D18" i="17"/>
  <c r="P95" i="17"/>
  <c r="G18" i="17"/>
  <c r="G19" i="17" s="1"/>
  <c r="N95" i="16"/>
  <c r="E18" i="16"/>
  <c r="O95" i="16"/>
  <c r="F18" i="16"/>
  <c r="J76" i="11"/>
  <c r="J76" i="17"/>
  <c r="J76" i="16"/>
  <c r="J70" i="11"/>
  <c r="J70" i="17"/>
  <c r="J70" i="16"/>
  <c r="E70" i="11"/>
  <c r="E70" i="17"/>
  <c r="E70" i="16"/>
  <c r="K74" i="11"/>
  <c r="K74" i="17"/>
  <c r="K74" i="16"/>
  <c r="F74" i="11"/>
  <c r="F74" i="17"/>
  <c r="F74" i="16"/>
  <c r="L74" i="11"/>
  <c r="L74" i="17"/>
  <c r="L74" i="16"/>
  <c r="J71" i="11"/>
  <c r="J71" i="17"/>
  <c r="J71" i="16"/>
  <c r="E71" i="11"/>
  <c r="E71" i="17"/>
  <c r="E71" i="16"/>
  <c r="K71" i="11"/>
  <c r="K71" i="17"/>
  <c r="K71" i="16"/>
  <c r="F76" i="11"/>
  <c r="H18" i="19"/>
  <c r="H19" i="19" s="1"/>
  <c r="H20" i="19" s="1"/>
  <c r="H21" i="19" s="1"/>
  <c r="H22" i="19" s="1"/>
  <c r="H23" i="19" s="1"/>
  <c r="H24" i="19" s="1"/>
  <c r="H25" i="19" s="1"/>
  <c r="H26" i="19" s="1"/>
  <c r="H27" i="19" s="1"/>
  <c r="H28" i="19" s="1"/>
  <c r="H29" i="19" s="1"/>
  <c r="H30" i="19" s="1"/>
  <c r="H31" i="19" s="1"/>
  <c r="H32" i="19" s="1"/>
  <c r="H33" i="19" s="1"/>
  <c r="H34" i="19" s="1"/>
  <c r="H35" i="19" s="1"/>
  <c r="H36" i="19" s="1"/>
  <c r="H37" i="19" s="1"/>
  <c r="H38" i="19" s="1"/>
  <c r="H39" i="19" s="1"/>
  <c r="H40" i="19" s="1"/>
  <c r="H41" i="19" s="1"/>
  <c r="H42" i="19" s="1"/>
  <c r="H43" i="19" s="1"/>
  <c r="H44" i="19" s="1"/>
  <c r="H45" i="19" s="1"/>
  <c r="H46" i="19" s="1"/>
  <c r="H47" i="19" s="1"/>
  <c r="H48" i="19" s="1"/>
  <c r="H49" i="19" s="1"/>
  <c r="H50" i="19" s="1"/>
  <c r="H51" i="19" s="1"/>
  <c r="H52" i="19" s="1"/>
  <c r="H53" i="19" s="1"/>
  <c r="H54" i="19" s="1"/>
  <c r="H55" i="19" s="1"/>
  <c r="H56" i="19" s="1"/>
  <c r="H57" i="19" s="1"/>
  <c r="H58" i="19" s="1"/>
  <c r="H59" i="19" s="1"/>
  <c r="H60" i="19" s="1"/>
  <c r="H61" i="19" s="1"/>
  <c r="H62" i="19" s="1"/>
  <c r="H63" i="19" s="1"/>
  <c r="H64" i="19" s="1"/>
  <c r="H65" i="19" s="1"/>
  <c r="H66" i="19" s="1"/>
  <c r="H67" i="19" s="1"/>
  <c r="H68" i="19" s="1"/>
  <c r="H69" i="19" s="1"/>
  <c r="H70" i="19" s="1"/>
  <c r="H71" i="19" s="1"/>
  <c r="H72" i="19" s="1"/>
  <c r="H73" i="19" s="1"/>
  <c r="H74" i="19" s="1"/>
  <c r="H75" i="19" s="1"/>
  <c r="H76" i="19" s="1"/>
  <c r="H77" i="19" s="1"/>
  <c r="H78" i="19" s="1"/>
  <c r="H79" i="19" s="1"/>
  <c r="H80" i="19" s="1"/>
  <c r="H81" i="19" s="1"/>
  <c r="H82" i="19" s="1"/>
  <c r="H83" i="19" s="1"/>
  <c r="H84" i="19" s="1"/>
  <c r="H85" i="19" s="1"/>
  <c r="H18" i="18"/>
  <c r="H19" i="18" s="1"/>
  <c r="H20" i="18" s="1"/>
  <c r="H21" i="18" s="1"/>
  <c r="H22" i="18" s="1"/>
  <c r="H23" i="18" s="1"/>
  <c r="H24" i="18" s="1"/>
  <c r="H25" i="18" s="1"/>
  <c r="H26" i="18" s="1"/>
  <c r="H27" i="18" s="1"/>
  <c r="H28" i="18" s="1"/>
  <c r="H29" i="18" s="1"/>
  <c r="H30" i="18" s="1"/>
  <c r="H31" i="18" s="1"/>
  <c r="H32" i="18" s="1"/>
  <c r="H33" i="18" s="1"/>
  <c r="H34" i="18" s="1"/>
  <c r="H35" i="18" s="1"/>
  <c r="H36" i="18" s="1"/>
  <c r="H37" i="18" s="1"/>
  <c r="H38" i="18" s="1"/>
  <c r="H39" i="18" s="1"/>
  <c r="H40" i="18" s="1"/>
  <c r="H41" i="18" s="1"/>
  <c r="H42" i="18" s="1"/>
  <c r="H43" i="18" s="1"/>
  <c r="H44" i="18" s="1"/>
  <c r="H45" i="18" s="1"/>
  <c r="H46" i="18" s="1"/>
  <c r="H47" i="18" s="1"/>
  <c r="H48" i="18" s="1"/>
  <c r="H49" i="18" s="1"/>
  <c r="H50" i="18" s="1"/>
  <c r="H51" i="18" s="1"/>
  <c r="H52" i="18" s="1"/>
  <c r="H53" i="18" s="1"/>
  <c r="H54" i="18" s="1"/>
  <c r="H55" i="18" s="1"/>
  <c r="H56" i="18" s="1"/>
  <c r="H57" i="18" s="1"/>
  <c r="H58" i="18" s="1"/>
  <c r="H59" i="18" s="1"/>
  <c r="H60" i="18" s="1"/>
  <c r="H61" i="18" s="1"/>
  <c r="H62" i="18" s="1"/>
  <c r="H63" i="18" s="1"/>
  <c r="H64" i="18" s="1"/>
  <c r="H65" i="18" s="1"/>
  <c r="H66" i="18" s="1"/>
  <c r="H67" i="18" s="1"/>
  <c r="H68" i="18" s="1"/>
  <c r="H69" i="18" s="1"/>
  <c r="H70" i="18" s="1"/>
  <c r="H71" i="18" s="1"/>
  <c r="H72" i="18" s="1"/>
  <c r="H73" i="18" s="1"/>
  <c r="H74" i="18" s="1"/>
  <c r="H75" i="18" s="1"/>
  <c r="H76" i="18" s="1"/>
  <c r="H77" i="18" s="1"/>
  <c r="H78" i="18" s="1"/>
  <c r="H79" i="18" s="1"/>
  <c r="H80" i="18" s="1"/>
  <c r="H81" i="18" s="1"/>
  <c r="H82" i="18" s="1"/>
  <c r="H83" i="18" s="1"/>
  <c r="H84" i="18" s="1"/>
  <c r="H85" i="18" s="1"/>
  <c r="F76" i="17"/>
  <c r="F76" i="16"/>
  <c r="C69" i="11"/>
  <c r="C69" i="17"/>
  <c r="C69" i="16"/>
  <c r="F69" i="11"/>
  <c r="F69" i="17"/>
  <c r="F69" i="16"/>
  <c r="E76" i="11"/>
  <c r="G18" i="19"/>
  <c r="G19" i="19" s="1"/>
  <c r="G20" i="19" s="1"/>
  <c r="G21" i="19" s="1"/>
  <c r="G22" i="19" s="1"/>
  <c r="G23" i="19" s="1"/>
  <c r="G24" i="19" s="1"/>
  <c r="G25" i="19" s="1"/>
  <c r="G26" i="19" s="1"/>
  <c r="G27" i="19" s="1"/>
  <c r="G28" i="19" s="1"/>
  <c r="G29" i="19" s="1"/>
  <c r="G30" i="19" s="1"/>
  <c r="G31" i="19" s="1"/>
  <c r="G32" i="19" s="1"/>
  <c r="G33" i="19" s="1"/>
  <c r="G34" i="19" s="1"/>
  <c r="G35" i="19" s="1"/>
  <c r="G36" i="19" s="1"/>
  <c r="G37" i="19" s="1"/>
  <c r="G38" i="19" s="1"/>
  <c r="G39" i="19" s="1"/>
  <c r="G40" i="19" s="1"/>
  <c r="G41" i="19" s="1"/>
  <c r="G42" i="19" s="1"/>
  <c r="G43" i="19" s="1"/>
  <c r="G44" i="19" s="1"/>
  <c r="G45" i="19" s="1"/>
  <c r="G46" i="19" s="1"/>
  <c r="G47" i="19" s="1"/>
  <c r="G48" i="19" s="1"/>
  <c r="G49" i="19" s="1"/>
  <c r="G50" i="19" s="1"/>
  <c r="G51" i="19" s="1"/>
  <c r="G52" i="19" s="1"/>
  <c r="G53" i="19" s="1"/>
  <c r="G54" i="19" s="1"/>
  <c r="G55" i="19" s="1"/>
  <c r="G56" i="19" s="1"/>
  <c r="G57" i="19" s="1"/>
  <c r="G58" i="19" s="1"/>
  <c r="G59" i="19" s="1"/>
  <c r="G60" i="19" s="1"/>
  <c r="G61" i="19" s="1"/>
  <c r="G62" i="19" s="1"/>
  <c r="G63" i="19" s="1"/>
  <c r="G64" i="19" s="1"/>
  <c r="G65" i="19" s="1"/>
  <c r="G66" i="19" s="1"/>
  <c r="G67" i="19" s="1"/>
  <c r="G68" i="19" s="1"/>
  <c r="G69" i="19" s="1"/>
  <c r="G70" i="19" s="1"/>
  <c r="G71" i="19" s="1"/>
  <c r="G72" i="19" s="1"/>
  <c r="G73" i="19" s="1"/>
  <c r="G74" i="19" s="1"/>
  <c r="G75" i="19" s="1"/>
  <c r="G76" i="19" s="1"/>
  <c r="G77" i="19" s="1"/>
  <c r="G78" i="19" s="1"/>
  <c r="G79" i="19" s="1"/>
  <c r="G80" i="19" s="1"/>
  <c r="G81" i="19" s="1"/>
  <c r="G82" i="19" s="1"/>
  <c r="G83" i="19" s="1"/>
  <c r="G84" i="19" s="1"/>
  <c r="G85" i="19" s="1"/>
  <c r="G18" i="18"/>
  <c r="G19" i="18" s="1"/>
  <c r="G20" i="18" s="1"/>
  <c r="G21" i="18" s="1"/>
  <c r="G22" i="18" s="1"/>
  <c r="G23" i="18" s="1"/>
  <c r="G24" i="18" s="1"/>
  <c r="G25" i="18" s="1"/>
  <c r="G26" i="18" s="1"/>
  <c r="G27" i="18" s="1"/>
  <c r="G28" i="18" s="1"/>
  <c r="G29" i="18" s="1"/>
  <c r="G30" i="18" s="1"/>
  <c r="G31" i="18" s="1"/>
  <c r="G32" i="18" s="1"/>
  <c r="G33" i="18" s="1"/>
  <c r="G34" i="18" s="1"/>
  <c r="G35" i="18" s="1"/>
  <c r="G36" i="18" s="1"/>
  <c r="G37" i="18" s="1"/>
  <c r="G38" i="18" s="1"/>
  <c r="G39" i="18" s="1"/>
  <c r="G40" i="18" s="1"/>
  <c r="G41" i="18" s="1"/>
  <c r="G42" i="18" s="1"/>
  <c r="G43" i="18" s="1"/>
  <c r="G44" i="18" s="1"/>
  <c r="G45" i="18" s="1"/>
  <c r="G46" i="18" s="1"/>
  <c r="G47" i="18" s="1"/>
  <c r="G48" i="18" s="1"/>
  <c r="G49" i="18" s="1"/>
  <c r="G50" i="18" s="1"/>
  <c r="G51" i="18" s="1"/>
  <c r="G52" i="18" s="1"/>
  <c r="G53" i="18" s="1"/>
  <c r="G54" i="18" s="1"/>
  <c r="G55" i="18" s="1"/>
  <c r="G56" i="18" s="1"/>
  <c r="G57" i="18" s="1"/>
  <c r="G58" i="18" s="1"/>
  <c r="G59" i="18" s="1"/>
  <c r="G60" i="18" s="1"/>
  <c r="G61" i="18" s="1"/>
  <c r="G62" i="18" s="1"/>
  <c r="G63" i="18" s="1"/>
  <c r="G64" i="18" s="1"/>
  <c r="G65" i="18" s="1"/>
  <c r="G66" i="18" s="1"/>
  <c r="G67" i="18" s="1"/>
  <c r="G68" i="18" s="1"/>
  <c r="G69" i="18" s="1"/>
  <c r="G70" i="18" s="1"/>
  <c r="G71" i="18" s="1"/>
  <c r="G72" i="18" s="1"/>
  <c r="G73" i="18" s="1"/>
  <c r="G74" i="18" s="1"/>
  <c r="G75" i="18" s="1"/>
  <c r="G76" i="18" s="1"/>
  <c r="G77" i="18" s="1"/>
  <c r="G78" i="18" s="1"/>
  <c r="G79" i="18" s="1"/>
  <c r="G80" i="18" s="1"/>
  <c r="G81" i="18" s="1"/>
  <c r="G82" i="18" s="1"/>
  <c r="G83" i="18" s="1"/>
  <c r="G84" i="18" s="1"/>
  <c r="G85" i="18" s="1"/>
  <c r="E76" i="17"/>
  <c r="E76" i="16"/>
  <c r="L73" i="11"/>
  <c r="L73" i="17"/>
  <c r="L73" i="16"/>
  <c r="G73" i="11"/>
  <c r="G73" i="17"/>
  <c r="G73" i="16"/>
  <c r="M73" i="11"/>
  <c r="M73" i="17"/>
  <c r="M73" i="16"/>
  <c r="I72" i="11"/>
  <c r="I72" i="17"/>
  <c r="I72" i="16"/>
  <c r="D72" i="11"/>
  <c r="D72" i="17"/>
  <c r="D72" i="16"/>
  <c r="J72" i="11"/>
  <c r="J72" i="17"/>
  <c r="J72" i="16"/>
  <c r="I28" i="4"/>
  <c r="N67" i="11"/>
  <c r="N65" i="17"/>
  <c r="L95" i="17"/>
  <c r="C18" i="17"/>
  <c r="C76" i="11"/>
  <c r="E18" i="19"/>
  <c r="E18" i="18"/>
  <c r="C76" i="17"/>
  <c r="C76" i="16"/>
  <c r="H70" i="11"/>
  <c r="H70" i="17"/>
  <c r="H70" i="16"/>
  <c r="D74" i="11"/>
  <c r="D74" i="17"/>
  <c r="D74" i="16"/>
  <c r="I76" i="11"/>
  <c r="K18" i="19"/>
  <c r="K19" i="19" s="1"/>
  <c r="K20" i="19" s="1"/>
  <c r="K21" i="19" s="1"/>
  <c r="K22" i="19" s="1"/>
  <c r="K23" i="19" s="1"/>
  <c r="K24" i="19" s="1"/>
  <c r="K25" i="19" s="1"/>
  <c r="K26" i="19" s="1"/>
  <c r="K27" i="19" s="1"/>
  <c r="K28" i="19" s="1"/>
  <c r="K29" i="19" s="1"/>
  <c r="K30" i="19" s="1"/>
  <c r="K31" i="19" s="1"/>
  <c r="K32" i="19" s="1"/>
  <c r="K33" i="19" s="1"/>
  <c r="K34" i="19" s="1"/>
  <c r="K35" i="19" s="1"/>
  <c r="K36" i="19" s="1"/>
  <c r="K37" i="19" s="1"/>
  <c r="K38" i="19" s="1"/>
  <c r="K39" i="19" s="1"/>
  <c r="K40" i="19" s="1"/>
  <c r="K41" i="19" s="1"/>
  <c r="K42" i="19" s="1"/>
  <c r="K43" i="19" s="1"/>
  <c r="K44" i="19" s="1"/>
  <c r="K45" i="19" s="1"/>
  <c r="K46" i="19" s="1"/>
  <c r="K47" i="19" s="1"/>
  <c r="K48" i="19" s="1"/>
  <c r="K49" i="19" s="1"/>
  <c r="K50" i="19" s="1"/>
  <c r="K51" i="19" s="1"/>
  <c r="K52" i="19" s="1"/>
  <c r="K53" i="19" s="1"/>
  <c r="K54" i="19" s="1"/>
  <c r="K55" i="19" s="1"/>
  <c r="K56" i="19" s="1"/>
  <c r="K57" i="19" s="1"/>
  <c r="K58" i="19" s="1"/>
  <c r="K59" i="19" s="1"/>
  <c r="K60" i="19" s="1"/>
  <c r="K61" i="19" s="1"/>
  <c r="K62" i="19" s="1"/>
  <c r="K63" i="19" s="1"/>
  <c r="K64" i="19" s="1"/>
  <c r="K65" i="19" s="1"/>
  <c r="K66" i="19" s="1"/>
  <c r="K67" i="19" s="1"/>
  <c r="K68" i="19" s="1"/>
  <c r="K69" i="19" s="1"/>
  <c r="K70" i="19" s="1"/>
  <c r="K71" i="19" s="1"/>
  <c r="K72" i="19" s="1"/>
  <c r="K73" i="19" s="1"/>
  <c r="K74" i="19" s="1"/>
  <c r="K75" i="19" s="1"/>
  <c r="K76" i="19" s="1"/>
  <c r="K77" i="19" s="1"/>
  <c r="K78" i="19" s="1"/>
  <c r="K79" i="19" s="1"/>
  <c r="K80" i="19" s="1"/>
  <c r="K81" i="19" s="1"/>
  <c r="K82" i="19" s="1"/>
  <c r="K83" i="19" s="1"/>
  <c r="K84" i="19" s="1"/>
  <c r="K85" i="19" s="1"/>
  <c r="K18" i="18"/>
  <c r="K19" i="18" s="1"/>
  <c r="K20" i="18" s="1"/>
  <c r="K21" i="18" s="1"/>
  <c r="K22" i="18" s="1"/>
  <c r="K23" i="18" s="1"/>
  <c r="K24" i="18" s="1"/>
  <c r="K25" i="18" s="1"/>
  <c r="K26" i="18" s="1"/>
  <c r="K27" i="18" s="1"/>
  <c r="K28" i="18" s="1"/>
  <c r="K29" i="18" s="1"/>
  <c r="K30" i="18" s="1"/>
  <c r="K31" i="18" s="1"/>
  <c r="K32" i="18" s="1"/>
  <c r="K33" i="18" s="1"/>
  <c r="K34" i="18" s="1"/>
  <c r="K35" i="18" s="1"/>
  <c r="K36" i="18" s="1"/>
  <c r="K37" i="18" s="1"/>
  <c r="K38" i="18" s="1"/>
  <c r="K39" i="18" s="1"/>
  <c r="K40" i="18" s="1"/>
  <c r="K41" i="18" s="1"/>
  <c r="K42" i="18" s="1"/>
  <c r="K43" i="18" s="1"/>
  <c r="K44" i="18" s="1"/>
  <c r="K45" i="18" s="1"/>
  <c r="K46" i="18" s="1"/>
  <c r="K47" i="18" s="1"/>
  <c r="K48" i="18" s="1"/>
  <c r="K49" i="18" s="1"/>
  <c r="K50" i="18" s="1"/>
  <c r="K51" i="18" s="1"/>
  <c r="K52" i="18" s="1"/>
  <c r="K53" i="18" s="1"/>
  <c r="K54" i="18" s="1"/>
  <c r="K55" i="18" s="1"/>
  <c r="K56" i="18" s="1"/>
  <c r="K57" i="18" s="1"/>
  <c r="K58" i="18" s="1"/>
  <c r="K59" i="18" s="1"/>
  <c r="K60" i="18" s="1"/>
  <c r="K61" i="18" s="1"/>
  <c r="K62" i="18" s="1"/>
  <c r="K63" i="18" s="1"/>
  <c r="K64" i="18" s="1"/>
  <c r="K65" i="18" s="1"/>
  <c r="K66" i="18" s="1"/>
  <c r="K67" i="18" s="1"/>
  <c r="K68" i="18" s="1"/>
  <c r="K69" i="18" s="1"/>
  <c r="K70" i="18" s="1"/>
  <c r="K71" i="18" s="1"/>
  <c r="K72" i="18" s="1"/>
  <c r="K73" i="18" s="1"/>
  <c r="K74" i="18" s="1"/>
  <c r="K75" i="18" s="1"/>
  <c r="K76" i="18" s="1"/>
  <c r="K77" i="18" s="1"/>
  <c r="K78" i="18" s="1"/>
  <c r="K79" i="18" s="1"/>
  <c r="K80" i="18" s="1"/>
  <c r="K81" i="18" s="1"/>
  <c r="K82" i="18" s="1"/>
  <c r="K83" i="18" s="1"/>
  <c r="K84" i="18" s="1"/>
  <c r="K85" i="18" s="1"/>
  <c r="I76" i="17"/>
  <c r="I76" i="16"/>
  <c r="H69" i="11"/>
  <c r="H69" i="17"/>
  <c r="H69" i="16"/>
  <c r="L76" i="11"/>
  <c r="L76" i="17"/>
  <c r="L76" i="16"/>
  <c r="L72" i="11"/>
  <c r="L72" i="17"/>
  <c r="L72" i="16"/>
  <c r="Q8" i="10"/>
  <c r="G10" i="17"/>
  <c r="G10" i="16"/>
  <c r="K70" i="11"/>
  <c r="K70" i="17"/>
  <c r="K70" i="16"/>
  <c r="F70" i="11"/>
  <c r="F70" i="17"/>
  <c r="F70" i="16"/>
  <c r="L70" i="11"/>
  <c r="L70" i="17"/>
  <c r="L70" i="16"/>
  <c r="G74" i="11"/>
  <c r="G74" i="17"/>
  <c r="G74" i="16"/>
  <c r="M74" i="11"/>
  <c r="M74" i="17"/>
  <c r="M74" i="16"/>
  <c r="H74" i="11"/>
  <c r="H74" i="17"/>
  <c r="H74" i="16"/>
  <c r="F71" i="11"/>
  <c r="F71" i="17"/>
  <c r="F71" i="16"/>
  <c r="L71" i="11"/>
  <c r="L71" i="17"/>
  <c r="L71" i="16"/>
  <c r="G71" i="11"/>
  <c r="G71" i="17"/>
  <c r="G71" i="16"/>
  <c r="L69" i="11"/>
  <c r="L69" i="17"/>
  <c r="L69" i="16"/>
  <c r="K69" i="11"/>
  <c r="K69" i="17"/>
  <c r="K69" i="16"/>
  <c r="M69" i="11"/>
  <c r="M69" i="17"/>
  <c r="M69" i="16"/>
  <c r="G76" i="11"/>
  <c r="I18" i="19"/>
  <c r="I19" i="19" s="1"/>
  <c r="I20" i="19" s="1"/>
  <c r="I21" i="19" s="1"/>
  <c r="I22" i="19" s="1"/>
  <c r="I23" i="19" s="1"/>
  <c r="I24" i="19" s="1"/>
  <c r="I25" i="19" s="1"/>
  <c r="I26" i="19" s="1"/>
  <c r="I27" i="19" s="1"/>
  <c r="I28" i="19" s="1"/>
  <c r="I29" i="19" s="1"/>
  <c r="I30" i="19" s="1"/>
  <c r="I31" i="19" s="1"/>
  <c r="I32" i="19" s="1"/>
  <c r="I33" i="19" s="1"/>
  <c r="I34" i="19" s="1"/>
  <c r="I35" i="19" s="1"/>
  <c r="I36" i="19" s="1"/>
  <c r="I37" i="19" s="1"/>
  <c r="I38" i="19" s="1"/>
  <c r="I39" i="19" s="1"/>
  <c r="I40" i="19" s="1"/>
  <c r="I41" i="19" s="1"/>
  <c r="I42" i="19" s="1"/>
  <c r="I43" i="19" s="1"/>
  <c r="I44" i="19" s="1"/>
  <c r="I45" i="19" s="1"/>
  <c r="I46" i="19" s="1"/>
  <c r="I47" i="19" s="1"/>
  <c r="I48" i="19" s="1"/>
  <c r="I49" i="19" s="1"/>
  <c r="I50" i="19" s="1"/>
  <c r="I51" i="19" s="1"/>
  <c r="I52" i="19" s="1"/>
  <c r="I53" i="19" s="1"/>
  <c r="I54" i="19" s="1"/>
  <c r="I55" i="19" s="1"/>
  <c r="I56" i="19" s="1"/>
  <c r="I57" i="19" s="1"/>
  <c r="I58" i="19" s="1"/>
  <c r="I59" i="19" s="1"/>
  <c r="I60" i="19" s="1"/>
  <c r="I61" i="19" s="1"/>
  <c r="I62" i="19" s="1"/>
  <c r="I63" i="19" s="1"/>
  <c r="I64" i="19" s="1"/>
  <c r="I65" i="19" s="1"/>
  <c r="I66" i="19" s="1"/>
  <c r="I67" i="19" s="1"/>
  <c r="I68" i="19" s="1"/>
  <c r="I69" i="19" s="1"/>
  <c r="I70" i="19" s="1"/>
  <c r="I71" i="19" s="1"/>
  <c r="I72" i="19" s="1"/>
  <c r="I73" i="19" s="1"/>
  <c r="I74" i="19" s="1"/>
  <c r="I75" i="19" s="1"/>
  <c r="I76" i="19" s="1"/>
  <c r="I77" i="19" s="1"/>
  <c r="I78" i="19" s="1"/>
  <c r="I79" i="19" s="1"/>
  <c r="I80" i="19" s="1"/>
  <c r="I81" i="19" s="1"/>
  <c r="I82" i="19" s="1"/>
  <c r="I83" i="19" s="1"/>
  <c r="I84" i="19" s="1"/>
  <c r="I85" i="19" s="1"/>
  <c r="I18" i="18"/>
  <c r="I19" i="18" s="1"/>
  <c r="I20" i="18" s="1"/>
  <c r="I21" i="18" s="1"/>
  <c r="I22" i="18" s="1"/>
  <c r="I23" i="18" s="1"/>
  <c r="I24" i="18" s="1"/>
  <c r="I25" i="18" s="1"/>
  <c r="I26" i="18" s="1"/>
  <c r="I27" i="18" s="1"/>
  <c r="I28" i="18" s="1"/>
  <c r="I29" i="18" s="1"/>
  <c r="I30" i="18" s="1"/>
  <c r="I31" i="18" s="1"/>
  <c r="I32" i="18" s="1"/>
  <c r="I33" i="18" s="1"/>
  <c r="I34" i="18" s="1"/>
  <c r="I35" i="18" s="1"/>
  <c r="I36" i="18" s="1"/>
  <c r="I37" i="18" s="1"/>
  <c r="I38" i="18" s="1"/>
  <c r="I39" i="18" s="1"/>
  <c r="I40" i="18" s="1"/>
  <c r="I41" i="18" s="1"/>
  <c r="I42" i="18" s="1"/>
  <c r="I43" i="18" s="1"/>
  <c r="I44" i="18" s="1"/>
  <c r="I45" i="18" s="1"/>
  <c r="I46" i="18" s="1"/>
  <c r="I47" i="18" s="1"/>
  <c r="I48" i="18" s="1"/>
  <c r="I49" i="18" s="1"/>
  <c r="I50" i="18" s="1"/>
  <c r="I51" i="18" s="1"/>
  <c r="I52" i="18" s="1"/>
  <c r="I53" i="18" s="1"/>
  <c r="I54" i="18" s="1"/>
  <c r="I55" i="18" s="1"/>
  <c r="I56" i="18" s="1"/>
  <c r="I57" i="18" s="1"/>
  <c r="I58" i="18" s="1"/>
  <c r="I59" i="18" s="1"/>
  <c r="I60" i="18" s="1"/>
  <c r="I61" i="18" s="1"/>
  <c r="I62" i="18" s="1"/>
  <c r="I63" i="18" s="1"/>
  <c r="I64" i="18" s="1"/>
  <c r="I65" i="18" s="1"/>
  <c r="I66" i="18" s="1"/>
  <c r="I67" i="18" s="1"/>
  <c r="I68" i="18" s="1"/>
  <c r="I69" i="18" s="1"/>
  <c r="I70" i="18" s="1"/>
  <c r="I71" i="18" s="1"/>
  <c r="I72" i="18" s="1"/>
  <c r="I73" i="18" s="1"/>
  <c r="I74" i="18" s="1"/>
  <c r="I75" i="18" s="1"/>
  <c r="I76" i="18" s="1"/>
  <c r="I77" i="18" s="1"/>
  <c r="I78" i="18" s="1"/>
  <c r="I79" i="18" s="1"/>
  <c r="I80" i="18" s="1"/>
  <c r="I81" i="18" s="1"/>
  <c r="I82" i="18" s="1"/>
  <c r="I83" i="18" s="1"/>
  <c r="I84" i="18" s="1"/>
  <c r="I85" i="18" s="1"/>
  <c r="G76" i="17"/>
  <c r="G76" i="16"/>
  <c r="H73" i="11"/>
  <c r="H73" i="17"/>
  <c r="H73" i="16"/>
  <c r="C73" i="11"/>
  <c r="C73" i="17"/>
  <c r="C73" i="16"/>
  <c r="I73" i="11"/>
  <c r="I73" i="17"/>
  <c r="I73" i="16"/>
  <c r="E72" i="11"/>
  <c r="E72" i="17"/>
  <c r="E72" i="16"/>
  <c r="K72" i="11"/>
  <c r="K72" i="17"/>
  <c r="K72" i="16"/>
  <c r="F72" i="11"/>
  <c r="F72" i="17"/>
  <c r="F72" i="16"/>
  <c r="M75" i="11"/>
  <c r="M75" i="17"/>
  <c r="M75" i="16"/>
  <c r="H28" i="4"/>
  <c r="D28" i="4"/>
  <c r="D18" i="16"/>
  <c r="M95" i="16"/>
  <c r="G18" i="16"/>
  <c r="G19" i="16" s="1"/>
  <c r="P95" i="16"/>
  <c r="B194" i="1"/>
  <c r="B228" i="1"/>
  <c r="B263" i="1" s="1"/>
  <c r="N156" i="11"/>
  <c r="D18" i="11"/>
  <c r="M108" i="11" s="1"/>
  <c r="M109" i="11" s="1"/>
  <c r="M110" i="11" s="1"/>
  <c r="M111" i="11" s="1"/>
  <c r="M112" i="11" s="1"/>
  <c r="M113" i="11" s="1"/>
  <c r="M114" i="11" s="1"/>
  <c r="M115" i="11" s="1"/>
  <c r="M95" i="11"/>
  <c r="G28" i="4"/>
  <c r="N65" i="11"/>
  <c r="N95" i="11"/>
  <c r="E18" i="11"/>
  <c r="N108" i="11" s="1"/>
  <c r="N109" i="11" s="1"/>
  <c r="N110" i="11" s="1"/>
  <c r="N111" i="11" s="1"/>
  <c r="N112" i="11" s="1"/>
  <c r="N113" i="11" s="1"/>
  <c r="N114" i="11" s="1"/>
  <c r="N115" i="11" s="1"/>
  <c r="E28" i="4"/>
  <c r="P95" i="11"/>
  <c r="G18" i="11"/>
  <c r="J28" i="4"/>
  <c r="C28" i="4"/>
  <c r="K28" i="4"/>
  <c r="O95" i="11"/>
  <c r="F18" i="11"/>
  <c r="O108" i="11" s="1"/>
  <c r="O109" i="11" s="1"/>
  <c r="O110" i="11" s="1"/>
  <c r="O111" i="11" s="1"/>
  <c r="O112" i="11" s="1"/>
  <c r="O113" i="11" s="1"/>
  <c r="O114" i="11" s="1"/>
  <c r="O115" i="11" s="1"/>
  <c r="C18" i="11"/>
  <c r="L108" i="11" s="1"/>
  <c r="L109" i="11" s="1"/>
  <c r="L110" i="11" s="1"/>
  <c r="L111" i="11" s="1"/>
  <c r="L112" i="11" s="1"/>
  <c r="L113" i="11" s="1"/>
  <c r="L114" i="11" s="1"/>
  <c r="L95" i="11"/>
  <c r="D52" i="13"/>
  <c r="H53" i="13" s="1"/>
  <c r="D53" i="13" s="1"/>
  <c r="Q58" i="10"/>
  <c r="R47" i="10"/>
  <c r="R14" i="10"/>
  <c r="Q53" i="10"/>
  <c r="R21" i="10"/>
  <c r="R73" i="10"/>
  <c r="R72" i="10"/>
  <c r="R9" i="10"/>
  <c r="R6" i="10"/>
  <c r="R37" i="10"/>
  <c r="R40" i="10"/>
  <c r="R10" i="10"/>
  <c r="Q73" i="10"/>
  <c r="R69" i="10"/>
  <c r="R61" i="10"/>
  <c r="R31" i="10"/>
  <c r="R68" i="10"/>
  <c r="R36" i="10"/>
  <c r="R71" i="10"/>
  <c r="R59" i="10"/>
  <c r="R51" i="10"/>
  <c r="R23" i="10"/>
  <c r="R56" i="10"/>
  <c r="Q38" i="10"/>
  <c r="Q64" i="10"/>
  <c r="Q45" i="10"/>
  <c r="Q9" i="10"/>
  <c r="G10" i="11"/>
  <c r="Q66" i="10"/>
  <c r="Q32" i="10"/>
  <c r="Q37" i="10"/>
  <c r="Q36" i="10"/>
  <c r="Q69" i="10"/>
  <c r="Q21" i="10"/>
  <c r="R8" i="10"/>
  <c r="H10" i="11"/>
  <c r="W117" i="11"/>
  <c r="R33" i="10"/>
  <c r="R15" i="10"/>
  <c r="R54" i="10"/>
  <c r="R30" i="10"/>
  <c r="N23" i="4"/>
  <c r="N24" i="4"/>
  <c r="N25" i="4"/>
  <c r="N22" i="4"/>
  <c r="Q26" i="10"/>
  <c r="Q61" i="10"/>
  <c r="Q29" i="10"/>
  <c r="Q7" i="10"/>
  <c r="E18" i="3"/>
  <c r="E19" i="3" s="1"/>
  <c r="E20" i="3" s="1"/>
  <c r="E21" i="3" s="1"/>
  <c r="E22" i="3" s="1"/>
  <c r="E23"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 r="E76" i="3" s="1"/>
  <c r="E77" i="3" s="1"/>
  <c r="E78" i="3" s="1"/>
  <c r="E79" i="3" s="1"/>
  <c r="E80" i="3" s="1"/>
  <c r="E81" i="3" s="1"/>
  <c r="E82" i="3" s="1"/>
  <c r="E83" i="3" s="1"/>
  <c r="E84" i="3" s="1"/>
  <c r="E85" i="3" s="1"/>
  <c r="N26" i="4"/>
  <c r="N27" i="4"/>
  <c r="Q62" i="10"/>
  <c r="Q30" i="10"/>
  <c r="Q60" i="10"/>
  <c r="Q28" i="10"/>
  <c r="Q50" i="10"/>
  <c r="Q18" i="10"/>
  <c r="Q56" i="10"/>
  <c r="Q24" i="10"/>
  <c r="Q67" i="10"/>
  <c r="Q59" i="10"/>
  <c r="Q51" i="10"/>
  <c r="Q43" i="10"/>
  <c r="Q35" i="10"/>
  <c r="Q27" i="10"/>
  <c r="Q19" i="10"/>
  <c r="Q14" i="10"/>
  <c r="Q13" i="10"/>
  <c r="Q22" i="10"/>
  <c r="Q52" i="10"/>
  <c r="Q20" i="10"/>
  <c r="Q42" i="10"/>
  <c r="Q72" i="10"/>
  <c r="Q48" i="10"/>
  <c r="Q16" i="10"/>
  <c r="Q65" i="10"/>
  <c r="Q57" i="10"/>
  <c r="Q49" i="10"/>
  <c r="Q41" i="10"/>
  <c r="Q33" i="10"/>
  <c r="Q25" i="10"/>
  <c r="Q17" i="10"/>
  <c r="Q12" i="10"/>
  <c r="Q11" i="10"/>
  <c r="F54" i="4"/>
  <c r="C62" i="7"/>
  <c r="Q54" i="10"/>
  <c r="Q46" i="10"/>
  <c r="Q70" i="10"/>
  <c r="Q44" i="10"/>
  <c r="Q6" i="10"/>
  <c r="Q34" i="10"/>
  <c r="Q68" i="10"/>
  <c r="Q40" i="10"/>
  <c r="Q71" i="10"/>
  <c r="Q63" i="10"/>
  <c r="Q55" i="10"/>
  <c r="Q47" i="10"/>
  <c r="Q39" i="10"/>
  <c r="Q31" i="10"/>
  <c r="Q23" i="10"/>
  <c r="Q15" i="10"/>
  <c r="Q10" i="10"/>
  <c r="G54" i="4"/>
  <c r="D62" i="7"/>
  <c r="AA9" i="10"/>
  <c r="W10" i="10"/>
  <c r="H127" i="1"/>
  <c r="C128" i="1"/>
  <c r="R127" i="1"/>
  <c r="R64" i="10"/>
  <c r="R44" i="10"/>
  <c r="R24" i="10"/>
  <c r="K18" i="3"/>
  <c r="K19" i="3" s="1"/>
  <c r="K20" i="3" s="1"/>
  <c r="K21" i="3" s="1"/>
  <c r="K22" i="3" s="1"/>
  <c r="K23" i="3" s="1"/>
  <c r="K24" i="3" s="1"/>
  <c r="K25" i="3" s="1"/>
  <c r="K26" i="3" s="1"/>
  <c r="K27" i="3" s="1"/>
  <c r="K28" i="3" s="1"/>
  <c r="K29" i="3" s="1"/>
  <c r="K30" i="3" s="1"/>
  <c r="K31" i="3" s="1"/>
  <c r="K32" i="3" s="1"/>
  <c r="K33" i="3" s="1"/>
  <c r="K34" i="3" s="1"/>
  <c r="K35" i="3" s="1"/>
  <c r="K36" i="3" s="1"/>
  <c r="K37" i="3" s="1"/>
  <c r="K38" i="3" s="1"/>
  <c r="K39" i="3" s="1"/>
  <c r="K40" i="3" s="1"/>
  <c r="K41" i="3" s="1"/>
  <c r="K42" i="3" s="1"/>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K84" i="3" s="1"/>
  <c r="K85" i="3" s="1"/>
  <c r="R67" i="10"/>
  <c r="R63" i="10"/>
  <c r="R11" i="10"/>
  <c r="R43" i="10"/>
  <c r="R25" i="10"/>
  <c r="R12" i="10"/>
  <c r="R62" i="10"/>
  <c r="R46" i="10"/>
  <c r="R32" i="10"/>
  <c r="R20" i="10"/>
  <c r="R13" i="10"/>
  <c r="R65" i="10"/>
  <c r="R49" i="10"/>
  <c r="R53" i="10"/>
  <c r="R41" i="10"/>
  <c r="R29" i="10"/>
  <c r="R17" i="10"/>
  <c r="R70" i="10"/>
  <c r="R60" i="10"/>
  <c r="R48" i="10"/>
  <c r="R38" i="10"/>
  <c r="R28" i="10"/>
  <c r="R16" i="10"/>
  <c r="I33" i="4"/>
  <c r="R39" i="10"/>
  <c r="R57" i="10"/>
  <c r="R45" i="10"/>
  <c r="R35" i="10"/>
  <c r="R27" i="10"/>
  <c r="R19" i="10"/>
  <c r="R7" i="10"/>
  <c r="R66" i="10"/>
  <c r="R58" i="10"/>
  <c r="R50" i="10"/>
  <c r="R42" i="10"/>
  <c r="R34" i="10"/>
  <c r="R26" i="10"/>
  <c r="R18" i="10"/>
  <c r="M7" i="10"/>
  <c r="M8" i="10" s="1"/>
  <c r="M9" i="10" s="1"/>
  <c r="M10" i="10" s="1"/>
  <c r="M11" i="10" s="1"/>
  <c r="M12" i="10" s="1"/>
  <c r="M13" i="10" s="1"/>
  <c r="M14" i="10" s="1"/>
  <c r="M15" i="10" s="1"/>
  <c r="M16" i="10" s="1"/>
  <c r="M17" i="10" s="1"/>
  <c r="M18" i="10" s="1"/>
  <c r="M19" i="10" s="1"/>
  <c r="M20" i="10" s="1"/>
  <c r="M21" i="10" s="1"/>
  <c r="N7" i="10"/>
  <c r="N8" i="10" s="1"/>
  <c r="N9" i="10" s="1"/>
  <c r="N10" i="10" s="1"/>
  <c r="N11" i="10" s="1"/>
  <c r="N12" i="10" s="1"/>
  <c r="N13" i="10" s="1"/>
  <c r="N14" i="10" s="1"/>
  <c r="N15" i="10" s="1"/>
  <c r="N16" i="10" s="1"/>
  <c r="N17" i="10" s="1"/>
  <c r="N18" i="10" s="1"/>
  <c r="N19" i="10" s="1"/>
  <c r="N20" i="10" s="1"/>
  <c r="N21" i="10" s="1"/>
  <c r="N22" i="10" s="1"/>
  <c r="N23" i="10" s="1"/>
  <c r="N24" i="10" s="1"/>
  <c r="N25" i="10" s="1"/>
  <c r="N26" i="10" s="1"/>
  <c r="N27" i="10" s="1"/>
  <c r="N28" i="10" s="1"/>
  <c r="N29" i="10" s="1"/>
  <c r="N30" i="10" s="1"/>
  <c r="N31" i="10" s="1"/>
  <c r="N32" i="10" s="1"/>
  <c r="N33" i="10" s="1"/>
  <c r="N34" i="10" s="1"/>
  <c r="N35" i="10" s="1"/>
  <c r="N36" i="10" s="1"/>
  <c r="N37" i="10" s="1"/>
  <c r="N38" i="10" s="1"/>
  <c r="N39" i="10" s="1"/>
  <c r="N40" i="10" s="1"/>
  <c r="N41" i="10" s="1"/>
  <c r="N42" i="10" s="1"/>
  <c r="N43" i="10" s="1"/>
  <c r="N44" i="10" s="1"/>
  <c r="N45" i="10" s="1"/>
  <c r="N46" i="10" s="1"/>
  <c r="N47" i="10" s="1"/>
  <c r="N48" i="10" s="1"/>
  <c r="N49" i="10" s="1"/>
  <c r="N50" i="10" s="1"/>
  <c r="N51" i="10" s="1"/>
  <c r="N52" i="10" s="1"/>
  <c r="N53" i="10" s="1"/>
  <c r="N54" i="10" s="1"/>
  <c r="N55" i="10" s="1"/>
  <c r="N56" i="10" s="1"/>
  <c r="O7" i="10"/>
  <c r="O8" i="10" s="1"/>
  <c r="O9" i="10" s="1"/>
  <c r="O10" i="10" s="1"/>
  <c r="O11" i="10" s="1"/>
  <c r="O12" i="10" s="1"/>
  <c r="O13" i="10" s="1"/>
  <c r="O14" i="10" s="1"/>
  <c r="O15" i="10" s="1"/>
  <c r="O16" i="10" s="1"/>
  <c r="O17" i="10" s="1"/>
  <c r="O18" i="10" s="1"/>
  <c r="O19" i="10" s="1"/>
  <c r="O20" i="10" s="1"/>
  <c r="O21" i="10" s="1"/>
  <c r="O22" i="10" s="1"/>
  <c r="O23" i="10" s="1"/>
  <c r="O24" i="10" s="1"/>
  <c r="O25" i="10" s="1"/>
  <c r="O26" i="10" s="1"/>
  <c r="O27" i="10" s="1"/>
  <c r="O28" i="10" s="1"/>
  <c r="O29" i="10" s="1"/>
  <c r="O30" i="10" s="1"/>
  <c r="O31" i="10" s="1"/>
  <c r="O32" i="10" s="1"/>
  <c r="O33" i="10" s="1"/>
  <c r="O34" i="10" s="1"/>
  <c r="O35" i="10" s="1"/>
  <c r="O36" i="10" s="1"/>
  <c r="O37" i="10" s="1"/>
  <c r="O38" i="10" s="1"/>
  <c r="O39" i="10" s="1"/>
  <c r="O40" i="10" s="1"/>
  <c r="O41" i="10" s="1"/>
  <c r="O42" i="10" s="1"/>
  <c r="O43" i="10" s="1"/>
  <c r="O44" i="10" s="1"/>
  <c r="O45" i="10" s="1"/>
  <c r="O46" i="10" s="1"/>
  <c r="O47" i="10" s="1"/>
  <c r="O48" i="10" s="1"/>
  <c r="O49" i="10" s="1"/>
  <c r="O50" i="10" s="1"/>
  <c r="O51" i="10" s="1"/>
  <c r="O52" i="10" s="1"/>
  <c r="O53" i="10" s="1"/>
  <c r="O54" i="10" s="1"/>
  <c r="O55" i="10" s="1"/>
  <c r="O56" i="10" s="1"/>
  <c r="O57" i="10" s="1"/>
  <c r="O58" i="10" s="1"/>
  <c r="O59" i="10" s="1"/>
  <c r="O60" i="10" s="1"/>
  <c r="O61" i="10" s="1"/>
  <c r="O62" i="10" s="1"/>
  <c r="O63" i="10" s="1"/>
  <c r="O64" i="10" s="1"/>
  <c r="O65" i="10" s="1"/>
  <c r="O66" i="10" s="1"/>
  <c r="O67" i="10" s="1"/>
  <c r="O68" i="10" s="1"/>
  <c r="O69" i="10" s="1"/>
  <c r="O70" i="10" s="1"/>
  <c r="O71" i="10" s="1"/>
  <c r="O72" i="10" s="1"/>
  <c r="L7" i="10"/>
  <c r="C42" i="13" l="1"/>
  <c r="C43" i="13" s="1"/>
  <c r="F44" i="13" s="1"/>
  <c r="C44" i="13" s="1"/>
  <c r="N73" i="11"/>
  <c r="N72" i="11"/>
  <c r="N71" i="11"/>
  <c r="N70" i="11"/>
  <c r="N73" i="17"/>
  <c r="P108" i="17"/>
  <c r="P109" i="17" s="1"/>
  <c r="P110" i="17" s="1"/>
  <c r="P111" i="17" s="1"/>
  <c r="P112" i="17" s="1"/>
  <c r="P113" i="17" s="1"/>
  <c r="P114" i="17" s="1"/>
  <c r="P115" i="17" s="1"/>
  <c r="P116" i="17" s="1"/>
  <c r="P117" i="17" s="1"/>
  <c r="P118" i="17" s="1"/>
  <c r="P119" i="17" s="1"/>
  <c r="P120" i="17" s="1"/>
  <c r="P121" i="17" s="1"/>
  <c r="P122" i="17" s="1"/>
  <c r="P123" i="17" s="1"/>
  <c r="P124" i="17" s="1"/>
  <c r="P125" i="17" s="1"/>
  <c r="P126" i="17" s="1"/>
  <c r="P127" i="17" s="1"/>
  <c r="P128" i="17" s="1"/>
  <c r="G20" i="17"/>
  <c r="N71" i="17"/>
  <c r="N74" i="17"/>
  <c r="D19" i="19"/>
  <c r="D19" i="18"/>
  <c r="C75" i="11"/>
  <c r="C75" i="17"/>
  <c r="C75" i="16"/>
  <c r="E75" i="11"/>
  <c r="E75" i="17"/>
  <c r="E75" i="16"/>
  <c r="G75" i="11"/>
  <c r="G75" i="17"/>
  <c r="G75" i="16"/>
  <c r="N72" i="16"/>
  <c r="I10" i="11"/>
  <c r="I10" i="17"/>
  <c r="I10" i="16"/>
  <c r="E19" i="19"/>
  <c r="P18" i="19"/>
  <c r="L18" i="19"/>
  <c r="J75" i="11"/>
  <c r="J75" i="17"/>
  <c r="J75" i="16"/>
  <c r="D75" i="11"/>
  <c r="D75" i="17"/>
  <c r="D75" i="16"/>
  <c r="I75" i="11"/>
  <c r="I75" i="17"/>
  <c r="I75" i="16"/>
  <c r="N72" i="17"/>
  <c r="N70" i="16"/>
  <c r="K75" i="11"/>
  <c r="K75" i="17"/>
  <c r="K75" i="16"/>
  <c r="G20" i="16"/>
  <c r="P108" i="16"/>
  <c r="H75" i="11"/>
  <c r="H75" i="17"/>
  <c r="H75" i="16"/>
  <c r="N73" i="16"/>
  <c r="L18" i="18"/>
  <c r="P18" i="18"/>
  <c r="E19" i="18"/>
  <c r="N71" i="16"/>
  <c r="N70" i="17"/>
  <c r="N74" i="16"/>
  <c r="B195" i="1"/>
  <c r="B229" i="1"/>
  <c r="B264" i="1" s="1"/>
  <c r="N157" i="11"/>
  <c r="G19" i="11"/>
  <c r="G20" i="11" s="1"/>
  <c r="P108" i="11"/>
  <c r="P109" i="11" s="1"/>
  <c r="P110" i="11" s="1"/>
  <c r="P111" i="11" s="1"/>
  <c r="P112" i="11" s="1"/>
  <c r="P113" i="11" s="1"/>
  <c r="P114" i="11" s="1"/>
  <c r="P115" i="11" s="1"/>
  <c r="P116" i="11" s="1"/>
  <c r="P117" i="11" s="1"/>
  <c r="O116" i="11"/>
  <c r="L115" i="11"/>
  <c r="N116" i="11"/>
  <c r="M116" i="11"/>
  <c r="W118" i="11"/>
  <c r="N74" i="11"/>
  <c r="F55" i="4"/>
  <c r="C63" i="7"/>
  <c r="G55" i="4"/>
  <c r="D63" i="7"/>
  <c r="W11" i="10"/>
  <c r="AA10" i="10"/>
  <c r="C129" i="1"/>
  <c r="R128" i="1"/>
  <c r="H128" i="1"/>
  <c r="N57" i="10"/>
  <c r="B70" i="8"/>
  <c r="P18" i="3"/>
  <c r="L8" i="10"/>
  <c r="D19" i="3"/>
  <c r="P7" i="10"/>
  <c r="M22" i="10"/>
  <c r="P6" i="10"/>
  <c r="O73" i="10"/>
  <c r="B4" i="10"/>
  <c r="D20" i="3" l="1"/>
  <c r="D20" i="19"/>
  <c r="D20" i="18"/>
  <c r="P109" i="16"/>
  <c r="P110" i="16" s="1"/>
  <c r="P111" i="16" s="1"/>
  <c r="P112" i="16" s="1"/>
  <c r="P113" i="16" s="1"/>
  <c r="P114" i="16" s="1"/>
  <c r="P115" i="16" s="1"/>
  <c r="P116" i="16" s="1"/>
  <c r="P117" i="16" s="1"/>
  <c r="P118" i="16" s="1"/>
  <c r="P119" i="16" s="1"/>
  <c r="P120" i="16" s="1"/>
  <c r="P121" i="16" s="1"/>
  <c r="P122" i="16" s="1"/>
  <c r="P123" i="16" s="1"/>
  <c r="P124" i="16" s="1"/>
  <c r="P125" i="16" s="1"/>
  <c r="P126" i="16" s="1"/>
  <c r="P127" i="16" s="1"/>
  <c r="P128" i="16" s="1"/>
  <c r="E20" i="19"/>
  <c r="P19" i="19"/>
  <c r="L19" i="19"/>
  <c r="E20" i="18"/>
  <c r="P19" i="18"/>
  <c r="L19" i="18"/>
  <c r="B196" i="1"/>
  <c r="B230" i="1"/>
  <c r="B265" i="1" s="1"/>
  <c r="N158" i="11"/>
  <c r="M117" i="11"/>
  <c r="N117" i="11"/>
  <c r="L116" i="11"/>
  <c r="P118" i="11"/>
  <c r="O117" i="11"/>
  <c r="W119" i="11"/>
  <c r="G56" i="4"/>
  <c r="D64" i="7"/>
  <c r="F56" i="4"/>
  <c r="C64" i="7"/>
  <c r="AA11" i="10"/>
  <c r="W12" i="10"/>
  <c r="H129" i="1"/>
  <c r="C130" i="1"/>
  <c r="R129" i="1"/>
  <c r="N58" i="10"/>
  <c r="B71" i="8"/>
  <c r="L9" i="10"/>
  <c r="P8" i="10"/>
  <c r="M23" i="10"/>
  <c r="P9" i="10" l="1"/>
  <c r="D21" i="19"/>
  <c r="D21" i="18"/>
  <c r="L20" i="18"/>
  <c r="E21" i="18"/>
  <c r="P20" i="18"/>
  <c r="E21" i="19"/>
  <c r="L20" i="19"/>
  <c r="P20" i="19"/>
  <c r="B197" i="1"/>
  <c r="B231" i="1"/>
  <c r="B266" i="1" s="1"/>
  <c r="N159" i="11"/>
  <c r="O118" i="11"/>
  <c r="N118" i="11"/>
  <c r="P119" i="11"/>
  <c r="L117" i="11"/>
  <c r="M118" i="11"/>
  <c r="W120" i="11"/>
  <c r="F57" i="4"/>
  <c r="C65" i="7"/>
  <c r="G57" i="4"/>
  <c r="D65" i="7"/>
  <c r="W13" i="10"/>
  <c r="AA12" i="10"/>
  <c r="C131" i="1"/>
  <c r="R130" i="1"/>
  <c r="H130" i="1"/>
  <c r="N59" i="10"/>
  <c r="B72" i="8"/>
  <c r="D21" i="3"/>
  <c r="L10" i="10"/>
  <c r="M24" i="10"/>
  <c r="P10" i="10" l="1"/>
  <c r="D22" i="19"/>
  <c r="D22" i="18"/>
  <c r="P21" i="18"/>
  <c r="L21" i="18"/>
  <c r="E22" i="18"/>
  <c r="E22" i="19"/>
  <c r="P21" i="19"/>
  <c r="L21" i="19"/>
  <c r="B198" i="1"/>
  <c r="B232" i="1"/>
  <c r="B267" i="1" s="1"/>
  <c r="N160" i="11"/>
  <c r="P120" i="11"/>
  <c r="M119" i="11"/>
  <c r="L118" i="11"/>
  <c r="N119" i="11"/>
  <c r="O119" i="11"/>
  <c r="W121" i="11"/>
  <c r="G58" i="4"/>
  <c r="D66" i="7"/>
  <c r="F58" i="4"/>
  <c r="C66" i="7"/>
  <c r="W14" i="10"/>
  <c r="AA13" i="10"/>
  <c r="H131" i="1"/>
  <c r="C132" i="1"/>
  <c r="R131" i="1"/>
  <c r="N60" i="10"/>
  <c r="B73" i="8"/>
  <c r="D22" i="3"/>
  <c r="L11" i="10"/>
  <c r="M25" i="10"/>
  <c r="L12" i="10" l="1"/>
  <c r="D23" i="19"/>
  <c r="D23" i="18"/>
  <c r="L22" i="18"/>
  <c r="E23" i="18"/>
  <c r="P22" i="18"/>
  <c r="L22" i="19"/>
  <c r="E23" i="19"/>
  <c r="P22" i="19"/>
  <c r="B199" i="1"/>
  <c r="B233" i="1"/>
  <c r="B268" i="1" s="1"/>
  <c r="N161" i="11"/>
  <c r="O120" i="11"/>
  <c r="N120" i="11"/>
  <c r="M120" i="11"/>
  <c r="L119" i="11"/>
  <c r="P121" i="11"/>
  <c r="W122" i="11"/>
  <c r="F59" i="4"/>
  <c r="C67" i="7"/>
  <c r="G59" i="4"/>
  <c r="D67" i="7"/>
  <c r="AA14" i="10"/>
  <c r="W15" i="10"/>
  <c r="C133" i="1"/>
  <c r="R132" i="1"/>
  <c r="H132" i="1"/>
  <c r="N61" i="10"/>
  <c r="B74" i="8"/>
  <c r="P11" i="10"/>
  <c r="D23" i="3"/>
  <c r="D24" i="3"/>
  <c r="P12" i="10"/>
  <c r="L13" i="10"/>
  <c r="M26" i="10"/>
  <c r="D25" i="19" l="1"/>
  <c r="D25" i="18"/>
  <c r="L23" i="19"/>
  <c r="E24" i="19"/>
  <c r="P23" i="19"/>
  <c r="L23" i="18"/>
  <c r="E24" i="18"/>
  <c r="P23" i="18"/>
  <c r="D24" i="19"/>
  <c r="D24" i="18"/>
  <c r="B200" i="1"/>
  <c r="B234" i="1"/>
  <c r="B269" i="1" s="1"/>
  <c r="N162" i="11"/>
  <c r="N121" i="11"/>
  <c r="M121" i="11"/>
  <c r="O121" i="11"/>
  <c r="L120" i="11"/>
  <c r="P122" i="11"/>
  <c r="W123" i="11"/>
  <c r="G60" i="4"/>
  <c r="D68" i="7"/>
  <c r="F60" i="4"/>
  <c r="C68" i="7"/>
  <c r="AA15" i="10"/>
  <c r="W16" i="10"/>
  <c r="H133" i="1"/>
  <c r="C134" i="1"/>
  <c r="R133" i="1"/>
  <c r="N62" i="10"/>
  <c r="B75" i="8"/>
  <c r="D25" i="3"/>
  <c r="L14" i="10"/>
  <c r="P13" i="10"/>
  <c r="M27" i="10"/>
  <c r="S48" i="4"/>
  <c r="N48" i="4"/>
  <c r="O48" i="4"/>
  <c r="P48" i="4"/>
  <c r="Q48" i="4"/>
  <c r="R48" i="4"/>
  <c r="M48" i="4"/>
  <c r="L24" i="19" l="1"/>
  <c r="P24" i="19"/>
  <c r="E25" i="19"/>
  <c r="D26" i="19"/>
  <c r="D26" i="18"/>
  <c r="L24" i="18"/>
  <c r="E25" i="18"/>
  <c r="P24" i="18"/>
  <c r="B201" i="1"/>
  <c r="B235" i="1"/>
  <c r="B270" i="1" s="1"/>
  <c r="N163" i="11"/>
  <c r="L121" i="11"/>
  <c r="M122" i="11"/>
  <c r="P123" i="11"/>
  <c r="O122" i="11"/>
  <c r="N122" i="11"/>
  <c r="W124" i="11"/>
  <c r="F61" i="4"/>
  <c r="C69" i="7"/>
  <c r="G61" i="4"/>
  <c r="D69" i="7"/>
  <c r="W17" i="10"/>
  <c r="AA16" i="10"/>
  <c r="C135" i="1"/>
  <c r="R134" i="1"/>
  <c r="H134" i="1"/>
  <c r="N63" i="10"/>
  <c r="B76" i="8"/>
  <c r="D26" i="3"/>
  <c r="L15" i="10"/>
  <c r="P14" i="10"/>
  <c r="M28" i="10"/>
  <c r="Q49" i="4"/>
  <c r="H6" i="10"/>
  <c r="O49" i="4"/>
  <c r="F6" i="10"/>
  <c r="S49" i="4"/>
  <c r="J6" i="10"/>
  <c r="P49" i="4"/>
  <c r="G6" i="10"/>
  <c r="M49" i="4"/>
  <c r="D6" i="10"/>
  <c r="R49" i="4"/>
  <c r="I6" i="10"/>
  <c r="N49" i="4"/>
  <c r="E6" i="10"/>
  <c r="D27" i="19" l="1"/>
  <c r="D27" i="18"/>
  <c r="E26" i="18"/>
  <c r="P25" i="18"/>
  <c r="L25" i="18"/>
  <c r="L25" i="19"/>
  <c r="E26" i="19"/>
  <c r="P25" i="19"/>
  <c r="E189" i="1"/>
  <c r="E190" i="1" s="1"/>
  <c r="B236" i="1"/>
  <c r="B202" i="1"/>
  <c r="G189" i="1"/>
  <c r="G190" i="1" s="1"/>
  <c r="G191" i="1" s="1"/>
  <c r="G192" i="1" s="1"/>
  <c r="G193" i="1" s="1"/>
  <c r="G194" i="1" s="1"/>
  <c r="G195" i="1" s="1"/>
  <c r="G196" i="1" s="1"/>
  <c r="G197" i="1" s="1"/>
  <c r="G198" i="1" s="1"/>
  <c r="G199" i="1" s="1"/>
  <c r="G200" i="1" s="1"/>
  <c r="F189" i="1"/>
  <c r="N164" i="11"/>
  <c r="M123" i="11"/>
  <c r="N123" i="11"/>
  <c r="P124" i="11"/>
  <c r="L122" i="11"/>
  <c r="O123" i="11"/>
  <c r="W125" i="11"/>
  <c r="G62" i="4"/>
  <c r="D70" i="7"/>
  <c r="F62" i="4"/>
  <c r="C70" i="7"/>
  <c r="AA17" i="10"/>
  <c r="W18" i="10"/>
  <c r="H135" i="1"/>
  <c r="C136" i="1"/>
  <c r="R135" i="1"/>
  <c r="N64" i="10"/>
  <c r="B77" i="8"/>
  <c r="D27" i="3"/>
  <c r="P15" i="10"/>
  <c r="L16" i="10"/>
  <c r="M29" i="10"/>
  <c r="R50" i="4"/>
  <c r="I7" i="10"/>
  <c r="P50" i="4"/>
  <c r="G7" i="10"/>
  <c r="O50" i="4"/>
  <c r="F7" i="10"/>
  <c r="N50" i="4"/>
  <c r="E7" i="10"/>
  <c r="M50" i="4"/>
  <c r="D7" i="10"/>
  <c r="S50" i="4"/>
  <c r="J7" i="10"/>
  <c r="Q50" i="4"/>
  <c r="H7" i="10"/>
  <c r="D28" i="19" l="1"/>
  <c r="D28" i="18"/>
  <c r="L26" i="19"/>
  <c r="P26" i="19"/>
  <c r="E27" i="19"/>
  <c r="P26" i="18"/>
  <c r="E27" i="18"/>
  <c r="L26" i="18"/>
  <c r="B271" i="1"/>
  <c r="G224" i="1"/>
  <c r="G225" i="1" s="1"/>
  <c r="G226" i="1" s="1"/>
  <c r="G227" i="1" s="1"/>
  <c r="G228" i="1" s="1"/>
  <c r="G229" i="1" s="1"/>
  <c r="G230" i="1" s="1"/>
  <c r="G231" i="1" s="1"/>
  <c r="G232" i="1" s="1"/>
  <c r="G233" i="1" s="1"/>
  <c r="G234" i="1" s="1"/>
  <c r="G235" i="1" s="1"/>
  <c r="F224" i="1"/>
  <c r="F225" i="1" s="1"/>
  <c r="F226" i="1" s="1"/>
  <c r="F227" i="1" s="1"/>
  <c r="F228" i="1" s="1"/>
  <c r="F229" i="1" s="1"/>
  <c r="F230" i="1" s="1"/>
  <c r="F231" i="1" s="1"/>
  <c r="F232" i="1" s="1"/>
  <c r="F233" i="1" s="1"/>
  <c r="F234" i="1" s="1"/>
  <c r="F235" i="1" s="1"/>
  <c r="E224" i="1"/>
  <c r="E191" i="1"/>
  <c r="H189" i="1"/>
  <c r="B203" i="1"/>
  <c r="B237" i="1"/>
  <c r="B272" i="1" s="1"/>
  <c r="F190" i="1"/>
  <c r="F191" i="1" s="1"/>
  <c r="F192" i="1" s="1"/>
  <c r="F193" i="1" s="1"/>
  <c r="F194" i="1" s="1"/>
  <c r="F195" i="1" s="1"/>
  <c r="F196" i="1" s="1"/>
  <c r="F197" i="1" s="1"/>
  <c r="F198" i="1" s="1"/>
  <c r="F199" i="1" s="1"/>
  <c r="F200" i="1" s="1"/>
  <c r="R189" i="1"/>
  <c r="N165" i="11"/>
  <c r="L123" i="11"/>
  <c r="N124" i="11"/>
  <c r="O124" i="11"/>
  <c r="P125" i="11"/>
  <c r="M124" i="11"/>
  <c r="W126" i="11"/>
  <c r="F63" i="4"/>
  <c r="C71" i="7"/>
  <c r="G63" i="4"/>
  <c r="D71" i="7"/>
  <c r="W19" i="10"/>
  <c r="AA18" i="10"/>
  <c r="C137" i="1"/>
  <c r="R136" i="1"/>
  <c r="H136" i="1"/>
  <c r="N65" i="10"/>
  <c r="B79" i="8" s="1"/>
  <c r="B78" i="8"/>
  <c r="D28" i="3"/>
  <c r="L17" i="10"/>
  <c r="P16" i="10"/>
  <c r="M30" i="10"/>
  <c r="N51" i="4"/>
  <c r="E8" i="10"/>
  <c r="S51" i="4"/>
  <c r="J8" i="10"/>
  <c r="P51" i="4"/>
  <c r="G8" i="10"/>
  <c r="Q51" i="4"/>
  <c r="H8" i="10"/>
  <c r="M51" i="4"/>
  <c r="D8" i="10"/>
  <c r="O51" i="4"/>
  <c r="F8" i="10"/>
  <c r="R51" i="4"/>
  <c r="I8" i="10"/>
  <c r="B10" i="11"/>
  <c r="E28" i="19" l="1"/>
  <c r="P27" i="19"/>
  <c r="L27" i="19"/>
  <c r="D29" i="19"/>
  <c r="D29" i="18"/>
  <c r="E28" i="18"/>
  <c r="P27" i="18"/>
  <c r="L27" i="18"/>
  <c r="R190" i="1"/>
  <c r="O87" i="3" s="1"/>
  <c r="C259" i="1"/>
  <c r="G259" i="1"/>
  <c r="G260" i="1" s="1"/>
  <c r="G261" i="1" s="1"/>
  <c r="G262" i="1" s="1"/>
  <c r="G263" i="1" s="1"/>
  <c r="G264" i="1" s="1"/>
  <c r="G265" i="1" s="1"/>
  <c r="G266" i="1" s="1"/>
  <c r="G267" i="1" s="1"/>
  <c r="G268" i="1" s="1"/>
  <c r="G269" i="1" s="1"/>
  <c r="G270" i="1" s="1"/>
  <c r="F259" i="1"/>
  <c r="F260" i="1" s="1"/>
  <c r="F261" i="1" s="1"/>
  <c r="F262" i="1" s="1"/>
  <c r="F263" i="1" s="1"/>
  <c r="F264" i="1" s="1"/>
  <c r="F265" i="1" s="1"/>
  <c r="F266" i="1" s="1"/>
  <c r="F267" i="1" s="1"/>
  <c r="F268" i="1" s="1"/>
  <c r="F269" i="1" s="1"/>
  <c r="F270" i="1" s="1"/>
  <c r="E259" i="1"/>
  <c r="E260" i="1" s="1"/>
  <c r="E261" i="1" s="1"/>
  <c r="E262" i="1" s="1"/>
  <c r="E263" i="1" s="1"/>
  <c r="E264" i="1" s="1"/>
  <c r="E265" i="1" s="1"/>
  <c r="E266" i="1" s="1"/>
  <c r="E267" i="1" s="1"/>
  <c r="E268" i="1" s="1"/>
  <c r="E269" i="1" s="1"/>
  <c r="E270" i="1" s="1"/>
  <c r="C260" i="1"/>
  <c r="D259" i="1"/>
  <c r="D260" i="1" s="1"/>
  <c r="D261" i="1" s="1"/>
  <c r="D262" i="1" s="1"/>
  <c r="D263" i="1" s="1"/>
  <c r="D264" i="1" s="1"/>
  <c r="D265" i="1" s="1"/>
  <c r="D266" i="1" s="1"/>
  <c r="D267" i="1" s="1"/>
  <c r="D268" i="1" s="1"/>
  <c r="D269" i="1" s="1"/>
  <c r="D270" i="1" s="1"/>
  <c r="C261" i="1"/>
  <c r="C262" i="1" s="1"/>
  <c r="C263" i="1" s="1"/>
  <c r="C264" i="1" s="1"/>
  <c r="C265" i="1" s="1"/>
  <c r="C266" i="1" s="1"/>
  <c r="C267" i="1" s="1"/>
  <c r="C268" i="1" s="1"/>
  <c r="C269" i="1" s="1"/>
  <c r="C270" i="1" s="1"/>
  <c r="O86" i="3"/>
  <c r="R224" i="1"/>
  <c r="H224" i="1"/>
  <c r="E225" i="1"/>
  <c r="H191" i="1"/>
  <c r="R191" i="1"/>
  <c r="E192" i="1"/>
  <c r="B204" i="1"/>
  <c r="B238" i="1"/>
  <c r="B273" i="1" s="1"/>
  <c r="H190" i="1"/>
  <c r="N166" i="11"/>
  <c r="N125" i="11"/>
  <c r="M125" i="11"/>
  <c r="O125" i="11"/>
  <c r="P126" i="11"/>
  <c r="L124" i="11"/>
  <c r="W127" i="11"/>
  <c r="G64" i="4"/>
  <c r="D72" i="7"/>
  <c r="F64" i="4"/>
  <c r="C72" i="7"/>
  <c r="AA19" i="10"/>
  <c r="W20" i="10"/>
  <c r="H137" i="1"/>
  <c r="C138" i="1"/>
  <c r="R137" i="1"/>
  <c r="D29" i="3"/>
  <c r="P17" i="10"/>
  <c r="L18" i="10"/>
  <c r="L73" i="10"/>
  <c r="N73" i="10"/>
  <c r="B87" i="8" s="1"/>
  <c r="M31" i="10"/>
  <c r="R52" i="4"/>
  <c r="I9" i="10"/>
  <c r="O52" i="4"/>
  <c r="F9" i="10"/>
  <c r="Q52" i="4"/>
  <c r="H9" i="10"/>
  <c r="S52" i="4"/>
  <c r="J9" i="10"/>
  <c r="M52" i="4"/>
  <c r="D9" i="10"/>
  <c r="P52" i="4"/>
  <c r="G9" i="10"/>
  <c r="N52" i="4"/>
  <c r="E9" i="10"/>
  <c r="C33" i="4"/>
  <c r="B5" i="4"/>
  <c r="B6" i="4" s="1"/>
  <c r="K85" i="12"/>
  <c r="J85" i="12"/>
  <c r="G85" i="12"/>
  <c r="C85" i="12"/>
  <c r="M84" i="12"/>
  <c r="M85" i="12" s="1"/>
  <c r="L84" i="12"/>
  <c r="L85" i="12" s="1"/>
  <c r="K84" i="12"/>
  <c r="J84" i="12"/>
  <c r="I84" i="12"/>
  <c r="I85" i="12" s="1"/>
  <c r="H84" i="12"/>
  <c r="H85" i="12" s="1"/>
  <c r="G84" i="12"/>
  <c r="F84" i="12"/>
  <c r="F85" i="12" s="1"/>
  <c r="E84" i="12"/>
  <c r="E85" i="12" s="1"/>
  <c r="D84" i="12"/>
  <c r="D85" i="12" s="1"/>
  <c r="C84" i="12"/>
  <c r="J67" i="12"/>
  <c r="J66" i="12"/>
  <c r="J65" i="12"/>
  <c r="J64" i="12"/>
  <c r="J13" i="12" s="1"/>
  <c r="J63" i="12"/>
  <c r="J62" i="12"/>
  <c r="J61" i="12"/>
  <c r="J59" i="12"/>
  <c r="J55" i="12"/>
  <c r="J54" i="12"/>
  <c r="J53" i="12"/>
  <c r="J51" i="12"/>
  <c r="J50" i="12"/>
  <c r="J48" i="12"/>
  <c r="J11" i="12" s="1"/>
  <c r="K44" i="12"/>
  <c r="M44" i="12"/>
  <c r="M71" i="12" s="1"/>
  <c r="B10" i="12"/>
  <c r="P7" i="12"/>
  <c r="M2" i="12"/>
  <c r="J2" i="12"/>
  <c r="D85" i="3" l="1"/>
  <c r="D85" i="19"/>
  <c r="D85" i="18"/>
  <c r="P28" i="18"/>
  <c r="L28" i="18"/>
  <c r="E29" i="18"/>
  <c r="D30" i="19"/>
  <c r="D30" i="18"/>
  <c r="P28" i="19"/>
  <c r="E29" i="19"/>
  <c r="L28" i="19"/>
  <c r="C10" i="11"/>
  <c r="C10" i="17"/>
  <c r="C10" i="16"/>
  <c r="F33" i="4"/>
  <c r="O86" i="18"/>
  <c r="H259" i="1"/>
  <c r="O88" i="3"/>
  <c r="R225" i="1"/>
  <c r="H225" i="1"/>
  <c r="E226" i="1"/>
  <c r="B205" i="1"/>
  <c r="B239" i="1"/>
  <c r="B274" i="1" s="1"/>
  <c r="H192" i="1"/>
  <c r="R192" i="1"/>
  <c r="E193" i="1"/>
  <c r="N167" i="11"/>
  <c r="J58" i="12"/>
  <c r="K71" i="12"/>
  <c r="M73" i="10"/>
  <c r="P73" i="10" s="1"/>
  <c r="P127" i="11"/>
  <c r="M126" i="11"/>
  <c r="L125" i="11"/>
  <c r="O126" i="11"/>
  <c r="N126" i="11"/>
  <c r="W128" i="11"/>
  <c r="F65" i="4"/>
  <c r="C73" i="7"/>
  <c r="G65" i="4"/>
  <c r="D73" i="7"/>
  <c r="AA20" i="10"/>
  <c r="W21" i="10"/>
  <c r="C139" i="1"/>
  <c r="R138" i="1"/>
  <c r="H138" i="1"/>
  <c r="D30" i="3"/>
  <c r="P18" i="10"/>
  <c r="L19" i="10"/>
  <c r="M32" i="10"/>
  <c r="Q53" i="4"/>
  <c r="H10" i="10"/>
  <c r="S53" i="4"/>
  <c r="J10" i="10"/>
  <c r="O53" i="4"/>
  <c r="F10" i="10"/>
  <c r="P53" i="4"/>
  <c r="G10" i="10"/>
  <c r="N53" i="4"/>
  <c r="E10" i="10"/>
  <c r="M53" i="4"/>
  <c r="D10" i="10"/>
  <c r="R53" i="4"/>
  <c r="I10" i="10"/>
  <c r="L44" i="12"/>
  <c r="L71" i="12" s="1"/>
  <c r="J57" i="12"/>
  <c r="J44" i="12"/>
  <c r="N44" i="12"/>
  <c r="J52" i="12"/>
  <c r="O44" i="12"/>
  <c r="L29" i="19" l="1"/>
  <c r="E30" i="19"/>
  <c r="P29" i="19"/>
  <c r="F10" i="17"/>
  <c r="F10" i="16"/>
  <c r="F10" i="11"/>
  <c r="P29" i="18"/>
  <c r="E30" i="18"/>
  <c r="L29" i="18"/>
  <c r="D31" i="19"/>
  <c r="D31" i="18"/>
  <c r="O87" i="18"/>
  <c r="R226" i="1"/>
  <c r="E227" i="1"/>
  <c r="H226" i="1"/>
  <c r="O89" i="3"/>
  <c r="R193" i="1"/>
  <c r="H193" i="1"/>
  <c r="E194" i="1"/>
  <c r="B206" i="1"/>
  <c r="B240" i="1"/>
  <c r="B275" i="1" s="1"/>
  <c r="N168" i="11"/>
  <c r="O127" i="11"/>
  <c r="M127" i="11"/>
  <c r="N127" i="11"/>
  <c r="L126" i="11"/>
  <c r="P128" i="11"/>
  <c r="G66" i="4"/>
  <c r="D74" i="7"/>
  <c r="F66" i="4"/>
  <c r="C74" i="7"/>
  <c r="AA21" i="10"/>
  <c r="W22" i="10"/>
  <c r="H139" i="1"/>
  <c r="C140" i="1"/>
  <c r="R139" i="1"/>
  <c r="D31" i="3"/>
  <c r="P19" i="10"/>
  <c r="L20" i="10"/>
  <c r="M33" i="10"/>
  <c r="N54" i="4"/>
  <c r="E11" i="10"/>
  <c r="Q54" i="4"/>
  <c r="H11" i="10"/>
  <c r="H25" i="8" s="1"/>
  <c r="R54" i="4"/>
  <c r="I11" i="10"/>
  <c r="O54" i="4"/>
  <c r="F11" i="10"/>
  <c r="M54" i="4"/>
  <c r="D11" i="10"/>
  <c r="P54" i="4"/>
  <c r="G11" i="10"/>
  <c r="S54" i="4"/>
  <c r="J11" i="10"/>
  <c r="P8" i="12"/>
  <c r="C4" i="4"/>
  <c r="I115" i="4" s="1"/>
  <c r="J45" i="12"/>
  <c r="O71" i="12"/>
  <c r="J60" i="12"/>
  <c r="J14" i="12" s="1"/>
  <c r="N71" i="12"/>
  <c r="J49" i="12"/>
  <c r="J9" i="12" s="1"/>
  <c r="J47" i="12"/>
  <c r="J56" i="12"/>
  <c r="J15" i="12" s="1"/>
  <c r="L30" i="19" l="1"/>
  <c r="E31" i="19"/>
  <c r="P30" i="19"/>
  <c r="D32" i="19"/>
  <c r="D32" i="18"/>
  <c r="E31" i="18"/>
  <c r="P30" i="18"/>
  <c r="L30" i="18"/>
  <c r="H95" i="11"/>
  <c r="K115" i="4"/>
  <c r="H95" i="17"/>
  <c r="H95" i="16"/>
  <c r="O88" i="18"/>
  <c r="O90" i="3"/>
  <c r="R227" i="1"/>
  <c r="E228" i="1"/>
  <c r="H227" i="1"/>
  <c r="H194" i="1"/>
  <c r="R194" i="1"/>
  <c r="E195" i="1"/>
  <c r="B207" i="1"/>
  <c r="B241" i="1"/>
  <c r="B276" i="1" s="1"/>
  <c r="Q95" i="11"/>
  <c r="X95" i="11"/>
  <c r="J16" i="12"/>
  <c r="J10" i="12"/>
  <c r="J71" i="12"/>
  <c r="J12" i="12"/>
  <c r="U95" i="11"/>
  <c r="S95" i="11"/>
  <c r="R95" i="11"/>
  <c r="T95" i="11"/>
  <c r="M128" i="11"/>
  <c r="L127" i="11"/>
  <c r="N128" i="11"/>
  <c r="O128" i="11"/>
  <c r="J95" i="11"/>
  <c r="J108" i="11" s="1"/>
  <c r="F67" i="4"/>
  <c r="C75" i="7"/>
  <c r="G67" i="4"/>
  <c r="D75" i="7"/>
  <c r="W23" i="10"/>
  <c r="AA22" i="10"/>
  <c r="C141" i="1"/>
  <c r="R140" i="1"/>
  <c r="H140" i="1"/>
  <c r="D32" i="3"/>
  <c r="P20" i="10"/>
  <c r="L21" i="10"/>
  <c r="M34" i="10"/>
  <c r="P55" i="4"/>
  <c r="G12" i="10"/>
  <c r="O55" i="4"/>
  <c r="F12" i="10"/>
  <c r="Q55" i="4"/>
  <c r="H12" i="10"/>
  <c r="K48" i="4"/>
  <c r="B6" i="10"/>
  <c r="S55" i="4"/>
  <c r="J12" i="10"/>
  <c r="M55" i="4"/>
  <c r="D12" i="10"/>
  <c r="R55" i="4"/>
  <c r="I12" i="10"/>
  <c r="N55" i="4"/>
  <c r="E12" i="10"/>
  <c r="J95" i="16" l="1"/>
  <c r="H26" i="8"/>
  <c r="I95" i="17"/>
  <c r="I95" i="16"/>
  <c r="E32" i="18"/>
  <c r="L31" i="18"/>
  <c r="P31" i="18"/>
  <c r="E32" i="19"/>
  <c r="L31" i="19"/>
  <c r="P31" i="19"/>
  <c r="C6" i="10"/>
  <c r="AD6" i="10" s="1"/>
  <c r="C18" i="19"/>
  <c r="N18" i="19" s="1"/>
  <c r="Q18" i="19" s="1"/>
  <c r="C18" i="18"/>
  <c r="N18" i="18" s="1"/>
  <c r="Q18" i="18" s="1"/>
  <c r="X95" i="17"/>
  <c r="Q95" i="17"/>
  <c r="J95" i="17"/>
  <c r="R95" i="17"/>
  <c r="S95" i="17"/>
  <c r="U95" i="17"/>
  <c r="T95" i="17"/>
  <c r="D33" i="19"/>
  <c r="D33" i="18"/>
  <c r="S95" i="16"/>
  <c r="X95" i="16"/>
  <c r="R95" i="16"/>
  <c r="Q95" i="16"/>
  <c r="T95" i="16"/>
  <c r="U95" i="16"/>
  <c r="O89" i="18"/>
  <c r="O91" i="3"/>
  <c r="E229" i="1"/>
  <c r="R228" i="1"/>
  <c r="H228" i="1"/>
  <c r="B208" i="1"/>
  <c r="B242" i="1"/>
  <c r="B277" i="1" s="1"/>
  <c r="R195" i="1"/>
  <c r="H195" i="1"/>
  <c r="E196" i="1"/>
  <c r="V95" i="11"/>
  <c r="C34" i="4"/>
  <c r="B33" i="12"/>
  <c r="B34" i="12"/>
  <c r="B34" i="4"/>
  <c r="D98" i="11"/>
  <c r="D106" i="11"/>
  <c r="D114" i="11"/>
  <c r="D122" i="11"/>
  <c r="D99" i="11"/>
  <c r="D103" i="11"/>
  <c r="D107" i="11"/>
  <c r="D111" i="11"/>
  <c r="D115" i="11"/>
  <c r="D119" i="11"/>
  <c r="D123" i="11"/>
  <c r="D127" i="11"/>
  <c r="D108" i="11"/>
  <c r="D116" i="11"/>
  <c r="D124" i="11"/>
  <c r="D95" i="11"/>
  <c r="D100" i="11"/>
  <c r="D104" i="11"/>
  <c r="D112" i="11"/>
  <c r="D120" i="11"/>
  <c r="D128" i="11"/>
  <c r="D97" i="11"/>
  <c r="D101" i="11"/>
  <c r="D105" i="11"/>
  <c r="D109" i="11"/>
  <c r="D113" i="11"/>
  <c r="D117" i="11"/>
  <c r="D121" i="11"/>
  <c r="D125" i="11"/>
  <c r="D96" i="11"/>
  <c r="D102" i="11"/>
  <c r="D110" i="11"/>
  <c r="D118" i="11"/>
  <c r="D126" i="11"/>
  <c r="C79" i="11"/>
  <c r="J17" i="12"/>
  <c r="K95" i="11"/>
  <c r="L128" i="11"/>
  <c r="J115" i="11"/>
  <c r="J125" i="11"/>
  <c r="G68" i="4"/>
  <c r="D76" i="7"/>
  <c r="F68" i="4"/>
  <c r="C76" i="7"/>
  <c r="W24" i="10"/>
  <c r="AH6" i="10"/>
  <c r="AF6" i="10"/>
  <c r="AE6" i="10"/>
  <c r="AA23" i="10"/>
  <c r="H141" i="1"/>
  <c r="C142" i="1"/>
  <c r="R141" i="1"/>
  <c r="D33" i="3"/>
  <c r="L22" i="10"/>
  <c r="P21" i="10"/>
  <c r="M35" i="10"/>
  <c r="N56" i="4"/>
  <c r="E13" i="10"/>
  <c r="M56" i="4"/>
  <c r="D13" i="10"/>
  <c r="O56" i="4"/>
  <c r="F13" i="10"/>
  <c r="R56" i="4"/>
  <c r="I13" i="10"/>
  <c r="S56" i="4"/>
  <c r="J13" i="10"/>
  <c r="Q56" i="4"/>
  <c r="H13" i="10"/>
  <c r="H27" i="8" s="1"/>
  <c r="P56" i="4"/>
  <c r="G13" i="10"/>
  <c r="J99" i="17" l="1"/>
  <c r="J98" i="17"/>
  <c r="J97" i="17"/>
  <c r="J96" i="17"/>
  <c r="J100" i="16"/>
  <c r="J97" i="16"/>
  <c r="J105" i="16"/>
  <c r="K105" i="16" s="1"/>
  <c r="J98" i="16"/>
  <c r="J96" i="16"/>
  <c r="K96" i="16" s="1"/>
  <c r="J99" i="16"/>
  <c r="J110" i="16"/>
  <c r="J111" i="16" s="1"/>
  <c r="J112" i="16" s="1"/>
  <c r="J113" i="16" s="1"/>
  <c r="J114" i="16" s="1"/>
  <c r="J115" i="16" s="1"/>
  <c r="J116" i="16" s="1"/>
  <c r="J117" i="16" s="1"/>
  <c r="J118" i="16" s="1"/>
  <c r="J119" i="16" s="1"/>
  <c r="J120" i="16" s="1"/>
  <c r="J121" i="16" s="1"/>
  <c r="J122" i="16" s="1"/>
  <c r="J123" i="16" s="1"/>
  <c r="J124" i="16" s="1"/>
  <c r="J125" i="16" s="1"/>
  <c r="J126" i="16" s="1"/>
  <c r="J127" i="16" s="1"/>
  <c r="J128" i="16" s="1"/>
  <c r="AG6" i="10"/>
  <c r="K100" i="16"/>
  <c r="J100" i="17"/>
  <c r="K100" i="17" s="1"/>
  <c r="J110" i="17"/>
  <c r="K110" i="17" s="1"/>
  <c r="J105" i="17"/>
  <c r="K105" i="17" s="1"/>
  <c r="V95" i="17"/>
  <c r="E33" i="19"/>
  <c r="P32" i="19"/>
  <c r="L32" i="19"/>
  <c r="S18" i="19"/>
  <c r="U18" i="19" s="1"/>
  <c r="R18" i="19"/>
  <c r="T18" i="19" s="1"/>
  <c r="P32" i="18"/>
  <c r="L32" i="18"/>
  <c r="E33" i="18"/>
  <c r="K95" i="16"/>
  <c r="D34" i="19"/>
  <c r="D34" i="18"/>
  <c r="V95" i="16"/>
  <c r="Y95" i="16" s="1"/>
  <c r="Z95" i="16" s="1"/>
  <c r="K95" i="17"/>
  <c r="R18" i="18"/>
  <c r="T18" i="18" s="1"/>
  <c r="S18" i="18"/>
  <c r="U18" i="18" s="1"/>
  <c r="B11" i="17"/>
  <c r="B11" i="16"/>
  <c r="C11" i="17"/>
  <c r="C11" i="16"/>
  <c r="O90" i="18"/>
  <c r="O92" i="3"/>
  <c r="E230" i="1"/>
  <c r="R229" i="1"/>
  <c r="H229" i="1"/>
  <c r="H196" i="1"/>
  <c r="R196" i="1"/>
  <c r="E197" i="1"/>
  <c r="B209" i="1"/>
  <c r="B243" i="1"/>
  <c r="B278" i="1" s="1"/>
  <c r="Y95" i="11"/>
  <c r="AA95" i="11" s="1"/>
  <c r="O18" i="12"/>
  <c r="K18" i="12"/>
  <c r="N18" i="12"/>
  <c r="L18" i="12"/>
  <c r="M18" i="12"/>
  <c r="O24" i="12"/>
  <c r="C35" i="4" s="1"/>
  <c r="K24" i="12"/>
  <c r="L24" i="12"/>
  <c r="N24" i="12"/>
  <c r="M24" i="12"/>
  <c r="B35" i="12"/>
  <c r="C6" i="4" s="1"/>
  <c r="J20" i="12"/>
  <c r="E34" i="4"/>
  <c r="U6" i="10"/>
  <c r="B11" i="11"/>
  <c r="C11" i="11"/>
  <c r="V6" i="10"/>
  <c r="C5" i="4"/>
  <c r="J48" i="4"/>
  <c r="J126" i="11"/>
  <c r="F69" i="4"/>
  <c r="C77" i="7"/>
  <c r="G69" i="4"/>
  <c r="D77" i="7"/>
  <c r="AI6" i="10"/>
  <c r="W25" i="10"/>
  <c r="AA24" i="10"/>
  <c r="C143" i="1"/>
  <c r="R142" i="1"/>
  <c r="H142" i="1"/>
  <c r="D34" i="3"/>
  <c r="P22" i="10"/>
  <c r="L23" i="10"/>
  <c r="M36" i="10"/>
  <c r="M57" i="4"/>
  <c r="D14" i="10"/>
  <c r="Q57" i="4"/>
  <c r="H14" i="10"/>
  <c r="R57" i="4"/>
  <c r="I14" i="10"/>
  <c r="P57" i="4"/>
  <c r="G14" i="10"/>
  <c r="S57" i="4"/>
  <c r="J14" i="10"/>
  <c r="O57" i="4"/>
  <c r="F14" i="10"/>
  <c r="N57" i="4"/>
  <c r="E14" i="10"/>
  <c r="K115" i="16" l="1"/>
  <c r="K111" i="16"/>
  <c r="K118" i="16"/>
  <c r="K113" i="16"/>
  <c r="K110" i="16"/>
  <c r="K120" i="16"/>
  <c r="K116" i="16"/>
  <c r="K112" i="16"/>
  <c r="K119" i="16"/>
  <c r="K117" i="16"/>
  <c r="K114" i="16"/>
  <c r="H28" i="8"/>
  <c r="D35" i="19"/>
  <c r="D35" i="18"/>
  <c r="P33" i="18"/>
  <c r="L33" i="18"/>
  <c r="E34" i="18"/>
  <c r="J111" i="17"/>
  <c r="AA95" i="16"/>
  <c r="AB95" i="16" s="1"/>
  <c r="P33" i="19"/>
  <c r="E34" i="19"/>
  <c r="L33" i="19"/>
  <c r="J116" i="4"/>
  <c r="J115" i="4"/>
  <c r="Y95" i="17"/>
  <c r="Z95" i="17" s="1"/>
  <c r="C12" i="11"/>
  <c r="C12" i="17"/>
  <c r="C12" i="16"/>
  <c r="F34" i="4"/>
  <c r="E11" i="17"/>
  <c r="E11" i="16"/>
  <c r="U7" i="10"/>
  <c r="O91" i="18"/>
  <c r="O93" i="3"/>
  <c r="E231" i="1"/>
  <c r="R230" i="1"/>
  <c r="H230" i="1"/>
  <c r="B210" i="1"/>
  <c r="B244" i="1"/>
  <c r="B279" i="1" s="1"/>
  <c r="R197" i="1"/>
  <c r="H197" i="1"/>
  <c r="E198" i="1"/>
  <c r="Z95" i="11"/>
  <c r="B35" i="4"/>
  <c r="J123" i="4"/>
  <c r="J125" i="4"/>
  <c r="J122" i="4"/>
  <c r="J124" i="4"/>
  <c r="J129" i="4"/>
  <c r="J144" i="4"/>
  <c r="J133" i="4"/>
  <c r="J120" i="4"/>
  <c r="J137" i="4"/>
  <c r="J127" i="4"/>
  <c r="J141" i="4"/>
  <c r="J136" i="4"/>
  <c r="J139" i="4"/>
  <c r="J128" i="4"/>
  <c r="J131" i="4"/>
  <c r="J146" i="4"/>
  <c r="J121" i="4"/>
  <c r="J126" i="4"/>
  <c r="J135" i="4"/>
  <c r="J117" i="4"/>
  <c r="J134" i="4"/>
  <c r="J138" i="4"/>
  <c r="J148" i="4"/>
  <c r="J130" i="4"/>
  <c r="J147" i="4"/>
  <c r="J145" i="4"/>
  <c r="J142" i="4"/>
  <c r="J143" i="4"/>
  <c r="J119" i="4"/>
  <c r="J118" i="4"/>
  <c r="J140" i="4"/>
  <c r="J132" i="4"/>
  <c r="E35" i="4"/>
  <c r="J24" i="12"/>
  <c r="E11" i="11"/>
  <c r="X6" i="10"/>
  <c r="X7" i="10" s="1"/>
  <c r="X8" i="10" s="1"/>
  <c r="F11" i="11"/>
  <c r="J18" i="12"/>
  <c r="S6" i="10"/>
  <c r="L48" i="4"/>
  <c r="T6" i="10" s="1"/>
  <c r="J49" i="4"/>
  <c r="J127" i="11"/>
  <c r="G70" i="4"/>
  <c r="D78" i="7"/>
  <c r="X9" i="10"/>
  <c r="X10" i="10" s="1"/>
  <c r="F70" i="4"/>
  <c r="C78" i="7"/>
  <c r="AA25" i="10"/>
  <c r="W26" i="10"/>
  <c r="H143" i="1"/>
  <c r="C144" i="1"/>
  <c r="R143" i="1"/>
  <c r="V7" i="10"/>
  <c r="D35" i="3"/>
  <c r="P23" i="10"/>
  <c r="L24" i="10"/>
  <c r="M37" i="10"/>
  <c r="O58" i="4"/>
  <c r="F15" i="10"/>
  <c r="P58" i="4"/>
  <c r="G15" i="10"/>
  <c r="Q58" i="4"/>
  <c r="H15" i="10"/>
  <c r="N58" i="4"/>
  <c r="E15" i="10"/>
  <c r="S58" i="4"/>
  <c r="J15" i="10"/>
  <c r="R58" i="4"/>
  <c r="I15" i="10"/>
  <c r="M58" i="4"/>
  <c r="D15" i="10"/>
  <c r="C80" i="11"/>
  <c r="E191" i="17" l="1"/>
  <c r="E191" i="16"/>
  <c r="E191" i="11"/>
  <c r="E203" i="17"/>
  <c r="E203" i="16"/>
  <c r="E203" i="11"/>
  <c r="E182" i="17"/>
  <c r="E182" i="16"/>
  <c r="E182" i="11"/>
  <c r="E207" i="17"/>
  <c r="L207" i="17" s="1"/>
  <c r="E207" i="16"/>
  <c r="L207" i="16" s="1"/>
  <c r="M207" i="16" s="1"/>
  <c r="E207" i="11"/>
  <c r="L207" i="11" s="1"/>
  <c r="E184" i="17"/>
  <c r="E184" i="16"/>
  <c r="E184" i="11"/>
  <c r="L116" i="4"/>
  <c r="F136" i="17" s="1"/>
  <c r="E176" i="17"/>
  <c r="E176" i="11"/>
  <c r="E176" i="16"/>
  <c r="E183" i="17"/>
  <c r="E183" i="16"/>
  <c r="E183" i="11"/>
  <c r="E196" i="17"/>
  <c r="L196" i="17" s="1"/>
  <c r="E196" i="16"/>
  <c r="L196" i="16" s="1"/>
  <c r="M196" i="16" s="1"/>
  <c r="E196" i="11"/>
  <c r="E197" i="17"/>
  <c r="E197" i="11"/>
  <c r="E197" i="16"/>
  <c r="E202" i="17"/>
  <c r="L202" i="17" s="1"/>
  <c r="E202" i="16"/>
  <c r="E202" i="11"/>
  <c r="E185" i="17"/>
  <c r="E185" i="16"/>
  <c r="E185" i="11"/>
  <c r="L185" i="11" s="1"/>
  <c r="E190" i="17"/>
  <c r="L190" i="17" s="1"/>
  <c r="M190" i="17" s="1"/>
  <c r="E190" i="16"/>
  <c r="L190" i="16" s="1"/>
  <c r="M190" i="16" s="1"/>
  <c r="E190" i="11"/>
  <c r="E201" i="17"/>
  <c r="E201" i="16"/>
  <c r="E201" i="11"/>
  <c r="E198" i="17"/>
  <c r="E198" i="16"/>
  <c r="E198" i="11"/>
  <c r="E177" i="17"/>
  <c r="E177" i="16"/>
  <c r="E177" i="11"/>
  <c r="L177" i="11" s="1"/>
  <c r="E180" i="17"/>
  <c r="L180" i="17" s="1"/>
  <c r="E180" i="16"/>
  <c r="L180" i="16" s="1"/>
  <c r="E180" i="11"/>
  <c r="E205" i="17"/>
  <c r="E205" i="16"/>
  <c r="E205" i="11"/>
  <c r="E199" i="17"/>
  <c r="E199" i="11"/>
  <c r="E199" i="16"/>
  <c r="E208" i="17"/>
  <c r="E208" i="16"/>
  <c r="L208" i="16" s="1"/>
  <c r="M208" i="16" s="1"/>
  <c r="E208" i="11"/>
  <c r="L208" i="11" s="1"/>
  <c r="E187" i="17"/>
  <c r="L187" i="17" s="1"/>
  <c r="E187" i="11"/>
  <c r="L187" i="11" s="1"/>
  <c r="E187" i="16"/>
  <c r="E192" i="17"/>
  <c r="E192" i="16"/>
  <c r="E192" i="11"/>
  <c r="E194" i="17"/>
  <c r="E194" i="16"/>
  <c r="E194" i="11"/>
  <c r="E200" i="17"/>
  <c r="L200" i="17" s="1"/>
  <c r="E200" i="16"/>
  <c r="L200" i="16" s="1"/>
  <c r="M200" i="16" s="1"/>
  <c r="E200" i="11"/>
  <c r="L200" i="11" s="1"/>
  <c r="E195" i="17"/>
  <c r="L195" i="17" s="1"/>
  <c r="E195" i="16"/>
  <c r="L195" i="16" s="1"/>
  <c r="M195" i="16" s="1"/>
  <c r="E195" i="11"/>
  <c r="E193" i="17"/>
  <c r="E193" i="16"/>
  <c r="E193" i="11"/>
  <c r="E175" i="17"/>
  <c r="E175" i="11"/>
  <c r="E175" i="16"/>
  <c r="L175" i="16" s="1"/>
  <c r="M175" i="16" s="1"/>
  <c r="E135" i="11"/>
  <c r="E188" i="17"/>
  <c r="L188" i="17" s="1"/>
  <c r="M188" i="17" s="1"/>
  <c r="E188" i="16"/>
  <c r="L188" i="16" s="1"/>
  <c r="M188" i="16" s="1"/>
  <c r="E188" i="11"/>
  <c r="L188" i="11" s="1"/>
  <c r="L115" i="4"/>
  <c r="F135" i="17" s="1"/>
  <c r="G135" i="17" s="1"/>
  <c r="E178" i="17"/>
  <c r="E178" i="16"/>
  <c r="E178" i="11"/>
  <c r="E186" i="17"/>
  <c r="L186" i="17" s="1"/>
  <c r="E186" i="16"/>
  <c r="E186" i="11"/>
  <c r="E204" i="17"/>
  <c r="L204" i="17" s="1"/>
  <c r="E204" i="16"/>
  <c r="L204" i="16" s="1"/>
  <c r="M204" i="16" s="1"/>
  <c r="E204" i="11"/>
  <c r="L204" i="11" s="1"/>
  <c r="E206" i="17"/>
  <c r="L206" i="17" s="1"/>
  <c r="M206" i="17" s="1"/>
  <c r="E206" i="16"/>
  <c r="L206" i="16" s="1"/>
  <c r="M206" i="16" s="1"/>
  <c r="E206" i="11"/>
  <c r="L206" i="11" s="1"/>
  <c r="X18" i="19"/>
  <c r="AH18" i="18"/>
  <c r="AK18" i="18" s="1"/>
  <c r="X18" i="18"/>
  <c r="AA18" i="18" s="1"/>
  <c r="AH18" i="19"/>
  <c r="AK18" i="19" s="1"/>
  <c r="AH18" i="3"/>
  <c r="X18" i="3"/>
  <c r="E179" i="17"/>
  <c r="E179" i="16"/>
  <c r="E179" i="11"/>
  <c r="L179" i="11" s="1"/>
  <c r="E181" i="17"/>
  <c r="L181" i="17" s="1"/>
  <c r="E181" i="16"/>
  <c r="L181" i="16" s="1"/>
  <c r="E181" i="11"/>
  <c r="L181" i="11" s="1"/>
  <c r="E189" i="17"/>
  <c r="E189" i="16"/>
  <c r="E189" i="11"/>
  <c r="L199" i="17"/>
  <c r="L182" i="17"/>
  <c r="L201" i="17"/>
  <c r="L198" i="17"/>
  <c r="M198" i="17" s="1"/>
  <c r="L197" i="17"/>
  <c r="L176" i="17"/>
  <c r="L203" i="17"/>
  <c r="L183" i="17"/>
  <c r="L189" i="17"/>
  <c r="M189" i="17" s="1"/>
  <c r="L178" i="17"/>
  <c r="L192" i="17"/>
  <c r="L193" i="17"/>
  <c r="L175" i="17"/>
  <c r="L208" i="17"/>
  <c r="L184" i="17"/>
  <c r="L194" i="17"/>
  <c r="L179" i="17"/>
  <c r="L191" i="17"/>
  <c r="L185" i="17"/>
  <c r="L177" i="17"/>
  <c r="L205" i="17"/>
  <c r="L178" i="16"/>
  <c r="L186" i="16"/>
  <c r="L203" i="16"/>
  <c r="M203" i="16" s="1"/>
  <c r="L182" i="16"/>
  <c r="L202" i="16"/>
  <c r="M202" i="16" s="1"/>
  <c r="L189" i="16"/>
  <c r="M189" i="16" s="1"/>
  <c r="L177" i="16"/>
  <c r="L194" i="16"/>
  <c r="M194" i="16" s="1"/>
  <c r="L199" i="16"/>
  <c r="M199" i="16" s="1"/>
  <c r="L205" i="16"/>
  <c r="M205" i="16" s="1"/>
  <c r="L198" i="16"/>
  <c r="M198" i="16" s="1"/>
  <c r="L192" i="16"/>
  <c r="M192" i="16" s="1"/>
  <c r="L176" i="16"/>
  <c r="L185" i="16"/>
  <c r="L184" i="16"/>
  <c r="L191" i="16"/>
  <c r="M191" i="16" s="1"/>
  <c r="L179" i="16"/>
  <c r="L187" i="16"/>
  <c r="L197" i="16"/>
  <c r="M197" i="16" s="1"/>
  <c r="L201" i="16"/>
  <c r="M201" i="16" s="1"/>
  <c r="L183" i="16"/>
  <c r="L193" i="16"/>
  <c r="M193" i="16" s="1"/>
  <c r="AE95" i="16"/>
  <c r="AD95" i="16"/>
  <c r="AC95" i="16"/>
  <c r="F176" i="17"/>
  <c r="F176" i="16"/>
  <c r="F176" i="11"/>
  <c r="L202" i="11"/>
  <c r="L189" i="11"/>
  <c r="L180" i="11"/>
  <c r="L175" i="11"/>
  <c r="L193" i="11"/>
  <c r="L182" i="11"/>
  <c r="L176" i="11"/>
  <c r="L183" i="11"/>
  <c r="L198" i="11"/>
  <c r="L205" i="11"/>
  <c r="L190" i="11"/>
  <c r="L196" i="11"/>
  <c r="L195" i="11"/>
  <c r="L178" i="11"/>
  <c r="L199" i="11"/>
  <c r="L184" i="11"/>
  <c r="L197" i="11"/>
  <c r="L192" i="11"/>
  <c r="L201" i="11"/>
  <c r="L191" i="11"/>
  <c r="L203" i="11"/>
  <c r="L186" i="11"/>
  <c r="L194" i="11"/>
  <c r="E136" i="16"/>
  <c r="AJ95" i="16"/>
  <c r="AI95" i="16"/>
  <c r="AH95" i="16"/>
  <c r="P34" i="18"/>
  <c r="L34" i="18"/>
  <c r="E35" i="18"/>
  <c r="J112" i="17"/>
  <c r="K111" i="17"/>
  <c r="D36" i="19"/>
  <c r="D36" i="18"/>
  <c r="E136" i="17"/>
  <c r="L136" i="17" s="1"/>
  <c r="H29" i="8"/>
  <c r="E35" i="19"/>
  <c r="P34" i="19"/>
  <c r="L34" i="19"/>
  <c r="AA95" i="17"/>
  <c r="AB95" i="17" s="1"/>
  <c r="E139" i="17"/>
  <c r="L139" i="17" s="1"/>
  <c r="E139" i="16"/>
  <c r="L139" i="16" s="1"/>
  <c r="E141" i="17"/>
  <c r="L141" i="17" s="1"/>
  <c r="E141" i="16"/>
  <c r="E157" i="17"/>
  <c r="L157" i="17" s="1"/>
  <c r="E157" i="16"/>
  <c r="E143" i="17"/>
  <c r="L143" i="17" s="1"/>
  <c r="E143" i="16"/>
  <c r="E135" i="17"/>
  <c r="E135" i="16"/>
  <c r="E163" i="17"/>
  <c r="L163" i="17" s="1"/>
  <c r="E163" i="16"/>
  <c r="L117" i="4"/>
  <c r="E137" i="17"/>
  <c r="L137" i="17" s="1"/>
  <c r="E137" i="16"/>
  <c r="E166" i="17"/>
  <c r="L166" i="17" s="1"/>
  <c r="E166" i="16"/>
  <c r="L166" i="16" s="1"/>
  <c r="E156" i="17"/>
  <c r="L156" i="17" s="1"/>
  <c r="E156" i="16"/>
  <c r="E140" i="17"/>
  <c r="E140" i="16"/>
  <c r="L140" i="16" s="1"/>
  <c r="E144" i="17"/>
  <c r="L144" i="17" s="1"/>
  <c r="E144" i="16"/>
  <c r="AA18" i="19"/>
  <c r="AC18" i="19" s="1"/>
  <c r="AE18" i="19" s="1"/>
  <c r="E152" i="17"/>
  <c r="L152" i="17" s="1"/>
  <c r="E152" i="16"/>
  <c r="L152" i="16" s="1"/>
  <c r="E167" i="17"/>
  <c r="L167" i="17" s="1"/>
  <c r="E167" i="16"/>
  <c r="E159" i="17"/>
  <c r="L159" i="17" s="1"/>
  <c r="E159" i="16"/>
  <c r="E149" i="17"/>
  <c r="L149" i="17" s="1"/>
  <c r="E149" i="16"/>
  <c r="E160" i="17"/>
  <c r="E160" i="16"/>
  <c r="E162" i="17"/>
  <c r="L162" i="17" s="1"/>
  <c r="E162" i="16"/>
  <c r="E168" i="17"/>
  <c r="L168" i="17" s="1"/>
  <c r="E168" i="16"/>
  <c r="L168" i="16" s="1"/>
  <c r="E155" i="17"/>
  <c r="L155" i="17" s="1"/>
  <c r="E155" i="16"/>
  <c r="E151" i="17"/>
  <c r="L151" i="17" s="1"/>
  <c r="E151" i="16"/>
  <c r="E161" i="17"/>
  <c r="L161" i="17" s="1"/>
  <c r="E161" i="16"/>
  <c r="E153" i="17"/>
  <c r="L153" i="17" s="1"/>
  <c r="E153" i="16"/>
  <c r="E142" i="17"/>
  <c r="L142" i="17" s="1"/>
  <c r="E142" i="16"/>
  <c r="E154" i="17"/>
  <c r="L154" i="17" s="1"/>
  <c r="E154" i="16"/>
  <c r="E150" i="17"/>
  <c r="L150" i="17" s="1"/>
  <c r="E150" i="16"/>
  <c r="E138" i="17"/>
  <c r="L138" i="17" s="1"/>
  <c r="E138" i="16"/>
  <c r="L138" i="16" s="1"/>
  <c r="E165" i="17"/>
  <c r="L165" i="17" s="1"/>
  <c r="E165" i="16"/>
  <c r="E158" i="17"/>
  <c r="L158" i="17" s="1"/>
  <c r="E158" i="16"/>
  <c r="L158" i="16" s="1"/>
  <c r="E146" i="17"/>
  <c r="L146" i="17" s="1"/>
  <c r="E146" i="16"/>
  <c r="E148" i="17"/>
  <c r="L148" i="17" s="1"/>
  <c r="E148" i="16"/>
  <c r="E147" i="17"/>
  <c r="L147" i="17" s="1"/>
  <c r="E147" i="16"/>
  <c r="E164" i="17"/>
  <c r="L164" i="17" s="1"/>
  <c r="E164" i="16"/>
  <c r="L164" i="16" s="1"/>
  <c r="E145" i="17"/>
  <c r="L145" i="17" s="1"/>
  <c r="E145" i="16"/>
  <c r="L145" i="16" s="1"/>
  <c r="F11" i="17"/>
  <c r="F11" i="16"/>
  <c r="B12" i="17"/>
  <c r="B12" i="16"/>
  <c r="U8" i="10"/>
  <c r="L148" i="16"/>
  <c r="L136" i="16"/>
  <c r="E12" i="11"/>
  <c r="E12" i="17"/>
  <c r="E12" i="16"/>
  <c r="L160" i="17"/>
  <c r="O92" i="18"/>
  <c r="O94" i="3"/>
  <c r="E232" i="1"/>
  <c r="R231" i="1"/>
  <c r="H231" i="1"/>
  <c r="H198" i="1"/>
  <c r="R198" i="1"/>
  <c r="E199" i="1"/>
  <c r="B211" i="1"/>
  <c r="B245" i="1"/>
  <c r="B280" i="1" s="1"/>
  <c r="AB95" i="11"/>
  <c r="Y6" i="10"/>
  <c r="L118" i="4"/>
  <c r="E138" i="11"/>
  <c r="E162" i="11"/>
  <c r="L142" i="4"/>
  <c r="E168" i="11"/>
  <c r="L148" i="4"/>
  <c r="E155" i="11"/>
  <c r="L135" i="4"/>
  <c r="L131" i="4"/>
  <c r="E151" i="11"/>
  <c r="E161" i="11"/>
  <c r="L141" i="4"/>
  <c r="E153" i="11"/>
  <c r="L133" i="4"/>
  <c r="L122" i="4"/>
  <c r="E142" i="11"/>
  <c r="E152" i="11"/>
  <c r="L132" i="4"/>
  <c r="E139" i="11"/>
  <c r="L119" i="4"/>
  <c r="L145" i="4"/>
  <c r="E165" i="11"/>
  <c r="E158" i="11"/>
  <c r="L138" i="4"/>
  <c r="E146" i="11"/>
  <c r="L126" i="4"/>
  <c r="E148" i="11"/>
  <c r="L128" i="4"/>
  <c r="E147" i="11"/>
  <c r="L127" i="4"/>
  <c r="L144" i="4"/>
  <c r="E164" i="11"/>
  <c r="L125" i="4"/>
  <c r="E145" i="11"/>
  <c r="E136" i="11"/>
  <c r="E167" i="11"/>
  <c r="L147" i="4"/>
  <c r="E154" i="11"/>
  <c r="L134" i="4"/>
  <c r="E141" i="11"/>
  <c r="L121" i="4"/>
  <c r="E159" i="11"/>
  <c r="L139" i="4"/>
  <c r="E157" i="11"/>
  <c r="L137" i="4"/>
  <c r="L129" i="4"/>
  <c r="E149" i="11"/>
  <c r="E143" i="11"/>
  <c r="L123" i="4"/>
  <c r="E160" i="11"/>
  <c r="L140" i="4"/>
  <c r="L143" i="4"/>
  <c r="E163" i="11"/>
  <c r="E150" i="11"/>
  <c r="L130" i="4"/>
  <c r="E137" i="11"/>
  <c r="E166" i="11"/>
  <c r="L146" i="4"/>
  <c r="E156" i="11"/>
  <c r="L136" i="4"/>
  <c r="E140" i="11"/>
  <c r="L120" i="4"/>
  <c r="L124" i="4"/>
  <c r="E144" i="11"/>
  <c r="B12" i="11"/>
  <c r="F35" i="4"/>
  <c r="S7" i="10"/>
  <c r="L49" i="4"/>
  <c r="T7" i="10" s="1"/>
  <c r="J50" i="4"/>
  <c r="AN6" i="10"/>
  <c r="AO6" i="10"/>
  <c r="AK6" i="10"/>
  <c r="AM6" i="10"/>
  <c r="AL6" i="10"/>
  <c r="J128" i="11"/>
  <c r="G80" i="11"/>
  <c r="D80" i="11"/>
  <c r="F71" i="4"/>
  <c r="C79" i="7"/>
  <c r="G71" i="4"/>
  <c r="D79" i="7"/>
  <c r="X11" i="10"/>
  <c r="W27" i="10"/>
  <c r="AA26" i="10"/>
  <c r="C145" i="1"/>
  <c r="R144" i="1"/>
  <c r="H144" i="1"/>
  <c r="D36" i="3"/>
  <c r="P24" i="10"/>
  <c r="L25" i="10"/>
  <c r="V8" i="10"/>
  <c r="Y7" i="10"/>
  <c r="M38" i="10"/>
  <c r="R59" i="4"/>
  <c r="I16" i="10"/>
  <c r="N59" i="4"/>
  <c r="E16" i="10"/>
  <c r="P59" i="4"/>
  <c r="G16" i="10"/>
  <c r="M59" i="4"/>
  <c r="D16" i="10"/>
  <c r="S59" i="4"/>
  <c r="J16" i="10"/>
  <c r="Q59" i="4"/>
  <c r="H16" i="10"/>
  <c r="O59" i="4"/>
  <c r="F16" i="10"/>
  <c r="H80" i="11"/>
  <c r="E80" i="11"/>
  <c r="F80" i="11"/>
  <c r="F175" i="11" l="1"/>
  <c r="AB18" i="18"/>
  <c r="AD18" i="18" s="1"/>
  <c r="AC18" i="18"/>
  <c r="AE18" i="18" s="1"/>
  <c r="F135" i="11"/>
  <c r="G175" i="11" s="1"/>
  <c r="G198" i="11" s="1"/>
  <c r="AM7" i="10"/>
  <c r="AH19" i="18"/>
  <c r="AK19" i="18" s="1"/>
  <c r="AH19" i="19"/>
  <c r="AK19" i="19" s="1"/>
  <c r="AH19" i="3"/>
  <c r="F175" i="16"/>
  <c r="G175" i="16" s="1"/>
  <c r="G176" i="16" s="1"/>
  <c r="F175" i="17"/>
  <c r="G175" i="17" s="1"/>
  <c r="G176" i="17" s="1"/>
  <c r="AM18" i="19"/>
  <c r="AO18" i="19" s="1"/>
  <c r="AL18" i="19"/>
  <c r="AN18" i="19" s="1"/>
  <c r="AM18" i="18"/>
  <c r="AO18" i="18" s="1"/>
  <c r="AL18" i="18"/>
  <c r="AN18" i="18" s="1"/>
  <c r="CD95" i="16"/>
  <c r="CB95" i="16"/>
  <c r="G190" i="17"/>
  <c r="G191" i="17" s="1"/>
  <c r="G192" i="17" s="1"/>
  <c r="G193" i="17" s="1"/>
  <c r="G194" i="17" s="1"/>
  <c r="G195" i="17" s="1"/>
  <c r="G196" i="17" s="1"/>
  <c r="G197" i="17" s="1"/>
  <c r="G198" i="17" s="1"/>
  <c r="G199" i="17" s="1"/>
  <c r="G200" i="17" s="1"/>
  <c r="G201" i="17" s="1"/>
  <c r="G202" i="17" s="1"/>
  <c r="G203" i="17" s="1"/>
  <c r="G204" i="17" s="1"/>
  <c r="G205" i="17" s="1"/>
  <c r="G206" i="17" s="1"/>
  <c r="G207" i="17" s="1"/>
  <c r="G208" i="17" s="1"/>
  <c r="H208" i="17" s="1"/>
  <c r="G145" i="17"/>
  <c r="G137" i="17"/>
  <c r="G140" i="17"/>
  <c r="G139" i="17"/>
  <c r="G185" i="17"/>
  <c r="H185" i="17" s="1"/>
  <c r="G138" i="17"/>
  <c r="G150" i="17"/>
  <c r="G151" i="17" s="1"/>
  <c r="G152" i="17" s="1"/>
  <c r="G153" i="17" s="1"/>
  <c r="G154" i="17" s="1"/>
  <c r="G155" i="17" s="1"/>
  <c r="G156" i="17" s="1"/>
  <c r="G157" i="17" s="1"/>
  <c r="G158" i="17" s="1"/>
  <c r="G159" i="17" s="1"/>
  <c r="G160" i="17" s="1"/>
  <c r="G161" i="17" s="1"/>
  <c r="G162" i="17" s="1"/>
  <c r="G163" i="17" s="1"/>
  <c r="G164" i="17" s="1"/>
  <c r="G165" i="17" s="1"/>
  <c r="G166" i="17" s="1"/>
  <c r="G167" i="17" s="1"/>
  <c r="G168" i="17" s="1"/>
  <c r="G136" i="17"/>
  <c r="G180" i="17"/>
  <c r="H180" i="17" s="1"/>
  <c r="M196" i="17"/>
  <c r="M194" i="17"/>
  <c r="M195" i="17"/>
  <c r="M193" i="17"/>
  <c r="M207" i="17"/>
  <c r="M203" i="17"/>
  <c r="M199" i="17"/>
  <c r="L135" i="17"/>
  <c r="AE95" i="17"/>
  <c r="AD95" i="17"/>
  <c r="AC95" i="17"/>
  <c r="AI95" i="17"/>
  <c r="AJ95" i="17"/>
  <c r="AH95" i="17"/>
  <c r="M205" i="17"/>
  <c r="M175" i="17"/>
  <c r="M192" i="17"/>
  <c r="M202" i="17"/>
  <c r="M200" i="17"/>
  <c r="M208" i="17"/>
  <c r="M204" i="17"/>
  <c r="M197" i="17"/>
  <c r="O180" i="17"/>
  <c r="O187" i="17"/>
  <c r="O191" i="17"/>
  <c r="P191" i="17" s="1"/>
  <c r="Q191" i="17" s="1"/>
  <c r="O195" i="17"/>
  <c r="O199" i="17"/>
  <c r="P199" i="17" s="1"/>
  <c r="Q199" i="17" s="1"/>
  <c r="O203" i="17"/>
  <c r="P203" i="17" s="1"/>
  <c r="Q203" i="17" s="1"/>
  <c r="O207" i="17"/>
  <c r="O188" i="17"/>
  <c r="P188" i="17" s="1"/>
  <c r="Q188" i="17" s="1"/>
  <c r="O200" i="17"/>
  <c r="P200" i="17" s="1"/>
  <c r="Q200" i="17" s="1"/>
  <c r="O208" i="17"/>
  <c r="O185" i="17"/>
  <c r="O197" i="17"/>
  <c r="O186" i="17"/>
  <c r="O194" i="17"/>
  <c r="P194" i="17" s="1"/>
  <c r="Q194" i="17" s="1"/>
  <c r="O206" i="17"/>
  <c r="O175" i="17"/>
  <c r="P175" i="17" s="1"/>
  <c r="Q175" i="17" s="1"/>
  <c r="O192" i="17"/>
  <c r="P192" i="17" s="1"/>
  <c r="Q192" i="17" s="1"/>
  <c r="O196" i="17"/>
  <c r="P196" i="17" s="1"/>
  <c r="Q196" i="17" s="1"/>
  <c r="O204" i="17"/>
  <c r="P204" i="17" s="1"/>
  <c r="Q204" i="17" s="1"/>
  <c r="O189" i="17"/>
  <c r="P189" i="17" s="1"/>
  <c r="Q189" i="17" s="1"/>
  <c r="O193" i="17"/>
  <c r="O201" i="17"/>
  <c r="P201" i="17" s="1"/>
  <c r="Q201" i="17" s="1"/>
  <c r="O205" i="17"/>
  <c r="P205" i="17" s="1"/>
  <c r="Q205" i="17" s="1"/>
  <c r="O190" i="17"/>
  <c r="O198" i="17"/>
  <c r="O202" i="17"/>
  <c r="P202" i="17" s="1"/>
  <c r="Q202" i="17" s="1"/>
  <c r="M191" i="17"/>
  <c r="M201" i="17"/>
  <c r="AF95" i="16"/>
  <c r="AG95" i="16"/>
  <c r="AK95" i="16" s="1"/>
  <c r="O175" i="16"/>
  <c r="P175" i="16" s="1"/>
  <c r="Q175" i="16" s="1"/>
  <c r="O187" i="16"/>
  <c r="O191" i="16"/>
  <c r="P191" i="16" s="1"/>
  <c r="Q191" i="16" s="1"/>
  <c r="O195" i="16"/>
  <c r="P195" i="16" s="1"/>
  <c r="Q195" i="16" s="1"/>
  <c r="O199" i="16"/>
  <c r="P199" i="16" s="1"/>
  <c r="Q199" i="16" s="1"/>
  <c r="O203" i="16"/>
  <c r="P203" i="16" s="1"/>
  <c r="Q203" i="16" s="1"/>
  <c r="O207" i="16"/>
  <c r="P207" i="16" s="1"/>
  <c r="Q207" i="16" s="1"/>
  <c r="O188" i="16"/>
  <c r="P188" i="16" s="1"/>
  <c r="Q188" i="16" s="1"/>
  <c r="O192" i="16"/>
  <c r="P192" i="16" s="1"/>
  <c r="Q192" i="16" s="1"/>
  <c r="O196" i="16"/>
  <c r="P196" i="16" s="1"/>
  <c r="Q196" i="16" s="1"/>
  <c r="O200" i="16"/>
  <c r="P200" i="16" s="1"/>
  <c r="Q200" i="16" s="1"/>
  <c r="O204" i="16"/>
  <c r="P204" i="16" s="1"/>
  <c r="Q204" i="16" s="1"/>
  <c r="O208" i="16"/>
  <c r="P208" i="16" s="1"/>
  <c r="Q208" i="16" s="1"/>
  <c r="O185" i="16"/>
  <c r="O189" i="16"/>
  <c r="P189" i="16" s="1"/>
  <c r="Q189" i="16" s="1"/>
  <c r="O193" i="16"/>
  <c r="P193" i="16" s="1"/>
  <c r="Q193" i="16" s="1"/>
  <c r="O201" i="16"/>
  <c r="P201" i="16" s="1"/>
  <c r="Q201" i="16" s="1"/>
  <c r="O205" i="16"/>
  <c r="P205" i="16" s="1"/>
  <c r="Q205" i="16" s="1"/>
  <c r="O186" i="16"/>
  <c r="O194" i="16"/>
  <c r="P194" i="16" s="1"/>
  <c r="Q194" i="16" s="1"/>
  <c r="O202" i="16"/>
  <c r="P202" i="16" s="1"/>
  <c r="Q202" i="16" s="1"/>
  <c r="O206" i="16"/>
  <c r="P206" i="16" s="1"/>
  <c r="Q206" i="16" s="1"/>
  <c r="O180" i="16"/>
  <c r="O197" i="16"/>
  <c r="P197" i="16" s="1"/>
  <c r="Q197" i="16" s="1"/>
  <c r="O190" i="16"/>
  <c r="P190" i="16" s="1"/>
  <c r="Q190" i="16" s="1"/>
  <c r="O198" i="16"/>
  <c r="P198" i="16" s="1"/>
  <c r="Q198" i="16" s="1"/>
  <c r="L135" i="16"/>
  <c r="AC95" i="11"/>
  <c r="AE95" i="11"/>
  <c r="AD95" i="11"/>
  <c r="F149" i="17"/>
  <c r="F189" i="17"/>
  <c r="F189" i="16"/>
  <c r="F189" i="11"/>
  <c r="F153" i="17"/>
  <c r="F193" i="17"/>
  <c r="F193" i="16"/>
  <c r="F193" i="11"/>
  <c r="F143" i="17"/>
  <c r="F183" i="17"/>
  <c r="F183" i="16"/>
  <c r="F183" i="11"/>
  <c r="F157" i="17"/>
  <c r="F197" i="17"/>
  <c r="F197" i="16"/>
  <c r="F197" i="11"/>
  <c r="F141" i="17"/>
  <c r="F181" i="17"/>
  <c r="F181" i="16"/>
  <c r="F181" i="11"/>
  <c r="F167" i="17"/>
  <c r="F207" i="17"/>
  <c r="F207" i="16"/>
  <c r="F207" i="11"/>
  <c r="F145" i="17"/>
  <c r="F185" i="17"/>
  <c r="F185" i="16"/>
  <c r="F185" i="11"/>
  <c r="F165" i="17"/>
  <c r="F205" i="17"/>
  <c r="F205" i="16"/>
  <c r="F205" i="11"/>
  <c r="F151" i="17"/>
  <c r="F191" i="17"/>
  <c r="F191" i="16"/>
  <c r="F191" i="11"/>
  <c r="F138" i="17"/>
  <c r="F178" i="17"/>
  <c r="F178" i="16"/>
  <c r="F178" i="11"/>
  <c r="F140" i="17"/>
  <c r="F180" i="17"/>
  <c r="F180" i="16"/>
  <c r="F180" i="11"/>
  <c r="F147" i="17"/>
  <c r="F187" i="17"/>
  <c r="F187" i="16"/>
  <c r="F187" i="11"/>
  <c r="F152" i="17"/>
  <c r="F192" i="17"/>
  <c r="F192" i="16"/>
  <c r="F192" i="11"/>
  <c r="F156" i="17"/>
  <c r="F196" i="17"/>
  <c r="F196" i="16"/>
  <c r="F196" i="11"/>
  <c r="F163" i="17"/>
  <c r="F203" i="17"/>
  <c r="F203" i="16"/>
  <c r="F203" i="11"/>
  <c r="F148" i="17"/>
  <c r="F188" i="17"/>
  <c r="F188" i="16"/>
  <c r="F188" i="11"/>
  <c r="F158" i="17"/>
  <c r="F198" i="17"/>
  <c r="F198" i="16"/>
  <c r="F198" i="11"/>
  <c r="F139" i="17"/>
  <c r="F179" i="17"/>
  <c r="F179" i="16"/>
  <c r="F179" i="11"/>
  <c r="F161" i="17"/>
  <c r="F201" i="17"/>
  <c r="F201" i="16"/>
  <c r="F201" i="11"/>
  <c r="F155" i="17"/>
  <c r="F195" i="17"/>
  <c r="F195" i="16"/>
  <c r="F195" i="11"/>
  <c r="F162" i="17"/>
  <c r="F202" i="17"/>
  <c r="F202" i="16"/>
  <c r="F202" i="11"/>
  <c r="F166" i="17"/>
  <c r="F206" i="17"/>
  <c r="F206" i="16"/>
  <c r="F206" i="11"/>
  <c r="F146" i="17"/>
  <c r="F186" i="17"/>
  <c r="F186" i="16"/>
  <c r="F186" i="11"/>
  <c r="F168" i="17"/>
  <c r="F208" i="17"/>
  <c r="F208" i="16"/>
  <c r="F208" i="11"/>
  <c r="F137" i="17"/>
  <c r="F177" i="17"/>
  <c r="F177" i="16"/>
  <c r="F177" i="11"/>
  <c r="F144" i="17"/>
  <c r="F184" i="17"/>
  <c r="F184" i="16"/>
  <c r="F184" i="11"/>
  <c r="F150" i="17"/>
  <c r="F190" i="17"/>
  <c r="F190" i="16"/>
  <c r="F190" i="11"/>
  <c r="F160" i="17"/>
  <c r="F200" i="17"/>
  <c r="F200" i="16"/>
  <c r="F200" i="11"/>
  <c r="F159" i="17"/>
  <c r="F199" i="17"/>
  <c r="F199" i="16"/>
  <c r="F199" i="11"/>
  <c r="F154" i="17"/>
  <c r="F194" i="17"/>
  <c r="F194" i="16"/>
  <c r="F194" i="11"/>
  <c r="F164" i="17"/>
  <c r="F204" i="17"/>
  <c r="F204" i="16"/>
  <c r="F204" i="11"/>
  <c r="F142" i="17"/>
  <c r="F182" i="17"/>
  <c r="F182" i="16"/>
  <c r="F182" i="11"/>
  <c r="H175" i="11"/>
  <c r="O185" i="11"/>
  <c r="O187" i="11"/>
  <c r="O191" i="11"/>
  <c r="O195" i="11"/>
  <c r="O199" i="11"/>
  <c r="O203" i="11"/>
  <c r="O207" i="11"/>
  <c r="O197" i="11"/>
  <c r="O205" i="11"/>
  <c r="O194" i="11"/>
  <c r="O198" i="11"/>
  <c r="O175" i="11"/>
  <c r="O188" i="11"/>
  <c r="O192" i="11"/>
  <c r="O196" i="11"/>
  <c r="O200" i="11"/>
  <c r="O204" i="11"/>
  <c r="O208" i="11"/>
  <c r="O190" i="11"/>
  <c r="O206" i="11"/>
  <c r="O180" i="11"/>
  <c r="O189" i="11"/>
  <c r="O193" i="11"/>
  <c r="O201" i="11"/>
  <c r="O186" i="11"/>
  <c r="O202" i="11"/>
  <c r="O156" i="11"/>
  <c r="O140" i="11"/>
  <c r="O166" i="11"/>
  <c r="O163" i="11"/>
  <c r="O145" i="11"/>
  <c r="O165" i="11"/>
  <c r="O151" i="11"/>
  <c r="O157" i="11"/>
  <c r="O167" i="11"/>
  <c r="O147" i="11"/>
  <c r="O146" i="11"/>
  <c r="O152" i="11"/>
  <c r="O153" i="11"/>
  <c r="O168" i="11"/>
  <c r="O149" i="11"/>
  <c r="O164" i="11"/>
  <c r="O150" i="11"/>
  <c r="O160" i="11"/>
  <c r="O159" i="11"/>
  <c r="O154" i="11"/>
  <c r="O148" i="11"/>
  <c r="O158" i="11"/>
  <c r="O161" i="11"/>
  <c r="O155" i="11"/>
  <c r="O162" i="11"/>
  <c r="AI95" i="11"/>
  <c r="L144" i="11"/>
  <c r="L137" i="11"/>
  <c r="L143" i="11"/>
  <c r="L157" i="11"/>
  <c r="L141" i="11"/>
  <c r="L167" i="11"/>
  <c r="L147" i="11"/>
  <c r="L146" i="11"/>
  <c r="L152" i="11"/>
  <c r="L153" i="11"/>
  <c r="L168" i="11"/>
  <c r="M135" i="16"/>
  <c r="L144" i="16"/>
  <c r="L156" i="16"/>
  <c r="L137" i="16"/>
  <c r="E36" i="18"/>
  <c r="L35" i="18"/>
  <c r="P35" i="18"/>
  <c r="D37" i="19"/>
  <c r="D37" i="18"/>
  <c r="L156" i="11"/>
  <c r="L149" i="11"/>
  <c r="L136" i="11"/>
  <c r="L164" i="11"/>
  <c r="L142" i="11"/>
  <c r="P35" i="19"/>
  <c r="E36" i="19"/>
  <c r="L35" i="19"/>
  <c r="H30" i="8"/>
  <c r="L150" i="11"/>
  <c r="L160" i="11"/>
  <c r="L159" i="11"/>
  <c r="L154" i="11"/>
  <c r="L135" i="11"/>
  <c r="L148" i="11"/>
  <c r="L158" i="11"/>
  <c r="L139" i="11"/>
  <c r="L161" i="11"/>
  <c r="L155" i="11"/>
  <c r="L162" i="11"/>
  <c r="L154" i="16"/>
  <c r="L153" i="16"/>
  <c r="L140" i="11"/>
  <c r="L166" i="11"/>
  <c r="L163" i="11"/>
  <c r="L145" i="11"/>
  <c r="L165" i="11"/>
  <c r="L151" i="11"/>
  <c r="L138" i="11"/>
  <c r="L160" i="16"/>
  <c r="L159" i="16"/>
  <c r="L151" i="16"/>
  <c r="L157" i="16"/>
  <c r="L147" i="16"/>
  <c r="L146" i="16"/>
  <c r="L165" i="16"/>
  <c r="L150" i="16"/>
  <c r="L142" i="16"/>
  <c r="L161" i="16"/>
  <c r="L155" i="16"/>
  <c r="L162" i="16"/>
  <c r="L149" i="16"/>
  <c r="L167" i="16"/>
  <c r="L163" i="16"/>
  <c r="L143" i="16"/>
  <c r="L141" i="16"/>
  <c r="J113" i="17"/>
  <c r="K112" i="17"/>
  <c r="X19" i="19"/>
  <c r="AA19" i="19" s="1"/>
  <c r="AC19" i="19" s="1"/>
  <c r="O140" i="17"/>
  <c r="AB18" i="19"/>
  <c r="AD18" i="19" s="1"/>
  <c r="L140" i="17"/>
  <c r="X19" i="18"/>
  <c r="AA19" i="18" s="1"/>
  <c r="AC19" i="18" s="1"/>
  <c r="AE19" i="18" s="1"/>
  <c r="O135" i="17"/>
  <c r="H135" i="17"/>
  <c r="F12" i="11"/>
  <c r="F12" i="17"/>
  <c r="F12" i="16"/>
  <c r="O149" i="16"/>
  <c r="O145" i="16"/>
  <c r="O151" i="16"/>
  <c r="O155" i="16"/>
  <c r="O159" i="16"/>
  <c r="O163" i="16"/>
  <c r="O167" i="16"/>
  <c r="O148" i="16"/>
  <c r="O146" i="16"/>
  <c r="O152" i="16"/>
  <c r="O156" i="16"/>
  <c r="O160" i="16"/>
  <c r="O164" i="16"/>
  <c r="O168" i="16"/>
  <c r="O140" i="16"/>
  <c r="O147" i="16"/>
  <c r="O153" i="16"/>
  <c r="O157" i="16"/>
  <c r="O161" i="16"/>
  <c r="O165" i="16"/>
  <c r="O135" i="16"/>
  <c r="O150" i="16"/>
  <c r="O154" i="16"/>
  <c r="O158" i="16"/>
  <c r="O162" i="16"/>
  <c r="O166" i="16"/>
  <c r="O149" i="17"/>
  <c r="O153" i="17"/>
  <c r="O157" i="17"/>
  <c r="O161" i="17"/>
  <c r="O165" i="17"/>
  <c r="O167" i="17"/>
  <c r="O146" i="17"/>
  <c r="O150" i="17"/>
  <c r="O154" i="17"/>
  <c r="O158" i="17"/>
  <c r="O162" i="17"/>
  <c r="O166" i="17"/>
  <c r="O147" i="17"/>
  <c r="O151" i="17"/>
  <c r="O155" i="17"/>
  <c r="O159" i="17"/>
  <c r="O163" i="17"/>
  <c r="O145" i="17"/>
  <c r="O148" i="17"/>
  <c r="O152" i="17"/>
  <c r="O156" i="17"/>
  <c r="O160" i="17"/>
  <c r="O164" i="17"/>
  <c r="O168" i="17"/>
  <c r="U9" i="10"/>
  <c r="O93" i="18"/>
  <c r="O95" i="3"/>
  <c r="E233" i="1"/>
  <c r="R232" i="1"/>
  <c r="H232" i="1"/>
  <c r="R199" i="1"/>
  <c r="H199" i="1"/>
  <c r="E200" i="1"/>
  <c r="B212" i="1"/>
  <c r="B246" i="1"/>
  <c r="B281" i="1" s="1"/>
  <c r="F135" i="16"/>
  <c r="F140" i="11"/>
  <c r="F140" i="16"/>
  <c r="F160" i="11"/>
  <c r="F160" i="16"/>
  <c r="F159" i="11"/>
  <c r="F159" i="16"/>
  <c r="F147" i="11"/>
  <c r="F147" i="16"/>
  <c r="F153" i="11"/>
  <c r="F153" i="16"/>
  <c r="F149" i="11"/>
  <c r="F149" i="16"/>
  <c r="F145" i="11"/>
  <c r="F145" i="16"/>
  <c r="F165" i="11"/>
  <c r="F165" i="16"/>
  <c r="F151" i="11"/>
  <c r="F151" i="16"/>
  <c r="F138" i="11"/>
  <c r="F138" i="16"/>
  <c r="F166" i="11"/>
  <c r="F166" i="16"/>
  <c r="F154" i="11"/>
  <c r="F154" i="16"/>
  <c r="F146" i="11"/>
  <c r="F146" i="16"/>
  <c r="F168" i="11"/>
  <c r="F168" i="16"/>
  <c r="F156" i="11"/>
  <c r="F156" i="16"/>
  <c r="F137" i="11"/>
  <c r="F137" i="16"/>
  <c r="F143" i="11"/>
  <c r="F143" i="16"/>
  <c r="F157" i="11"/>
  <c r="F157" i="16"/>
  <c r="F141" i="11"/>
  <c r="F141" i="16"/>
  <c r="F167" i="11"/>
  <c r="F167" i="16"/>
  <c r="F148" i="11"/>
  <c r="F148" i="16"/>
  <c r="F158" i="11"/>
  <c r="F158" i="16"/>
  <c r="F139" i="11"/>
  <c r="F139" i="16"/>
  <c r="F161" i="11"/>
  <c r="F161" i="16"/>
  <c r="F155" i="11"/>
  <c r="F155" i="16"/>
  <c r="F162" i="11"/>
  <c r="F162" i="16"/>
  <c r="F150" i="11"/>
  <c r="F150" i="16"/>
  <c r="F152" i="11"/>
  <c r="F152" i="16"/>
  <c r="F144" i="11"/>
  <c r="F144" i="16"/>
  <c r="F163" i="11"/>
  <c r="F163" i="16"/>
  <c r="F164" i="11"/>
  <c r="F164" i="16"/>
  <c r="F142" i="11"/>
  <c r="F142" i="16"/>
  <c r="F136" i="11"/>
  <c r="F136" i="16"/>
  <c r="AJ95" i="11"/>
  <c r="O135" i="11"/>
  <c r="AH95" i="11"/>
  <c r="H17" i="11"/>
  <c r="J175" i="11" s="1"/>
  <c r="AL7" i="10"/>
  <c r="AP6" i="10"/>
  <c r="S8" i="10"/>
  <c r="L50" i="4"/>
  <c r="T8" i="10" s="1"/>
  <c r="J51" i="4"/>
  <c r="AN7" i="10"/>
  <c r="X19" i="3"/>
  <c r="AK7" i="10"/>
  <c r="AO7" i="10"/>
  <c r="G72" i="4"/>
  <c r="D80" i="7"/>
  <c r="F72" i="4"/>
  <c r="C80" i="7"/>
  <c r="AA27" i="10"/>
  <c r="W28" i="10"/>
  <c r="X12" i="10"/>
  <c r="H145" i="1"/>
  <c r="C146" i="1"/>
  <c r="R145" i="1"/>
  <c r="V9" i="10"/>
  <c r="Y8" i="10"/>
  <c r="D37" i="3"/>
  <c r="P25" i="10"/>
  <c r="L26" i="10"/>
  <c r="M39" i="10"/>
  <c r="Q60" i="4"/>
  <c r="H17" i="10"/>
  <c r="M60" i="4"/>
  <c r="D17" i="10"/>
  <c r="N60" i="4"/>
  <c r="E17" i="10"/>
  <c r="O60" i="4"/>
  <c r="F17" i="10"/>
  <c r="S60" i="4"/>
  <c r="J17" i="10"/>
  <c r="P60" i="4"/>
  <c r="G17" i="10"/>
  <c r="R60" i="4"/>
  <c r="I17" i="10"/>
  <c r="G208" i="11" l="1"/>
  <c r="G177" i="17"/>
  <c r="AB19" i="18"/>
  <c r="AD19" i="18" s="1"/>
  <c r="H175" i="17"/>
  <c r="G179" i="17"/>
  <c r="G178" i="17"/>
  <c r="G178" i="16"/>
  <c r="H175" i="16"/>
  <c r="G188" i="11"/>
  <c r="AR6" i="10"/>
  <c r="AS6" i="10"/>
  <c r="G179" i="16"/>
  <c r="G177" i="16"/>
  <c r="AM19" i="19"/>
  <c r="AO19" i="19" s="1"/>
  <c r="AL19" i="19"/>
  <c r="AN19" i="19" s="1"/>
  <c r="AL19" i="18"/>
  <c r="AN19" i="18" s="1"/>
  <c r="AM19" i="18"/>
  <c r="AO19" i="18" s="1"/>
  <c r="AM8" i="10"/>
  <c r="AH20" i="18"/>
  <c r="AK20" i="18" s="1"/>
  <c r="AH20" i="19"/>
  <c r="AK20" i="19" s="1"/>
  <c r="AH20" i="3"/>
  <c r="H195" i="17"/>
  <c r="H204" i="17"/>
  <c r="H203" i="17"/>
  <c r="H196" i="17"/>
  <c r="H200" i="17"/>
  <c r="H192" i="17"/>
  <c r="R205" i="17"/>
  <c r="S205" i="17" s="1"/>
  <c r="U205" i="17" s="1"/>
  <c r="CE125" i="17" s="1"/>
  <c r="CM57" i="6" s="1"/>
  <c r="H207" i="17"/>
  <c r="H199" i="17"/>
  <c r="H191" i="17"/>
  <c r="H206" i="17"/>
  <c r="H202" i="17"/>
  <c r="H198" i="17"/>
  <c r="H194" i="17"/>
  <c r="H190" i="17"/>
  <c r="CD95" i="17"/>
  <c r="CB95" i="17"/>
  <c r="H205" i="17"/>
  <c r="H201" i="17"/>
  <c r="H197" i="17"/>
  <c r="H193" i="17"/>
  <c r="CB95" i="11"/>
  <c r="CD95" i="11"/>
  <c r="P198" i="17"/>
  <c r="Q198" i="17" s="1"/>
  <c r="R192" i="17"/>
  <c r="S192" i="17" s="1"/>
  <c r="R200" i="17"/>
  <c r="S200" i="17" s="1"/>
  <c r="R199" i="17"/>
  <c r="S199" i="17" s="1"/>
  <c r="P193" i="17"/>
  <c r="Q193" i="17" s="1"/>
  <c r="R175" i="17"/>
  <c r="S175" i="17" s="1"/>
  <c r="P190" i="17"/>
  <c r="Q190" i="17" s="1"/>
  <c r="P197" i="17"/>
  <c r="Q197" i="17" s="1"/>
  <c r="R197" i="17" s="1"/>
  <c r="S197" i="17" s="1"/>
  <c r="P195" i="17"/>
  <c r="Q195" i="17" s="1"/>
  <c r="AF95" i="17"/>
  <c r="AG95" i="17"/>
  <c r="AK95" i="17" s="1"/>
  <c r="P135" i="17"/>
  <c r="R204" i="17"/>
  <c r="S204" i="17" s="1"/>
  <c r="P206" i="17"/>
  <c r="Q206" i="17" s="1"/>
  <c r="P207" i="17"/>
  <c r="Q207" i="17" s="1"/>
  <c r="R191" i="17"/>
  <c r="S191" i="17" s="1"/>
  <c r="R202" i="17"/>
  <c r="S202" i="17" s="1"/>
  <c r="R201" i="17"/>
  <c r="S201" i="17" s="1"/>
  <c r="R196" i="17"/>
  <c r="S196" i="17" s="1"/>
  <c r="R194" i="17"/>
  <c r="S194" i="17" s="1"/>
  <c r="P208" i="17"/>
  <c r="Q208" i="17" s="1"/>
  <c r="R203" i="17"/>
  <c r="S203" i="17" s="1"/>
  <c r="M135" i="17"/>
  <c r="R175" i="16"/>
  <c r="S175" i="16" s="1"/>
  <c r="G135" i="16"/>
  <c r="AL95" i="16"/>
  <c r="AF95" i="11"/>
  <c r="AG95" i="11"/>
  <c r="AK95" i="11" s="1"/>
  <c r="AO95" i="16"/>
  <c r="J135" i="11"/>
  <c r="AP95" i="16"/>
  <c r="AN95" i="16"/>
  <c r="L36" i="19"/>
  <c r="P36" i="19"/>
  <c r="E37" i="19"/>
  <c r="D38" i="19"/>
  <c r="D38" i="18"/>
  <c r="G135" i="11"/>
  <c r="G148" i="11" s="1"/>
  <c r="J114" i="17"/>
  <c r="K113" i="17"/>
  <c r="H31" i="8"/>
  <c r="P135" i="16"/>
  <c r="Q135" i="16" s="1"/>
  <c r="AM95" i="16"/>
  <c r="E37" i="18"/>
  <c r="P36" i="18"/>
  <c r="L36" i="18"/>
  <c r="AE19" i="19"/>
  <c r="AB19" i="19"/>
  <c r="AD19" i="19" s="1"/>
  <c r="X20" i="18"/>
  <c r="AA20" i="18" s="1"/>
  <c r="AB20" i="18" s="1"/>
  <c r="AD20" i="18" s="1"/>
  <c r="X20" i="19"/>
  <c r="AA20" i="19" s="1"/>
  <c r="AB20" i="19" s="1"/>
  <c r="H150" i="17"/>
  <c r="H140" i="17"/>
  <c r="H145" i="17"/>
  <c r="U10" i="10"/>
  <c r="O94" i="18"/>
  <c r="E234" i="1"/>
  <c r="R233" i="1"/>
  <c r="H233" i="1"/>
  <c r="O96" i="3"/>
  <c r="B213" i="1"/>
  <c r="B247" i="1"/>
  <c r="B282" i="1" s="1"/>
  <c r="R200" i="1"/>
  <c r="H200" i="1"/>
  <c r="AP7" i="10"/>
  <c r="AL8" i="10"/>
  <c r="S9" i="10"/>
  <c r="L51" i="4"/>
  <c r="T9" i="10" s="1"/>
  <c r="J52" i="4"/>
  <c r="AN8" i="10"/>
  <c r="AK8" i="10"/>
  <c r="X20" i="3"/>
  <c r="AO8" i="10"/>
  <c r="F73" i="4"/>
  <c r="C81" i="7"/>
  <c r="G73" i="4"/>
  <c r="D81" i="7"/>
  <c r="X13" i="10"/>
  <c r="AA28" i="10"/>
  <c r="W29" i="10"/>
  <c r="C147" i="1"/>
  <c r="R146" i="1"/>
  <c r="H146" i="1"/>
  <c r="D38" i="3"/>
  <c r="L27" i="10"/>
  <c r="P26" i="10"/>
  <c r="V10" i="10"/>
  <c r="Y9" i="10"/>
  <c r="M40" i="10"/>
  <c r="P61" i="4"/>
  <c r="G18" i="10"/>
  <c r="O61" i="4"/>
  <c r="F18" i="10"/>
  <c r="M61" i="4"/>
  <c r="D18" i="10"/>
  <c r="R61" i="4"/>
  <c r="I18" i="10"/>
  <c r="S61" i="4"/>
  <c r="J18" i="10"/>
  <c r="N61" i="4"/>
  <c r="E18" i="10"/>
  <c r="Q61" i="4"/>
  <c r="H18" i="10"/>
  <c r="AL20" i="19" l="1"/>
  <c r="AN20" i="19" s="1"/>
  <c r="AM20" i="19"/>
  <c r="AM20" i="18"/>
  <c r="AO20" i="18" s="1"/>
  <c r="AL20" i="18"/>
  <c r="AN20" i="18"/>
  <c r="AO20" i="19"/>
  <c r="AM9" i="10"/>
  <c r="AH21" i="18"/>
  <c r="AK21" i="18" s="1"/>
  <c r="AH21" i="19"/>
  <c r="AK21" i="19" s="1"/>
  <c r="AH21" i="3"/>
  <c r="AR7" i="10"/>
  <c r="AS7" i="10"/>
  <c r="V205" i="17"/>
  <c r="T205" i="17"/>
  <c r="Z205" i="17"/>
  <c r="U204" i="17"/>
  <c r="CE124" i="17" s="1"/>
  <c r="CM56" i="6" s="1"/>
  <c r="T204" i="17"/>
  <c r="V204" i="17"/>
  <c r="R195" i="17"/>
  <c r="S195" i="17" s="1"/>
  <c r="R193" i="17"/>
  <c r="S193" i="17" s="1"/>
  <c r="V194" i="17"/>
  <c r="U194" i="17"/>
  <c r="CE114" i="17" s="1"/>
  <c r="CM46" i="6" s="1"/>
  <c r="T194" i="17"/>
  <c r="U200" i="17"/>
  <c r="CE120" i="17" s="1"/>
  <c r="CM52" i="6" s="1"/>
  <c r="T200" i="17"/>
  <c r="V200" i="17"/>
  <c r="R198" i="17"/>
  <c r="S198" i="17" s="1"/>
  <c r="T191" i="17"/>
  <c r="V191" i="17"/>
  <c r="U191" i="17"/>
  <c r="CE111" i="17" s="1"/>
  <c r="CM43" i="6" s="1"/>
  <c r="R206" i="17"/>
  <c r="S206" i="17" s="1"/>
  <c r="X205" i="17"/>
  <c r="AA205" i="17"/>
  <c r="W205" i="17"/>
  <c r="Y205" i="17"/>
  <c r="AB205" i="17"/>
  <c r="AL95" i="17"/>
  <c r="V197" i="17"/>
  <c r="U197" i="17"/>
  <c r="CE117" i="17" s="1"/>
  <c r="CM49" i="6" s="1"/>
  <c r="T197" i="17"/>
  <c r="V175" i="17"/>
  <c r="U175" i="17"/>
  <c r="CE95" i="17" s="1"/>
  <c r="CM27" i="6" s="1"/>
  <c r="T175" i="17"/>
  <c r="R207" i="17"/>
  <c r="S207" i="17" s="1"/>
  <c r="R190" i="17"/>
  <c r="S190" i="17" s="1"/>
  <c r="T203" i="17"/>
  <c r="V203" i="17"/>
  <c r="U203" i="17"/>
  <c r="CE123" i="17" s="1"/>
  <c r="CM55" i="6" s="1"/>
  <c r="V201" i="17"/>
  <c r="U201" i="17"/>
  <c r="CE121" i="17" s="1"/>
  <c r="CM53" i="6" s="1"/>
  <c r="T201" i="17"/>
  <c r="R208" i="17"/>
  <c r="S208" i="17" s="1"/>
  <c r="U196" i="17"/>
  <c r="CE116" i="17" s="1"/>
  <c r="CM48" i="6" s="1"/>
  <c r="T196" i="17"/>
  <c r="V196" i="17"/>
  <c r="V202" i="17"/>
  <c r="U202" i="17"/>
  <c r="CE122" i="17" s="1"/>
  <c r="CM54" i="6" s="1"/>
  <c r="T202" i="17"/>
  <c r="T199" i="17"/>
  <c r="V199" i="17"/>
  <c r="U199" i="17"/>
  <c r="CE119" i="17" s="1"/>
  <c r="CM51" i="6" s="1"/>
  <c r="U192" i="17"/>
  <c r="CE112" i="17" s="1"/>
  <c r="CM44" i="6" s="1"/>
  <c r="T192" i="17"/>
  <c r="V192" i="17"/>
  <c r="T175" i="16"/>
  <c r="V175" i="16"/>
  <c r="U175" i="16"/>
  <c r="CE95" i="16" s="1"/>
  <c r="CI27" i="6" s="1"/>
  <c r="AY95" i="16"/>
  <c r="AZ95" i="16"/>
  <c r="AT95" i="16"/>
  <c r="AR95" i="16"/>
  <c r="BA95" i="16"/>
  <c r="AV95" i="16"/>
  <c r="AW95" i="16"/>
  <c r="AU95" i="16"/>
  <c r="AX95" i="16"/>
  <c r="AS95" i="16"/>
  <c r="G185" i="16"/>
  <c r="H185" i="16" s="1"/>
  <c r="G138" i="16"/>
  <c r="G150" i="16"/>
  <c r="G151" i="16" s="1"/>
  <c r="G152" i="16" s="1"/>
  <c r="G153" i="16" s="1"/>
  <c r="G154" i="16" s="1"/>
  <c r="G155" i="16" s="1"/>
  <c r="G156" i="16" s="1"/>
  <c r="G157" i="16" s="1"/>
  <c r="G158" i="16" s="1"/>
  <c r="G159" i="16" s="1"/>
  <c r="G160" i="16" s="1"/>
  <c r="G161" i="16" s="1"/>
  <c r="G162" i="16" s="1"/>
  <c r="G163" i="16" s="1"/>
  <c r="G164" i="16" s="1"/>
  <c r="G165" i="16" s="1"/>
  <c r="G166" i="16" s="1"/>
  <c r="G167" i="16" s="1"/>
  <c r="G168" i="16" s="1"/>
  <c r="G190" i="16"/>
  <c r="G140" i="16"/>
  <c r="G180" i="16"/>
  <c r="H180" i="16" s="1"/>
  <c r="G145" i="16"/>
  <c r="G136" i="16"/>
  <c r="G137" i="16"/>
  <c r="G139" i="16"/>
  <c r="G168" i="11"/>
  <c r="G158" i="11"/>
  <c r="AM95" i="17"/>
  <c r="H208" i="11"/>
  <c r="K135" i="11"/>
  <c r="K175" i="11"/>
  <c r="AN95" i="17"/>
  <c r="AO95" i="17"/>
  <c r="AP95" i="17"/>
  <c r="P37" i="19"/>
  <c r="L37" i="19"/>
  <c r="E38" i="19"/>
  <c r="H32" i="8"/>
  <c r="AD20" i="19"/>
  <c r="P37" i="18"/>
  <c r="L37" i="18"/>
  <c r="E38" i="18"/>
  <c r="AQ95" i="16"/>
  <c r="BB95" i="16"/>
  <c r="R135" i="16"/>
  <c r="J115" i="17"/>
  <c r="K114" i="17"/>
  <c r="D39" i="19"/>
  <c r="D39" i="18"/>
  <c r="H135" i="11"/>
  <c r="AM95" i="11"/>
  <c r="H135" i="16"/>
  <c r="AC20" i="19"/>
  <c r="AE20" i="19" s="1"/>
  <c r="AC20" i="18"/>
  <c r="AE20" i="18" s="1"/>
  <c r="Q135" i="17"/>
  <c r="H151" i="17"/>
  <c r="X21" i="18"/>
  <c r="AA21" i="18" s="1"/>
  <c r="AC21" i="18" s="1"/>
  <c r="AE21" i="18" s="1"/>
  <c r="X21" i="19"/>
  <c r="AA21" i="19" s="1"/>
  <c r="AC21" i="19" s="1"/>
  <c r="AE21" i="19" s="1"/>
  <c r="U11" i="10"/>
  <c r="O95" i="18"/>
  <c r="E235" i="1"/>
  <c r="R234" i="1"/>
  <c r="H234" i="1"/>
  <c r="O97" i="3"/>
  <c r="B214" i="1"/>
  <c r="B248" i="1"/>
  <c r="B283" i="1" s="1"/>
  <c r="AP95" i="11"/>
  <c r="AO95" i="11"/>
  <c r="AN95" i="11"/>
  <c r="AL95" i="11"/>
  <c r="AP8" i="10"/>
  <c r="S10" i="10"/>
  <c r="L52" i="4"/>
  <c r="T10" i="10" s="1"/>
  <c r="J53" i="4"/>
  <c r="AN9" i="10"/>
  <c r="AK9" i="10"/>
  <c r="X21" i="3"/>
  <c r="AO9" i="10"/>
  <c r="AL9" i="10"/>
  <c r="G74" i="4"/>
  <c r="D82" i="7"/>
  <c r="F74" i="4"/>
  <c r="C82" i="7"/>
  <c r="W30" i="10"/>
  <c r="AA29" i="10"/>
  <c r="X14" i="10"/>
  <c r="H147" i="1"/>
  <c r="C148" i="1"/>
  <c r="R147" i="1"/>
  <c r="D39" i="3"/>
  <c r="L28" i="10"/>
  <c r="P27" i="10"/>
  <c r="V11" i="10"/>
  <c r="Y10" i="10"/>
  <c r="M41" i="10"/>
  <c r="N62" i="4"/>
  <c r="E19" i="10"/>
  <c r="R62" i="4"/>
  <c r="I19" i="10"/>
  <c r="O62" i="4"/>
  <c r="F19" i="10"/>
  <c r="Q62" i="4"/>
  <c r="H19" i="10"/>
  <c r="H33" i="8" s="1"/>
  <c r="S62" i="4"/>
  <c r="J19" i="10"/>
  <c r="M62" i="4"/>
  <c r="D19" i="10"/>
  <c r="P62" i="4"/>
  <c r="G19" i="10"/>
  <c r="AM21" i="19" l="1"/>
  <c r="AO21" i="19" s="1"/>
  <c r="AL21" i="19"/>
  <c r="AL21" i="18"/>
  <c r="AN21" i="18" s="1"/>
  <c r="AM21" i="18"/>
  <c r="AO21" i="18" s="1"/>
  <c r="AM10" i="10"/>
  <c r="AH22" i="18"/>
  <c r="AK22" i="18" s="1"/>
  <c r="AH22" i="19"/>
  <c r="AK22" i="19" s="1"/>
  <c r="AH22" i="3"/>
  <c r="AR8" i="10"/>
  <c r="AS8" i="10"/>
  <c r="AN21" i="19"/>
  <c r="R135" i="17"/>
  <c r="S135" i="17" s="1"/>
  <c r="BB95" i="17"/>
  <c r="AZ95" i="17"/>
  <c r="AY95" i="17"/>
  <c r="AT95" i="17"/>
  <c r="BA95" i="17"/>
  <c r="AR95" i="17"/>
  <c r="AU95" i="17"/>
  <c r="AW95" i="17"/>
  <c r="AX95" i="17"/>
  <c r="AS95" i="17"/>
  <c r="AV95" i="17"/>
  <c r="U208" i="17"/>
  <c r="CE128" i="17" s="1"/>
  <c r="CM60" i="6" s="1"/>
  <c r="T208" i="17"/>
  <c r="V208" i="17"/>
  <c r="AB203" i="17"/>
  <c r="AA203" i="17"/>
  <c r="Y203" i="17"/>
  <c r="W203" i="17"/>
  <c r="Z203" i="17"/>
  <c r="X203" i="17"/>
  <c r="Z175" i="17"/>
  <c r="AA175" i="17"/>
  <c r="Y175" i="17"/>
  <c r="AB175" i="17"/>
  <c r="W175" i="17"/>
  <c r="BY95" i="17" s="1"/>
  <c r="BX27" i="6" s="1"/>
  <c r="X175" i="17"/>
  <c r="Z200" i="17"/>
  <c r="AA200" i="17"/>
  <c r="AB200" i="17"/>
  <c r="W200" i="17"/>
  <c r="Y200" i="17"/>
  <c r="X200" i="17"/>
  <c r="Z191" i="17"/>
  <c r="AA191" i="17"/>
  <c r="AB191" i="17"/>
  <c r="Y191" i="17"/>
  <c r="W191" i="17"/>
  <c r="X191" i="17"/>
  <c r="V198" i="17"/>
  <c r="U198" i="17"/>
  <c r="CE118" i="17" s="1"/>
  <c r="CM50" i="6" s="1"/>
  <c r="T198" i="17"/>
  <c r="V193" i="17"/>
  <c r="U193" i="17"/>
  <c r="CE113" i="17" s="1"/>
  <c r="CM45" i="6" s="1"/>
  <c r="T193" i="17"/>
  <c r="Z199" i="17"/>
  <c r="AA199" i="17"/>
  <c r="AB199" i="17"/>
  <c r="Y199" i="17"/>
  <c r="W199" i="17"/>
  <c r="X199" i="17"/>
  <c r="AA202" i="17"/>
  <c r="AB202" i="17"/>
  <c r="Z202" i="17"/>
  <c r="Y202" i="17"/>
  <c r="W202" i="17"/>
  <c r="X202" i="17"/>
  <c r="AA196" i="17"/>
  <c r="AB196" i="17"/>
  <c r="Y196" i="17"/>
  <c r="Z196" i="17"/>
  <c r="W196" i="17"/>
  <c r="X196" i="17"/>
  <c r="AA201" i="17"/>
  <c r="W201" i="17"/>
  <c r="AB201" i="17"/>
  <c r="Y201" i="17"/>
  <c r="Z201" i="17"/>
  <c r="X201" i="17"/>
  <c r="T207" i="17"/>
  <c r="V207" i="17"/>
  <c r="U207" i="17"/>
  <c r="CE127" i="17" s="1"/>
  <c r="CM59" i="6" s="1"/>
  <c r="AC205" i="17"/>
  <c r="AE205" i="17" s="1"/>
  <c r="AA194" i="17"/>
  <c r="Y194" i="17"/>
  <c r="W194" i="17"/>
  <c r="Z194" i="17"/>
  <c r="AB194" i="17"/>
  <c r="X194" i="17"/>
  <c r="AA204" i="17"/>
  <c r="Y204" i="17"/>
  <c r="AB204" i="17"/>
  <c r="W204" i="17"/>
  <c r="Z204" i="17"/>
  <c r="X204" i="17"/>
  <c r="V190" i="17"/>
  <c r="U190" i="17"/>
  <c r="CE110" i="17" s="1"/>
  <c r="CM42" i="6" s="1"/>
  <c r="T190" i="17"/>
  <c r="V206" i="17"/>
  <c r="U206" i="17"/>
  <c r="CE126" i="17" s="1"/>
  <c r="CM58" i="6" s="1"/>
  <c r="T206" i="17"/>
  <c r="Z192" i="17"/>
  <c r="AA192" i="17"/>
  <c r="W192" i="17"/>
  <c r="AB192" i="17"/>
  <c r="Y192" i="17"/>
  <c r="X192" i="17"/>
  <c r="X197" i="17"/>
  <c r="AA197" i="17"/>
  <c r="W197" i="17"/>
  <c r="Y197" i="17"/>
  <c r="AB197" i="17"/>
  <c r="Z197" i="17"/>
  <c r="T195" i="17"/>
  <c r="V195" i="17"/>
  <c r="U195" i="17"/>
  <c r="CE115" i="17" s="1"/>
  <c r="CM47" i="6" s="1"/>
  <c r="G191" i="16"/>
  <c r="H190" i="16"/>
  <c r="R190" i="16"/>
  <c r="S190" i="16" s="1"/>
  <c r="Y175" i="16"/>
  <c r="Z175" i="16"/>
  <c r="AB175" i="16"/>
  <c r="W175" i="16"/>
  <c r="BY95" i="16" s="1"/>
  <c r="BR27" i="6" s="1"/>
  <c r="X175" i="16"/>
  <c r="AA175" i="16"/>
  <c r="AT95" i="11"/>
  <c r="BA95" i="11"/>
  <c r="AR95" i="11"/>
  <c r="AZ95" i="11"/>
  <c r="AY95" i="11"/>
  <c r="BB95" i="11"/>
  <c r="AV95" i="11"/>
  <c r="AS95" i="11"/>
  <c r="AX95" i="11"/>
  <c r="AU95" i="11"/>
  <c r="AW95" i="11"/>
  <c r="AQ95" i="17"/>
  <c r="S135" i="16"/>
  <c r="P175" i="11"/>
  <c r="Q175" i="11" s="1"/>
  <c r="M175" i="11"/>
  <c r="P135" i="11"/>
  <c r="Q135" i="11" s="1"/>
  <c r="M135" i="11"/>
  <c r="H140" i="16"/>
  <c r="H145" i="16"/>
  <c r="H150" i="16"/>
  <c r="J116" i="17"/>
  <c r="K115" i="17"/>
  <c r="L38" i="19"/>
  <c r="E39" i="19"/>
  <c r="P38" i="19"/>
  <c r="BC95" i="16"/>
  <c r="BJ95" i="16" s="1"/>
  <c r="D40" i="19"/>
  <c r="D40" i="18"/>
  <c r="E39" i="18"/>
  <c r="P38" i="18"/>
  <c r="L38" i="18"/>
  <c r="AB21" i="19"/>
  <c r="AD21" i="19" s="1"/>
  <c r="AB21" i="18"/>
  <c r="AD21" i="18" s="1"/>
  <c r="X22" i="18"/>
  <c r="AA22" i="18" s="1"/>
  <c r="AB22" i="18" s="1"/>
  <c r="AD22" i="18" s="1"/>
  <c r="X22" i="19"/>
  <c r="AA22" i="19" s="1"/>
  <c r="AC22" i="19" s="1"/>
  <c r="H152" i="17"/>
  <c r="U12" i="10"/>
  <c r="AP9" i="10"/>
  <c r="O96" i="18"/>
  <c r="R235" i="1"/>
  <c r="H235" i="1"/>
  <c r="B215" i="1"/>
  <c r="B249" i="1"/>
  <c r="B284" i="1" s="1"/>
  <c r="AQ95" i="11"/>
  <c r="AL10" i="10"/>
  <c r="S11" i="10"/>
  <c r="J54" i="4"/>
  <c r="L53" i="4"/>
  <c r="T11" i="10" s="1"/>
  <c r="AN10" i="10"/>
  <c r="AK10" i="10"/>
  <c r="X22" i="3"/>
  <c r="AO10" i="10"/>
  <c r="F75" i="4"/>
  <c r="C83" i="7"/>
  <c r="G75" i="4"/>
  <c r="D83" i="7"/>
  <c r="AA30" i="10"/>
  <c r="W31" i="10"/>
  <c r="X15" i="10"/>
  <c r="C149" i="1"/>
  <c r="R148" i="1"/>
  <c r="H148" i="1"/>
  <c r="V12" i="10"/>
  <c r="Y11" i="10"/>
  <c r="D40" i="3"/>
  <c r="L29" i="10"/>
  <c r="P28" i="10"/>
  <c r="M42" i="10"/>
  <c r="P63" i="4"/>
  <c r="G20" i="10"/>
  <c r="O63" i="4"/>
  <c r="F20" i="10"/>
  <c r="N63" i="4"/>
  <c r="E20" i="10"/>
  <c r="M63" i="4"/>
  <c r="D20" i="10"/>
  <c r="Q63" i="4"/>
  <c r="H20" i="10"/>
  <c r="R63" i="4"/>
  <c r="I20" i="10"/>
  <c r="S63" i="4"/>
  <c r="J20" i="10"/>
  <c r="AL11" i="10" l="1"/>
  <c r="AH23" i="18"/>
  <c r="AK23" i="18" s="1"/>
  <c r="AH23" i="19"/>
  <c r="AK23" i="19" s="1"/>
  <c r="AH23" i="3"/>
  <c r="AF205" i="17"/>
  <c r="AM22" i="19"/>
  <c r="AO22" i="19" s="1"/>
  <c r="AL22" i="19"/>
  <c r="AN22" i="19" s="1"/>
  <c r="AM22" i="18"/>
  <c r="AO22" i="18" s="1"/>
  <c r="AL22" i="18"/>
  <c r="AN22" i="18" s="1"/>
  <c r="AR9" i="10"/>
  <c r="AS9" i="10"/>
  <c r="AA207" i="17"/>
  <c r="Y207" i="17"/>
  <c r="W207" i="17"/>
  <c r="AB207" i="17"/>
  <c r="Z207" i="17"/>
  <c r="X207" i="17"/>
  <c r="Y198" i="17"/>
  <c r="AA198" i="17"/>
  <c r="AB198" i="17"/>
  <c r="W198" i="17"/>
  <c r="Z198" i="17"/>
  <c r="X198" i="17"/>
  <c r="BC95" i="17"/>
  <c r="BD95" i="17" s="1"/>
  <c r="AD205" i="17"/>
  <c r="AG205" i="17"/>
  <c r="AC196" i="17"/>
  <c r="AD196" i="17" s="1"/>
  <c r="AC199" i="17"/>
  <c r="AD199" i="17" s="1"/>
  <c r="AA193" i="17"/>
  <c r="Y193" i="17"/>
  <c r="AB193" i="17"/>
  <c r="W193" i="17"/>
  <c r="Z193" i="17"/>
  <c r="X193" i="17"/>
  <c r="AC200" i="17"/>
  <c r="AD200" i="17" s="1"/>
  <c r="AA208" i="17"/>
  <c r="W208" i="17"/>
  <c r="Y208" i="17"/>
  <c r="AB208" i="17"/>
  <c r="Z208" i="17"/>
  <c r="X208" i="17"/>
  <c r="AC192" i="17"/>
  <c r="AD192" i="17" s="1"/>
  <c r="AC204" i="17"/>
  <c r="AD204" i="17" s="1"/>
  <c r="AC175" i="17"/>
  <c r="AE175" i="17" s="1"/>
  <c r="AB195" i="17"/>
  <c r="AA195" i="17"/>
  <c r="Y195" i="17"/>
  <c r="W195" i="17"/>
  <c r="Z195" i="17"/>
  <c r="X195" i="17"/>
  <c r="Y190" i="17"/>
  <c r="AA190" i="17"/>
  <c r="AB190" i="17"/>
  <c r="W190" i="17"/>
  <c r="Z190" i="17"/>
  <c r="X190" i="17"/>
  <c r="AC194" i="17"/>
  <c r="AD194" i="17" s="1"/>
  <c r="AH205" i="17"/>
  <c r="AC191" i="17"/>
  <c r="AD191" i="17" s="1"/>
  <c r="AC203" i="17"/>
  <c r="AD203" i="17" s="1"/>
  <c r="AC197" i="17"/>
  <c r="AD197" i="17" s="1"/>
  <c r="Y206" i="17"/>
  <c r="AA206" i="17"/>
  <c r="W206" i="17"/>
  <c r="AB206" i="17"/>
  <c r="Z206" i="17"/>
  <c r="X206" i="17"/>
  <c r="AI205" i="17"/>
  <c r="AC201" i="17"/>
  <c r="AD201" i="17" s="1"/>
  <c r="AC202" i="17"/>
  <c r="AD202" i="17" s="1"/>
  <c r="AH115" i="19"/>
  <c r="AK115" i="19" s="1"/>
  <c r="U135" i="17"/>
  <c r="CC95" i="17" s="1"/>
  <c r="CK27" i="6" s="1"/>
  <c r="V135" i="17"/>
  <c r="T135" i="17"/>
  <c r="AC175" i="16"/>
  <c r="AG175" i="16" s="1"/>
  <c r="U135" i="16"/>
  <c r="CC95" i="16" s="1"/>
  <c r="CG27" i="6" s="1"/>
  <c r="T135" i="16"/>
  <c r="V135" i="16"/>
  <c r="T190" i="16"/>
  <c r="V190" i="16"/>
  <c r="U190" i="16"/>
  <c r="CE110" i="16" s="1"/>
  <c r="CI42" i="6" s="1"/>
  <c r="G192" i="16"/>
  <c r="H191" i="16"/>
  <c r="R191" i="16"/>
  <c r="S191" i="16" s="1"/>
  <c r="R175" i="11"/>
  <c r="S175" i="11" s="1"/>
  <c r="R135" i="11"/>
  <c r="S135" i="11" s="1"/>
  <c r="AC22" i="18"/>
  <c r="AE22" i="18" s="1"/>
  <c r="BC95" i="11"/>
  <c r="BI95" i="11" s="1"/>
  <c r="H151" i="16"/>
  <c r="E40" i="18"/>
  <c r="P39" i="18"/>
  <c r="L39" i="18"/>
  <c r="BE95" i="16"/>
  <c r="BK95" i="16"/>
  <c r="BD95" i="16"/>
  <c r="BK95" i="17"/>
  <c r="L39" i="19"/>
  <c r="P39" i="19"/>
  <c r="E40" i="19"/>
  <c r="BH95" i="16"/>
  <c r="AE22" i="19"/>
  <c r="H34" i="8"/>
  <c r="D41" i="19"/>
  <c r="D41" i="18"/>
  <c r="K121" i="16"/>
  <c r="J117" i="17"/>
  <c r="K116" i="17"/>
  <c r="BI95" i="16"/>
  <c r="BG95" i="16"/>
  <c r="BF95" i="16"/>
  <c r="BF95" i="17"/>
  <c r="AB22" i="19"/>
  <c r="AD22" i="19" s="1"/>
  <c r="X23" i="18"/>
  <c r="AA23" i="18" s="1"/>
  <c r="AC23" i="18" s="1"/>
  <c r="AE23" i="18" s="1"/>
  <c r="X23" i="19"/>
  <c r="AA23" i="19" s="1"/>
  <c r="AC23" i="19" s="1"/>
  <c r="H153" i="17"/>
  <c r="U13" i="10"/>
  <c r="O97" i="18"/>
  <c r="B216" i="1"/>
  <c r="B250" i="1"/>
  <c r="B285" i="1" s="1"/>
  <c r="AM11" i="10"/>
  <c r="AP10" i="10"/>
  <c r="AN11" i="10"/>
  <c r="X23" i="3"/>
  <c r="AK11" i="10"/>
  <c r="AO11" i="10"/>
  <c r="S12" i="10"/>
  <c r="L54" i="4"/>
  <c r="T12" i="10" s="1"/>
  <c r="J55" i="4"/>
  <c r="G76" i="4"/>
  <c r="D84" i="7"/>
  <c r="F76" i="4"/>
  <c r="C84" i="7"/>
  <c r="W32" i="10"/>
  <c r="X16" i="10"/>
  <c r="AA31" i="10"/>
  <c r="H149" i="1"/>
  <c r="C150" i="1"/>
  <c r="R149" i="1"/>
  <c r="D41" i="3"/>
  <c r="L30" i="10"/>
  <c r="P29" i="10"/>
  <c r="V13" i="10"/>
  <c r="Y12" i="10"/>
  <c r="M43" i="10"/>
  <c r="S64" i="4"/>
  <c r="J21" i="10"/>
  <c r="Q64" i="4"/>
  <c r="H21" i="10"/>
  <c r="N64" i="4"/>
  <c r="E21" i="10"/>
  <c r="P64" i="4"/>
  <c r="G21" i="10"/>
  <c r="R64" i="4"/>
  <c r="I21" i="10"/>
  <c r="M64" i="4"/>
  <c r="D21" i="10"/>
  <c r="O64" i="4"/>
  <c r="F21" i="10"/>
  <c r="E4" i="3"/>
  <c r="E5" i="3"/>
  <c r="E7" i="3"/>
  <c r="E3" i="3"/>
  <c r="F100" i="1"/>
  <c r="F101" i="1" s="1"/>
  <c r="E10" i="3" s="1"/>
  <c r="F99" i="1"/>
  <c r="E8" i="3" s="1"/>
  <c r="E99" i="1"/>
  <c r="D8" i="3" s="1"/>
  <c r="F97" i="1"/>
  <c r="E6" i="3" s="1"/>
  <c r="E97" i="1"/>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D3" i="3"/>
  <c r="C3" i="3"/>
  <c r="D4" i="3"/>
  <c r="D5" i="3"/>
  <c r="D6" i="3"/>
  <c r="D7" i="3"/>
  <c r="D102" i="1"/>
  <c r="C11" i="19" s="1"/>
  <c r="E100" i="1"/>
  <c r="D9" i="3" s="1"/>
  <c r="C7" i="3"/>
  <c r="C4" i="3"/>
  <c r="AG203" i="17" l="1"/>
  <c r="AM23" i="19"/>
  <c r="AO23" i="19" s="1"/>
  <c r="AL23" i="19"/>
  <c r="AN23" i="19" s="1"/>
  <c r="AR10" i="10"/>
  <c r="AS10" i="10"/>
  <c r="AM23" i="18"/>
  <c r="AO23" i="18" s="1"/>
  <c r="AL23" i="18"/>
  <c r="AN23" i="18" s="1"/>
  <c r="AM12" i="10"/>
  <c r="AH24" i="18"/>
  <c r="AK24" i="18" s="1"/>
  <c r="AH24" i="19"/>
  <c r="AK24" i="19" s="1"/>
  <c r="AH24" i="3"/>
  <c r="BG42" i="6"/>
  <c r="AU42" i="6"/>
  <c r="AF175" i="16"/>
  <c r="AE175" i="16"/>
  <c r="BZ95" i="16" s="1"/>
  <c r="BS27" i="6" s="1"/>
  <c r="AH175" i="16"/>
  <c r="AI175" i="16"/>
  <c r="AI175" i="17"/>
  <c r="AG191" i="17"/>
  <c r="AE202" i="17"/>
  <c r="AH112" i="19" s="1"/>
  <c r="AK112" i="19" s="1"/>
  <c r="AM112" i="19" s="1"/>
  <c r="AG196" i="17"/>
  <c r="AH201" i="17"/>
  <c r="AE201" i="17"/>
  <c r="AH111" i="19" s="1"/>
  <c r="AK111" i="19" s="1"/>
  <c r="AL111" i="19" s="1"/>
  <c r="AI192" i="17"/>
  <c r="AH196" i="17"/>
  <c r="AF196" i="17"/>
  <c r="AI196" i="17"/>
  <c r="AG200" i="17"/>
  <c r="AI199" i="17"/>
  <c r="AJ205" i="17"/>
  <c r="AF175" i="17"/>
  <c r="AG175" i="17"/>
  <c r="AE199" i="17"/>
  <c r="AH109" i="19" s="1"/>
  <c r="AK109" i="19" s="1"/>
  <c r="AM109" i="19" s="1"/>
  <c r="AE196" i="17"/>
  <c r="AH106" i="19" s="1"/>
  <c r="AK106" i="19" s="1"/>
  <c r="AM106" i="19" s="1"/>
  <c r="AG204" i="17"/>
  <c r="AI202" i="17"/>
  <c r="AF200" i="17"/>
  <c r="AG202" i="17"/>
  <c r="AH192" i="17"/>
  <c r="AG201" i="17"/>
  <c r="AI191" i="17"/>
  <c r="AH202" i="17"/>
  <c r="AH194" i="17"/>
  <c r="AE191" i="17"/>
  <c r="AH101" i="19" s="1"/>
  <c r="AK101" i="19" s="1"/>
  <c r="AL101" i="19" s="1"/>
  <c r="AI201" i="17"/>
  <c r="AF191" i="17"/>
  <c r="AE204" i="17"/>
  <c r="AH114" i="19" s="1"/>
  <c r="AK114" i="19" s="1"/>
  <c r="AH191" i="17"/>
  <c r="AH200" i="17"/>
  <c r="AC206" i="17"/>
  <c r="AD206" i="17" s="1"/>
  <c r="BI95" i="17"/>
  <c r="BH95" i="17"/>
  <c r="BE95" i="17"/>
  <c r="AI194" i="17"/>
  <c r="AI197" i="17"/>
  <c r="BG95" i="17"/>
  <c r="AA135" i="17"/>
  <c r="AB135" i="17"/>
  <c r="W135" i="17"/>
  <c r="BV95" i="17" s="1"/>
  <c r="BU27" i="6" s="1"/>
  <c r="Y135" i="17"/>
  <c r="Z135" i="17"/>
  <c r="X135" i="17"/>
  <c r="AI203" i="17"/>
  <c r="AM115" i="19"/>
  <c r="AL115" i="19"/>
  <c r="AF199" i="17"/>
  <c r="AI204" i="17"/>
  <c r="AH197" i="17"/>
  <c r="AH175" i="17"/>
  <c r="AF194" i="17"/>
  <c r="AC190" i="17"/>
  <c r="AD190" i="17" s="1"/>
  <c r="AG197" i="17"/>
  <c r="AC195" i="17"/>
  <c r="AD195" i="17" s="1"/>
  <c r="AG192" i="17"/>
  <c r="AH199" i="17"/>
  <c r="AG194" i="17"/>
  <c r="AE192" i="17"/>
  <c r="AE200" i="17"/>
  <c r="AC193" i="17"/>
  <c r="AD193" i="17" s="1"/>
  <c r="AF202" i="17"/>
  <c r="AI200" i="17"/>
  <c r="AC207" i="17"/>
  <c r="AD207" i="17" s="1"/>
  <c r="AF197" i="17"/>
  <c r="AC208" i="17"/>
  <c r="AD208" i="17" s="1"/>
  <c r="AF203" i="17"/>
  <c r="BJ95" i="17"/>
  <c r="AH203" i="17"/>
  <c r="AH204" i="17"/>
  <c r="AE197" i="17"/>
  <c r="AE203" i="17"/>
  <c r="AG199" i="17"/>
  <c r="AE194" i="17"/>
  <c r="AD175" i="17"/>
  <c r="BZ95" i="17"/>
  <c r="BY27" i="6" s="1"/>
  <c r="AF204" i="17"/>
  <c r="AF201" i="17"/>
  <c r="AF192" i="17"/>
  <c r="AC198" i="17"/>
  <c r="AD198" i="17" s="1"/>
  <c r="Y135" i="16"/>
  <c r="AB135" i="16"/>
  <c r="W135" i="16"/>
  <c r="BV95" i="16" s="1"/>
  <c r="BO27" i="6" s="1"/>
  <c r="Z135" i="16"/>
  <c r="AA135" i="16"/>
  <c r="X135" i="16"/>
  <c r="T191" i="16"/>
  <c r="V191" i="16"/>
  <c r="U191" i="16"/>
  <c r="CE111" i="16" s="1"/>
  <c r="CI43" i="6" s="1"/>
  <c r="AJ175" i="16"/>
  <c r="G193" i="16"/>
  <c r="H192" i="16"/>
  <c r="R192" i="16"/>
  <c r="S192" i="16" s="1"/>
  <c r="Y190" i="16"/>
  <c r="W190" i="16"/>
  <c r="AB190" i="16"/>
  <c r="Z190" i="16"/>
  <c r="X190" i="16"/>
  <c r="AA190" i="16"/>
  <c r="AD175" i="16"/>
  <c r="U135" i="11"/>
  <c r="CC95" i="11" s="1"/>
  <c r="CC27" i="6" s="1"/>
  <c r="T135" i="11"/>
  <c r="V135" i="11"/>
  <c r="U175" i="11"/>
  <c r="CE95" i="11" s="1"/>
  <c r="CE27" i="6" s="1"/>
  <c r="T175" i="11"/>
  <c r="V175" i="11"/>
  <c r="BF95" i="11"/>
  <c r="BH95" i="11"/>
  <c r="AB23" i="19"/>
  <c r="AD23" i="19" s="1"/>
  <c r="AJ116" i="3"/>
  <c r="AJ112" i="3"/>
  <c r="AJ108" i="3"/>
  <c r="AJ104" i="3"/>
  <c r="AJ100" i="3"/>
  <c r="AJ96" i="3"/>
  <c r="AJ92" i="3"/>
  <c r="AJ88" i="3"/>
  <c r="AJ84" i="3"/>
  <c r="AJ80" i="3"/>
  <c r="AJ76" i="3"/>
  <c r="AJ72" i="3"/>
  <c r="AJ115" i="3"/>
  <c r="AJ111" i="3"/>
  <c r="AJ107" i="3"/>
  <c r="AJ103" i="3"/>
  <c r="AJ99" i="3"/>
  <c r="AJ95" i="3"/>
  <c r="AJ91" i="3"/>
  <c r="AJ87" i="3"/>
  <c r="AJ83" i="3"/>
  <c r="AJ79" i="3"/>
  <c r="AJ75" i="3"/>
  <c r="AJ118" i="3"/>
  <c r="AJ114" i="3"/>
  <c r="AJ110" i="3"/>
  <c r="AJ106" i="3"/>
  <c r="AJ102" i="3"/>
  <c r="AJ98" i="3"/>
  <c r="AJ94" i="3"/>
  <c r="AJ90" i="3"/>
  <c r="AJ86" i="3"/>
  <c r="AJ82" i="3"/>
  <c r="AJ78" i="3"/>
  <c r="AJ74" i="3"/>
  <c r="AJ117" i="3"/>
  <c r="AJ101" i="3"/>
  <c r="AJ85" i="3"/>
  <c r="AJ68" i="3"/>
  <c r="AJ64" i="3"/>
  <c r="AJ60" i="3"/>
  <c r="AJ56" i="3"/>
  <c r="AJ52" i="3"/>
  <c r="AJ48" i="3"/>
  <c r="AJ44" i="3"/>
  <c r="AJ105" i="3"/>
  <c r="AJ89" i="3"/>
  <c r="AJ73" i="3"/>
  <c r="AJ67" i="3"/>
  <c r="AJ63" i="3"/>
  <c r="AJ59" i="3"/>
  <c r="AJ55" i="3"/>
  <c r="AJ51" i="3"/>
  <c r="AJ47" i="3"/>
  <c r="AJ43" i="3"/>
  <c r="AJ109" i="3"/>
  <c r="AJ93" i="3"/>
  <c r="AJ77" i="3"/>
  <c r="AJ70" i="3"/>
  <c r="AJ66" i="3"/>
  <c r="AJ62" i="3"/>
  <c r="AJ58" i="3"/>
  <c r="AJ54" i="3"/>
  <c r="AJ50" i="3"/>
  <c r="AJ46" i="3"/>
  <c r="AJ42" i="3"/>
  <c r="AJ81" i="3"/>
  <c r="AJ61" i="3"/>
  <c r="AJ45" i="3"/>
  <c r="AJ38" i="3"/>
  <c r="AJ34" i="3"/>
  <c r="AJ30" i="3"/>
  <c r="AJ26" i="3"/>
  <c r="AJ22" i="3"/>
  <c r="AK22" i="3" s="1"/>
  <c r="AJ18" i="3"/>
  <c r="AK18" i="3" s="1"/>
  <c r="AJ57" i="3"/>
  <c r="AJ31" i="3"/>
  <c r="AJ97" i="3"/>
  <c r="AJ65" i="3"/>
  <c r="AJ49" i="3"/>
  <c r="AJ37" i="3"/>
  <c r="AJ33" i="3"/>
  <c r="AJ29" i="3"/>
  <c r="AJ25" i="3"/>
  <c r="AJ21" i="3"/>
  <c r="AK21" i="3" s="1"/>
  <c r="AJ71" i="3"/>
  <c r="AJ27" i="3"/>
  <c r="AJ23" i="3"/>
  <c r="AK23" i="3" s="1"/>
  <c r="AJ113" i="3"/>
  <c r="AJ69" i="3"/>
  <c r="AJ53" i="3"/>
  <c r="AJ40" i="3"/>
  <c r="AJ36" i="3"/>
  <c r="AJ32" i="3"/>
  <c r="AJ28" i="3"/>
  <c r="AJ24" i="3"/>
  <c r="AK24" i="3" s="1"/>
  <c r="AJ20" i="3"/>
  <c r="AK20" i="3" s="1"/>
  <c r="AJ41" i="3"/>
  <c r="AJ39" i="3"/>
  <c r="AJ35" i="3"/>
  <c r="AJ19" i="3"/>
  <c r="AK19" i="3" s="1"/>
  <c r="BE95" i="11"/>
  <c r="BG95" i="11"/>
  <c r="BD95" i="11"/>
  <c r="BK95" i="11"/>
  <c r="BJ95" i="11"/>
  <c r="H35" i="8"/>
  <c r="J118" i="17"/>
  <c r="K117" i="17"/>
  <c r="K122" i="16"/>
  <c r="AB23" i="18"/>
  <c r="AD23" i="18" s="1"/>
  <c r="D42" i="19"/>
  <c r="D42" i="18"/>
  <c r="H152" i="16"/>
  <c r="AE23" i="19"/>
  <c r="L40" i="18"/>
  <c r="E41" i="18"/>
  <c r="P40" i="18"/>
  <c r="E41" i="19"/>
  <c r="P40" i="19"/>
  <c r="L40" i="19"/>
  <c r="BL95" i="16"/>
  <c r="X24" i="18"/>
  <c r="AA24" i="18" s="1"/>
  <c r="AC24" i="18" s="1"/>
  <c r="X24" i="19"/>
  <c r="AA24" i="19" s="1"/>
  <c r="AB24" i="19" s="1"/>
  <c r="AD24" i="19" s="1"/>
  <c r="H154" i="17"/>
  <c r="U14" i="10"/>
  <c r="V18" i="19"/>
  <c r="AZ19" i="19"/>
  <c r="AZ21" i="19"/>
  <c r="AZ20" i="19"/>
  <c r="AZ22" i="19"/>
  <c r="AZ23" i="19"/>
  <c r="AZ24" i="19"/>
  <c r="AZ25" i="19"/>
  <c r="AZ26" i="19"/>
  <c r="AZ27" i="19"/>
  <c r="AZ28" i="19"/>
  <c r="AZ29" i="19"/>
  <c r="AZ30" i="19"/>
  <c r="AZ31" i="19"/>
  <c r="AZ32" i="19"/>
  <c r="AZ33" i="19"/>
  <c r="AZ34" i="19"/>
  <c r="AZ35" i="19"/>
  <c r="AZ36" i="19"/>
  <c r="AZ37" i="19"/>
  <c r="AZ38" i="19"/>
  <c r="AZ39" i="19"/>
  <c r="AZ40" i="19"/>
  <c r="AZ41" i="19"/>
  <c r="AZ42" i="19"/>
  <c r="AZ43" i="19"/>
  <c r="AZ44" i="19"/>
  <c r="AZ45" i="19"/>
  <c r="AZ46" i="19"/>
  <c r="AZ47" i="19"/>
  <c r="AZ48" i="19"/>
  <c r="AZ49" i="19"/>
  <c r="AZ50" i="19"/>
  <c r="AZ51" i="19"/>
  <c r="AZ52" i="19"/>
  <c r="AZ53" i="19"/>
  <c r="AZ54" i="19"/>
  <c r="AZ55" i="19"/>
  <c r="AZ56" i="19"/>
  <c r="AZ57" i="19"/>
  <c r="AZ58" i="19"/>
  <c r="AZ59" i="19"/>
  <c r="AZ60" i="19"/>
  <c r="AZ61" i="19"/>
  <c r="AZ62" i="19"/>
  <c r="AZ63" i="19"/>
  <c r="E102" i="1"/>
  <c r="F102" i="1" s="1"/>
  <c r="E11" i="19" s="1"/>
  <c r="AZ18" i="19" s="1"/>
  <c r="C11" i="18"/>
  <c r="B217" i="1"/>
  <c r="B251" i="1"/>
  <c r="B286" i="1" s="1"/>
  <c r="AP11" i="10"/>
  <c r="AL12" i="10"/>
  <c r="S13" i="10"/>
  <c r="J56" i="4"/>
  <c r="L55" i="4"/>
  <c r="T13" i="10" s="1"/>
  <c r="AN12" i="10"/>
  <c r="X24" i="3"/>
  <c r="AK12" i="10"/>
  <c r="AO12" i="10"/>
  <c r="AT22" i="3"/>
  <c r="AT26" i="3"/>
  <c r="AT30" i="3"/>
  <c r="AT34" i="3"/>
  <c r="AT38" i="3"/>
  <c r="AT42" i="3"/>
  <c r="AT46" i="3"/>
  <c r="AT50" i="3"/>
  <c r="AT54" i="3"/>
  <c r="AT58" i="3"/>
  <c r="AT62" i="3"/>
  <c r="AT66" i="3"/>
  <c r="AT70" i="3"/>
  <c r="AT74" i="3"/>
  <c r="AT78" i="3"/>
  <c r="AT82" i="3"/>
  <c r="AT86" i="3"/>
  <c r="AT90" i="3"/>
  <c r="AT94" i="3"/>
  <c r="AT98" i="3"/>
  <c r="AT102" i="3"/>
  <c r="AT106" i="3"/>
  <c r="AT110" i="3"/>
  <c r="AT114" i="3"/>
  <c r="AT118" i="3"/>
  <c r="AT19" i="3"/>
  <c r="AT23" i="3"/>
  <c r="AT27" i="3"/>
  <c r="AT31" i="3"/>
  <c r="AT35" i="3"/>
  <c r="AT39" i="3"/>
  <c r="AT43" i="3"/>
  <c r="AT47" i="3"/>
  <c r="AT51" i="3"/>
  <c r="AT55" i="3"/>
  <c r="AT59" i="3"/>
  <c r="AT63" i="3"/>
  <c r="AT67" i="3"/>
  <c r="AT71" i="3"/>
  <c r="AT75" i="3"/>
  <c r="AT79" i="3"/>
  <c r="AT83" i="3"/>
  <c r="AT87" i="3"/>
  <c r="AT91" i="3"/>
  <c r="AT95" i="3"/>
  <c r="AT99" i="3"/>
  <c r="AT103" i="3"/>
  <c r="AT107" i="3"/>
  <c r="AT111" i="3"/>
  <c r="AT115" i="3"/>
  <c r="AT18" i="3"/>
  <c r="AT20" i="3"/>
  <c r="AT24" i="3"/>
  <c r="AT28" i="3"/>
  <c r="AT32" i="3"/>
  <c r="AT36" i="3"/>
  <c r="AT40" i="3"/>
  <c r="AT44" i="3"/>
  <c r="AT48" i="3"/>
  <c r="AT52" i="3"/>
  <c r="AT56" i="3"/>
  <c r="AT60" i="3"/>
  <c r="AT64" i="3"/>
  <c r="AT68" i="3"/>
  <c r="AT72" i="3"/>
  <c r="AT76" i="3"/>
  <c r="AT80" i="3"/>
  <c r="AT84" i="3"/>
  <c r="AT88" i="3"/>
  <c r="AT92" i="3"/>
  <c r="AT96" i="3"/>
  <c r="AT100" i="3"/>
  <c r="AT104" i="3"/>
  <c r="AT108" i="3"/>
  <c r="AT112" i="3"/>
  <c r="AT116" i="3"/>
  <c r="AT21" i="3"/>
  <c r="AT25" i="3"/>
  <c r="AT29" i="3"/>
  <c r="AT33" i="3"/>
  <c r="AT37" i="3"/>
  <c r="AT41" i="3"/>
  <c r="AT45" i="3"/>
  <c r="AT49" i="3"/>
  <c r="AT53" i="3"/>
  <c r="AT57" i="3"/>
  <c r="AT61" i="3"/>
  <c r="AT65" i="3"/>
  <c r="AT69" i="3"/>
  <c r="AT73" i="3"/>
  <c r="AT77" i="3"/>
  <c r="AT81" i="3"/>
  <c r="AT85" i="3"/>
  <c r="AT89" i="3"/>
  <c r="AT93" i="3"/>
  <c r="AT97" i="3"/>
  <c r="AT101" i="3"/>
  <c r="AT105" i="3"/>
  <c r="AT109" i="3"/>
  <c r="AT113" i="3"/>
  <c r="AT117" i="3"/>
  <c r="F77" i="4"/>
  <c r="C85" i="7"/>
  <c r="G77" i="4"/>
  <c r="D85" i="7"/>
  <c r="AA32" i="10"/>
  <c r="X17" i="10"/>
  <c r="W33" i="10"/>
  <c r="C151" i="1"/>
  <c r="R150" i="1"/>
  <c r="H150" i="1"/>
  <c r="E101" i="1"/>
  <c r="D10" i="3" s="1"/>
  <c r="E9" i="3"/>
  <c r="V14" i="10"/>
  <c r="Y13" i="10"/>
  <c r="D42" i="3"/>
  <c r="L31" i="10"/>
  <c r="P30" i="10"/>
  <c r="M44" i="10"/>
  <c r="Q65" i="4"/>
  <c r="H22" i="10"/>
  <c r="M65" i="4"/>
  <c r="D22" i="10"/>
  <c r="P65" i="4"/>
  <c r="G22" i="10"/>
  <c r="O65" i="4"/>
  <c r="F22" i="10"/>
  <c r="R65" i="4"/>
  <c r="I22" i="10"/>
  <c r="N65" i="4"/>
  <c r="E22" i="10"/>
  <c r="S65" i="4"/>
  <c r="J22" i="10"/>
  <c r="Z21" i="3"/>
  <c r="AA21" i="3" s="1"/>
  <c r="Z72" i="3"/>
  <c r="Z52" i="3"/>
  <c r="Z116" i="3"/>
  <c r="Z32" i="3"/>
  <c r="Z96" i="3"/>
  <c r="Z112" i="3"/>
  <c r="Z88" i="3"/>
  <c r="Z68" i="3"/>
  <c r="Z48" i="3"/>
  <c r="Z24" i="3"/>
  <c r="Z104" i="3"/>
  <c r="Z84" i="3"/>
  <c r="Z64" i="3"/>
  <c r="Z40" i="3"/>
  <c r="Z20" i="3"/>
  <c r="AA20" i="3" s="1"/>
  <c r="Z100" i="3"/>
  <c r="Z80" i="3"/>
  <c r="Z56" i="3"/>
  <c r="Z36" i="3"/>
  <c r="Z108" i="3"/>
  <c r="Z92" i="3"/>
  <c r="Z76" i="3"/>
  <c r="Z60" i="3"/>
  <c r="Z44" i="3"/>
  <c r="Z28" i="3"/>
  <c r="Z18" i="3"/>
  <c r="AA18" i="3" s="1"/>
  <c r="AB18" i="3" s="1"/>
  <c r="Z115" i="3"/>
  <c r="Z111" i="3"/>
  <c r="Z107" i="3"/>
  <c r="Z103" i="3"/>
  <c r="Z99" i="3"/>
  <c r="Z95" i="3"/>
  <c r="Z91" i="3"/>
  <c r="Z87" i="3"/>
  <c r="Z83" i="3"/>
  <c r="Z79" i="3"/>
  <c r="Z75" i="3"/>
  <c r="Z71" i="3"/>
  <c r="Z67" i="3"/>
  <c r="Z63" i="3"/>
  <c r="Z59" i="3"/>
  <c r="Z55" i="3"/>
  <c r="Z51" i="3"/>
  <c r="Z47" i="3"/>
  <c r="Z43" i="3"/>
  <c r="Z39" i="3"/>
  <c r="Z35" i="3"/>
  <c r="Z31" i="3"/>
  <c r="Z27" i="3"/>
  <c r="Z23" i="3"/>
  <c r="AA23" i="3" s="1"/>
  <c r="Z19" i="3"/>
  <c r="AA19" i="3" s="1"/>
  <c r="Z118" i="3"/>
  <c r="Z114" i="3"/>
  <c r="Z110" i="3"/>
  <c r="Z106" i="3"/>
  <c r="Z102" i="3"/>
  <c r="Z98" i="3"/>
  <c r="Z94" i="3"/>
  <c r="Z90" i="3"/>
  <c r="Z86" i="3"/>
  <c r="Z82" i="3"/>
  <c r="Z78" i="3"/>
  <c r="Z74" i="3"/>
  <c r="Z70" i="3"/>
  <c r="Z66" i="3"/>
  <c r="Z62" i="3"/>
  <c r="Z58" i="3"/>
  <c r="Z54" i="3"/>
  <c r="Z50" i="3"/>
  <c r="Z46" i="3"/>
  <c r="Z42" i="3"/>
  <c r="Z38" i="3"/>
  <c r="Z34" i="3"/>
  <c r="Z30" i="3"/>
  <c r="Z26" i="3"/>
  <c r="Z22" i="3"/>
  <c r="AA22" i="3" s="1"/>
  <c r="Z117" i="3"/>
  <c r="Z113" i="3"/>
  <c r="Z109" i="3"/>
  <c r="Z105" i="3"/>
  <c r="Z101" i="3"/>
  <c r="Z97" i="3"/>
  <c r="Z93" i="3"/>
  <c r="Z89" i="3"/>
  <c r="Z85" i="3"/>
  <c r="Z81" i="3"/>
  <c r="Z77" i="3"/>
  <c r="Z73" i="3"/>
  <c r="Z69" i="3"/>
  <c r="Z65" i="3"/>
  <c r="Z61" i="3"/>
  <c r="Z57" i="3"/>
  <c r="Z53" i="3"/>
  <c r="Z49" i="3"/>
  <c r="Z45" i="3"/>
  <c r="Z41" i="3"/>
  <c r="Z37" i="3"/>
  <c r="Z33" i="3"/>
  <c r="Z29" i="3"/>
  <c r="Z25" i="3"/>
  <c r="AM24" i="19" l="1"/>
  <c r="AO24" i="19" s="1"/>
  <c r="AL24" i="19"/>
  <c r="AN24" i="19" s="1"/>
  <c r="AM24" i="18"/>
  <c r="AO24" i="18" s="1"/>
  <c r="AL24" i="18"/>
  <c r="AN24" i="18" s="1"/>
  <c r="AM13" i="10"/>
  <c r="AH25" i="19"/>
  <c r="AK25" i="19" s="1"/>
  <c r="AH25" i="18"/>
  <c r="AK25" i="18" s="1"/>
  <c r="AH25" i="3"/>
  <c r="AK25" i="3"/>
  <c r="AL25" i="3" s="1"/>
  <c r="AR11" i="10"/>
  <c r="AS11" i="10"/>
  <c r="AL109" i="19"/>
  <c r="AL112" i="19"/>
  <c r="AJ191" i="17"/>
  <c r="BG43" i="6"/>
  <c r="AU43" i="6"/>
  <c r="AM111" i="19"/>
  <c r="AJ201" i="17"/>
  <c r="AE198" i="17"/>
  <c r="AH108" i="19" s="1"/>
  <c r="AK108" i="19" s="1"/>
  <c r="AG193" i="17"/>
  <c r="AF206" i="17"/>
  <c r="AJ199" i="17"/>
  <c r="AH206" i="17"/>
  <c r="AM101" i="19"/>
  <c r="AE206" i="17"/>
  <c r="AH116" i="19" s="1"/>
  <c r="AK116" i="19" s="1"/>
  <c r="AL116" i="19" s="1"/>
  <c r="AJ202" i="17"/>
  <c r="AL106" i="19"/>
  <c r="AJ175" i="17"/>
  <c r="AJ196" i="17"/>
  <c r="AE208" i="17"/>
  <c r="AH118" i="19" s="1"/>
  <c r="AK118" i="19" s="1"/>
  <c r="AM118" i="19" s="1"/>
  <c r="AI206" i="17"/>
  <c r="AG206" i="17"/>
  <c r="AF208" i="17"/>
  <c r="AE195" i="17"/>
  <c r="AH105" i="19" s="1"/>
  <c r="AK105" i="19" s="1"/>
  <c r="AG198" i="17"/>
  <c r="AJ204" i="17"/>
  <c r="AG195" i="17"/>
  <c r="AF195" i="17"/>
  <c r="BL95" i="17"/>
  <c r="AH195" i="17"/>
  <c r="AJ192" i="17"/>
  <c r="AH102" i="19"/>
  <c r="AK102" i="19" s="1"/>
  <c r="AM114" i="19"/>
  <c r="AL114" i="19"/>
  <c r="AH190" i="17"/>
  <c r="AE207" i="17"/>
  <c r="AJ200" i="17"/>
  <c r="AH110" i="19"/>
  <c r="AK110" i="19" s="1"/>
  <c r="AH193" i="17"/>
  <c r="AI195" i="17"/>
  <c r="AF190" i="17"/>
  <c r="AJ203" i="17"/>
  <c r="AH113" i="19"/>
  <c r="AK113" i="19" s="1"/>
  <c r="AI190" i="17"/>
  <c r="AF198" i="17"/>
  <c r="AI198" i="17"/>
  <c r="AF193" i="17"/>
  <c r="AI208" i="17"/>
  <c r="AG208" i="17"/>
  <c r="AI207" i="17"/>
  <c r="AJ194" i="17"/>
  <c r="AH104" i="19"/>
  <c r="AK104" i="19" s="1"/>
  <c r="AI193" i="17"/>
  <c r="AG207" i="17"/>
  <c r="AG190" i="17"/>
  <c r="AJ197" i="17"/>
  <c r="AH107" i="19"/>
  <c r="AK107" i="19" s="1"/>
  <c r="AF207" i="17"/>
  <c r="AH198" i="17"/>
  <c r="AE193" i="17"/>
  <c r="AH208" i="17"/>
  <c r="AE190" i="17"/>
  <c r="AC135" i="17"/>
  <c r="AH207" i="17"/>
  <c r="G194" i="16"/>
  <c r="H193" i="16"/>
  <c r="R193" i="16"/>
  <c r="S193" i="16" s="1"/>
  <c r="AC190" i="16"/>
  <c r="AD190" i="16" s="1"/>
  <c r="AC135" i="16"/>
  <c r="K198" i="9"/>
  <c r="T192" i="16"/>
  <c r="V192" i="16"/>
  <c r="U192" i="16"/>
  <c r="CE112" i="16" s="1"/>
  <c r="CI44" i="6" s="1"/>
  <c r="Y191" i="16"/>
  <c r="AB191" i="16"/>
  <c r="W191" i="16"/>
  <c r="Z191" i="16"/>
  <c r="X191" i="16"/>
  <c r="AA191" i="16"/>
  <c r="W175" i="11"/>
  <c r="BY95" i="11" s="1"/>
  <c r="BL27" i="6" s="1"/>
  <c r="AA175" i="11"/>
  <c r="Y175" i="11"/>
  <c r="AB175" i="11"/>
  <c r="Z175" i="11"/>
  <c r="X175" i="11"/>
  <c r="W135" i="11"/>
  <c r="BV95" i="11" s="1"/>
  <c r="BI27" i="6" s="1"/>
  <c r="AA135" i="11"/>
  <c r="AB135" i="11"/>
  <c r="Y135" i="11"/>
  <c r="Z135" i="11"/>
  <c r="X135" i="11"/>
  <c r="D11" i="3"/>
  <c r="BD57" i="19"/>
  <c r="BK57" i="19"/>
  <c r="BD49" i="19"/>
  <c r="BK49" i="19"/>
  <c r="BD37" i="19"/>
  <c r="BK37" i="19"/>
  <c r="BD29" i="19"/>
  <c r="BK29" i="19"/>
  <c r="BK20" i="19"/>
  <c r="BD20" i="19"/>
  <c r="BD60" i="19"/>
  <c r="BK60" i="19"/>
  <c r="BD56" i="19"/>
  <c r="BK56" i="19"/>
  <c r="BD52" i="19"/>
  <c r="BK52" i="19"/>
  <c r="BD48" i="19"/>
  <c r="BK48" i="19"/>
  <c r="BD44" i="19"/>
  <c r="BK44" i="19"/>
  <c r="BD40" i="19"/>
  <c r="BK40" i="19"/>
  <c r="BD36" i="19"/>
  <c r="BK36" i="19"/>
  <c r="BD32" i="19"/>
  <c r="BK32" i="19"/>
  <c r="BD28" i="19"/>
  <c r="BK28" i="19"/>
  <c r="BD24" i="19"/>
  <c r="BK24" i="19"/>
  <c r="BK21" i="19"/>
  <c r="BD21" i="19"/>
  <c r="BD61" i="19"/>
  <c r="BK61" i="19"/>
  <c r="BD41" i="19"/>
  <c r="BK41" i="19"/>
  <c r="BK18" i="19"/>
  <c r="BD18" i="19"/>
  <c r="BD63" i="19"/>
  <c r="BK63" i="19"/>
  <c r="BD59" i="19"/>
  <c r="BK59" i="19"/>
  <c r="BD55" i="19"/>
  <c r="BK55" i="19"/>
  <c r="BD51" i="19"/>
  <c r="BK51" i="19"/>
  <c r="BD47" i="19"/>
  <c r="BK47" i="19"/>
  <c r="BD43" i="19"/>
  <c r="BK43" i="19"/>
  <c r="BD39" i="19"/>
  <c r="BK39" i="19"/>
  <c r="BD35" i="19"/>
  <c r="BK35" i="19"/>
  <c r="BD31" i="19"/>
  <c r="BK31" i="19"/>
  <c r="BD27" i="19"/>
  <c r="BK27" i="19"/>
  <c r="BD23" i="19"/>
  <c r="BK23" i="19"/>
  <c r="BK19" i="19"/>
  <c r="BD19" i="19"/>
  <c r="BD53" i="19"/>
  <c r="BK53" i="19"/>
  <c r="BD45" i="19"/>
  <c r="BK45" i="19"/>
  <c r="BD33" i="19"/>
  <c r="BK33" i="19"/>
  <c r="BD25" i="19"/>
  <c r="BK25" i="19"/>
  <c r="BD62" i="19"/>
  <c r="BK62" i="19"/>
  <c r="BD58" i="19"/>
  <c r="BK58" i="19"/>
  <c r="BD54" i="19"/>
  <c r="BK54" i="19"/>
  <c r="BD50" i="19"/>
  <c r="BK50" i="19"/>
  <c r="BD46" i="19"/>
  <c r="BK46" i="19"/>
  <c r="BD42" i="19"/>
  <c r="BK42" i="19"/>
  <c r="BD38" i="19"/>
  <c r="BK38" i="19"/>
  <c r="BD34" i="19"/>
  <c r="BK34" i="19"/>
  <c r="BD30" i="19"/>
  <c r="BK30" i="19"/>
  <c r="BD26" i="19"/>
  <c r="BK26" i="19"/>
  <c r="BD22" i="19"/>
  <c r="BK22" i="19"/>
  <c r="BI18" i="19"/>
  <c r="BB18" i="19"/>
  <c r="AM19" i="3"/>
  <c r="AL19" i="3"/>
  <c r="AM21" i="3"/>
  <c r="AL21" i="3"/>
  <c r="AL24" i="3"/>
  <c r="AM24" i="3"/>
  <c r="AM23" i="3"/>
  <c r="AL23" i="3"/>
  <c r="AM18" i="3"/>
  <c r="AO18" i="3" s="1"/>
  <c r="AL18" i="3"/>
  <c r="AN18" i="3" s="1"/>
  <c r="AM22" i="3"/>
  <c r="AL22" i="3"/>
  <c r="AL20" i="3"/>
  <c r="AM20" i="3"/>
  <c r="BL95" i="11"/>
  <c r="H36" i="8"/>
  <c r="AE24" i="18"/>
  <c r="K123" i="16"/>
  <c r="D43" i="19"/>
  <c r="D43" i="18"/>
  <c r="L41" i="19"/>
  <c r="E42" i="19"/>
  <c r="P41" i="19"/>
  <c r="H153" i="16"/>
  <c r="L41" i="18"/>
  <c r="E42" i="18"/>
  <c r="P41" i="18"/>
  <c r="H168" i="11"/>
  <c r="J119" i="17"/>
  <c r="K118" i="17"/>
  <c r="AB24" i="18"/>
  <c r="AD24" i="18" s="1"/>
  <c r="AC24" i="19"/>
  <c r="AE24" i="19" s="1"/>
  <c r="X25" i="18"/>
  <c r="AA25" i="18" s="1"/>
  <c r="AC25" i="18" s="1"/>
  <c r="AE25" i="18" s="1"/>
  <c r="X25" i="19"/>
  <c r="AA25" i="19" s="1"/>
  <c r="AC25" i="19" s="1"/>
  <c r="AE25" i="19" s="1"/>
  <c r="AA24" i="3"/>
  <c r="AC24" i="3" s="1"/>
  <c r="H155" i="17"/>
  <c r="U15" i="10"/>
  <c r="D11" i="18"/>
  <c r="AF23" i="18" s="1"/>
  <c r="BC23" i="18" s="1"/>
  <c r="D11" i="19"/>
  <c r="E11" i="3"/>
  <c r="E11" i="18"/>
  <c r="AZ18" i="18" s="1"/>
  <c r="V18" i="18"/>
  <c r="AZ19" i="18"/>
  <c r="AZ20" i="18"/>
  <c r="AZ21" i="18"/>
  <c r="AZ22" i="18"/>
  <c r="AZ23" i="18"/>
  <c r="AZ24" i="18"/>
  <c r="AZ25" i="18"/>
  <c r="AZ26" i="18"/>
  <c r="AZ27" i="18"/>
  <c r="AZ28" i="18"/>
  <c r="AZ29" i="18"/>
  <c r="AZ30" i="18"/>
  <c r="AZ31" i="18"/>
  <c r="AZ32" i="18"/>
  <c r="AZ33" i="18"/>
  <c r="AZ34" i="18"/>
  <c r="AZ35" i="18"/>
  <c r="AZ36" i="18"/>
  <c r="AZ37" i="18"/>
  <c r="AZ38" i="18"/>
  <c r="AZ39" i="18"/>
  <c r="AZ40" i="18"/>
  <c r="AZ41" i="18"/>
  <c r="AZ42" i="18"/>
  <c r="AZ43" i="18"/>
  <c r="AZ44" i="18"/>
  <c r="AZ45" i="18"/>
  <c r="AZ46" i="18"/>
  <c r="AZ47" i="18"/>
  <c r="AZ48" i="18"/>
  <c r="AZ49" i="18"/>
  <c r="AZ50" i="18"/>
  <c r="AZ51" i="18"/>
  <c r="AZ52" i="18"/>
  <c r="AZ53" i="18"/>
  <c r="AZ54" i="18"/>
  <c r="AZ55" i="18"/>
  <c r="AZ56" i="18"/>
  <c r="AZ57" i="18"/>
  <c r="AZ58" i="18"/>
  <c r="AZ59" i="18"/>
  <c r="AZ60" i="18"/>
  <c r="AZ61" i="18"/>
  <c r="AZ62" i="18"/>
  <c r="AZ63" i="18"/>
  <c r="B218" i="1"/>
  <c r="B252" i="1"/>
  <c r="B287" i="1" s="1"/>
  <c r="AL13" i="10"/>
  <c r="AP12" i="10"/>
  <c r="AN13" i="10"/>
  <c r="AK13" i="10"/>
  <c r="X25" i="3"/>
  <c r="AA25" i="3" s="1"/>
  <c r="AO13" i="10"/>
  <c r="S14" i="10"/>
  <c r="L56" i="4"/>
  <c r="T14" i="10" s="1"/>
  <c r="J57" i="4"/>
  <c r="G78" i="4"/>
  <c r="D86" i="7"/>
  <c r="F78" i="4"/>
  <c r="C86" i="7"/>
  <c r="W34" i="10"/>
  <c r="X18" i="10"/>
  <c r="AA33" i="10"/>
  <c r="H151" i="1"/>
  <c r="C152" i="1"/>
  <c r="R151" i="1"/>
  <c r="AC22" i="3"/>
  <c r="AB22" i="3"/>
  <c r="AC19" i="3"/>
  <c r="AB19" i="3"/>
  <c r="AC20" i="3"/>
  <c r="AB21" i="3"/>
  <c r="AC21" i="3"/>
  <c r="AB20" i="3"/>
  <c r="AB23" i="3"/>
  <c r="AC23" i="3"/>
  <c r="D43" i="3"/>
  <c r="L32" i="10"/>
  <c r="P31" i="10"/>
  <c r="V15" i="10"/>
  <c r="Y14" i="10"/>
  <c r="M45" i="10"/>
  <c r="O66" i="4"/>
  <c r="F23" i="10"/>
  <c r="N66" i="4"/>
  <c r="E23" i="10"/>
  <c r="M66" i="4"/>
  <c r="D23" i="10"/>
  <c r="S66" i="4"/>
  <c r="J23" i="10"/>
  <c r="R66" i="4"/>
  <c r="I23" i="10"/>
  <c r="P66" i="4"/>
  <c r="G23" i="10"/>
  <c r="Q66" i="4"/>
  <c r="H23" i="10"/>
  <c r="H37" i="8" s="1"/>
  <c r="AC18" i="3"/>
  <c r="AE18" i="3" s="1"/>
  <c r="AD18" i="3"/>
  <c r="AM25" i="3" l="1"/>
  <c r="AL25" i="19"/>
  <c r="AN25" i="19" s="1"/>
  <c r="AM25" i="19"/>
  <c r="AO25" i="19" s="1"/>
  <c r="AR12" i="10"/>
  <c r="AS12" i="10"/>
  <c r="AM14" i="10"/>
  <c r="AH26" i="19"/>
  <c r="AK26" i="19" s="1"/>
  <c r="AH26" i="18"/>
  <c r="AK26" i="18" s="1"/>
  <c r="AH26" i="3"/>
  <c r="AK26" i="3" s="1"/>
  <c r="AL25" i="18"/>
  <c r="AN25" i="18" s="1"/>
  <c r="AM25" i="18"/>
  <c r="AO25" i="18" s="1"/>
  <c r="AP25" i="18" s="1"/>
  <c r="BJ25" i="18" s="1"/>
  <c r="BG44" i="6"/>
  <c r="AU44" i="6"/>
  <c r="AM116" i="19"/>
  <c r="AJ206" i="17"/>
  <c r="AF18" i="3"/>
  <c r="BC18" i="3" s="1"/>
  <c r="AP18" i="3"/>
  <c r="BJ18" i="3" s="1"/>
  <c r="AL118" i="19"/>
  <c r="AJ195" i="17"/>
  <c r="AJ198" i="17"/>
  <c r="AJ208" i="17"/>
  <c r="AL107" i="19"/>
  <c r="AM107" i="19"/>
  <c r="AL113" i="19"/>
  <c r="AM113" i="19"/>
  <c r="AJ193" i="17"/>
  <c r="AH103" i="19"/>
  <c r="AK103" i="19" s="1"/>
  <c r="AM110" i="19"/>
  <c r="AL110" i="19"/>
  <c r="AH135" i="17"/>
  <c r="AI135" i="17"/>
  <c r="AD135" i="17"/>
  <c r="AE135" i="17"/>
  <c r="AF135" i="17"/>
  <c r="AM105" i="19"/>
  <c r="AL105" i="19"/>
  <c r="AL102" i="19"/>
  <c r="AM102" i="19"/>
  <c r="AM108" i="19"/>
  <c r="AL108" i="19"/>
  <c r="AJ190" i="17"/>
  <c r="AH100" i="19"/>
  <c r="AK100" i="19" s="1"/>
  <c r="AM104" i="19"/>
  <c r="AL104" i="19"/>
  <c r="AJ207" i="17"/>
  <c r="AH117" i="19"/>
  <c r="AK117" i="19" s="1"/>
  <c r="AG135" i="17"/>
  <c r="AG190" i="16"/>
  <c r="AE190" i="16"/>
  <c r="AH100" i="18" s="1"/>
  <c r="AK100" i="18" s="1"/>
  <c r="AC191" i="16"/>
  <c r="AD191" i="16" s="1"/>
  <c r="G195" i="16"/>
  <c r="H194" i="16"/>
  <c r="R194" i="16"/>
  <c r="S194" i="16" s="1"/>
  <c r="K199" i="9"/>
  <c r="Y192" i="16"/>
  <c r="W192" i="16"/>
  <c r="AB192" i="16"/>
  <c r="AA192" i="16"/>
  <c r="Z192" i="16"/>
  <c r="X192" i="16"/>
  <c r="S198" i="9"/>
  <c r="P198" i="9"/>
  <c r="Q198" i="9"/>
  <c r="AD135" i="16"/>
  <c r="AI135" i="16"/>
  <c r="AF135" i="16"/>
  <c r="AH135" i="16"/>
  <c r="AE135" i="16"/>
  <c r="AG135" i="16"/>
  <c r="T193" i="16"/>
  <c r="V193" i="16"/>
  <c r="U193" i="16"/>
  <c r="CE113" i="16" s="1"/>
  <c r="CI45" i="6" s="1"/>
  <c r="AH190" i="16"/>
  <c r="AF190" i="16"/>
  <c r="AI190" i="16"/>
  <c r="AC135" i="11"/>
  <c r="AC175" i="11"/>
  <c r="BK62" i="18"/>
  <c r="BD62" i="18"/>
  <c r="BK54" i="18"/>
  <c r="BD54" i="18"/>
  <c r="BD42" i="18"/>
  <c r="BK42" i="18"/>
  <c r="BD34" i="18"/>
  <c r="BK34" i="18"/>
  <c r="BD26" i="18"/>
  <c r="BK26" i="18"/>
  <c r="BB18" i="18"/>
  <c r="BI18" i="18"/>
  <c r="BD61" i="18"/>
  <c r="BK61" i="18"/>
  <c r="BK57" i="18"/>
  <c r="BD57" i="18"/>
  <c r="BD53" i="18"/>
  <c r="BK53" i="18"/>
  <c r="BK49" i="18"/>
  <c r="BD49" i="18"/>
  <c r="BD45" i="18"/>
  <c r="BK45" i="18"/>
  <c r="BD41" i="18"/>
  <c r="BK41" i="18"/>
  <c r="BD37" i="18"/>
  <c r="BK37" i="18"/>
  <c r="BK33" i="18"/>
  <c r="BD33" i="18"/>
  <c r="BK29" i="18"/>
  <c r="BD29" i="18"/>
  <c r="BK25" i="18"/>
  <c r="BD25" i="18"/>
  <c r="BK21" i="18"/>
  <c r="BD21" i="18"/>
  <c r="BD18" i="18"/>
  <c r="BK18" i="18"/>
  <c r="BK46" i="18"/>
  <c r="BD46" i="18"/>
  <c r="BK60" i="18"/>
  <c r="BD60" i="18"/>
  <c r="BK52" i="18"/>
  <c r="BD52" i="18"/>
  <c r="BK48" i="18"/>
  <c r="BD48" i="18"/>
  <c r="BK44" i="18"/>
  <c r="BD44" i="18"/>
  <c r="BK40" i="18"/>
  <c r="BD40" i="18"/>
  <c r="BD36" i="18"/>
  <c r="BK36" i="18"/>
  <c r="BK32" i="18"/>
  <c r="BD32" i="18"/>
  <c r="BK28" i="18"/>
  <c r="BD28" i="18"/>
  <c r="BK24" i="18"/>
  <c r="BD24" i="18"/>
  <c r="BK20" i="18"/>
  <c r="BD20" i="18"/>
  <c r="BD58" i="18"/>
  <c r="BK58" i="18"/>
  <c r="BD50" i="18"/>
  <c r="BK50" i="18"/>
  <c r="BD38" i="18"/>
  <c r="BK38" i="18"/>
  <c r="BK30" i="18"/>
  <c r="BD30" i="18"/>
  <c r="BK22" i="18"/>
  <c r="BD22" i="18"/>
  <c r="BK56" i="18"/>
  <c r="BD56" i="18"/>
  <c r="BD63" i="18"/>
  <c r="BK63" i="18"/>
  <c r="BK59" i="18"/>
  <c r="BD59" i="18"/>
  <c r="BD55" i="18"/>
  <c r="BK55" i="18"/>
  <c r="BK51" i="18"/>
  <c r="BD51" i="18"/>
  <c r="BD47" i="18"/>
  <c r="BK47" i="18"/>
  <c r="BK43" i="18"/>
  <c r="BD43" i="18"/>
  <c r="BD39" i="18"/>
  <c r="BK39" i="18"/>
  <c r="BK35" i="18"/>
  <c r="BD35" i="18"/>
  <c r="BD31" i="18"/>
  <c r="BK31" i="18"/>
  <c r="BK27" i="18"/>
  <c r="BD27" i="18"/>
  <c r="BD23" i="18"/>
  <c r="BK23" i="18"/>
  <c r="BK19" i="18"/>
  <c r="BD19" i="18"/>
  <c r="AP18" i="19"/>
  <c r="BJ18" i="19" s="1"/>
  <c r="BL18" i="19" s="1"/>
  <c r="BN18" i="19" s="1"/>
  <c r="AP19" i="19"/>
  <c r="BJ19" i="19" s="1"/>
  <c r="AP20" i="19"/>
  <c r="BJ20" i="19" s="1"/>
  <c r="AP21" i="19"/>
  <c r="BJ21" i="19" s="1"/>
  <c r="AP22" i="19"/>
  <c r="BJ22" i="19" s="1"/>
  <c r="AP23" i="19"/>
  <c r="BJ23" i="19" s="1"/>
  <c r="AP24" i="19"/>
  <c r="BJ24" i="19" s="1"/>
  <c r="AP25" i="19"/>
  <c r="BJ25" i="19" s="1"/>
  <c r="AF20" i="18"/>
  <c r="BC20" i="18" s="1"/>
  <c r="AF21" i="18"/>
  <c r="BC21" i="18" s="1"/>
  <c r="AP18" i="18"/>
  <c r="BJ18" i="18" s="1"/>
  <c r="AP19" i="18"/>
  <c r="BJ19" i="18" s="1"/>
  <c r="AP20" i="18"/>
  <c r="BJ20" i="18" s="1"/>
  <c r="AP21" i="18"/>
  <c r="BJ21" i="18" s="1"/>
  <c r="AP22" i="18"/>
  <c r="BJ22" i="18" s="1"/>
  <c r="AP23" i="18"/>
  <c r="BJ23" i="18" s="1"/>
  <c r="AP24" i="18"/>
  <c r="BJ24" i="18" s="1"/>
  <c r="AO19" i="3"/>
  <c r="AP19" i="3" s="1"/>
  <c r="BJ19" i="3" s="1"/>
  <c r="AN19" i="3"/>
  <c r="AB24" i="3"/>
  <c r="H154" i="16"/>
  <c r="E43" i="18"/>
  <c r="P42" i="18"/>
  <c r="L42" i="18"/>
  <c r="P42" i="19"/>
  <c r="E43" i="19"/>
  <c r="L42" i="19"/>
  <c r="D44" i="19"/>
  <c r="D44" i="18"/>
  <c r="AB25" i="18"/>
  <c r="AD25" i="18" s="1"/>
  <c r="J120" i="17"/>
  <c r="K119" i="17"/>
  <c r="K124" i="16"/>
  <c r="X26" i="19"/>
  <c r="AA26" i="19" s="1"/>
  <c r="AB26" i="19" s="1"/>
  <c r="AB25" i="19"/>
  <c r="AD25" i="19" s="1"/>
  <c r="H156" i="17"/>
  <c r="X26" i="18"/>
  <c r="AA26" i="18" s="1"/>
  <c r="AB26" i="18" s="1"/>
  <c r="U16" i="10"/>
  <c r="AF19" i="18"/>
  <c r="BC19" i="18" s="1"/>
  <c r="AF24" i="18"/>
  <c r="BC24" i="18" s="1"/>
  <c r="AF22" i="18"/>
  <c r="BC22" i="18" s="1"/>
  <c r="AF18" i="18"/>
  <c r="BC18" i="18" s="1"/>
  <c r="AF25" i="18"/>
  <c r="BC25" i="18" s="1"/>
  <c r="AF19" i="19"/>
  <c r="BC19" i="19" s="1"/>
  <c r="AF20" i="19"/>
  <c r="BC20" i="19" s="1"/>
  <c r="AF18" i="19"/>
  <c r="BC18" i="19" s="1"/>
  <c r="BE18" i="19" s="1"/>
  <c r="BG18" i="19" s="1"/>
  <c r="AF21" i="19"/>
  <c r="BC21" i="19" s="1"/>
  <c r="AF22" i="19"/>
  <c r="BC22" i="19" s="1"/>
  <c r="AF23" i="19"/>
  <c r="BC23" i="19" s="1"/>
  <c r="AF24" i="19"/>
  <c r="BC24" i="19" s="1"/>
  <c r="AF25" i="19"/>
  <c r="BC25" i="19" s="1"/>
  <c r="B219" i="1"/>
  <c r="B253" i="1"/>
  <c r="B288" i="1" s="1"/>
  <c r="AP13" i="10"/>
  <c r="AB25" i="3"/>
  <c r="AC25" i="3"/>
  <c r="AL14" i="10"/>
  <c r="S15" i="10"/>
  <c r="L57" i="4"/>
  <c r="T15" i="10" s="1"/>
  <c r="J58" i="4"/>
  <c r="AN14" i="10"/>
  <c r="X26" i="3"/>
  <c r="AA26" i="3" s="1"/>
  <c r="AK14" i="10"/>
  <c r="AO14" i="10"/>
  <c r="F79" i="4"/>
  <c r="C87" i="7"/>
  <c r="G79" i="4"/>
  <c r="D87" i="7"/>
  <c r="X19" i="10"/>
  <c r="AA34" i="10"/>
  <c r="W35" i="10"/>
  <c r="C153" i="1"/>
  <c r="R152" i="1"/>
  <c r="H152" i="1"/>
  <c r="AD19" i="3"/>
  <c r="AE20" i="3" s="1"/>
  <c r="AF20" i="3" s="1"/>
  <c r="BC20" i="3" s="1"/>
  <c r="AE19" i="3"/>
  <c r="AF19" i="3" s="1"/>
  <c r="BC19" i="3" s="1"/>
  <c r="D44" i="3"/>
  <c r="P32" i="10"/>
  <c r="L33" i="10"/>
  <c r="V16" i="10"/>
  <c r="Y15" i="10"/>
  <c r="M46" i="10"/>
  <c r="P67" i="4"/>
  <c r="G24" i="10"/>
  <c r="S67" i="4"/>
  <c r="J24" i="10"/>
  <c r="N67" i="4"/>
  <c r="E24" i="10"/>
  <c r="Q67" i="4"/>
  <c r="H24" i="10"/>
  <c r="R67" i="4"/>
  <c r="I24" i="10"/>
  <c r="M67" i="4"/>
  <c r="D24" i="10"/>
  <c r="O67" i="4"/>
  <c r="F24" i="10"/>
  <c r="AM26" i="3" l="1"/>
  <c r="AL26" i="3"/>
  <c r="AM26" i="18"/>
  <c r="AO26" i="18" s="1"/>
  <c r="AP26" i="18" s="1"/>
  <c r="BJ26" i="18" s="1"/>
  <c r="AL26" i="18"/>
  <c r="AN26" i="18" s="1"/>
  <c r="AM26" i="19"/>
  <c r="AO26" i="19" s="1"/>
  <c r="AP26" i="19" s="1"/>
  <c r="BJ26" i="19" s="1"/>
  <c r="AL26" i="19"/>
  <c r="AN26" i="19" s="1"/>
  <c r="AM15" i="10"/>
  <c r="AH27" i="19"/>
  <c r="AK27" i="19" s="1"/>
  <c r="AH27" i="18"/>
  <c r="AK27" i="18" s="1"/>
  <c r="AH27" i="3"/>
  <c r="AK27" i="3" s="1"/>
  <c r="AR13" i="10"/>
  <c r="AS13" i="10"/>
  <c r="BG45" i="6"/>
  <c r="AU45" i="6"/>
  <c r="AG191" i="16"/>
  <c r="AE191" i="16"/>
  <c r="AH191" i="16"/>
  <c r="AJ190" i="16"/>
  <c r="AL117" i="19"/>
  <c r="AM117" i="19"/>
  <c r="AM100" i="19"/>
  <c r="AL100" i="19"/>
  <c r="AL103" i="19"/>
  <c r="AM103" i="19"/>
  <c r="AJ135" i="17"/>
  <c r="BW95" i="17"/>
  <c r="BV27" i="6" s="1"/>
  <c r="AI191" i="16"/>
  <c r="AF191" i="16"/>
  <c r="AL100" i="18"/>
  <c r="AM100" i="18"/>
  <c r="AC192" i="16"/>
  <c r="AD192" i="16" s="1"/>
  <c r="K200" i="9"/>
  <c r="AH101" i="18"/>
  <c r="AK101" i="18" s="1"/>
  <c r="P199" i="9"/>
  <c r="S199" i="9"/>
  <c r="Q199" i="9"/>
  <c r="T194" i="16"/>
  <c r="V194" i="16"/>
  <c r="U194" i="16"/>
  <c r="CE114" i="16" s="1"/>
  <c r="CI46" i="6" s="1"/>
  <c r="Y193" i="16"/>
  <c r="AB193" i="16"/>
  <c r="W193" i="16"/>
  <c r="Z193" i="16"/>
  <c r="X193" i="16"/>
  <c r="AA193" i="16"/>
  <c r="AJ135" i="16"/>
  <c r="BW95" i="16"/>
  <c r="BP27" i="6" s="1"/>
  <c r="G196" i="16"/>
  <c r="H195" i="16"/>
  <c r="R195" i="16"/>
  <c r="S195" i="16" s="1"/>
  <c r="AD175" i="11"/>
  <c r="AE175" i="11"/>
  <c r="BZ95" i="11" s="1"/>
  <c r="AG175" i="11"/>
  <c r="AH175" i="11"/>
  <c r="AF175" i="11"/>
  <c r="AI175" i="11"/>
  <c r="BE18" i="18"/>
  <c r="BG18" i="18" s="1"/>
  <c r="BL18" i="18"/>
  <c r="BN18" i="18" s="1"/>
  <c r="AC26" i="19"/>
  <c r="AE26" i="19" s="1"/>
  <c r="AF26" i="19" s="1"/>
  <c r="BC26" i="19" s="1"/>
  <c r="AO20" i="3"/>
  <c r="AP20" i="3" s="1"/>
  <c r="BJ20" i="3" s="1"/>
  <c r="AN20" i="3"/>
  <c r="AC26" i="18"/>
  <c r="H155" i="16"/>
  <c r="P43" i="18"/>
  <c r="E44" i="18"/>
  <c r="L43" i="18"/>
  <c r="D45" i="19"/>
  <c r="D45" i="18"/>
  <c r="H38" i="8"/>
  <c r="K125" i="16"/>
  <c r="AE26" i="18"/>
  <c r="AF26" i="18" s="1"/>
  <c r="BC26" i="18" s="1"/>
  <c r="AD26" i="18"/>
  <c r="J121" i="17"/>
  <c r="K120" i="17"/>
  <c r="L43" i="19"/>
  <c r="P43" i="19"/>
  <c r="E44" i="19"/>
  <c r="AL15" i="10"/>
  <c r="AD26" i="19"/>
  <c r="X27" i="19"/>
  <c r="AA27" i="19" s="1"/>
  <c r="AC27" i="19" s="1"/>
  <c r="H157" i="17"/>
  <c r="X27" i="18"/>
  <c r="AA27" i="18" s="1"/>
  <c r="AB27" i="18" s="1"/>
  <c r="U17" i="10"/>
  <c r="B220" i="1"/>
  <c r="B254" i="1"/>
  <c r="B289" i="1" s="1"/>
  <c r="AP14" i="10"/>
  <c r="AC26" i="3"/>
  <c r="AB26" i="3"/>
  <c r="S16" i="10"/>
  <c r="L58" i="4"/>
  <c r="T16" i="10" s="1"/>
  <c r="J59" i="4"/>
  <c r="AN15" i="10"/>
  <c r="AK15" i="10"/>
  <c r="X27" i="3"/>
  <c r="AA27" i="3" s="1"/>
  <c r="AO15" i="10"/>
  <c r="G80" i="4"/>
  <c r="D88" i="7"/>
  <c r="F80" i="4"/>
  <c r="C88" i="7"/>
  <c r="W36" i="10"/>
  <c r="X20" i="10"/>
  <c r="AA35" i="10"/>
  <c r="H153" i="1"/>
  <c r="C154" i="1"/>
  <c r="R153" i="1"/>
  <c r="AD20" i="3"/>
  <c r="V17" i="10"/>
  <c r="Y16" i="10"/>
  <c r="D45" i="3"/>
  <c r="L34" i="10"/>
  <c r="P33" i="10"/>
  <c r="M47" i="10"/>
  <c r="M68" i="4"/>
  <c r="D25" i="10"/>
  <c r="Q68" i="4"/>
  <c r="H25" i="10"/>
  <c r="S68" i="4"/>
  <c r="J25" i="10"/>
  <c r="O68" i="4"/>
  <c r="F25" i="10"/>
  <c r="R68" i="4"/>
  <c r="I25" i="10"/>
  <c r="N68" i="4"/>
  <c r="E25" i="10"/>
  <c r="P68" i="4"/>
  <c r="G25" i="10"/>
  <c r="AD27" i="18" l="1"/>
  <c r="AM27" i="3"/>
  <c r="AL27" i="3"/>
  <c r="AM27" i="18"/>
  <c r="AO27" i="18" s="1"/>
  <c r="AP27" i="18" s="1"/>
  <c r="BJ27" i="18" s="1"/>
  <c r="AL27" i="18"/>
  <c r="AN27" i="18" s="1"/>
  <c r="AM27" i="19"/>
  <c r="AO27" i="19" s="1"/>
  <c r="AP27" i="19" s="1"/>
  <c r="BJ27" i="19" s="1"/>
  <c r="AL27" i="19"/>
  <c r="AN27" i="19" s="1"/>
  <c r="AM16" i="10"/>
  <c r="AH28" i="19"/>
  <c r="AK28" i="19" s="1"/>
  <c r="AH28" i="18"/>
  <c r="AK28" i="18" s="1"/>
  <c r="AH28" i="3"/>
  <c r="AK28" i="3" s="1"/>
  <c r="AR14" i="10"/>
  <c r="AS14" i="10"/>
  <c r="BG46" i="6"/>
  <c r="AU46" i="6"/>
  <c r="AG192" i="16"/>
  <c r="AJ191" i="16"/>
  <c r="AF192" i="16"/>
  <c r="AE192" i="16"/>
  <c r="AH102" i="18" s="1"/>
  <c r="AK102" i="18" s="1"/>
  <c r="AM102" i="18" s="1"/>
  <c r="AI192" i="16"/>
  <c r="Y194" i="16"/>
  <c r="AB194" i="16"/>
  <c r="W194" i="16"/>
  <c r="AA194" i="16"/>
  <c r="Z194" i="16"/>
  <c r="X194" i="16"/>
  <c r="K201" i="9"/>
  <c r="AL101" i="18"/>
  <c r="AM101" i="18"/>
  <c r="G197" i="16"/>
  <c r="H196" i="16"/>
  <c r="R196" i="16"/>
  <c r="S196" i="16" s="1"/>
  <c r="T195" i="16"/>
  <c r="V195" i="16"/>
  <c r="U195" i="16"/>
  <c r="CE115" i="16" s="1"/>
  <c r="CI47" i="6" s="1"/>
  <c r="AC193" i="16"/>
  <c r="AD193" i="16" s="1"/>
  <c r="S200" i="9"/>
  <c r="P200" i="9"/>
  <c r="Q200" i="9"/>
  <c r="AH192" i="16"/>
  <c r="BM27" i="6"/>
  <c r="AJ175" i="11"/>
  <c r="AN21" i="3"/>
  <c r="AO21" i="3"/>
  <c r="AP21" i="3" s="1"/>
  <c r="BJ21" i="3" s="1"/>
  <c r="H39" i="8"/>
  <c r="P44" i="19"/>
  <c r="E45" i="19"/>
  <c r="L44" i="19"/>
  <c r="J122" i="17"/>
  <c r="K121" i="17"/>
  <c r="H156" i="16"/>
  <c r="D46" i="19"/>
  <c r="D46" i="18"/>
  <c r="K126" i="16"/>
  <c r="E45" i="18"/>
  <c r="L44" i="18"/>
  <c r="P44" i="18"/>
  <c r="AC27" i="18"/>
  <c r="AE27" i="18" s="1"/>
  <c r="AF27" i="18" s="1"/>
  <c r="BC27" i="18" s="1"/>
  <c r="AE27" i="19"/>
  <c r="AF27" i="19" s="1"/>
  <c r="BC27" i="19" s="1"/>
  <c r="AB27" i="19"/>
  <c r="AD27" i="19" s="1"/>
  <c r="H158" i="17"/>
  <c r="X28" i="18"/>
  <c r="AA28" i="18" s="1"/>
  <c r="AC28" i="18" s="1"/>
  <c r="AE28" i="18" s="1"/>
  <c r="AF28" i="18" s="1"/>
  <c r="BC28" i="18" s="1"/>
  <c r="X28" i="19"/>
  <c r="AA28" i="19" s="1"/>
  <c r="AB28" i="19" s="1"/>
  <c r="U18" i="10"/>
  <c r="B221" i="1"/>
  <c r="B255" i="1"/>
  <c r="B290" i="1" s="1"/>
  <c r="AP15" i="10"/>
  <c r="AL16" i="10"/>
  <c r="S17" i="10"/>
  <c r="L59" i="4"/>
  <c r="T17" i="10" s="1"/>
  <c r="J60" i="4"/>
  <c r="AC27" i="3"/>
  <c r="AB27" i="3"/>
  <c r="AN16" i="10"/>
  <c r="AK16" i="10"/>
  <c r="X28" i="3"/>
  <c r="AA28" i="3" s="1"/>
  <c r="AO16" i="10"/>
  <c r="F81" i="4"/>
  <c r="C89" i="7"/>
  <c r="G81" i="4"/>
  <c r="D89" i="7"/>
  <c r="AA36" i="10"/>
  <c r="X21" i="10"/>
  <c r="W37" i="10"/>
  <c r="C155" i="1"/>
  <c r="R154" i="1"/>
  <c r="H154" i="1"/>
  <c r="AD21" i="3"/>
  <c r="AE21" i="3"/>
  <c r="AF21" i="3" s="1"/>
  <c r="BC21" i="3" s="1"/>
  <c r="D46" i="3"/>
  <c r="L35" i="10"/>
  <c r="P34" i="10"/>
  <c r="V18" i="10"/>
  <c r="Y17" i="10"/>
  <c r="M48" i="10"/>
  <c r="N69" i="4"/>
  <c r="E26" i="10"/>
  <c r="O69" i="4"/>
  <c r="F26" i="10"/>
  <c r="Q69" i="4"/>
  <c r="H26" i="10"/>
  <c r="P69" i="4"/>
  <c r="G26" i="10"/>
  <c r="R69" i="4"/>
  <c r="I26" i="10"/>
  <c r="S69" i="4"/>
  <c r="J26" i="10"/>
  <c r="M69" i="4"/>
  <c r="D26" i="10"/>
  <c r="AL28" i="3" l="1"/>
  <c r="AM28" i="3"/>
  <c r="AM28" i="18"/>
  <c r="AO28" i="18" s="1"/>
  <c r="AP28" i="18" s="1"/>
  <c r="BJ28" i="18" s="1"/>
  <c r="AL28" i="18"/>
  <c r="AN28" i="18" s="1"/>
  <c r="AL28" i="19"/>
  <c r="AN28" i="19" s="1"/>
  <c r="AM28" i="19"/>
  <c r="AO28" i="19" s="1"/>
  <c r="AP28" i="19" s="1"/>
  <c r="BJ28" i="19" s="1"/>
  <c r="AL17" i="10"/>
  <c r="AH29" i="19"/>
  <c r="AK29" i="19" s="1"/>
  <c r="AH29" i="18"/>
  <c r="AK29" i="18" s="1"/>
  <c r="AH29" i="3"/>
  <c r="AK29" i="3" s="1"/>
  <c r="AR15" i="10"/>
  <c r="AS15" i="10"/>
  <c r="BG47" i="6"/>
  <c r="AU47" i="6"/>
  <c r="AL102" i="18"/>
  <c r="AJ192" i="16"/>
  <c r="AF193" i="16"/>
  <c r="AH193" i="16"/>
  <c r="AE193" i="16"/>
  <c r="AH103" i="18" s="1"/>
  <c r="AK103" i="18" s="1"/>
  <c r="AM103" i="18" s="1"/>
  <c r="AI193" i="16"/>
  <c r="AG193" i="16"/>
  <c r="Y195" i="16"/>
  <c r="AB195" i="16"/>
  <c r="Z195" i="16"/>
  <c r="W195" i="16"/>
  <c r="X195" i="16"/>
  <c r="AA195" i="16"/>
  <c r="G198" i="16"/>
  <c r="H197" i="16"/>
  <c r="R197" i="16"/>
  <c r="S197" i="16" s="1"/>
  <c r="P201" i="9"/>
  <c r="Q201" i="9"/>
  <c r="S201" i="9"/>
  <c r="AC194" i="16"/>
  <c r="AD194" i="16" s="1"/>
  <c r="T196" i="16"/>
  <c r="V196" i="16"/>
  <c r="U196" i="16"/>
  <c r="CE116" i="16" s="1"/>
  <c r="CI48" i="6" s="1"/>
  <c r="K202" i="9"/>
  <c r="AO22" i="3"/>
  <c r="AP22" i="3" s="1"/>
  <c r="BJ22" i="3" s="1"/>
  <c r="AN22" i="3"/>
  <c r="D47" i="19"/>
  <c r="D47" i="18"/>
  <c r="J123" i="17"/>
  <c r="K122" i="17"/>
  <c r="K127" i="16"/>
  <c r="E46" i="19"/>
  <c r="L45" i="19"/>
  <c r="P45" i="19"/>
  <c r="H40" i="8"/>
  <c r="H157" i="16"/>
  <c r="AD28" i="19"/>
  <c r="E46" i="18"/>
  <c r="P45" i="18"/>
  <c r="L45" i="18"/>
  <c r="AC28" i="19"/>
  <c r="AE28" i="19" s="1"/>
  <c r="AF28" i="19" s="1"/>
  <c r="BC28" i="19" s="1"/>
  <c r="H159" i="17"/>
  <c r="AB28" i="18"/>
  <c r="AD28" i="18" s="1"/>
  <c r="X29" i="18"/>
  <c r="AA29" i="18" s="1"/>
  <c r="AC29" i="18" s="1"/>
  <c r="X29" i="19"/>
  <c r="AA29" i="19" s="1"/>
  <c r="AB29" i="19" s="1"/>
  <c r="U19" i="10"/>
  <c r="B256" i="1"/>
  <c r="B291" i="1" s="1"/>
  <c r="G202" i="1"/>
  <c r="G203" i="1" s="1"/>
  <c r="G204" i="1" s="1"/>
  <c r="G205" i="1" s="1"/>
  <c r="G206" i="1" s="1"/>
  <c r="G207" i="1" s="1"/>
  <c r="G208" i="1" s="1"/>
  <c r="G209" i="1" s="1"/>
  <c r="G210" i="1" s="1"/>
  <c r="G211" i="1" s="1"/>
  <c r="G212" i="1" s="1"/>
  <c r="G213" i="1" s="1"/>
  <c r="G214" i="1" s="1"/>
  <c r="G215" i="1" s="1"/>
  <c r="G216" i="1" s="1"/>
  <c r="G217" i="1" s="1"/>
  <c r="G218" i="1" s="1"/>
  <c r="G219" i="1" s="1"/>
  <c r="G220" i="1" s="1"/>
  <c r="E202" i="1"/>
  <c r="F202" i="1"/>
  <c r="F203" i="1" s="1"/>
  <c r="F204" i="1" s="1"/>
  <c r="F205" i="1" s="1"/>
  <c r="F206" i="1" s="1"/>
  <c r="F207" i="1" s="1"/>
  <c r="F208" i="1" s="1"/>
  <c r="F209" i="1" s="1"/>
  <c r="F210" i="1" s="1"/>
  <c r="F211" i="1" s="1"/>
  <c r="F212" i="1" s="1"/>
  <c r="F213" i="1" s="1"/>
  <c r="F214" i="1" s="1"/>
  <c r="F215" i="1" s="1"/>
  <c r="F216" i="1" s="1"/>
  <c r="F217" i="1" s="1"/>
  <c r="F218" i="1" s="1"/>
  <c r="F219" i="1" s="1"/>
  <c r="F220" i="1" s="1"/>
  <c r="AM17" i="10"/>
  <c r="AP16" i="10"/>
  <c r="AB28" i="3"/>
  <c r="AC28" i="3"/>
  <c r="S18" i="10"/>
  <c r="J61" i="4"/>
  <c r="L60" i="4"/>
  <c r="T18" i="10" s="1"/>
  <c r="AN17" i="10"/>
  <c r="X29" i="3"/>
  <c r="AA29" i="3" s="1"/>
  <c r="AK17" i="10"/>
  <c r="AO17" i="10"/>
  <c r="G82" i="4"/>
  <c r="D90" i="7"/>
  <c r="F82" i="4"/>
  <c r="C90" i="7"/>
  <c r="W38" i="10"/>
  <c r="X22" i="10"/>
  <c r="AA37" i="10"/>
  <c r="H155" i="1"/>
  <c r="C156" i="1"/>
  <c r="R155" i="1"/>
  <c r="AE22" i="3"/>
  <c r="AF22" i="3" s="1"/>
  <c r="BC22" i="3" s="1"/>
  <c r="AD22" i="3"/>
  <c r="V19" i="10"/>
  <c r="Y18" i="10"/>
  <c r="D47" i="3"/>
  <c r="L36" i="10"/>
  <c r="P35" i="10"/>
  <c r="M49" i="10"/>
  <c r="S70" i="4"/>
  <c r="J27" i="10"/>
  <c r="P70" i="4"/>
  <c r="G27" i="10"/>
  <c r="O70" i="4"/>
  <c r="F27" i="10"/>
  <c r="M70" i="4"/>
  <c r="D27" i="10"/>
  <c r="R70" i="4"/>
  <c r="I27" i="10"/>
  <c r="Q70" i="4"/>
  <c r="H27" i="10"/>
  <c r="N70" i="4"/>
  <c r="E27" i="10"/>
  <c r="AL29" i="18" l="1"/>
  <c r="AN29" i="18" s="1"/>
  <c r="AM29" i="18"/>
  <c r="AO29" i="18" s="1"/>
  <c r="AP29" i="18" s="1"/>
  <c r="BJ29" i="18" s="1"/>
  <c r="AL29" i="19"/>
  <c r="AN29" i="19" s="1"/>
  <c r="AM29" i="19"/>
  <c r="AO29" i="19" s="1"/>
  <c r="AP29" i="19" s="1"/>
  <c r="BJ29" i="19" s="1"/>
  <c r="AR16" i="10"/>
  <c r="AS16" i="10"/>
  <c r="AM18" i="10"/>
  <c r="AH30" i="18"/>
  <c r="AK30" i="18" s="1"/>
  <c r="AH30" i="19"/>
  <c r="AK30" i="19" s="1"/>
  <c r="AH30" i="3"/>
  <c r="AK30" i="3" s="1"/>
  <c r="AM29" i="3"/>
  <c r="AL29" i="3"/>
  <c r="BG48" i="6"/>
  <c r="AU48" i="6"/>
  <c r="AH194" i="16"/>
  <c r="AE194" i="16"/>
  <c r="AH104" i="18" s="1"/>
  <c r="AK104" i="18" s="1"/>
  <c r="AJ193" i="16"/>
  <c r="AL103" i="18"/>
  <c r="AG194" i="16"/>
  <c r="Y196" i="16"/>
  <c r="AB196" i="16"/>
  <c r="W196" i="16"/>
  <c r="AA196" i="16"/>
  <c r="Z196" i="16"/>
  <c r="X196" i="16"/>
  <c r="G199" i="16"/>
  <c r="H198" i="16"/>
  <c r="R198" i="16"/>
  <c r="S198" i="16" s="1"/>
  <c r="T197" i="16"/>
  <c r="U197" i="16"/>
  <c r="CE117" i="16" s="1"/>
  <c r="CI49" i="6" s="1"/>
  <c r="V197" i="16"/>
  <c r="S202" i="9"/>
  <c r="Q202" i="9"/>
  <c r="P202" i="9"/>
  <c r="K203" i="9"/>
  <c r="AF194" i="16"/>
  <c r="AI194" i="16"/>
  <c r="AC195" i="16"/>
  <c r="AD195" i="16" s="1"/>
  <c r="AD29" i="19"/>
  <c r="AE29" i="18"/>
  <c r="AF29" i="18" s="1"/>
  <c r="BC29" i="18" s="1"/>
  <c r="AN23" i="3"/>
  <c r="AO23" i="3"/>
  <c r="AP23" i="3" s="1"/>
  <c r="BJ23" i="3" s="1"/>
  <c r="D48" i="19"/>
  <c r="D48" i="18"/>
  <c r="J124" i="17"/>
  <c r="K123" i="17"/>
  <c r="H158" i="16"/>
  <c r="H41" i="8"/>
  <c r="E47" i="18"/>
  <c r="L46" i="18"/>
  <c r="P46" i="18"/>
  <c r="E47" i="19"/>
  <c r="L46" i="19"/>
  <c r="P46" i="19"/>
  <c r="K128" i="16"/>
  <c r="AB29" i="18"/>
  <c r="AD29" i="18" s="1"/>
  <c r="AC29" i="19"/>
  <c r="AE29" i="19" s="1"/>
  <c r="AF29" i="19" s="1"/>
  <c r="BC29" i="19" s="1"/>
  <c r="X30" i="19"/>
  <c r="AA30" i="19" s="1"/>
  <c r="AB30" i="19" s="1"/>
  <c r="AD30" i="19" s="1"/>
  <c r="H160" i="17"/>
  <c r="X30" i="18"/>
  <c r="AA30" i="18" s="1"/>
  <c r="AC30" i="18" s="1"/>
  <c r="U20" i="10"/>
  <c r="H202" i="1"/>
  <c r="R202" i="1"/>
  <c r="E203" i="1"/>
  <c r="AP17" i="10"/>
  <c r="AL18" i="10"/>
  <c r="S19" i="10"/>
  <c r="L61" i="4"/>
  <c r="T19" i="10" s="1"/>
  <c r="J62" i="4"/>
  <c r="AC29" i="3"/>
  <c r="AB29" i="3"/>
  <c r="AN18" i="10"/>
  <c r="X30" i="3"/>
  <c r="AK18" i="10"/>
  <c r="AO18" i="10"/>
  <c r="F83" i="4"/>
  <c r="C91" i="7"/>
  <c r="G83" i="4"/>
  <c r="D91" i="7"/>
  <c r="W39" i="10"/>
  <c r="AA38" i="10"/>
  <c r="X23" i="10"/>
  <c r="C157" i="1"/>
  <c r="R156" i="1"/>
  <c r="H156" i="1"/>
  <c r="AD23" i="3"/>
  <c r="AE23" i="3"/>
  <c r="AF23" i="3" s="1"/>
  <c r="BC23" i="3" s="1"/>
  <c r="D48" i="3"/>
  <c r="L37" i="10"/>
  <c r="P36" i="10"/>
  <c r="V20" i="10"/>
  <c r="Y19" i="10"/>
  <c r="M50" i="10"/>
  <c r="Q71" i="4"/>
  <c r="H28" i="10"/>
  <c r="M71" i="4"/>
  <c r="D28" i="10"/>
  <c r="P71" i="4"/>
  <c r="G28" i="10"/>
  <c r="N71" i="4"/>
  <c r="E28" i="10"/>
  <c r="R71" i="4"/>
  <c r="I28" i="10"/>
  <c r="O71" i="4"/>
  <c r="F28" i="10"/>
  <c r="S71" i="4"/>
  <c r="J28" i="10"/>
  <c r="AM30" i="3" l="1"/>
  <c r="AL30" i="3"/>
  <c r="AL30" i="19"/>
  <c r="AN30" i="19" s="1"/>
  <c r="AM30" i="19"/>
  <c r="AO30" i="19" s="1"/>
  <c r="AP30" i="19" s="1"/>
  <c r="BJ30" i="19" s="1"/>
  <c r="AM30" i="18"/>
  <c r="AO30" i="18" s="1"/>
  <c r="AP30" i="18" s="1"/>
  <c r="BJ30" i="18" s="1"/>
  <c r="AL30" i="18"/>
  <c r="AN30" i="18" s="1"/>
  <c r="AR17" i="10"/>
  <c r="AS17" i="10"/>
  <c r="AM19" i="10"/>
  <c r="AH31" i="18"/>
  <c r="AK31" i="18" s="1"/>
  <c r="AH31" i="19"/>
  <c r="AK31" i="19" s="1"/>
  <c r="AH31" i="3"/>
  <c r="AK31" i="3" s="1"/>
  <c r="AU49" i="6"/>
  <c r="BG49" i="6"/>
  <c r="AJ194" i="16"/>
  <c r="AF195" i="16"/>
  <c r="P203" i="9"/>
  <c r="S203" i="9"/>
  <c r="Q203" i="9"/>
  <c r="AC196" i="16"/>
  <c r="AD196" i="16" s="1"/>
  <c r="AI195" i="16"/>
  <c r="AG195" i="16"/>
  <c r="AH195" i="16"/>
  <c r="G200" i="16"/>
  <c r="H199" i="16"/>
  <c r="R199" i="16"/>
  <c r="S199" i="16" s="1"/>
  <c r="AE195" i="16"/>
  <c r="AL104" i="18"/>
  <c r="AM104" i="18"/>
  <c r="Y197" i="16"/>
  <c r="AB197" i="16"/>
  <c r="W197" i="16"/>
  <c r="Z197" i="16"/>
  <c r="X197" i="16"/>
  <c r="AA197" i="16"/>
  <c r="T198" i="16"/>
  <c r="V198" i="16"/>
  <c r="U198" i="16"/>
  <c r="CE118" i="16" s="1"/>
  <c r="CI50" i="6" s="1"/>
  <c r="K204" i="9"/>
  <c r="AC30" i="19"/>
  <c r="AE30" i="19" s="1"/>
  <c r="AF30" i="19" s="1"/>
  <c r="BC30" i="19" s="1"/>
  <c r="AN24" i="3"/>
  <c r="AO24" i="3"/>
  <c r="AP24" i="3" s="1"/>
  <c r="BJ24" i="3" s="1"/>
  <c r="D49" i="19"/>
  <c r="D49" i="18"/>
  <c r="E48" i="18"/>
  <c r="L47" i="18"/>
  <c r="P47" i="18"/>
  <c r="H42" i="8"/>
  <c r="H159" i="16"/>
  <c r="AE30" i="18"/>
  <c r="AF30" i="18" s="1"/>
  <c r="BC30" i="18" s="1"/>
  <c r="L47" i="19"/>
  <c r="E48" i="19"/>
  <c r="P47" i="19"/>
  <c r="J125" i="17"/>
  <c r="K124" i="17"/>
  <c r="AB30" i="18"/>
  <c r="AD30" i="18" s="1"/>
  <c r="X31" i="19"/>
  <c r="AA31" i="19" s="1"/>
  <c r="AC31" i="19" s="1"/>
  <c r="AE31" i="19" s="1"/>
  <c r="AF31" i="19" s="1"/>
  <c r="BC31" i="19" s="1"/>
  <c r="H161" i="17"/>
  <c r="X31" i="18"/>
  <c r="AA31" i="18" s="1"/>
  <c r="AC31" i="18" s="1"/>
  <c r="U21" i="10"/>
  <c r="O99" i="3"/>
  <c r="R203" i="1"/>
  <c r="H203" i="1"/>
  <c r="E204" i="1"/>
  <c r="AP18" i="10"/>
  <c r="S20" i="10"/>
  <c r="L62" i="4"/>
  <c r="T20" i="10" s="1"/>
  <c r="J63" i="4"/>
  <c r="AN19" i="10"/>
  <c r="AK19" i="10"/>
  <c r="X31" i="3"/>
  <c r="AO19" i="10"/>
  <c r="AL19" i="10"/>
  <c r="G84" i="4"/>
  <c r="D92" i="7"/>
  <c r="F84" i="4"/>
  <c r="C92" i="7"/>
  <c r="W40" i="10"/>
  <c r="AA39" i="10"/>
  <c r="X24" i="10"/>
  <c r="C158" i="1"/>
  <c r="H157" i="1"/>
  <c r="R157" i="1"/>
  <c r="AD24" i="3"/>
  <c r="AE24" i="3"/>
  <c r="AF24" i="3" s="1"/>
  <c r="BC24" i="3" s="1"/>
  <c r="V21" i="10"/>
  <c r="Y20" i="10"/>
  <c r="D49" i="3"/>
  <c r="L38" i="10"/>
  <c r="P37" i="10"/>
  <c r="M51" i="10"/>
  <c r="N72" i="4"/>
  <c r="E29" i="10"/>
  <c r="O72" i="4"/>
  <c r="F29" i="10"/>
  <c r="M72" i="4"/>
  <c r="D29" i="10"/>
  <c r="S72" i="4"/>
  <c r="J29" i="10"/>
  <c r="R72" i="4"/>
  <c r="I29" i="10"/>
  <c r="P72" i="4"/>
  <c r="G29" i="10"/>
  <c r="Q72" i="4"/>
  <c r="H29" i="10"/>
  <c r="H43" i="8" s="1"/>
  <c r="C17" i="7"/>
  <c r="D17" i="7"/>
  <c r="E17" i="7"/>
  <c r="F17" i="7"/>
  <c r="G17" i="7"/>
  <c r="H17" i="7"/>
  <c r="C18" i="7"/>
  <c r="D18" i="7"/>
  <c r="E18" i="7"/>
  <c r="V63" i="7" s="1"/>
  <c r="F18" i="7"/>
  <c r="W60" i="7" s="1"/>
  <c r="G18" i="7"/>
  <c r="X60" i="7" s="1"/>
  <c r="H18" i="7"/>
  <c r="D16" i="7"/>
  <c r="E16" i="7"/>
  <c r="F16" i="7"/>
  <c r="G16" i="7"/>
  <c r="H16" i="7"/>
  <c r="C16" i="7"/>
  <c r="D35" i="1"/>
  <c r="D34" i="1"/>
  <c r="C35" i="7" s="1"/>
  <c r="C7" i="4"/>
  <c r="AM31" i="19" l="1"/>
  <c r="AO31" i="19" s="1"/>
  <c r="AP31" i="19" s="1"/>
  <c r="BJ31" i="19" s="1"/>
  <c r="AL31" i="19"/>
  <c r="AN31" i="19" s="1"/>
  <c r="AM31" i="18"/>
  <c r="AO31" i="18" s="1"/>
  <c r="AP31" i="18" s="1"/>
  <c r="BJ31" i="18" s="1"/>
  <c r="AL31" i="18"/>
  <c r="AN31" i="18" s="1"/>
  <c r="AM31" i="3"/>
  <c r="AL31" i="3"/>
  <c r="AL20" i="10"/>
  <c r="AH32" i="18"/>
  <c r="AK32" i="18" s="1"/>
  <c r="AH32" i="19"/>
  <c r="AK32" i="19" s="1"/>
  <c r="AH32" i="3"/>
  <c r="AK32" i="3" s="1"/>
  <c r="AR18" i="10"/>
  <c r="AS18" i="10"/>
  <c r="AU50" i="6"/>
  <c r="BG50" i="6"/>
  <c r="AF196" i="16"/>
  <c r="AG196" i="16"/>
  <c r="AI196" i="16"/>
  <c r="S204" i="9"/>
  <c r="P204" i="9"/>
  <c r="Q204" i="9"/>
  <c r="AJ195" i="16"/>
  <c r="AH105" i="18"/>
  <c r="AK105" i="18" s="1"/>
  <c r="AH196" i="16"/>
  <c r="K205" i="9"/>
  <c r="G201" i="16"/>
  <c r="H200" i="16"/>
  <c r="R200" i="16"/>
  <c r="S200" i="16" s="1"/>
  <c r="Y198" i="16"/>
  <c r="AB198" i="16"/>
  <c r="Z198" i="16"/>
  <c r="W198" i="16"/>
  <c r="X198" i="16"/>
  <c r="AA198" i="16"/>
  <c r="AC197" i="16"/>
  <c r="AD197" i="16" s="1"/>
  <c r="T199" i="16"/>
  <c r="V199" i="16"/>
  <c r="U199" i="16"/>
  <c r="CE119" i="16" s="1"/>
  <c r="CI51" i="6" s="1"/>
  <c r="AE196" i="16"/>
  <c r="AH106" i="18" s="1"/>
  <c r="AK106" i="18" s="1"/>
  <c r="AB31" i="19"/>
  <c r="AD31" i="19" s="1"/>
  <c r="AO25" i="3"/>
  <c r="AP25" i="3" s="1"/>
  <c r="BJ25" i="3" s="1"/>
  <c r="AN25" i="3"/>
  <c r="H160" i="16"/>
  <c r="E49" i="19"/>
  <c r="L48" i="19"/>
  <c r="P48" i="19"/>
  <c r="D50" i="19"/>
  <c r="D50" i="18"/>
  <c r="J126" i="17"/>
  <c r="K125" i="17"/>
  <c r="E49" i="18"/>
  <c r="L48" i="18"/>
  <c r="P48" i="18"/>
  <c r="AE31" i="18"/>
  <c r="AF31" i="18" s="1"/>
  <c r="BC31" i="18" s="1"/>
  <c r="AB31" i="18"/>
  <c r="AD31" i="18" s="1"/>
  <c r="AM20" i="10"/>
  <c r="X32" i="18"/>
  <c r="AA32" i="18" s="1"/>
  <c r="AC32" i="18" s="1"/>
  <c r="H162" i="17"/>
  <c r="X32" i="19"/>
  <c r="AA32" i="19" s="1"/>
  <c r="AC32" i="19" s="1"/>
  <c r="U22" i="10"/>
  <c r="I203" i="7"/>
  <c r="I199" i="7"/>
  <c r="I195" i="7"/>
  <c r="I202" i="7"/>
  <c r="I198" i="7"/>
  <c r="I194" i="7"/>
  <c r="I205" i="7"/>
  <c r="I201" i="7"/>
  <c r="I197" i="7"/>
  <c r="I204" i="7"/>
  <c r="I200" i="7"/>
  <c r="I196" i="7"/>
  <c r="O100" i="3"/>
  <c r="R204" i="1"/>
  <c r="H204" i="1"/>
  <c r="E205" i="1"/>
  <c r="S169" i="7"/>
  <c r="S166" i="7"/>
  <c r="S171" i="7"/>
  <c r="S168" i="7"/>
  <c r="S167" i="7"/>
  <c r="S165" i="7"/>
  <c r="S161" i="7"/>
  <c r="S164" i="7"/>
  <c r="S163" i="7"/>
  <c r="S160" i="7"/>
  <c r="S170" i="7"/>
  <c r="S162" i="7"/>
  <c r="O148" i="7"/>
  <c r="O169" i="7"/>
  <c r="O166" i="7"/>
  <c r="O171" i="7"/>
  <c r="O168" i="7"/>
  <c r="O167" i="7"/>
  <c r="O165" i="7"/>
  <c r="O161" i="7"/>
  <c r="O164" i="7"/>
  <c r="O163" i="7"/>
  <c r="O160" i="7"/>
  <c r="O162" i="7"/>
  <c r="O170" i="7"/>
  <c r="I171" i="7"/>
  <c r="I168" i="7"/>
  <c r="I167" i="7"/>
  <c r="U171" i="7"/>
  <c r="I170" i="7"/>
  <c r="U168" i="7"/>
  <c r="U167" i="7"/>
  <c r="U170" i="7"/>
  <c r="I169" i="7"/>
  <c r="U169" i="7"/>
  <c r="U164" i="7"/>
  <c r="U163" i="7"/>
  <c r="U160" i="7"/>
  <c r="U155" i="7"/>
  <c r="U151" i="7"/>
  <c r="U147" i="7"/>
  <c r="U143" i="7"/>
  <c r="U139" i="7"/>
  <c r="U135" i="7"/>
  <c r="U131" i="7"/>
  <c r="U127" i="7"/>
  <c r="U162" i="7"/>
  <c r="U157" i="7"/>
  <c r="U149" i="7"/>
  <c r="U141" i="7"/>
  <c r="U133" i="7"/>
  <c r="I166" i="7"/>
  <c r="I162" i="7"/>
  <c r="U154" i="7"/>
  <c r="U150" i="7"/>
  <c r="U146" i="7"/>
  <c r="U142" i="7"/>
  <c r="U138" i="7"/>
  <c r="U134" i="7"/>
  <c r="U130" i="7"/>
  <c r="U126" i="7"/>
  <c r="I165" i="7"/>
  <c r="I161" i="7"/>
  <c r="U153" i="7"/>
  <c r="U145" i="7"/>
  <c r="U137" i="7"/>
  <c r="U129" i="7"/>
  <c r="I163" i="7"/>
  <c r="U148" i="7"/>
  <c r="U132" i="7"/>
  <c r="U128" i="7"/>
  <c r="U165" i="7"/>
  <c r="U156" i="7"/>
  <c r="U166" i="7"/>
  <c r="U144" i="7"/>
  <c r="I164" i="7"/>
  <c r="U140" i="7"/>
  <c r="U161" i="7"/>
  <c r="I160" i="7"/>
  <c r="U152" i="7"/>
  <c r="U136" i="7"/>
  <c r="R170" i="7"/>
  <c r="R169" i="7"/>
  <c r="R166" i="7"/>
  <c r="R171" i="7"/>
  <c r="R162" i="7"/>
  <c r="R167" i="7"/>
  <c r="R165" i="7"/>
  <c r="R161" i="7"/>
  <c r="R164" i="7"/>
  <c r="R163" i="7"/>
  <c r="R160" i="7"/>
  <c r="R168" i="7"/>
  <c r="N170" i="7"/>
  <c r="N169" i="7"/>
  <c r="N166" i="7"/>
  <c r="N168" i="7"/>
  <c r="N162" i="7"/>
  <c r="N171" i="7"/>
  <c r="N165" i="7"/>
  <c r="N161" i="7"/>
  <c r="N167" i="7"/>
  <c r="N164" i="7"/>
  <c r="N163" i="7"/>
  <c r="N160" i="7"/>
  <c r="Q141" i="7"/>
  <c r="Q171" i="7"/>
  <c r="Q168" i="7"/>
  <c r="Q167" i="7"/>
  <c r="Q170" i="7"/>
  <c r="Q169" i="7"/>
  <c r="Q166" i="7"/>
  <c r="Q162" i="7"/>
  <c r="Q165" i="7"/>
  <c r="Q161" i="7"/>
  <c r="Q164" i="7"/>
  <c r="Q160" i="7"/>
  <c r="Q163" i="7"/>
  <c r="P127" i="7"/>
  <c r="P171" i="7"/>
  <c r="P168" i="7"/>
  <c r="P167" i="7"/>
  <c r="P170" i="7"/>
  <c r="P166" i="7"/>
  <c r="P164" i="7"/>
  <c r="P163" i="7"/>
  <c r="P160" i="7"/>
  <c r="P169" i="7"/>
  <c r="P162" i="7"/>
  <c r="P161" i="7"/>
  <c r="P165" i="7"/>
  <c r="AP19" i="10"/>
  <c r="S21" i="10"/>
  <c r="L63" i="4"/>
  <c r="T21" i="10" s="1"/>
  <c r="J64" i="4"/>
  <c r="AN20" i="10"/>
  <c r="AK20" i="10"/>
  <c r="X32" i="3"/>
  <c r="AO20" i="10"/>
  <c r="H63" i="7"/>
  <c r="I16" i="7"/>
  <c r="J60" i="7"/>
  <c r="N73" i="7"/>
  <c r="I17" i="7"/>
  <c r="L59" i="7"/>
  <c r="I153" i="7"/>
  <c r="T58" i="7"/>
  <c r="I18" i="7"/>
  <c r="F85" i="4"/>
  <c r="C93" i="7"/>
  <c r="G85" i="4"/>
  <c r="D93" i="7"/>
  <c r="AA40" i="10"/>
  <c r="X25" i="10"/>
  <c r="W41" i="10"/>
  <c r="C159" i="1"/>
  <c r="R158" i="1"/>
  <c r="H158" i="1"/>
  <c r="AE25" i="3"/>
  <c r="AF25" i="3" s="1"/>
  <c r="BC25" i="3" s="1"/>
  <c r="AD25" i="3"/>
  <c r="D50" i="3"/>
  <c r="L39" i="10"/>
  <c r="P38" i="10"/>
  <c r="V22" i="10"/>
  <c r="Y21" i="10"/>
  <c r="M52" i="10"/>
  <c r="P73" i="4"/>
  <c r="G30" i="10"/>
  <c r="O73" i="4"/>
  <c r="F30" i="10"/>
  <c r="S73" i="4"/>
  <c r="J30" i="10"/>
  <c r="Q73" i="4"/>
  <c r="H30" i="10"/>
  <c r="H44" i="8" s="1"/>
  <c r="R73" i="4"/>
  <c r="I30" i="10"/>
  <c r="M73" i="4"/>
  <c r="D30" i="10"/>
  <c r="N73" i="4"/>
  <c r="E30" i="10"/>
  <c r="T98" i="7"/>
  <c r="V103" i="7"/>
  <c r="V85" i="7"/>
  <c r="V87" i="7"/>
  <c r="V101" i="7"/>
  <c r="V71" i="7"/>
  <c r="Y110" i="7"/>
  <c r="T82" i="7"/>
  <c r="T66" i="7"/>
  <c r="W101" i="7"/>
  <c r="W94" i="7"/>
  <c r="W85" i="7"/>
  <c r="W78" i="7"/>
  <c r="W69" i="7"/>
  <c r="W62" i="7"/>
  <c r="W106" i="7"/>
  <c r="X92" i="7"/>
  <c r="X76" i="7"/>
  <c r="V69" i="7"/>
  <c r="V106" i="7"/>
  <c r="W99" i="7"/>
  <c r="W92" i="7"/>
  <c r="W83" i="7"/>
  <c r="W76" i="7"/>
  <c r="W67" i="7"/>
  <c r="Y112" i="7"/>
  <c r="Y60" i="7"/>
  <c r="Y61" i="7"/>
  <c r="Y68" i="7"/>
  <c r="Y69" i="7"/>
  <c r="Y76" i="7"/>
  <c r="Y77" i="7"/>
  <c r="Y84" i="7"/>
  <c r="Y85" i="7"/>
  <c r="Y92" i="7"/>
  <c r="Y93" i="7"/>
  <c r="Y100" i="7"/>
  <c r="Y101" i="7"/>
  <c r="Y62" i="7"/>
  <c r="Y63" i="7"/>
  <c r="Y70" i="7"/>
  <c r="Y71" i="7"/>
  <c r="Y78" i="7"/>
  <c r="Y79" i="7"/>
  <c r="Y86" i="7"/>
  <c r="Y87" i="7"/>
  <c r="Y94" i="7"/>
  <c r="Y95" i="7"/>
  <c r="Y102" i="7"/>
  <c r="Y103" i="7"/>
  <c r="Y106" i="7"/>
  <c r="Y57" i="7"/>
  <c r="Y64" i="7"/>
  <c r="Y73" i="7"/>
  <c r="Y80" i="7"/>
  <c r="Y89" i="7"/>
  <c r="Y96" i="7"/>
  <c r="Y81" i="7"/>
  <c r="Y97" i="7"/>
  <c r="Y104" i="7"/>
  <c r="Y58" i="7"/>
  <c r="Y67" i="7"/>
  <c r="Y74" i="7"/>
  <c r="Y99" i="7"/>
  <c r="Y59" i="7"/>
  <c r="Y66" i="7"/>
  <c r="Y75" i="7"/>
  <c r="Y82" i="7"/>
  <c r="Y91" i="7"/>
  <c r="Y98" i="7"/>
  <c r="Y105" i="7"/>
  <c r="Y118" i="7"/>
  <c r="Y65" i="7"/>
  <c r="Y72" i="7"/>
  <c r="Y88" i="7"/>
  <c r="Y83" i="7"/>
  <c r="Y90" i="7"/>
  <c r="U110" i="7"/>
  <c r="U58" i="7"/>
  <c r="U59" i="7"/>
  <c r="U66" i="7"/>
  <c r="U67" i="7"/>
  <c r="U74" i="7"/>
  <c r="U75" i="7"/>
  <c r="U82" i="7"/>
  <c r="U83" i="7"/>
  <c r="U90" i="7"/>
  <c r="U91" i="7"/>
  <c r="U98" i="7"/>
  <c r="U99" i="7"/>
  <c r="U60" i="7"/>
  <c r="U61" i="7"/>
  <c r="U68" i="7"/>
  <c r="U69" i="7"/>
  <c r="U76" i="7"/>
  <c r="U77" i="7"/>
  <c r="U84" i="7"/>
  <c r="U85" i="7"/>
  <c r="U92" i="7"/>
  <c r="U93" i="7"/>
  <c r="U100" i="7"/>
  <c r="U101" i="7"/>
  <c r="U106" i="7"/>
  <c r="U63" i="7"/>
  <c r="U70" i="7"/>
  <c r="U79" i="7"/>
  <c r="U86" i="7"/>
  <c r="U95" i="7"/>
  <c r="U102" i="7"/>
  <c r="U116" i="7"/>
  <c r="U71" i="7"/>
  <c r="U87" i="7"/>
  <c r="U94" i="7"/>
  <c r="U124" i="7"/>
  <c r="U89" i="7"/>
  <c r="U96" i="7"/>
  <c r="U65" i="7"/>
  <c r="U72" i="7"/>
  <c r="U81" i="7"/>
  <c r="U88" i="7"/>
  <c r="U97" i="7"/>
  <c r="U104" i="7"/>
  <c r="U62" i="7"/>
  <c r="U78" i="7"/>
  <c r="U103" i="7"/>
  <c r="U108" i="7"/>
  <c r="U57" i="7"/>
  <c r="U64" i="7"/>
  <c r="U73" i="7"/>
  <c r="U80" i="7"/>
  <c r="U105" i="7"/>
  <c r="X57" i="7"/>
  <c r="X59" i="7"/>
  <c r="X61" i="7"/>
  <c r="X63" i="7"/>
  <c r="X65" i="7"/>
  <c r="X67" i="7"/>
  <c r="X69" i="7"/>
  <c r="X71" i="7"/>
  <c r="X73" i="7"/>
  <c r="X75" i="7"/>
  <c r="X77" i="7"/>
  <c r="X79" i="7"/>
  <c r="X81" i="7"/>
  <c r="X83" i="7"/>
  <c r="X85" i="7"/>
  <c r="X87" i="7"/>
  <c r="X89" i="7"/>
  <c r="X91" i="7"/>
  <c r="X93" i="7"/>
  <c r="X95" i="7"/>
  <c r="X97" i="7"/>
  <c r="X99" i="7"/>
  <c r="X101" i="7"/>
  <c r="X103" i="7"/>
  <c r="X62" i="7"/>
  <c r="X70" i="7"/>
  <c r="X78" i="7"/>
  <c r="X86" i="7"/>
  <c r="X94" i="7"/>
  <c r="X102" i="7"/>
  <c r="X106" i="7"/>
  <c r="X64" i="7"/>
  <c r="X72" i="7"/>
  <c r="X80" i="7"/>
  <c r="X88" i="7"/>
  <c r="X96" i="7"/>
  <c r="X104" i="7"/>
  <c r="T96" i="7"/>
  <c r="X74" i="7"/>
  <c r="X58" i="7"/>
  <c r="W63" i="7"/>
  <c r="W64" i="7"/>
  <c r="W71" i="7"/>
  <c r="W72" i="7"/>
  <c r="W79" i="7"/>
  <c r="W80" i="7"/>
  <c r="W87" i="7"/>
  <c r="W88" i="7"/>
  <c r="W95" i="7"/>
  <c r="W96" i="7"/>
  <c r="W103" i="7"/>
  <c r="W104" i="7"/>
  <c r="W57" i="7"/>
  <c r="W58" i="7"/>
  <c r="W65" i="7"/>
  <c r="W66" i="7"/>
  <c r="W73" i="7"/>
  <c r="W74" i="7"/>
  <c r="W81" i="7"/>
  <c r="W82" i="7"/>
  <c r="W89" i="7"/>
  <c r="W90" i="7"/>
  <c r="W97" i="7"/>
  <c r="W98" i="7"/>
  <c r="W105" i="7"/>
  <c r="W102" i="7"/>
  <c r="X100" i="7"/>
  <c r="V95" i="7"/>
  <c r="W93" i="7"/>
  <c r="T90" i="7"/>
  <c r="W86" i="7"/>
  <c r="X84" i="7"/>
  <c r="V79" i="7"/>
  <c r="W77" i="7"/>
  <c r="T74" i="7"/>
  <c r="W70" i="7"/>
  <c r="X68" i="7"/>
  <c r="W61" i="7"/>
  <c r="T57" i="7"/>
  <c r="T59" i="7"/>
  <c r="T61" i="7"/>
  <c r="T63" i="7"/>
  <c r="T65" i="7"/>
  <c r="T67" i="7"/>
  <c r="T69" i="7"/>
  <c r="T71" i="7"/>
  <c r="T73" i="7"/>
  <c r="T75" i="7"/>
  <c r="T77" i="7"/>
  <c r="T79" i="7"/>
  <c r="T81" i="7"/>
  <c r="T83" i="7"/>
  <c r="T85" i="7"/>
  <c r="T87" i="7"/>
  <c r="T89" i="7"/>
  <c r="T91" i="7"/>
  <c r="T93" i="7"/>
  <c r="T95" i="7"/>
  <c r="T97" i="7"/>
  <c r="T99" i="7"/>
  <c r="T101" i="7"/>
  <c r="T103" i="7"/>
  <c r="T105" i="7"/>
  <c r="T60" i="7"/>
  <c r="T68" i="7"/>
  <c r="T76" i="7"/>
  <c r="T84" i="7"/>
  <c r="T92" i="7"/>
  <c r="T100" i="7"/>
  <c r="T106" i="7"/>
  <c r="T62" i="7"/>
  <c r="T70" i="7"/>
  <c r="T78" i="7"/>
  <c r="T86" i="7"/>
  <c r="T94" i="7"/>
  <c r="T102" i="7"/>
  <c r="X90" i="7"/>
  <c r="T80" i="7"/>
  <c r="T64" i="7"/>
  <c r="V58" i="7"/>
  <c r="V60" i="7"/>
  <c r="V62" i="7"/>
  <c r="V64" i="7"/>
  <c r="V66" i="7"/>
  <c r="V68" i="7"/>
  <c r="V70" i="7"/>
  <c r="V72" i="7"/>
  <c r="V74" i="7"/>
  <c r="V76" i="7"/>
  <c r="V78" i="7"/>
  <c r="V80" i="7"/>
  <c r="V82" i="7"/>
  <c r="V84" i="7"/>
  <c r="V86" i="7"/>
  <c r="V88" i="7"/>
  <c r="V90" i="7"/>
  <c r="V92" i="7"/>
  <c r="V94" i="7"/>
  <c r="V96" i="7"/>
  <c r="V98" i="7"/>
  <c r="V100" i="7"/>
  <c r="V102" i="7"/>
  <c r="V104" i="7"/>
  <c r="V57" i="7"/>
  <c r="V65" i="7"/>
  <c r="V73" i="7"/>
  <c r="V81" i="7"/>
  <c r="V89" i="7"/>
  <c r="V97" i="7"/>
  <c r="V105" i="7"/>
  <c r="V59" i="7"/>
  <c r="V67" i="7"/>
  <c r="V75" i="7"/>
  <c r="V83" i="7"/>
  <c r="V91" i="7"/>
  <c r="V99" i="7"/>
  <c r="X105" i="7"/>
  <c r="T104" i="7"/>
  <c r="W100" i="7"/>
  <c r="X98" i="7"/>
  <c r="V93" i="7"/>
  <c r="W91" i="7"/>
  <c r="T88" i="7"/>
  <c r="W84" i="7"/>
  <c r="X82" i="7"/>
  <c r="V77" i="7"/>
  <c r="W75" i="7"/>
  <c r="T72" i="7"/>
  <c r="W68" i="7"/>
  <c r="X66" i="7"/>
  <c r="V61" i="7"/>
  <c r="W59" i="7"/>
  <c r="W108" i="7"/>
  <c r="W110" i="7"/>
  <c r="W112" i="7"/>
  <c r="W114" i="7"/>
  <c r="W116" i="7"/>
  <c r="W118" i="7"/>
  <c r="W120" i="7"/>
  <c r="W122" i="7"/>
  <c r="W124" i="7"/>
  <c r="W111" i="7"/>
  <c r="W119" i="7"/>
  <c r="W109" i="7"/>
  <c r="W117" i="7"/>
  <c r="W113" i="7"/>
  <c r="W121" i="7"/>
  <c r="W107" i="7"/>
  <c r="T44" i="17" s="1"/>
  <c r="W115" i="7"/>
  <c r="W123" i="7"/>
  <c r="V108" i="7"/>
  <c r="V110" i="7"/>
  <c r="V112" i="7"/>
  <c r="V114" i="7"/>
  <c r="V116" i="7"/>
  <c r="V118" i="7"/>
  <c r="V120" i="7"/>
  <c r="V122" i="7"/>
  <c r="V124" i="7"/>
  <c r="V109" i="7"/>
  <c r="V111" i="7"/>
  <c r="V113" i="7"/>
  <c r="V115" i="7"/>
  <c r="V117" i="7"/>
  <c r="V119" i="7"/>
  <c r="V121" i="7"/>
  <c r="V123" i="7"/>
  <c r="V107" i="7"/>
  <c r="S44" i="17" s="1"/>
  <c r="Y120" i="7"/>
  <c r="U118" i="7"/>
  <c r="Y109" i="7"/>
  <c r="Y111" i="7"/>
  <c r="Y113" i="7"/>
  <c r="Y115" i="7"/>
  <c r="Y117" i="7"/>
  <c r="Y119" i="7"/>
  <c r="Y121" i="7"/>
  <c r="Y123" i="7"/>
  <c r="U109" i="7"/>
  <c r="U111" i="7"/>
  <c r="U113" i="7"/>
  <c r="U115" i="7"/>
  <c r="U117" i="7"/>
  <c r="U119" i="7"/>
  <c r="U121" i="7"/>
  <c r="U123" i="7"/>
  <c r="T107" i="7"/>
  <c r="Q44" i="17" s="1"/>
  <c r="X107" i="7"/>
  <c r="U44" i="17" s="1"/>
  <c r="Y122" i="7"/>
  <c r="U120" i="7"/>
  <c r="Y114" i="7"/>
  <c r="U112" i="7"/>
  <c r="X109" i="7"/>
  <c r="X111" i="7"/>
  <c r="X113" i="7"/>
  <c r="X115" i="7"/>
  <c r="X117" i="7"/>
  <c r="X119" i="7"/>
  <c r="X121" i="7"/>
  <c r="X123" i="7"/>
  <c r="X108" i="7"/>
  <c r="X110" i="7"/>
  <c r="X112" i="7"/>
  <c r="X114" i="7"/>
  <c r="X116" i="7"/>
  <c r="X118" i="7"/>
  <c r="X120" i="7"/>
  <c r="X122" i="7"/>
  <c r="X124" i="7"/>
  <c r="T109" i="7"/>
  <c r="T111" i="7"/>
  <c r="T113" i="7"/>
  <c r="T115" i="7"/>
  <c r="T117" i="7"/>
  <c r="T119" i="7"/>
  <c r="T121" i="7"/>
  <c r="T123" i="7"/>
  <c r="T108" i="7"/>
  <c r="T110" i="7"/>
  <c r="T112" i="7"/>
  <c r="T114" i="7"/>
  <c r="T116" i="7"/>
  <c r="T118" i="7"/>
  <c r="T120" i="7"/>
  <c r="T122" i="7"/>
  <c r="T124" i="7"/>
  <c r="I149" i="7"/>
  <c r="U107" i="7"/>
  <c r="R44" i="17" s="1"/>
  <c r="Y107" i="7"/>
  <c r="V44" i="17" s="1"/>
  <c r="Y124" i="7"/>
  <c r="U122" i="7"/>
  <c r="Y116" i="7"/>
  <c r="U114" i="7"/>
  <c r="Y108" i="7"/>
  <c r="H117" i="7"/>
  <c r="H101" i="7"/>
  <c r="H85" i="7"/>
  <c r="H69" i="7"/>
  <c r="O57" i="7"/>
  <c r="O150" i="7"/>
  <c r="I157" i="7"/>
  <c r="J114" i="7"/>
  <c r="J98" i="7"/>
  <c r="J82" i="7"/>
  <c r="J66" i="7"/>
  <c r="R157" i="7"/>
  <c r="O144" i="7"/>
  <c r="N105" i="7"/>
  <c r="H57" i="7"/>
  <c r="H109" i="7"/>
  <c r="H93" i="7"/>
  <c r="H77" i="7"/>
  <c r="H61" i="7"/>
  <c r="N155" i="7"/>
  <c r="O138" i="7"/>
  <c r="R83" i="7"/>
  <c r="M57" i="7"/>
  <c r="J122" i="7"/>
  <c r="J106" i="7"/>
  <c r="J90" i="7"/>
  <c r="J74" i="7"/>
  <c r="J58" i="7"/>
  <c r="O154" i="7"/>
  <c r="O131" i="7"/>
  <c r="O65" i="7"/>
  <c r="L95" i="7"/>
  <c r="L87" i="7"/>
  <c r="L79" i="7"/>
  <c r="L63" i="7"/>
  <c r="P59" i="7"/>
  <c r="P61" i="7"/>
  <c r="P63" i="7"/>
  <c r="P65" i="7"/>
  <c r="P67" i="7"/>
  <c r="P69" i="7"/>
  <c r="P71" i="7"/>
  <c r="P73" i="7"/>
  <c r="P75" i="7"/>
  <c r="P77" i="7"/>
  <c r="P79" i="7"/>
  <c r="P81" i="7"/>
  <c r="P83" i="7"/>
  <c r="P85" i="7"/>
  <c r="P87" i="7"/>
  <c r="P89" i="7"/>
  <c r="P91" i="7"/>
  <c r="P93" i="7"/>
  <c r="P95" i="7"/>
  <c r="P97" i="7"/>
  <c r="P99" i="7"/>
  <c r="P101" i="7"/>
  <c r="P103" i="7"/>
  <c r="P105" i="7"/>
  <c r="P107" i="7"/>
  <c r="L44" i="17" s="1"/>
  <c r="L45" i="17" s="1"/>
  <c r="L46" i="17" s="1"/>
  <c r="L47" i="17" s="1"/>
  <c r="P206" i="7" s="1"/>
  <c r="P109" i="7"/>
  <c r="P111" i="7"/>
  <c r="P113" i="7"/>
  <c r="P115" i="7"/>
  <c r="P117" i="7"/>
  <c r="P119" i="7"/>
  <c r="P121" i="7"/>
  <c r="P123" i="7"/>
  <c r="P126" i="7"/>
  <c r="P128" i="7"/>
  <c r="P130" i="7"/>
  <c r="P132" i="7"/>
  <c r="P134" i="7"/>
  <c r="P136" i="7"/>
  <c r="P138" i="7"/>
  <c r="P140" i="7"/>
  <c r="P60" i="7"/>
  <c r="P62" i="7"/>
  <c r="P64" i="7"/>
  <c r="P66" i="7"/>
  <c r="P68" i="7"/>
  <c r="P131" i="7"/>
  <c r="P139" i="7"/>
  <c r="P142" i="7"/>
  <c r="P144" i="7"/>
  <c r="P146" i="7"/>
  <c r="P148" i="7"/>
  <c r="P150" i="7"/>
  <c r="P152" i="7"/>
  <c r="P154" i="7"/>
  <c r="P58" i="7"/>
  <c r="P72" i="7"/>
  <c r="P76" i="7"/>
  <c r="P80" i="7"/>
  <c r="P84" i="7"/>
  <c r="P88" i="7"/>
  <c r="P92" i="7"/>
  <c r="P96" i="7"/>
  <c r="P100" i="7"/>
  <c r="P104" i="7"/>
  <c r="P108" i="7"/>
  <c r="P112" i="7"/>
  <c r="P116" i="7"/>
  <c r="P120" i="7"/>
  <c r="P124" i="7"/>
  <c r="P133" i="7"/>
  <c r="P135" i="7"/>
  <c r="P141" i="7"/>
  <c r="P143" i="7"/>
  <c r="P145" i="7"/>
  <c r="P147" i="7"/>
  <c r="P74" i="7"/>
  <c r="P90" i="7"/>
  <c r="P106" i="7"/>
  <c r="P122" i="7"/>
  <c r="P149" i="7"/>
  <c r="P153" i="7"/>
  <c r="P70" i="7"/>
  <c r="P86" i="7"/>
  <c r="P102" i="7"/>
  <c r="P118" i="7"/>
  <c r="P129" i="7"/>
  <c r="P155" i="7"/>
  <c r="P157" i="7"/>
  <c r="P82" i="7"/>
  <c r="P98" i="7"/>
  <c r="P114" i="7"/>
  <c r="P137" i="7"/>
  <c r="P151" i="7"/>
  <c r="P57" i="7"/>
  <c r="I57" i="7"/>
  <c r="I155" i="7"/>
  <c r="J124" i="7"/>
  <c r="L121" i="7"/>
  <c r="H119" i="7"/>
  <c r="J116" i="7"/>
  <c r="L113" i="7"/>
  <c r="H111" i="7"/>
  <c r="J108" i="7"/>
  <c r="L105" i="7"/>
  <c r="H103" i="7"/>
  <c r="J100" i="7"/>
  <c r="L97" i="7"/>
  <c r="H95" i="7"/>
  <c r="J92" i="7"/>
  <c r="L89" i="7"/>
  <c r="H87" i="7"/>
  <c r="J84" i="7"/>
  <c r="L81" i="7"/>
  <c r="H79" i="7"/>
  <c r="J76" i="7"/>
  <c r="L73" i="7"/>
  <c r="H71" i="7"/>
  <c r="J68" i="7"/>
  <c r="L65" i="7"/>
  <c r="N157" i="7"/>
  <c r="S148" i="7"/>
  <c r="N121" i="7"/>
  <c r="R99" i="7"/>
  <c r="P78" i="7"/>
  <c r="L119" i="7"/>
  <c r="L111" i="7"/>
  <c r="L71" i="7"/>
  <c r="H58" i="7"/>
  <c r="H60" i="7"/>
  <c r="H62" i="7"/>
  <c r="H64" i="7"/>
  <c r="H66" i="7"/>
  <c r="H68" i="7"/>
  <c r="H70" i="7"/>
  <c r="H72" i="7"/>
  <c r="H74" i="7"/>
  <c r="H76" i="7"/>
  <c r="H78" i="7"/>
  <c r="H80" i="7"/>
  <c r="H82" i="7"/>
  <c r="H84" i="7"/>
  <c r="H86" i="7"/>
  <c r="H88" i="7"/>
  <c r="H90" i="7"/>
  <c r="H92" i="7"/>
  <c r="H94" i="7"/>
  <c r="H96" i="7"/>
  <c r="H98" i="7"/>
  <c r="H100" i="7"/>
  <c r="H102" i="7"/>
  <c r="H104" i="7"/>
  <c r="H106" i="7"/>
  <c r="H108" i="7"/>
  <c r="H110" i="7"/>
  <c r="H112" i="7"/>
  <c r="H114" i="7"/>
  <c r="H116" i="7"/>
  <c r="H118" i="7"/>
  <c r="H120" i="7"/>
  <c r="H122" i="7"/>
  <c r="H124" i="7"/>
  <c r="J57" i="7"/>
  <c r="J59" i="7"/>
  <c r="J61" i="7"/>
  <c r="J63" i="7"/>
  <c r="J65" i="7"/>
  <c r="J67" i="7"/>
  <c r="J69" i="7"/>
  <c r="J71" i="7"/>
  <c r="J73" i="7"/>
  <c r="J75" i="7"/>
  <c r="J77" i="7"/>
  <c r="J79" i="7"/>
  <c r="J81" i="7"/>
  <c r="J83" i="7"/>
  <c r="J85" i="7"/>
  <c r="J87" i="7"/>
  <c r="J89" i="7"/>
  <c r="J91" i="7"/>
  <c r="J93" i="7"/>
  <c r="J95" i="7"/>
  <c r="J97" i="7"/>
  <c r="J99" i="7"/>
  <c r="J101" i="7"/>
  <c r="J103" i="7"/>
  <c r="J105" i="7"/>
  <c r="J107" i="7"/>
  <c r="E44" i="17" s="1"/>
  <c r="J109" i="7"/>
  <c r="J111" i="7"/>
  <c r="J113" i="7"/>
  <c r="J115" i="7"/>
  <c r="J117" i="7"/>
  <c r="J119" i="7"/>
  <c r="J121" i="7"/>
  <c r="J123" i="7"/>
  <c r="S58" i="7"/>
  <c r="S60" i="7"/>
  <c r="S62" i="7"/>
  <c r="S64" i="7"/>
  <c r="S66" i="7"/>
  <c r="S68" i="7"/>
  <c r="S70" i="7"/>
  <c r="S72" i="7"/>
  <c r="S74" i="7"/>
  <c r="S76" i="7"/>
  <c r="S78" i="7"/>
  <c r="S80" i="7"/>
  <c r="S82" i="7"/>
  <c r="S84" i="7"/>
  <c r="S86" i="7"/>
  <c r="S88" i="7"/>
  <c r="S90" i="7"/>
  <c r="S92" i="7"/>
  <c r="S94" i="7"/>
  <c r="S96" i="7"/>
  <c r="S98" i="7"/>
  <c r="S100" i="7"/>
  <c r="S102" i="7"/>
  <c r="S104" i="7"/>
  <c r="S106" i="7"/>
  <c r="S108" i="7"/>
  <c r="S110" i="7"/>
  <c r="S112" i="7"/>
  <c r="S114" i="7"/>
  <c r="S116" i="7"/>
  <c r="S118" i="7"/>
  <c r="S120" i="7"/>
  <c r="S122" i="7"/>
  <c r="S124" i="7"/>
  <c r="S127" i="7"/>
  <c r="S65" i="7"/>
  <c r="S71" i="7"/>
  <c r="S75" i="7"/>
  <c r="S79" i="7"/>
  <c r="S83" i="7"/>
  <c r="S87" i="7"/>
  <c r="S91" i="7"/>
  <c r="S95" i="7"/>
  <c r="S99" i="7"/>
  <c r="S103" i="7"/>
  <c r="S107" i="7"/>
  <c r="O44" i="17" s="1"/>
  <c r="O45" i="17" s="1"/>
  <c r="O46" i="17" s="1"/>
  <c r="O47" i="17" s="1"/>
  <c r="S206" i="7" s="1"/>
  <c r="S111" i="7"/>
  <c r="S115" i="7"/>
  <c r="S119" i="7"/>
  <c r="S123" i="7"/>
  <c r="S134" i="7"/>
  <c r="S135" i="7"/>
  <c r="S63" i="7"/>
  <c r="S128" i="7"/>
  <c r="S129" i="7"/>
  <c r="S136" i="7"/>
  <c r="S137" i="7"/>
  <c r="S141" i="7"/>
  <c r="S143" i="7"/>
  <c r="S145" i="7"/>
  <c r="S147" i="7"/>
  <c r="S149" i="7"/>
  <c r="S151" i="7"/>
  <c r="S153" i="7"/>
  <c r="S61" i="7"/>
  <c r="S69" i="7"/>
  <c r="S73" i="7"/>
  <c r="S77" i="7"/>
  <c r="S81" i="7"/>
  <c r="S85" i="7"/>
  <c r="S89" i="7"/>
  <c r="S93" i="7"/>
  <c r="S97" i="7"/>
  <c r="S101" i="7"/>
  <c r="S105" i="7"/>
  <c r="S109" i="7"/>
  <c r="S113" i="7"/>
  <c r="S117" i="7"/>
  <c r="S121" i="7"/>
  <c r="S126" i="7"/>
  <c r="S130" i="7"/>
  <c r="S131" i="7"/>
  <c r="S138" i="7"/>
  <c r="S139" i="7"/>
  <c r="S67" i="7"/>
  <c r="S144" i="7"/>
  <c r="S155" i="7"/>
  <c r="S157" i="7"/>
  <c r="S59" i="7"/>
  <c r="S132" i="7"/>
  <c r="S142" i="7"/>
  <c r="S150" i="7"/>
  <c r="S133" i="7"/>
  <c r="S140" i="7"/>
  <c r="S154" i="7"/>
  <c r="S156" i="7"/>
  <c r="K57" i="7"/>
  <c r="L123" i="7"/>
  <c r="H121" i="7"/>
  <c r="J118" i="7"/>
  <c r="L115" i="7"/>
  <c r="H113" i="7"/>
  <c r="J110" i="7"/>
  <c r="L107" i="7"/>
  <c r="G44" i="17" s="1"/>
  <c r="H105" i="7"/>
  <c r="J102" i="7"/>
  <c r="L99" i="7"/>
  <c r="H97" i="7"/>
  <c r="J94" i="7"/>
  <c r="L91" i="7"/>
  <c r="H89" i="7"/>
  <c r="J86" i="7"/>
  <c r="L83" i="7"/>
  <c r="H81" i="7"/>
  <c r="J78" i="7"/>
  <c r="L75" i="7"/>
  <c r="H73" i="7"/>
  <c r="J70" i="7"/>
  <c r="L67" i="7"/>
  <c r="H65" i="7"/>
  <c r="J62" i="7"/>
  <c r="S57" i="7"/>
  <c r="P156" i="7"/>
  <c r="S152" i="7"/>
  <c r="S146" i="7"/>
  <c r="R134" i="7"/>
  <c r="R115" i="7"/>
  <c r="P94" i="7"/>
  <c r="L58" i="7"/>
  <c r="L60" i="7"/>
  <c r="L62" i="7"/>
  <c r="L64" i="7"/>
  <c r="L66" i="7"/>
  <c r="L68" i="7"/>
  <c r="L70" i="7"/>
  <c r="L72" i="7"/>
  <c r="L74" i="7"/>
  <c r="L76" i="7"/>
  <c r="L78" i="7"/>
  <c r="L80" i="7"/>
  <c r="L82" i="7"/>
  <c r="L84" i="7"/>
  <c r="L86" i="7"/>
  <c r="L88" i="7"/>
  <c r="L90" i="7"/>
  <c r="L92" i="7"/>
  <c r="L94" i="7"/>
  <c r="L96" i="7"/>
  <c r="L98" i="7"/>
  <c r="L100" i="7"/>
  <c r="L102" i="7"/>
  <c r="L104" i="7"/>
  <c r="L106" i="7"/>
  <c r="L108" i="7"/>
  <c r="L110" i="7"/>
  <c r="L112" i="7"/>
  <c r="L114" i="7"/>
  <c r="L116" i="7"/>
  <c r="L118" i="7"/>
  <c r="L120" i="7"/>
  <c r="L122" i="7"/>
  <c r="L124" i="7"/>
  <c r="Q58" i="7"/>
  <c r="Q59" i="7"/>
  <c r="Q61" i="7"/>
  <c r="Q63" i="7"/>
  <c r="Q65" i="7"/>
  <c r="Q67" i="7"/>
  <c r="Q69" i="7"/>
  <c r="Q71" i="7"/>
  <c r="Q73" i="7"/>
  <c r="Q75" i="7"/>
  <c r="Q77" i="7"/>
  <c r="Q79" i="7"/>
  <c r="Q81" i="7"/>
  <c r="Q83" i="7"/>
  <c r="Q85" i="7"/>
  <c r="Q87" i="7"/>
  <c r="Q89" i="7"/>
  <c r="Q91" i="7"/>
  <c r="Q93" i="7"/>
  <c r="Q95" i="7"/>
  <c r="Q97" i="7"/>
  <c r="Q99" i="7"/>
  <c r="Q101" i="7"/>
  <c r="Q103" i="7"/>
  <c r="Q105" i="7"/>
  <c r="Q107" i="7"/>
  <c r="M44" i="17" s="1"/>
  <c r="M45" i="17" s="1"/>
  <c r="M46" i="17" s="1"/>
  <c r="M47" i="17" s="1"/>
  <c r="Q206" i="7" s="1"/>
  <c r="Q109" i="7"/>
  <c r="Q111" i="7"/>
  <c r="Q113" i="7"/>
  <c r="Q115" i="7"/>
  <c r="Q117" i="7"/>
  <c r="Q119" i="7"/>
  <c r="Q121" i="7"/>
  <c r="Q123" i="7"/>
  <c r="Q126" i="7"/>
  <c r="Q60" i="7"/>
  <c r="Q68" i="7"/>
  <c r="Q70" i="7"/>
  <c r="Q74" i="7"/>
  <c r="Q78" i="7"/>
  <c r="Q82" i="7"/>
  <c r="Q86" i="7"/>
  <c r="Q90" i="7"/>
  <c r="Q94" i="7"/>
  <c r="Q98" i="7"/>
  <c r="Q102" i="7"/>
  <c r="Q106" i="7"/>
  <c r="Q110" i="7"/>
  <c r="Q114" i="7"/>
  <c r="Q118" i="7"/>
  <c r="Q122" i="7"/>
  <c r="Q127" i="7"/>
  <c r="Q129" i="7"/>
  <c r="Q130" i="7"/>
  <c r="Q137" i="7"/>
  <c r="Q138" i="7"/>
  <c r="Q66" i="7"/>
  <c r="Q131" i="7"/>
  <c r="Q132" i="7"/>
  <c r="Q139" i="7"/>
  <c r="Q140" i="7"/>
  <c r="Q142" i="7"/>
  <c r="Q144" i="7"/>
  <c r="Q146" i="7"/>
  <c r="Q148" i="7"/>
  <c r="Q150" i="7"/>
  <c r="Q152" i="7"/>
  <c r="Q64" i="7"/>
  <c r="Q72" i="7"/>
  <c r="Q76" i="7"/>
  <c r="Q80" i="7"/>
  <c r="Q84" i="7"/>
  <c r="Q88" i="7"/>
  <c r="Q92" i="7"/>
  <c r="Q96" i="7"/>
  <c r="Q100" i="7"/>
  <c r="Q104" i="7"/>
  <c r="Q108" i="7"/>
  <c r="Q112" i="7"/>
  <c r="Q116" i="7"/>
  <c r="Q120" i="7"/>
  <c r="Q124" i="7"/>
  <c r="Q133" i="7"/>
  <c r="Q134" i="7"/>
  <c r="Q128" i="7"/>
  <c r="Q135" i="7"/>
  <c r="Q147" i="7"/>
  <c r="Q154" i="7"/>
  <c r="Q156" i="7"/>
  <c r="Q136" i="7"/>
  <c r="Q145" i="7"/>
  <c r="Q149" i="7"/>
  <c r="Q153" i="7"/>
  <c r="Q57" i="7"/>
  <c r="Q62" i="7"/>
  <c r="Q143" i="7"/>
  <c r="Q155" i="7"/>
  <c r="Q157" i="7"/>
  <c r="L103" i="7"/>
  <c r="K58" i="7"/>
  <c r="K60" i="7"/>
  <c r="K62" i="7"/>
  <c r="K64" i="7"/>
  <c r="K66" i="7"/>
  <c r="K68" i="7"/>
  <c r="K70" i="7"/>
  <c r="K72" i="7"/>
  <c r="K74" i="7"/>
  <c r="K76" i="7"/>
  <c r="K78" i="7"/>
  <c r="K80" i="7"/>
  <c r="K82" i="7"/>
  <c r="K84" i="7"/>
  <c r="K86" i="7"/>
  <c r="K88" i="7"/>
  <c r="K90" i="7"/>
  <c r="K92" i="7"/>
  <c r="K94" i="7"/>
  <c r="K96" i="7"/>
  <c r="K98" i="7"/>
  <c r="K100" i="7"/>
  <c r="K102" i="7"/>
  <c r="K104" i="7"/>
  <c r="K106" i="7"/>
  <c r="K108" i="7"/>
  <c r="K110" i="7"/>
  <c r="K112" i="7"/>
  <c r="K114" i="7"/>
  <c r="K116" i="7"/>
  <c r="K118" i="7"/>
  <c r="K120" i="7"/>
  <c r="K122" i="7"/>
  <c r="K124" i="7"/>
  <c r="K59" i="7"/>
  <c r="K61" i="7"/>
  <c r="K63" i="7"/>
  <c r="K65" i="7"/>
  <c r="K67" i="7"/>
  <c r="K69" i="7"/>
  <c r="K71" i="7"/>
  <c r="K73" i="7"/>
  <c r="K75" i="7"/>
  <c r="K77" i="7"/>
  <c r="K79" i="7"/>
  <c r="K81" i="7"/>
  <c r="K83" i="7"/>
  <c r="K85" i="7"/>
  <c r="K87" i="7"/>
  <c r="K89" i="7"/>
  <c r="K91" i="7"/>
  <c r="K93" i="7"/>
  <c r="K95" i="7"/>
  <c r="K97" i="7"/>
  <c r="K99" i="7"/>
  <c r="K101" i="7"/>
  <c r="K103" i="7"/>
  <c r="K105" i="7"/>
  <c r="K107" i="7"/>
  <c r="F44" i="17" s="1"/>
  <c r="K109" i="7"/>
  <c r="K111" i="7"/>
  <c r="K113" i="7"/>
  <c r="K115" i="7"/>
  <c r="K117" i="7"/>
  <c r="K119" i="7"/>
  <c r="K121" i="7"/>
  <c r="K123" i="7"/>
  <c r="M59" i="7"/>
  <c r="M61" i="7"/>
  <c r="M63" i="7"/>
  <c r="M65" i="7"/>
  <c r="M67" i="7"/>
  <c r="M69" i="7"/>
  <c r="M71" i="7"/>
  <c r="M73" i="7"/>
  <c r="M75" i="7"/>
  <c r="M77" i="7"/>
  <c r="M79" i="7"/>
  <c r="M81" i="7"/>
  <c r="M83" i="7"/>
  <c r="M85" i="7"/>
  <c r="M87" i="7"/>
  <c r="M89" i="7"/>
  <c r="M91" i="7"/>
  <c r="M93" i="7"/>
  <c r="M95" i="7"/>
  <c r="M97" i="7"/>
  <c r="M99" i="7"/>
  <c r="M101" i="7"/>
  <c r="M103" i="7"/>
  <c r="M105" i="7"/>
  <c r="M107" i="7"/>
  <c r="H44" i="17" s="1"/>
  <c r="M109" i="7"/>
  <c r="M111" i="7"/>
  <c r="M113" i="7"/>
  <c r="M115" i="7"/>
  <c r="M117" i="7"/>
  <c r="M119" i="7"/>
  <c r="M121" i="7"/>
  <c r="M123" i="7"/>
  <c r="M58" i="7"/>
  <c r="M60" i="7"/>
  <c r="M62" i="7"/>
  <c r="M64" i="7"/>
  <c r="M66" i="7"/>
  <c r="M68" i="7"/>
  <c r="M70" i="7"/>
  <c r="M72" i="7"/>
  <c r="M74" i="7"/>
  <c r="M76" i="7"/>
  <c r="M78" i="7"/>
  <c r="M80" i="7"/>
  <c r="M82" i="7"/>
  <c r="M84" i="7"/>
  <c r="M86" i="7"/>
  <c r="M88" i="7"/>
  <c r="M90" i="7"/>
  <c r="M92" i="7"/>
  <c r="M94" i="7"/>
  <c r="M96" i="7"/>
  <c r="M98" i="7"/>
  <c r="M100" i="7"/>
  <c r="M102" i="7"/>
  <c r="M104" i="7"/>
  <c r="M106" i="7"/>
  <c r="M108" i="7"/>
  <c r="M110" i="7"/>
  <c r="M112" i="7"/>
  <c r="M114" i="7"/>
  <c r="M116" i="7"/>
  <c r="M118" i="7"/>
  <c r="M120" i="7"/>
  <c r="M122" i="7"/>
  <c r="M124" i="7"/>
  <c r="I59" i="7"/>
  <c r="I61" i="7"/>
  <c r="I63" i="7"/>
  <c r="I65" i="7"/>
  <c r="I67" i="7"/>
  <c r="I69" i="7"/>
  <c r="I71" i="7"/>
  <c r="I73" i="7"/>
  <c r="I75" i="7"/>
  <c r="I77" i="7"/>
  <c r="I79" i="7"/>
  <c r="I81" i="7"/>
  <c r="I83" i="7"/>
  <c r="I85" i="7"/>
  <c r="I87" i="7"/>
  <c r="I89" i="7"/>
  <c r="I91" i="7"/>
  <c r="I93" i="7"/>
  <c r="I95" i="7"/>
  <c r="I97" i="7"/>
  <c r="I99" i="7"/>
  <c r="I101" i="7"/>
  <c r="I103" i="7"/>
  <c r="I105" i="7"/>
  <c r="I107" i="7"/>
  <c r="D44" i="17" s="1"/>
  <c r="I109" i="7"/>
  <c r="I111" i="7"/>
  <c r="I113" i="7"/>
  <c r="I115" i="7"/>
  <c r="I117" i="7"/>
  <c r="I119" i="7"/>
  <c r="I121" i="7"/>
  <c r="I123" i="7"/>
  <c r="I126" i="7"/>
  <c r="I128" i="7"/>
  <c r="I130" i="7"/>
  <c r="I132" i="7"/>
  <c r="I134" i="7"/>
  <c r="I136" i="7"/>
  <c r="I138" i="7"/>
  <c r="I140" i="7"/>
  <c r="I142" i="7"/>
  <c r="I144" i="7"/>
  <c r="I146" i="7"/>
  <c r="I148" i="7"/>
  <c r="I150" i="7"/>
  <c r="I152" i="7"/>
  <c r="I154" i="7"/>
  <c r="I156" i="7"/>
  <c r="I58" i="7"/>
  <c r="I60" i="7"/>
  <c r="I62" i="7"/>
  <c r="I64" i="7"/>
  <c r="I66" i="7"/>
  <c r="I68" i="7"/>
  <c r="I70" i="7"/>
  <c r="I72" i="7"/>
  <c r="I74" i="7"/>
  <c r="I76" i="7"/>
  <c r="I78" i="7"/>
  <c r="I80" i="7"/>
  <c r="I82" i="7"/>
  <c r="I84" i="7"/>
  <c r="I86" i="7"/>
  <c r="I88" i="7"/>
  <c r="I90" i="7"/>
  <c r="I92" i="7"/>
  <c r="I94" i="7"/>
  <c r="I96" i="7"/>
  <c r="I98" i="7"/>
  <c r="I100" i="7"/>
  <c r="I102" i="7"/>
  <c r="I104" i="7"/>
  <c r="I106" i="7"/>
  <c r="I108" i="7"/>
  <c r="I110" i="7"/>
  <c r="I112" i="7"/>
  <c r="I114" i="7"/>
  <c r="I116" i="7"/>
  <c r="I118" i="7"/>
  <c r="I120" i="7"/>
  <c r="I122" i="7"/>
  <c r="I124" i="7"/>
  <c r="I127" i="7"/>
  <c r="I129" i="7"/>
  <c r="I131" i="7"/>
  <c r="I133" i="7"/>
  <c r="I135" i="7"/>
  <c r="I137" i="7"/>
  <c r="I139" i="7"/>
  <c r="I141" i="7"/>
  <c r="I143" i="7"/>
  <c r="I145" i="7"/>
  <c r="I147" i="7"/>
  <c r="R60" i="7"/>
  <c r="R62" i="7"/>
  <c r="R64" i="7"/>
  <c r="R66" i="7"/>
  <c r="R68" i="7"/>
  <c r="R70" i="7"/>
  <c r="R72" i="7"/>
  <c r="R74" i="7"/>
  <c r="R76" i="7"/>
  <c r="R78" i="7"/>
  <c r="R80" i="7"/>
  <c r="R82" i="7"/>
  <c r="R84" i="7"/>
  <c r="R86" i="7"/>
  <c r="R88" i="7"/>
  <c r="R90" i="7"/>
  <c r="R92" i="7"/>
  <c r="R94" i="7"/>
  <c r="R96" i="7"/>
  <c r="R98" i="7"/>
  <c r="R100" i="7"/>
  <c r="R102" i="7"/>
  <c r="R104" i="7"/>
  <c r="R106" i="7"/>
  <c r="R108" i="7"/>
  <c r="R110" i="7"/>
  <c r="R112" i="7"/>
  <c r="R114" i="7"/>
  <c r="R116" i="7"/>
  <c r="R118" i="7"/>
  <c r="R120" i="7"/>
  <c r="R122" i="7"/>
  <c r="R124" i="7"/>
  <c r="R127" i="7"/>
  <c r="R129" i="7"/>
  <c r="R131" i="7"/>
  <c r="R133" i="7"/>
  <c r="R135" i="7"/>
  <c r="R137" i="7"/>
  <c r="R139" i="7"/>
  <c r="R58" i="7"/>
  <c r="R59" i="7"/>
  <c r="R61" i="7"/>
  <c r="R63" i="7"/>
  <c r="R65" i="7"/>
  <c r="R67" i="7"/>
  <c r="R69" i="7"/>
  <c r="R128" i="7"/>
  <c r="R136" i="7"/>
  <c r="R141" i="7"/>
  <c r="R143" i="7"/>
  <c r="R145" i="7"/>
  <c r="R147" i="7"/>
  <c r="R149" i="7"/>
  <c r="R151" i="7"/>
  <c r="R153" i="7"/>
  <c r="R73" i="7"/>
  <c r="R77" i="7"/>
  <c r="R81" i="7"/>
  <c r="R85" i="7"/>
  <c r="R89" i="7"/>
  <c r="R93" i="7"/>
  <c r="R97" i="7"/>
  <c r="R101" i="7"/>
  <c r="R105" i="7"/>
  <c r="R109" i="7"/>
  <c r="R113" i="7"/>
  <c r="R117" i="7"/>
  <c r="R121" i="7"/>
  <c r="R126" i="7"/>
  <c r="R130" i="7"/>
  <c r="R138" i="7"/>
  <c r="R132" i="7"/>
  <c r="R140" i="7"/>
  <c r="R142" i="7"/>
  <c r="R144" i="7"/>
  <c r="R146" i="7"/>
  <c r="R79" i="7"/>
  <c r="R95" i="7"/>
  <c r="R111" i="7"/>
  <c r="R150" i="7"/>
  <c r="R57" i="7"/>
  <c r="R75" i="7"/>
  <c r="R91" i="7"/>
  <c r="R107" i="7"/>
  <c r="N44" i="17" s="1"/>
  <c r="N45" i="17" s="1"/>
  <c r="N46" i="17" s="1"/>
  <c r="N47" i="17" s="1"/>
  <c r="R206" i="7" s="1"/>
  <c r="R123" i="7"/>
  <c r="R154" i="7"/>
  <c r="R156" i="7"/>
  <c r="R71" i="7"/>
  <c r="R87" i="7"/>
  <c r="R103" i="7"/>
  <c r="R119" i="7"/>
  <c r="R148" i="7"/>
  <c r="R152" i="7"/>
  <c r="N60" i="7"/>
  <c r="N62" i="7"/>
  <c r="N64" i="7"/>
  <c r="N66" i="7"/>
  <c r="N68" i="7"/>
  <c r="N70" i="7"/>
  <c r="N72" i="7"/>
  <c r="N74" i="7"/>
  <c r="N76" i="7"/>
  <c r="N78" i="7"/>
  <c r="N80" i="7"/>
  <c r="N82" i="7"/>
  <c r="N84" i="7"/>
  <c r="N86" i="7"/>
  <c r="N88" i="7"/>
  <c r="N90" i="7"/>
  <c r="N92" i="7"/>
  <c r="N94" i="7"/>
  <c r="N96" i="7"/>
  <c r="N98" i="7"/>
  <c r="N100" i="7"/>
  <c r="N102" i="7"/>
  <c r="N104" i="7"/>
  <c r="N106" i="7"/>
  <c r="N108" i="7"/>
  <c r="N110" i="7"/>
  <c r="N112" i="7"/>
  <c r="N114" i="7"/>
  <c r="N116" i="7"/>
  <c r="N118" i="7"/>
  <c r="N120" i="7"/>
  <c r="N122" i="7"/>
  <c r="N124" i="7"/>
  <c r="N127" i="7"/>
  <c r="N129" i="7"/>
  <c r="N131" i="7"/>
  <c r="N133" i="7"/>
  <c r="N135" i="7"/>
  <c r="N137" i="7"/>
  <c r="N139" i="7"/>
  <c r="N58" i="7"/>
  <c r="N59" i="7"/>
  <c r="N61" i="7"/>
  <c r="N63" i="7"/>
  <c r="N65" i="7"/>
  <c r="N67" i="7"/>
  <c r="N69" i="7"/>
  <c r="N134" i="7"/>
  <c r="N141" i="7"/>
  <c r="N143" i="7"/>
  <c r="N145" i="7"/>
  <c r="N147" i="7"/>
  <c r="N149" i="7"/>
  <c r="N151" i="7"/>
  <c r="N153" i="7"/>
  <c r="N71" i="7"/>
  <c r="N75" i="7"/>
  <c r="N79" i="7"/>
  <c r="N83" i="7"/>
  <c r="N87" i="7"/>
  <c r="N91" i="7"/>
  <c r="N95" i="7"/>
  <c r="N99" i="7"/>
  <c r="N103" i="7"/>
  <c r="N107" i="7"/>
  <c r="J44" i="17" s="1"/>
  <c r="N111" i="7"/>
  <c r="N115" i="7"/>
  <c r="N119" i="7"/>
  <c r="N123" i="7"/>
  <c r="N128" i="7"/>
  <c r="N136" i="7"/>
  <c r="N130" i="7"/>
  <c r="N138" i="7"/>
  <c r="N142" i="7"/>
  <c r="N144" i="7"/>
  <c r="N146" i="7"/>
  <c r="N148" i="7"/>
  <c r="N85" i="7"/>
  <c r="N101" i="7"/>
  <c r="N117" i="7"/>
  <c r="N132" i="7"/>
  <c r="N152" i="7"/>
  <c r="N57" i="7"/>
  <c r="N81" i="7"/>
  <c r="N97" i="7"/>
  <c r="N113" i="7"/>
  <c r="N140" i="7"/>
  <c r="N156" i="7"/>
  <c r="N77" i="7"/>
  <c r="N93" i="7"/>
  <c r="N109" i="7"/>
  <c r="N126" i="7"/>
  <c r="N150" i="7"/>
  <c r="N154" i="7"/>
  <c r="L57" i="7"/>
  <c r="I151" i="7"/>
  <c r="H123" i="7"/>
  <c r="J120" i="7"/>
  <c r="L117" i="7"/>
  <c r="H115" i="7"/>
  <c r="J112" i="7"/>
  <c r="L109" i="7"/>
  <c r="H107" i="7"/>
  <c r="C44" i="17" s="1"/>
  <c r="J104" i="7"/>
  <c r="L101" i="7"/>
  <c r="H99" i="7"/>
  <c r="J96" i="7"/>
  <c r="L93" i="7"/>
  <c r="H91" i="7"/>
  <c r="J88" i="7"/>
  <c r="L85" i="7"/>
  <c r="H83" i="7"/>
  <c r="J80" i="7"/>
  <c r="L77" i="7"/>
  <c r="H75" i="7"/>
  <c r="J72" i="7"/>
  <c r="L69" i="7"/>
  <c r="H67" i="7"/>
  <c r="J64" i="7"/>
  <c r="L61" i="7"/>
  <c r="H59" i="7"/>
  <c r="R155" i="7"/>
  <c r="Q151" i="7"/>
  <c r="P110" i="7"/>
  <c r="N89" i="7"/>
  <c r="O156" i="7"/>
  <c r="O146" i="7"/>
  <c r="O130" i="7"/>
  <c r="O152" i="7"/>
  <c r="O58" i="7"/>
  <c r="O60" i="7"/>
  <c r="O62" i="7"/>
  <c r="O64" i="7"/>
  <c r="O66" i="7"/>
  <c r="O68" i="7"/>
  <c r="O70" i="7"/>
  <c r="O72" i="7"/>
  <c r="O74" i="7"/>
  <c r="O76" i="7"/>
  <c r="O78" i="7"/>
  <c r="O80" i="7"/>
  <c r="O82" i="7"/>
  <c r="O84" i="7"/>
  <c r="O86" i="7"/>
  <c r="O88" i="7"/>
  <c r="O90" i="7"/>
  <c r="O92" i="7"/>
  <c r="O94" i="7"/>
  <c r="O96" i="7"/>
  <c r="O98" i="7"/>
  <c r="O100" i="7"/>
  <c r="O102" i="7"/>
  <c r="O104" i="7"/>
  <c r="O106" i="7"/>
  <c r="O108" i="7"/>
  <c r="O110" i="7"/>
  <c r="O112" i="7"/>
  <c r="O114" i="7"/>
  <c r="O116" i="7"/>
  <c r="O118" i="7"/>
  <c r="O120" i="7"/>
  <c r="O122" i="7"/>
  <c r="O124" i="7"/>
  <c r="O127" i="7"/>
  <c r="O63" i="7"/>
  <c r="O73" i="7"/>
  <c r="O77" i="7"/>
  <c r="O81" i="7"/>
  <c r="O85" i="7"/>
  <c r="O89" i="7"/>
  <c r="O93" i="7"/>
  <c r="O97" i="7"/>
  <c r="O101" i="7"/>
  <c r="O105" i="7"/>
  <c r="O109" i="7"/>
  <c r="O113" i="7"/>
  <c r="O117" i="7"/>
  <c r="O121" i="7"/>
  <c r="O126" i="7"/>
  <c r="O132" i="7"/>
  <c r="O133" i="7"/>
  <c r="O140" i="7"/>
  <c r="O61" i="7"/>
  <c r="O69" i="7"/>
  <c r="O134" i="7"/>
  <c r="O135" i="7"/>
  <c r="O141" i="7"/>
  <c r="O143" i="7"/>
  <c r="O145" i="7"/>
  <c r="O147" i="7"/>
  <c r="O149" i="7"/>
  <c r="O151" i="7"/>
  <c r="O153" i="7"/>
  <c r="O59" i="7"/>
  <c r="O67" i="7"/>
  <c r="O71" i="7"/>
  <c r="O75" i="7"/>
  <c r="O79" i="7"/>
  <c r="O83" i="7"/>
  <c r="O87" i="7"/>
  <c r="O91" i="7"/>
  <c r="O95" i="7"/>
  <c r="O99" i="7"/>
  <c r="O103" i="7"/>
  <c r="O107" i="7"/>
  <c r="K44" i="17" s="1"/>
  <c r="K45" i="17" s="1"/>
  <c r="K46" i="17" s="1"/>
  <c r="K47" i="17" s="1"/>
  <c r="O206" i="7" s="1"/>
  <c r="O111" i="7"/>
  <c r="O115" i="7"/>
  <c r="O119" i="7"/>
  <c r="O123" i="7"/>
  <c r="O128" i="7"/>
  <c r="O129" i="7"/>
  <c r="O136" i="7"/>
  <c r="O137" i="7"/>
  <c r="O157" i="7"/>
  <c r="O155" i="7"/>
  <c r="O142" i="7"/>
  <c r="O139" i="7"/>
  <c r="AL32" i="3" l="1"/>
  <c r="AM32" i="3"/>
  <c r="AL32" i="19"/>
  <c r="AN32" i="19" s="1"/>
  <c r="AM32" i="19"/>
  <c r="AO32" i="19" s="1"/>
  <c r="AP32" i="19" s="1"/>
  <c r="BJ32" i="19" s="1"/>
  <c r="AM32" i="18"/>
  <c r="AO32" i="18" s="1"/>
  <c r="AP32" i="18" s="1"/>
  <c r="BJ32" i="18" s="1"/>
  <c r="AL32" i="18"/>
  <c r="AN32" i="18" s="1"/>
  <c r="AL21" i="10"/>
  <c r="AH33" i="18"/>
  <c r="AK33" i="18" s="1"/>
  <c r="AH33" i="19"/>
  <c r="AK33" i="19" s="1"/>
  <c r="AH33" i="3"/>
  <c r="AK33" i="3" s="1"/>
  <c r="AS19" i="10"/>
  <c r="AR19" i="10"/>
  <c r="AU51" i="6"/>
  <c r="BG51" i="6"/>
  <c r="AF197" i="16"/>
  <c r="AG197" i="16"/>
  <c r="AE197" i="16"/>
  <c r="AH107" i="18" s="1"/>
  <c r="AK107" i="18" s="1"/>
  <c r="AH197" i="16"/>
  <c r="AI197" i="16"/>
  <c r="G202" i="16"/>
  <c r="H201" i="16"/>
  <c r="R201" i="16"/>
  <c r="S201" i="16" s="1"/>
  <c r="AL106" i="18"/>
  <c r="AM106" i="18"/>
  <c r="AC198" i="16"/>
  <c r="AD198" i="16" s="1"/>
  <c r="Y199" i="16"/>
  <c r="AB199" i="16"/>
  <c r="W199" i="16"/>
  <c r="Z199" i="16"/>
  <c r="X199" i="16"/>
  <c r="AA199" i="16"/>
  <c r="T200" i="16"/>
  <c r="V200" i="16"/>
  <c r="U200" i="16"/>
  <c r="CE120" i="16" s="1"/>
  <c r="CI52" i="6" s="1"/>
  <c r="P205" i="9"/>
  <c r="S205" i="9"/>
  <c r="Q205" i="9"/>
  <c r="AM105" i="18"/>
  <c r="AL105" i="18"/>
  <c r="K206" i="9"/>
  <c r="AJ196" i="16"/>
  <c r="AE32" i="19"/>
  <c r="AF32" i="19" s="1"/>
  <c r="BC32" i="19" s="1"/>
  <c r="AE32" i="18"/>
  <c r="AF32" i="18" s="1"/>
  <c r="BC32" i="18" s="1"/>
  <c r="AB32" i="18"/>
  <c r="AD32" i="18" s="1"/>
  <c r="AN26" i="3"/>
  <c r="AO26" i="3"/>
  <c r="AP26" i="3" s="1"/>
  <c r="BJ26" i="3" s="1"/>
  <c r="P49" i="18"/>
  <c r="L49" i="18"/>
  <c r="E50" i="18"/>
  <c r="L49" i="19"/>
  <c r="P49" i="19"/>
  <c r="E50" i="19"/>
  <c r="D51" i="19"/>
  <c r="D51" i="18"/>
  <c r="H161" i="16"/>
  <c r="J127" i="17"/>
  <c r="K126" i="17"/>
  <c r="AB32" i="19"/>
  <c r="AD32" i="19" s="1"/>
  <c r="X33" i="19"/>
  <c r="AA33" i="19" s="1"/>
  <c r="AC33" i="19" s="1"/>
  <c r="H163" i="17"/>
  <c r="X33" i="18"/>
  <c r="AA33" i="18" s="1"/>
  <c r="AC33" i="18" s="1"/>
  <c r="AM21" i="10"/>
  <c r="U23" i="10"/>
  <c r="Q207" i="7"/>
  <c r="O207" i="7"/>
  <c r="R207" i="7"/>
  <c r="S207" i="7"/>
  <c r="P207" i="7"/>
  <c r="O101" i="3"/>
  <c r="R45" i="17"/>
  <c r="R46" i="17" s="1"/>
  <c r="R47" i="17" s="1"/>
  <c r="U206" i="7" s="1"/>
  <c r="H205" i="1"/>
  <c r="R205" i="1"/>
  <c r="E206" i="1"/>
  <c r="T45" i="17"/>
  <c r="T46" i="17" s="1"/>
  <c r="T47" i="17" s="1"/>
  <c r="Q45" i="17"/>
  <c r="W44" i="17"/>
  <c r="S45" i="17"/>
  <c r="S46" i="17" s="1"/>
  <c r="S47" i="17" s="1"/>
  <c r="V206" i="7" s="1"/>
  <c r="U45" i="17"/>
  <c r="U46" i="17" s="1"/>
  <c r="U47" i="17" s="1"/>
  <c r="X206" i="7" s="1"/>
  <c r="I44" i="17"/>
  <c r="C45" i="17"/>
  <c r="C46" i="17" s="1"/>
  <c r="C47" i="17" s="1"/>
  <c r="J45" i="17"/>
  <c r="P44" i="17"/>
  <c r="D45" i="17"/>
  <c r="D46" i="17" s="1"/>
  <c r="D47" i="17" s="1"/>
  <c r="I206" i="7" s="1"/>
  <c r="F45" i="17"/>
  <c r="F46" i="17" s="1"/>
  <c r="F47" i="17" s="1"/>
  <c r="K206" i="7" s="1"/>
  <c r="G45" i="17"/>
  <c r="G46" i="17" s="1"/>
  <c r="G47" i="17" s="1"/>
  <c r="L206" i="7" s="1"/>
  <c r="E45" i="17"/>
  <c r="E46" i="17" s="1"/>
  <c r="E47" i="17" s="1"/>
  <c r="J206" i="7" s="1"/>
  <c r="O172" i="7"/>
  <c r="R172" i="7"/>
  <c r="S172" i="7"/>
  <c r="Q172" i="7"/>
  <c r="P172" i="7"/>
  <c r="P173" i="7" s="1"/>
  <c r="AP20" i="10"/>
  <c r="S22" i="10"/>
  <c r="L64" i="4"/>
  <c r="T22" i="10" s="1"/>
  <c r="J65" i="4"/>
  <c r="AN21" i="10"/>
  <c r="X33" i="3"/>
  <c r="AK21" i="10"/>
  <c r="AO21" i="10"/>
  <c r="G86" i="4"/>
  <c r="D94" i="7"/>
  <c r="F86" i="4"/>
  <c r="C94" i="7"/>
  <c r="W42" i="10"/>
  <c r="X26" i="10"/>
  <c r="AA41" i="10"/>
  <c r="C160" i="1"/>
  <c r="R159" i="1"/>
  <c r="O56" i="3" s="1"/>
  <c r="H159" i="1"/>
  <c r="AE26" i="3"/>
  <c r="AF26" i="3" s="1"/>
  <c r="BC26" i="3" s="1"/>
  <c r="AD26" i="3"/>
  <c r="V23" i="10"/>
  <c r="Y22" i="10"/>
  <c r="D51" i="3"/>
  <c r="L40" i="10"/>
  <c r="P39" i="10"/>
  <c r="M53" i="10"/>
  <c r="M74" i="4"/>
  <c r="D31" i="10"/>
  <c r="Q74" i="4"/>
  <c r="H31" i="10"/>
  <c r="O74" i="4"/>
  <c r="F31" i="10"/>
  <c r="N74" i="4"/>
  <c r="E31" i="10"/>
  <c r="R74" i="4"/>
  <c r="I31" i="10"/>
  <c r="S74" i="4"/>
  <c r="J31" i="10"/>
  <c r="P74" i="4"/>
  <c r="G31" i="10"/>
  <c r="B45" i="8" s="1"/>
  <c r="C18" i="3"/>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57" i="7"/>
  <c r="AU25" i="3"/>
  <c r="AV25" i="3" s="1"/>
  <c r="AU19" i="3"/>
  <c r="AV19" i="3" s="1"/>
  <c r="B20" i="8"/>
  <c r="C47" i="7"/>
  <c r="C48" i="7"/>
  <c r="C49" i="7"/>
  <c r="C50" i="7"/>
  <c r="C51" i="7"/>
  <c r="D45" i="1"/>
  <c r="C46" i="7" s="1"/>
  <c r="D6" i="1"/>
  <c r="C4" i="7" s="1"/>
  <c r="C36" i="7"/>
  <c r="C26" i="7"/>
  <c r="C27" i="7"/>
  <c r="C28" i="7"/>
  <c r="C29" i="7"/>
  <c r="C30" i="7"/>
  <c r="C31" i="7"/>
  <c r="C32" i="7"/>
  <c r="C25" i="7"/>
  <c r="C11" i="7"/>
  <c r="C12" i="7"/>
  <c r="C10" i="7"/>
  <c r="C5" i="7"/>
  <c r="C6" i="7"/>
  <c r="C7" i="7"/>
  <c r="C8" i="7"/>
  <c r="B21" i="8"/>
  <c r="B22" i="8"/>
  <c r="B23" i="8"/>
  <c r="B24" i="8"/>
  <c r="B25" i="8"/>
  <c r="B26" i="8"/>
  <c r="B27" i="8"/>
  <c r="B28" i="8"/>
  <c r="B29" i="8"/>
  <c r="B30" i="8"/>
  <c r="B31" i="8"/>
  <c r="B32" i="8"/>
  <c r="B33" i="8"/>
  <c r="B34" i="8"/>
  <c r="B35" i="8"/>
  <c r="B36" i="8"/>
  <c r="B37" i="8"/>
  <c r="B38" i="8"/>
  <c r="B39" i="8"/>
  <c r="B40" i="8"/>
  <c r="B41" i="8"/>
  <c r="B42" i="8"/>
  <c r="B43" i="8"/>
  <c r="B44" i="8"/>
  <c r="AU56" i="3"/>
  <c r="AV56" i="3" s="1"/>
  <c r="AU55" i="3"/>
  <c r="AV55" i="3" s="1"/>
  <c r="AU54" i="3"/>
  <c r="AV54" i="3" s="1"/>
  <c r="AU53" i="3"/>
  <c r="AV53" i="3" s="1"/>
  <c r="AU52" i="3"/>
  <c r="AV52" i="3" s="1"/>
  <c r="AU51" i="3"/>
  <c r="AV51" i="3" s="1"/>
  <c r="AU50" i="3"/>
  <c r="AV50" i="3" s="1"/>
  <c r="AU49" i="3"/>
  <c r="AV49" i="3" s="1"/>
  <c r="AU48" i="3"/>
  <c r="AV48" i="3" s="1"/>
  <c r="AU47" i="3"/>
  <c r="AV47" i="3" s="1"/>
  <c r="AU46" i="3"/>
  <c r="AV46" i="3" s="1"/>
  <c r="AU45" i="3"/>
  <c r="AV45" i="3" s="1"/>
  <c r="AU44" i="3"/>
  <c r="AV44" i="3" s="1"/>
  <c r="AU43" i="3"/>
  <c r="AV43" i="3" s="1"/>
  <c r="AU42" i="3"/>
  <c r="AV42" i="3" s="1"/>
  <c r="AU41" i="3"/>
  <c r="AV41" i="3" s="1"/>
  <c r="AU40" i="3"/>
  <c r="AV40" i="3" s="1"/>
  <c r="AU39" i="3"/>
  <c r="AV39" i="3" s="1"/>
  <c r="AU38" i="3"/>
  <c r="AV38" i="3" s="1"/>
  <c r="AU37" i="3"/>
  <c r="AV37" i="3" s="1"/>
  <c r="AU36" i="3"/>
  <c r="AV36" i="3" s="1"/>
  <c r="AU35" i="3"/>
  <c r="AV35" i="3" s="1"/>
  <c r="AU34" i="3"/>
  <c r="AV34" i="3" s="1"/>
  <c r="AU33" i="3"/>
  <c r="AV33" i="3" s="1"/>
  <c r="AU32" i="3"/>
  <c r="AV32" i="3" s="1"/>
  <c r="AU31" i="3"/>
  <c r="AV31" i="3" s="1"/>
  <c r="AU30" i="3"/>
  <c r="AV30" i="3" s="1"/>
  <c r="AU29" i="3"/>
  <c r="AV29" i="3" s="1"/>
  <c r="AU28" i="3"/>
  <c r="AV28" i="3" s="1"/>
  <c r="AU27" i="3"/>
  <c r="AV27" i="3" s="1"/>
  <c r="AU26" i="3"/>
  <c r="AV26" i="3" s="1"/>
  <c r="AU24" i="3"/>
  <c r="AV24" i="3" s="1"/>
  <c r="AU23" i="3"/>
  <c r="AV23" i="3" s="1"/>
  <c r="AU22" i="3"/>
  <c r="AV22" i="3" s="1"/>
  <c r="AU21" i="3"/>
  <c r="AV21" i="3" s="1"/>
  <c r="AU20" i="3"/>
  <c r="AV20" i="3" s="1"/>
  <c r="AU18" i="3"/>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A48" i="4"/>
  <c r="A18" i="19" s="1"/>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B18" i="3"/>
  <c r="C10" i="8"/>
  <c r="D63" i="1"/>
  <c r="C11" i="8" s="1"/>
  <c r="C5" i="8"/>
  <c r="C9" i="8"/>
  <c r="D58" i="1"/>
  <c r="C6" i="8" s="1"/>
  <c r="C7" i="8"/>
  <c r="B18" i="8"/>
  <c r="C4" i="8"/>
  <c r="B32" i="3"/>
  <c r="O32" i="3"/>
  <c r="D96" i="1"/>
  <c r="D100" i="1"/>
  <c r="C9" i="3" s="1"/>
  <c r="B31" i="3"/>
  <c r="O31" i="3"/>
  <c r="B30" i="3"/>
  <c r="B29" i="3"/>
  <c r="O29" i="3"/>
  <c r="B28" i="3"/>
  <c r="O28" i="3"/>
  <c r="B27" i="3"/>
  <c r="O27" i="3"/>
  <c r="B26" i="3"/>
  <c r="B25" i="3"/>
  <c r="O25" i="3"/>
  <c r="B24" i="3"/>
  <c r="O24" i="3"/>
  <c r="B23" i="3"/>
  <c r="O23" i="3"/>
  <c r="B22" i="3"/>
  <c r="O22" i="3"/>
  <c r="B21" i="3"/>
  <c r="O21" i="3"/>
  <c r="B20" i="3"/>
  <c r="O20" i="3"/>
  <c r="B19" i="3"/>
  <c r="O18" i="3"/>
  <c r="C11" i="3"/>
  <c r="B33" i="3"/>
  <c r="O33" i="3"/>
  <c r="B34" i="3"/>
  <c r="B35" i="3"/>
  <c r="O35" i="3"/>
  <c r="B36" i="3"/>
  <c r="O36" i="3"/>
  <c r="B37" i="3"/>
  <c r="O37" i="3"/>
  <c r="B38" i="3"/>
  <c r="B39" i="3"/>
  <c r="O39" i="3"/>
  <c r="B40" i="3"/>
  <c r="O40" i="3"/>
  <c r="B41" i="3"/>
  <c r="O41" i="3"/>
  <c r="B42" i="3"/>
  <c r="B43" i="3"/>
  <c r="O43" i="3"/>
  <c r="B44" i="3"/>
  <c r="O44" i="3"/>
  <c r="B45" i="3"/>
  <c r="O45" i="3"/>
  <c r="B46" i="3"/>
  <c r="O46" i="3"/>
  <c r="B47" i="3"/>
  <c r="O47" i="3"/>
  <c r="B48" i="3"/>
  <c r="O48" i="3"/>
  <c r="B49" i="3"/>
  <c r="O49" i="3"/>
  <c r="B50" i="3"/>
  <c r="O50" i="3"/>
  <c r="B51" i="3"/>
  <c r="O51" i="3"/>
  <c r="B52" i="3"/>
  <c r="O52" i="3"/>
  <c r="B53" i="3"/>
  <c r="O53" i="3"/>
  <c r="B54" i="3"/>
  <c r="O54" i="3"/>
  <c r="B55" i="3"/>
  <c r="O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T49" i="4"/>
  <c r="T50" i="4"/>
  <c r="T51" i="4"/>
  <c r="T52" i="4"/>
  <c r="T53" i="4"/>
  <c r="T54" i="4"/>
  <c r="T55" i="4"/>
  <c r="T56" i="4"/>
  <c r="T57" i="4"/>
  <c r="T58" i="4"/>
  <c r="T59" i="4"/>
  <c r="T60" i="4"/>
  <c r="T61" i="4"/>
  <c r="T62" i="4"/>
  <c r="T63" i="4"/>
  <c r="T64" i="4"/>
  <c r="T65" i="4"/>
  <c r="T66" i="4"/>
  <c r="T67" i="4"/>
  <c r="T68" i="4"/>
  <c r="T69" i="4"/>
  <c r="T70" i="4"/>
  <c r="T71" i="4"/>
  <c r="T72" i="4"/>
  <c r="T73" i="4"/>
  <c r="T48" i="4"/>
  <c r="B23" i="2"/>
  <c r="B21" i="2"/>
  <c r="D51" i="1"/>
  <c r="C52" i="7" s="1"/>
  <c r="D36" i="1"/>
  <c r="C37" i="7" s="1"/>
  <c r="D37" i="1"/>
  <c r="C38" i="7" s="1"/>
  <c r="D38" i="1"/>
  <c r="C39" i="7" s="1"/>
  <c r="D39" i="1"/>
  <c r="C40" i="7" s="1"/>
  <c r="D40" i="1"/>
  <c r="C41" i="7" s="1"/>
  <c r="D41" i="1"/>
  <c r="C42" i="7" s="1"/>
  <c r="AM22" i="10" l="1"/>
  <c r="AH34" i="18"/>
  <c r="AK34" i="18" s="1"/>
  <c r="AH34" i="19"/>
  <c r="AK34" i="19" s="1"/>
  <c r="AH34" i="3"/>
  <c r="AK34" i="3" s="1"/>
  <c r="AL33" i="3"/>
  <c r="AM33" i="3"/>
  <c r="AL33" i="19"/>
  <c r="AN33" i="19" s="1"/>
  <c r="AM33" i="19"/>
  <c r="AO33" i="19" s="1"/>
  <c r="AP33" i="19" s="1"/>
  <c r="BJ33" i="19" s="1"/>
  <c r="AR20" i="10"/>
  <c r="AS20" i="10"/>
  <c r="AM33" i="18"/>
  <c r="AO33" i="18" s="1"/>
  <c r="AP33" i="18" s="1"/>
  <c r="BJ33" i="18" s="1"/>
  <c r="AL33" i="18"/>
  <c r="AN33" i="18" s="1"/>
  <c r="AE33" i="18"/>
  <c r="AF33" i="18" s="1"/>
  <c r="BC33" i="18" s="1"/>
  <c r="AU52" i="6"/>
  <c r="BG52" i="6"/>
  <c r="AJ197" i="16"/>
  <c r="AF198" i="16"/>
  <c r="AI198" i="16"/>
  <c r="AG198" i="16"/>
  <c r="AE198" i="16"/>
  <c r="AH108" i="18" s="1"/>
  <c r="AK108" i="18" s="1"/>
  <c r="AL108" i="18" s="1"/>
  <c r="S206" i="9"/>
  <c r="Q206" i="9"/>
  <c r="P206" i="9"/>
  <c r="Y200" i="16"/>
  <c r="AB200" i="16"/>
  <c r="W200" i="16"/>
  <c r="Z200" i="16"/>
  <c r="X200" i="16"/>
  <c r="AA200" i="16"/>
  <c r="AC199" i="16"/>
  <c r="AD199" i="16" s="1"/>
  <c r="K207" i="9"/>
  <c r="G203" i="16"/>
  <c r="H202" i="16"/>
  <c r="R202" i="16"/>
  <c r="S202" i="16" s="1"/>
  <c r="AM107" i="18"/>
  <c r="AL107" i="18"/>
  <c r="T201" i="16"/>
  <c r="V201" i="16"/>
  <c r="U201" i="16"/>
  <c r="CE121" i="16" s="1"/>
  <c r="CI53" i="6" s="1"/>
  <c r="AH198" i="16"/>
  <c r="AO27" i="3"/>
  <c r="AP27" i="3" s="1"/>
  <c r="BJ27" i="3" s="1"/>
  <c r="AN27" i="3"/>
  <c r="K188" i="11"/>
  <c r="H45" i="8"/>
  <c r="AB33" i="18"/>
  <c r="AD33" i="18" s="1"/>
  <c r="E51" i="19"/>
  <c r="P50" i="19"/>
  <c r="L50" i="19"/>
  <c r="D52" i="19"/>
  <c r="D52" i="18"/>
  <c r="J128" i="17"/>
  <c r="K127" i="17"/>
  <c r="H162" i="16"/>
  <c r="AE33" i="19"/>
  <c r="AF33" i="19" s="1"/>
  <c r="BC33" i="19" s="1"/>
  <c r="L50" i="18"/>
  <c r="P50" i="18"/>
  <c r="E51" i="18"/>
  <c r="AB33" i="19"/>
  <c r="AD33" i="19" s="1"/>
  <c r="X34" i="18"/>
  <c r="AA34" i="18" s="1"/>
  <c r="AB34" i="18" s="1"/>
  <c r="AD34" i="18" s="1"/>
  <c r="X34" i="19"/>
  <c r="AA34" i="19" s="1"/>
  <c r="AC34" i="19" s="1"/>
  <c r="H164" i="17"/>
  <c r="U24" i="10"/>
  <c r="I207" i="7"/>
  <c r="P208" i="7"/>
  <c r="R208" i="7"/>
  <c r="E214" i="7"/>
  <c r="G214" i="7" s="1"/>
  <c r="AE214" i="7" s="1"/>
  <c r="E216" i="7"/>
  <c r="G216" i="7" s="1"/>
  <c r="AE216" i="7" s="1"/>
  <c r="E200" i="7"/>
  <c r="G200" i="7" s="1"/>
  <c r="E223" i="7"/>
  <c r="G223" i="7" s="1"/>
  <c r="E207" i="7"/>
  <c r="G207" i="7" s="1"/>
  <c r="AJ207" i="7" s="1"/>
  <c r="E225" i="7"/>
  <c r="G225" i="7" s="1"/>
  <c r="E204" i="7"/>
  <c r="G204" i="7" s="1"/>
  <c r="AA204" i="7" s="1"/>
  <c r="E219" i="7"/>
  <c r="G219" i="7" s="1"/>
  <c r="AE219" i="7" s="1"/>
  <c r="E213" i="7"/>
  <c r="G213" i="7" s="1"/>
  <c r="AE213" i="7" s="1"/>
  <c r="E197" i="7"/>
  <c r="G197" i="7" s="1"/>
  <c r="AA197" i="7" s="1"/>
  <c r="E211" i="7"/>
  <c r="G211" i="7" s="1"/>
  <c r="E195" i="7"/>
  <c r="G195" i="7" s="1"/>
  <c r="AA195" i="7" s="1"/>
  <c r="E218" i="7"/>
  <c r="G218" i="7" s="1"/>
  <c r="AE218" i="7" s="1"/>
  <c r="E202" i="7"/>
  <c r="G202" i="7" s="1"/>
  <c r="AA202" i="7" s="1"/>
  <c r="E220" i="7"/>
  <c r="G220" i="7" s="1"/>
  <c r="E201" i="7"/>
  <c r="G201" i="7" s="1"/>
  <c r="AA201" i="7" s="1"/>
  <c r="E198" i="7"/>
  <c r="G198" i="7" s="1"/>
  <c r="AA198" i="7" s="1"/>
  <c r="E224" i="7"/>
  <c r="G224" i="7" s="1"/>
  <c r="AE224" i="7" s="1"/>
  <c r="E206" i="7"/>
  <c r="G206" i="7" s="1"/>
  <c r="AB206" i="7" s="1"/>
  <c r="E209" i="7"/>
  <c r="G209" i="7" s="1"/>
  <c r="E208" i="7"/>
  <c r="G208" i="7" s="1"/>
  <c r="E215" i="7"/>
  <c r="G215" i="7" s="1"/>
  <c r="E199" i="7"/>
  <c r="G199" i="7" s="1"/>
  <c r="AA199" i="7" s="1"/>
  <c r="E217" i="7"/>
  <c r="G217" i="7" s="1"/>
  <c r="E196" i="7"/>
  <c r="G196" i="7" s="1"/>
  <c r="AA196" i="7" s="1"/>
  <c r="E221" i="7"/>
  <c r="G221" i="7" s="1"/>
  <c r="AE221" i="7" s="1"/>
  <c r="E205" i="7"/>
  <c r="G205" i="7" s="1"/>
  <c r="AA205" i="7" s="1"/>
  <c r="E203" i="7"/>
  <c r="G203" i="7" s="1"/>
  <c r="AA203" i="7" s="1"/>
  <c r="E226" i="7"/>
  <c r="G226" i="7" s="1"/>
  <c r="AE226" i="7" s="1"/>
  <c r="E210" i="7"/>
  <c r="G210" i="7" s="1"/>
  <c r="AE210" i="7" s="1"/>
  <c r="E194" i="7"/>
  <c r="G194" i="7" s="1"/>
  <c r="AA194" i="7" s="1"/>
  <c r="E212" i="7"/>
  <c r="G212" i="7" s="1"/>
  <c r="AE212" i="7" s="1"/>
  <c r="E222" i="7"/>
  <c r="G222" i="7" s="1"/>
  <c r="AE222" i="7" s="1"/>
  <c r="J207" i="7"/>
  <c r="X207" i="7"/>
  <c r="W206" i="7"/>
  <c r="U207" i="7"/>
  <c r="Q208" i="7"/>
  <c r="AW223" i="7"/>
  <c r="AW198" i="7"/>
  <c r="AW217" i="7"/>
  <c r="AW201" i="7"/>
  <c r="AW215" i="7"/>
  <c r="AW199" i="7"/>
  <c r="AW214" i="7"/>
  <c r="AW200" i="7"/>
  <c r="AW205" i="7"/>
  <c r="AW226" i="7"/>
  <c r="AW210" i="7"/>
  <c r="AW194" i="7"/>
  <c r="AW212" i="7"/>
  <c r="AW196" i="7"/>
  <c r="AW197" i="7"/>
  <c r="AW209" i="7"/>
  <c r="AW211" i="7"/>
  <c r="AW222" i="7"/>
  <c r="AW225" i="7"/>
  <c r="AW224" i="7"/>
  <c r="AW207" i="7"/>
  <c r="AW195" i="7"/>
  <c r="AW206" i="7"/>
  <c r="AW221" i="7"/>
  <c r="AW213" i="7"/>
  <c r="AW218" i="7"/>
  <c r="AW202" i="7"/>
  <c r="AW220" i="7"/>
  <c r="AW204" i="7"/>
  <c r="AW219" i="7"/>
  <c r="AW216" i="7"/>
  <c r="AW203" i="7"/>
  <c r="AW208" i="7"/>
  <c r="L207" i="7"/>
  <c r="V207" i="7"/>
  <c r="S208" i="7"/>
  <c r="O208" i="7"/>
  <c r="AE208" i="7"/>
  <c r="AE209" i="7"/>
  <c r="AE211" i="7"/>
  <c r="AE215" i="7"/>
  <c r="AE217" i="7"/>
  <c r="AE220" i="7"/>
  <c r="AE223" i="7"/>
  <c r="AE225" i="7"/>
  <c r="K207" i="7"/>
  <c r="I47" i="17"/>
  <c r="H206" i="7"/>
  <c r="A6" i="10"/>
  <c r="AC6" i="10" s="1"/>
  <c r="A18" i="18"/>
  <c r="O102" i="3"/>
  <c r="R206" i="1"/>
  <c r="H206" i="1"/>
  <c r="E207" i="1"/>
  <c r="D51" i="17"/>
  <c r="I45" i="17"/>
  <c r="Q46" i="17"/>
  <c r="W45" i="17"/>
  <c r="J46" i="17"/>
  <c r="P45" i="17"/>
  <c r="E158" i="7"/>
  <c r="G158" i="7" s="1"/>
  <c r="E126" i="7"/>
  <c r="G126" i="7" s="1"/>
  <c r="C19" i="7"/>
  <c r="E189" i="7"/>
  <c r="G189" i="7" s="1"/>
  <c r="AE189" i="7" s="1"/>
  <c r="E181" i="7"/>
  <c r="G181" i="7" s="1"/>
  <c r="AE181" i="7" s="1"/>
  <c r="E177" i="7"/>
  <c r="G177" i="7" s="1"/>
  <c r="AE177" i="7" s="1"/>
  <c r="E169" i="7"/>
  <c r="G169" i="7" s="1"/>
  <c r="AH169" i="7" s="1"/>
  <c r="E165" i="7"/>
  <c r="G165" i="7" s="1"/>
  <c r="AH165" i="7" s="1"/>
  <c r="E161" i="7"/>
  <c r="G161" i="7" s="1"/>
  <c r="AO161" i="7" s="1"/>
  <c r="E185" i="7"/>
  <c r="G185" i="7" s="1"/>
  <c r="AE185" i="7" s="1"/>
  <c r="E163" i="7"/>
  <c r="G163" i="7" s="1"/>
  <c r="AA163" i="7" s="1"/>
  <c r="E187" i="7"/>
  <c r="G187" i="7" s="1"/>
  <c r="AE187" i="7" s="1"/>
  <c r="E178" i="7"/>
  <c r="G178" i="7" s="1"/>
  <c r="AE178" i="7" s="1"/>
  <c r="E172" i="7"/>
  <c r="G172" i="7" s="1"/>
  <c r="AI172" i="7" s="1"/>
  <c r="E162" i="7"/>
  <c r="G162" i="7" s="1"/>
  <c r="E179" i="7"/>
  <c r="G179" i="7" s="1"/>
  <c r="AE179" i="7" s="1"/>
  <c r="E183" i="7"/>
  <c r="G183" i="7" s="1"/>
  <c r="AE183" i="7" s="1"/>
  <c r="E180" i="7"/>
  <c r="G180" i="7" s="1"/>
  <c r="AE180" i="7" s="1"/>
  <c r="E184" i="7"/>
  <c r="G184" i="7" s="1"/>
  <c r="AE184" i="7" s="1"/>
  <c r="E160" i="7"/>
  <c r="G160" i="7" s="1"/>
  <c r="AJ160" i="7" s="1"/>
  <c r="E167" i="7"/>
  <c r="G167" i="7" s="1"/>
  <c r="AO167" i="7" s="1"/>
  <c r="E175" i="7"/>
  <c r="G175" i="7" s="1"/>
  <c r="AE175" i="7" s="1"/>
  <c r="E182" i="7"/>
  <c r="G182" i="7" s="1"/>
  <c r="E171" i="7"/>
  <c r="G171" i="7" s="1"/>
  <c r="E174" i="7"/>
  <c r="G174" i="7" s="1"/>
  <c r="AE174" i="7" s="1"/>
  <c r="E168" i="7"/>
  <c r="G168" i="7" s="1"/>
  <c r="AH168" i="7" s="1"/>
  <c r="E173" i="7"/>
  <c r="G173" i="7" s="1"/>
  <c r="AE173" i="7" s="1"/>
  <c r="E176" i="7"/>
  <c r="G176" i="7" s="1"/>
  <c r="E170" i="7"/>
  <c r="G170" i="7" s="1"/>
  <c r="AO170" i="7" s="1"/>
  <c r="E166" i="7"/>
  <c r="G166" i="7" s="1"/>
  <c r="AO166" i="7" s="1"/>
  <c r="E188" i="7"/>
  <c r="G188" i="7" s="1"/>
  <c r="AE188" i="7" s="1"/>
  <c r="E191" i="7"/>
  <c r="G191" i="7" s="1"/>
  <c r="E186" i="7"/>
  <c r="G186" i="7" s="1"/>
  <c r="E190" i="7"/>
  <c r="G190" i="7" s="1"/>
  <c r="AE190" i="7" s="1"/>
  <c r="E164" i="7"/>
  <c r="G164" i="7" s="1"/>
  <c r="AL164" i="7" s="1"/>
  <c r="E192" i="7"/>
  <c r="G192" i="7" s="1"/>
  <c r="P158" i="7"/>
  <c r="S158" i="7"/>
  <c r="O158" i="7"/>
  <c r="AL169" i="7"/>
  <c r="AA170" i="7"/>
  <c r="AO162" i="7"/>
  <c r="Q158" i="7"/>
  <c r="R158" i="7"/>
  <c r="Q173" i="7"/>
  <c r="R173" i="7"/>
  <c r="AA162" i="7"/>
  <c r="AW185" i="7"/>
  <c r="AW182" i="7"/>
  <c r="AW177" i="7"/>
  <c r="AW169" i="7"/>
  <c r="AW189" i="7"/>
  <c r="AW181" i="7"/>
  <c r="AW188" i="7"/>
  <c r="AW161" i="7"/>
  <c r="AW187" i="7"/>
  <c r="AW165" i="7"/>
  <c r="AW172" i="7"/>
  <c r="AW167" i="7"/>
  <c r="AW171" i="7"/>
  <c r="AW162" i="7"/>
  <c r="AW164" i="7"/>
  <c r="AW168" i="7"/>
  <c r="AW176" i="7"/>
  <c r="AW170" i="7"/>
  <c r="AW186" i="7"/>
  <c r="AW190" i="7"/>
  <c r="AW184" i="7"/>
  <c r="AW173" i="7"/>
  <c r="AW178" i="7"/>
  <c r="AW180" i="7"/>
  <c r="AW191" i="7"/>
  <c r="AW163" i="7"/>
  <c r="AW183" i="7"/>
  <c r="AW174" i="7"/>
  <c r="AW192" i="7"/>
  <c r="AW179" i="7"/>
  <c r="AW175" i="7"/>
  <c r="AW166" i="7"/>
  <c r="AW160" i="7"/>
  <c r="W172" i="7"/>
  <c r="W173" i="7" s="1"/>
  <c r="W174" i="7" s="1"/>
  <c r="W175" i="7" s="1"/>
  <c r="W176" i="7" s="1"/>
  <c r="W177" i="7" s="1"/>
  <c r="W178" i="7" s="1"/>
  <c r="W179" i="7" s="1"/>
  <c r="W180" i="7" s="1"/>
  <c r="W181" i="7" s="1"/>
  <c r="W182" i="7" s="1"/>
  <c r="W183" i="7" s="1"/>
  <c r="W184" i="7" s="1"/>
  <c r="W185" i="7" s="1"/>
  <c r="W186" i="7" s="1"/>
  <c r="W187" i="7" s="1"/>
  <c r="W188" i="7" s="1"/>
  <c r="W189" i="7" s="1"/>
  <c r="W190" i="7" s="1"/>
  <c r="W191" i="7" s="1"/>
  <c r="W192" i="7" s="1"/>
  <c r="P174" i="7"/>
  <c r="AI173" i="7"/>
  <c r="K172" i="7"/>
  <c r="S173" i="7"/>
  <c r="O173" i="7"/>
  <c r="AL166" i="7"/>
  <c r="V158" i="7"/>
  <c r="W158" i="7"/>
  <c r="T158" i="7"/>
  <c r="N158" i="7"/>
  <c r="I172" i="7"/>
  <c r="U158" i="7"/>
  <c r="X158" i="7"/>
  <c r="H158" i="7"/>
  <c r="V172" i="7"/>
  <c r="L172" i="7"/>
  <c r="X172" i="7"/>
  <c r="X173" i="7" s="1"/>
  <c r="X174" i="7" s="1"/>
  <c r="X175" i="7" s="1"/>
  <c r="X176" i="7" s="1"/>
  <c r="X177" i="7" s="1"/>
  <c r="X178" i="7" s="1"/>
  <c r="X179" i="7" s="1"/>
  <c r="X180" i="7" s="1"/>
  <c r="X181" i="7" s="1"/>
  <c r="X182" i="7" s="1"/>
  <c r="X183" i="7" s="1"/>
  <c r="X184" i="7" s="1"/>
  <c r="X185" i="7" s="1"/>
  <c r="X186" i="7" s="1"/>
  <c r="X187" i="7" s="1"/>
  <c r="X188" i="7" s="1"/>
  <c r="X189" i="7" s="1"/>
  <c r="X190" i="7" s="1"/>
  <c r="X191" i="7" s="1"/>
  <c r="X192" i="7" s="1"/>
  <c r="J172" i="7"/>
  <c r="AP21" i="10"/>
  <c r="AL22" i="10"/>
  <c r="S23" i="10"/>
  <c r="L65" i="4"/>
  <c r="T23" i="10" s="1"/>
  <c r="J66" i="4"/>
  <c r="AN22" i="10"/>
  <c r="AK22" i="10"/>
  <c r="X34" i="3"/>
  <c r="AO22" i="10"/>
  <c r="E19" i="7"/>
  <c r="G19" i="7"/>
  <c r="D19" i="7"/>
  <c r="H19" i="7"/>
  <c r="F19" i="7"/>
  <c r="K27" i="10"/>
  <c r="S34" i="9"/>
  <c r="P34" i="9"/>
  <c r="Q34" i="9"/>
  <c r="K19" i="10"/>
  <c r="S26" i="9"/>
  <c r="P26" i="9"/>
  <c r="Q26" i="9"/>
  <c r="K11" i="10"/>
  <c r="P18" i="9"/>
  <c r="S18" i="9"/>
  <c r="Q18" i="9"/>
  <c r="K26" i="10"/>
  <c r="S33" i="9"/>
  <c r="P33" i="9"/>
  <c r="Q33" i="9"/>
  <c r="K18" i="10"/>
  <c r="Q25" i="9"/>
  <c r="S25" i="9"/>
  <c r="P25" i="9"/>
  <c r="K10" i="10"/>
  <c r="P17" i="9"/>
  <c r="S17" i="9"/>
  <c r="Q17" i="9"/>
  <c r="F87" i="4"/>
  <c r="C95" i="7"/>
  <c r="K29" i="10"/>
  <c r="P36" i="9"/>
  <c r="S36" i="9"/>
  <c r="Q36" i="9"/>
  <c r="K25" i="10"/>
  <c r="S32" i="9"/>
  <c r="P32" i="9"/>
  <c r="Q32" i="9"/>
  <c r="K21" i="10"/>
  <c r="Q28" i="9"/>
  <c r="S28" i="9"/>
  <c r="P28" i="9"/>
  <c r="K17" i="10"/>
  <c r="S24" i="9"/>
  <c r="P24" i="9"/>
  <c r="Q24" i="9"/>
  <c r="K13" i="10"/>
  <c r="P20" i="9"/>
  <c r="S20" i="9"/>
  <c r="Q20" i="9"/>
  <c r="K9" i="10"/>
  <c r="P16" i="9"/>
  <c r="S16" i="9"/>
  <c r="Q16" i="9"/>
  <c r="K31" i="10"/>
  <c r="P38" i="9"/>
  <c r="S38" i="9"/>
  <c r="Q38" i="9"/>
  <c r="K23" i="10"/>
  <c r="Q30" i="9"/>
  <c r="P30" i="9"/>
  <c r="S30" i="9"/>
  <c r="K15" i="10"/>
  <c r="S22" i="9"/>
  <c r="Q22" i="9"/>
  <c r="P22" i="9"/>
  <c r="K7" i="10"/>
  <c r="Q14" i="9"/>
  <c r="P14" i="9"/>
  <c r="S14" i="9"/>
  <c r="K30" i="10"/>
  <c r="Q37" i="9"/>
  <c r="P37" i="9"/>
  <c r="S37" i="9"/>
  <c r="K22" i="10"/>
  <c r="S29" i="9"/>
  <c r="P29" i="9"/>
  <c r="Q29" i="9"/>
  <c r="K14" i="10"/>
  <c r="S21" i="9"/>
  <c r="P21" i="9"/>
  <c r="Q21" i="9"/>
  <c r="K6" i="10"/>
  <c r="S13" i="9"/>
  <c r="Q13" i="9"/>
  <c r="P13" i="9"/>
  <c r="K28" i="10"/>
  <c r="Q35" i="9"/>
  <c r="P35" i="9"/>
  <c r="S35" i="9"/>
  <c r="K24" i="10"/>
  <c r="P31" i="9"/>
  <c r="S31" i="9"/>
  <c r="Q31" i="9"/>
  <c r="K20" i="10"/>
  <c r="P27" i="9"/>
  <c r="S27" i="9"/>
  <c r="Q27" i="9"/>
  <c r="K16" i="10"/>
  <c r="S23" i="9"/>
  <c r="Q23" i="9"/>
  <c r="P23" i="9"/>
  <c r="K12" i="10"/>
  <c r="P19" i="9"/>
  <c r="S19" i="9"/>
  <c r="Q19" i="9"/>
  <c r="K8" i="10"/>
  <c r="P15" i="9"/>
  <c r="S15" i="9"/>
  <c r="Q15" i="9"/>
  <c r="G87" i="4"/>
  <c r="D95" i="7"/>
  <c r="AA42" i="10"/>
  <c r="X27" i="10"/>
  <c r="W43" i="10"/>
  <c r="C161" i="1"/>
  <c r="R160" i="1"/>
  <c r="H160" i="1"/>
  <c r="AD27" i="3"/>
  <c r="AE27" i="3"/>
  <c r="AF27" i="3" s="1"/>
  <c r="BC27" i="3" s="1"/>
  <c r="N18" i="3"/>
  <c r="Q18" i="3" s="1"/>
  <c r="D52" i="3"/>
  <c r="L41" i="10"/>
  <c r="P40" i="10"/>
  <c r="V24" i="10"/>
  <c r="Y23" i="10"/>
  <c r="O42" i="3"/>
  <c r="O38" i="3"/>
  <c r="O34" i="3"/>
  <c r="O26" i="3"/>
  <c r="O30" i="3"/>
  <c r="O19" i="3"/>
  <c r="AW18" i="3"/>
  <c r="AY18" i="3" s="1"/>
  <c r="AZ18" i="3" s="1"/>
  <c r="AV18" i="3"/>
  <c r="AX18" i="3" s="1"/>
  <c r="D101" i="1"/>
  <c r="D97" i="1"/>
  <c r="C6" i="3" s="1"/>
  <c r="T74" i="4"/>
  <c r="M54" i="10"/>
  <c r="S75" i="4"/>
  <c r="J32" i="10"/>
  <c r="N75" i="4"/>
  <c r="E32" i="10"/>
  <c r="Q75" i="4"/>
  <c r="H32" i="10"/>
  <c r="K49" i="4"/>
  <c r="B7" i="10"/>
  <c r="P75" i="4"/>
  <c r="G32" i="10"/>
  <c r="B46" i="8" s="1"/>
  <c r="R75" i="4"/>
  <c r="I32" i="10"/>
  <c r="O75" i="4"/>
  <c r="F32" i="10"/>
  <c r="M75" i="4"/>
  <c r="D32" i="10"/>
  <c r="D99" i="1"/>
  <c r="C8" i="3" s="1"/>
  <c r="C5" i="3"/>
  <c r="Q20" i="8"/>
  <c r="AW154" i="7"/>
  <c r="AW146" i="7"/>
  <c r="AW134" i="7"/>
  <c r="AW126" i="7"/>
  <c r="AW117" i="7"/>
  <c r="K20" i="6" s="1"/>
  <c r="AW113" i="7"/>
  <c r="K16" i="6" s="1"/>
  <c r="AW157" i="7"/>
  <c r="AW153" i="7"/>
  <c r="AW149" i="7"/>
  <c r="AW145" i="7"/>
  <c r="AW141" i="7"/>
  <c r="AW137" i="7"/>
  <c r="AW129" i="7"/>
  <c r="AW124" i="7"/>
  <c r="K27" i="6" s="1"/>
  <c r="I23" i="23" s="1"/>
  <c r="AW120" i="7"/>
  <c r="K23" i="6" s="1"/>
  <c r="E23" i="23" s="1"/>
  <c r="AW116" i="7"/>
  <c r="K19" i="6" s="1"/>
  <c r="AW112" i="7"/>
  <c r="K15" i="6" s="1"/>
  <c r="AW108" i="7"/>
  <c r="K11" i="6" s="1"/>
  <c r="AW138" i="7"/>
  <c r="AW133" i="7"/>
  <c r="AW156" i="7"/>
  <c r="AW152" i="7"/>
  <c r="AW148" i="7"/>
  <c r="AW144" i="7"/>
  <c r="AW140" i="7"/>
  <c r="AW136" i="7"/>
  <c r="AW132" i="7"/>
  <c r="AW128" i="7"/>
  <c r="AW123" i="7"/>
  <c r="K26" i="6" s="1"/>
  <c r="H23" i="23" s="1"/>
  <c r="AW119" i="7"/>
  <c r="K22" i="6" s="1"/>
  <c r="D23" i="23" s="1"/>
  <c r="AW115" i="7"/>
  <c r="K18" i="6" s="1"/>
  <c r="AW111" i="7"/>
  <c r="K14" i="6" s="1"/>
  <c r="AW107" i="7"/>
  <c r="K10" i="6" s="1"/>
  <c r="AW158" i="7"/>
  <c r="AW150" i="7"/>
  <c r="AW142" i="7"/>
  <c r="AW130" i="7"/>
  <c r="AW121" i="7"/>
  <c r="K24" i="6" s="1"/>
  <c r="F23" i="23" s="1"/>
  <c r="AW109" i="7"/>
  <c r="K12" i="6" s="1"/>
  <c r="AW155" i="7"/>
  <c r="AW151" i="7"/>
  <c r="AW147" i="7"/>
  <c r="AW143" i="7"/>
  <c r="AW139" i="7"/>
  <c r="AW135" i="7"/>
  <c r="AW131" i="7"/>
  <c r="AW127" i="7"/>
  <c r="AW122" i="7"/>
  <c r="K25" i="6" s="1"/>
  <c r="G23" i="23" s="1"/>
  <c r="AW118" i="7"/>
  <c r="K21" i="6" s="1"/>
  <c r="AW114" i="7"/>
  <c r="K17" i="6" s="1"/>
  <c r="AW110" i="7"/>
  <c r="K13" i="6" s="1"/>
  <c r="E146" i="7"/>
  <c r="G146" i="7" s="1"/>
  <c r="AL146" i="7" s="1"/>
  <c r="E138" i="7"/>
  <c r="G138" i="7" s="1"/>
  <c r="AL138" i="7" s="1"/>
  <c r="E130" i="7"/>
  <c r="G130" i="7" s="1"/>
  <c r="E117" i="7"/>
  <c r="G117" i="7" s="1"/>
  <c r="E113" i="7"/>
  <c r="G113" i="7" s="1"/>
  <c r="AL113" i="7" s="1"/>
  <c r="E157" i="7"/>
  <c r="G157" i="7" s="1"/>
  <c r="AL157" i="7" s="1"/>
  <c r="E153" i="7"/>
  <c r="G153" i="7" s="1"/>
  <c r="AL153" i="7" s="1"/>
  <c r="E149" i="7"/>
  <c r="G149" i="7" s="1"/>
  <c r="E145" i="7"/>
  <c r="G145" i="7" s="1"/>
  <c r="E141" i="7"/>
  <c r="G141" i="7" s="1"/>
  <c r="E137" i="7"/>
  <c r="G137" i="7" s="1"/>
  <c r="E133" i="7"/>
  <c r="G133" i="7" s="1"/>
  <c r="AH133" i="7" s="1"/>
  <c r="E129" i="7"/>
  <c r="G129" i="7" s="1"/>
  <c r="E124" i="7"/>
  <c r="G124" i="7" s="1"/>
  <c r="AD124" i="7" s="1"/>
  <c r="E120" i="7"/>
  <c r="G120" i="7" s="1"/>
  <c r="E116" i="7"/>
  <c r="G116" i="7" s="1"/>
  <c r="AE116" i="7" s="1"/>
  <c r="E112" i="7"/>
  <c r="G112" i="7" s="1"/>
  <c r="AK112" i="7" s="1"/>
  <c r="E108" i="7"/>
  <c r="G108" i="7" s="1"/>
  <c r="AP108" i="7" s="1"/>
  <c r="E150" i="7"/>
  <c r="G150" i="7" s="1"/>
  <c r="E142" i="7"/>
  <c r="G142" i="7" s="1"/>
  <c r="AA142" i="7" s="1"/>
  <c r="E134" i="7"/>
  <c r="G134" i="7" s="1"/>
  <c r="E121" i="7"/>
  <c r="G121" i="7" s="1"/>
  <c r="AE121" i="7" s="1"/>
  <c r="E109" i="7"/>
  <c r="G109" i="7" s="1"/>
  <c r="AE109" i="7" s="1"/>
  <c r="E156" i="7"/>
  <c r="G156" i="7" s="1"/>
  <c r="E152" i="7"/>
  <c r="G152" i="7" s="1"/>
  <c r="E148" i="7"/>
  <c r="G148" i="7" s="1"/>
  <c r="E144" i="7"/>
  <c r="G144" i="7" s="1"/>
  <c r="AH144" i="7" s="1"/>
  <c r="E140" i="7"/>
  <c r="G140" i="7" s="1"/>
  <c r="E136" i="7"/>
  <c r="G136" i="7" s="1"/>
  <c r="AL136" i="7" s="1"/>
  <c r="E132" i="7"/>
  <c r="G132" i="7" s="1"/>
  <c r="E128" i="7"/>
  <c r="G128" i="7" s="1"/>
  <c r="E123" i="7"/>
  <c r="G123" i="7" s="1"/>
  <c r="AJ123" i="7" s="1"/>
  <c r="E119" i="7"/>
  <c r="G119" i="7" s="1"/>
  <c r="E115" i="7"/>
  <c r="G115" i="7" s="1"/>
  <c r="E111" i="7"/>
  <c r="G111" i="7" s="1"/>
  <c r="AD111" i="7" s="1"/>
  <c r="E107" i="7"/>
  <c r="G107" i="7" s="1"/>
  <c r="AK107" i="7" s="1"/>
  <c r="E154" i="7"/>
  <c r="G154" i="7" s="1"/>
  <c r="AL154" i="7" s="1"/>
  <c r="E155" i="7"/>
  <c r="G155" i="7" s="1"/>
  <c r="E151" i="7"/>
  <c r="G151" i="7" s="1"/>
  <c r="AI151" i="7" s="1"/>
  <c r="E147" i="7"/>
  <c r="G147" i="7" s="1"/>
  <c r="E143" i="7"/>
  <c r="G143" i="7" s="1"/>
  <c r="E139" i="7"/>
  <c r="G139" i="7" s="1"/>
  <c r="E135" i="7"/>
  <c r="G135" i="7" s="1"/>
  <c r="E131" i="7"/>
  <c r="G131" i="7" s="1"/>
  <c r="E127" i="7"/>
  <c r="G127" i="7" s="1"/>
  <c r="E122" i="7"/>
  <c r="G122" i="7" s="1"/>
  <c r="E118" i="7"/>
  <c r="G118" i="7" s="1"/>
  <c r="AA118" i="7" s="1"/>
  <c r="E114" i="7"/>
  <c r="G114" i="7" s="1"/>
  <c r="AP114" i="7" s="1"/>
  <c r="E110" i="7"/>
  <c r="G110" i="7" s="1"/>
  <c r="AS68" i="7"/>
  <c r="AS102" i="7"/>
  <c r="AS105" i="7"/>
  <c r="AS63" i="7"/>
  <c r="AS66" i="7"/>
  <c r="AS106" i="7"/>
  <c r="AS92" i="7"/>
  <c r="AS82" i="7"/>
  <c r="AS100" i="7"/>
  <c r="AS79" i="7"/>
  <c r="AS91" i="7"/>
  <c r="AS103" i="7"/>
  <c r="AS85" i="7"/>
  <c r="AS90" i="7"/>
  <c r="AS70" i="7"/>
  <c r="AS74" i="7"/>
  <c r="AS61" i="7"/>
  <c r="AS67" i="7"/>
  <c r="AS94" i="7"/>
  <c r="AS76" i="7"/>
  <c r="AS104" i="7"/>
  <c r="AS75" i="7"/>
  <c r="AS93" i="7"/>
  <c r="AS59" i="7"/>
  <c r="AS87" i="7"/>
  <c r="AS69" i="7"/>
  <c r="AS99" i="7"/>
  <c r="AS84" i="7"/>
  <c r="AS89" i="7"/>
  <c r="AS88" i="7"/>
  <c r="AS81" i="7"/>
  <c r="AS78" i="7"/>
  <c r="AS60" i="7"/>
  <c r="AS64" i="7"/>
  <c r="AS97" i="7"/>
  <c r="AS77" i="7"/>
  <c r="AS58" i="7"/>
  <c r="AS71" i="7"/>
  <c r="AS96" i="7"/>
  <c r="AS83" i="7"/>
  <c r="AS95" i="7"/>
  <c r="AS98" i="7"/>
  <c r="AS80" i="7"/>
  <c r="AS62" i="7"/>
  <c r="AS65" i="7"/>
  <c r="AS86" i="7"/>
  <c r="AS57" i="7"/>
  <c r="AS72" i="7"/>
  <c r="AS73" i="7"/>
  <c r="AS101" i="7"/>
  <c r="AS112" i="7"/>
  <c r="AS118" i="7"/>
  <c r="AS110" i="7"/>
  <c r="AS122" i="7"/>
  <c r="AS117" i="7"/>
  <c r="AS119" i="7"/>
  <c r="AS116" i="7"/>
  <c r="AS109" i="7"/>
  <c r="AS107" i="7"/>
  <c r="AS111" i="7"/>
  <c r="AS123" i="7"/>
  <c r="AS124" i="7"/>
  <c r="AS108" i="7"/>
  <c r="AS114" i="7"/>
  <c r="AS115" i="7"/>
  <c r="AS121" i="7"/>
  <c r="AS120" i="7"/>
  <c r="AS113" i="7"/>
  <c r="C10" i="3"/>
  <c r="S20" i="8"/>
  <c r="G61" i="7"/>
  <c r="G65" i="7"/>
  <c r="G69" i="7"/>
  <c r="G73" i="7"/>
  <c r="G77" i="7"/>
  <c r="G81" i="7"/>
  <c r="G85" i="7"/>
  <c r="G89" i="7"/>
  <c r="G93" i="7"/>
  <c r="G97" i="7"/>
  <c r="G101" i="7"/>
  <c r="G105" i="7"/>
  <c r="G58" i="7"/>
  <c r="G62" i="7"/>
  <c r="G66" i="7"/>
  <c r="G70" i="7"/>
  <c r="G74" i="7"/>
  <c r="G78" i="7"/>
  <c r="G82" i="7"/>
  <c r="G86" i="7"/>
  <c r="G90" i="7"/>
  <c r="G94" i="7"/>
  <c r="G98" i="7"/>
  <c r="G102" i="7"/>
  <c r="G106" i="7"/>
  <c r="G57" i="7"/>
  <c r="G59" i="7"/>
  <c r="G63" i="7"/>
  <c r="G67" i="7"/>
  <c r="G71" i="7"/>
  <c r="G75" i="7"/>
  <c r="G79" i="7"/>
  <c r="G83" i="7"/>
  <c r="G87" i="7"/>
  <c r="G91" i="7"/>
  <c r="G95" i="7"/>
  <c r="G99" i="7"/>
  <c r="G103" i="7"/>
  <c r="G60" i="7"/>
  <c r="G64" i="7"/>
  <c r="G68" i="7"/>
  <c r="G72" i="7"/>
  <c r="G76" i="7"/>
  <c r="G80" i="7"/>
  <c r="G84" i="7"/>
  <c r="G88" i="7"/>
  <c r="G104" i="7"/>
  <c r="G96" i="7"/>
  <c r="G100" i="7"/>
  <c r="G92" i="7"/>
  <c r="AA20" i="8"/>
  <c r="P40" i="3"/>
  <c r="L41" i="3"/>
  <c r="L37" i="3"/>
  <c r="L36" i="3"/>
  <c r="L24" i="3"/>
  <c r="L31" i="3"/>
  <c r="L32" i="3"/>
  <c r="AD20" i="8"/>
  <c r="M20" i="8"/>
  <c r="W20" i="8"/>
  <c r="L42" i="3"/>
  <c r="A18" i="3"/>
  <c r="A13" i="9"/>
  <c r="A20" i="8"/>
  <c r="L33" i="3"/>
  <c r="L19" i="3"/>
  <c r="P20" i="8"/>
  <c r="L20" i="8"/>
  <c r="V20" i="8"/>
  <c r="AC20" i="8"/>
  <c r="O20" i="8"/>
  <c r="U20" i="8"/>
  <c r="AF20" i="8"/>
  <c r="AB20" i="8"/>
  <c r="L40" i="3"/>
  <c r="P39" i="3"/>
  <c r="P25" i="3"/>
  <c r="N20" i="8"/>
  <c r="X20" i="8"/>
  <c r="T20" i="8"/>
  <c r="AE20" i="8"/>
  <c r="L27" i="3"/>
  <c r="L25" i="3"/>
  <c r="L38" i="3"/>
  <c r="L21" i="3"/>
  <c r="L34" i="3"/>
  <c r="P35" i="3"/>
  <c r="L23" i="3"/>
  <c r="L29" i="3"/>
  <c r="L44" i="3"/>
  <c r="P44" i="3"/>
  <c r="P43" i="3"/>
  <c r="P20" i="3"/>
  <c r="P28" i="3"/>
  <c r="P36" i="3"/>
  <c r="U21" i="8"/>
  <c r="AF21" i="8"/>
  <c r="K20" i="8"/>
  <c r="L20" i="3"/>
  <c r="L18" i="3"/>
  <c r="P22" i="3"/>
  <c r="L22" i="3"/>
  <c r="P24" i="3"/>
  <c r="P26" i="3"/>
  <c r="L26" i="3"/>
  <c r="P30" i="3"/>
  <c r="L30" i="3"/>
  <c r="L28" i="3"/>
  <c r="P21" i="3"/>
  <c r="P29" i="3"/>
  <c r="L43" i="3"/>
  <c r="L39" i="3"/>
  <c r="L35" i="3"/>
  <c r="P41" i="3"/>
  <c r="P37" i="3"/>
  <c r="P33" i="3"/>
  <c r="P42" i="3"/>
  <c r="P38" i="3"/>
  <c r="P34" i="3"/>
  <c r="P19" i="3"/>
  <c r="P23" i="3"/>
  <c r="P27" i="3"/>
  <c r="P31" i="3"/>
  <c r="P32" i="3"/>
  <c r="A57" i="7"/>
  <c r="A49" i="4"/>
  <c r="A19" i="19" s="1"/>
  <c r="AD21" i="8"/>
  <c r="W21" i="8"/>
  <c r="S21" i="8"/>
  <c r="P21" i="8"/>
  <c r="L21" i="8"/>
  <c r="AE21" i="8"/>
  <c r="AA21" i="8"/>
  <c r="X21" i="8"/>
  <c r="T21" i="8"/>
  <c r="AC206" i="7" l="1"/>
  <c r="AP206" i="7"/>
  <c r="AD206" i="7"/>
  <c r="AI167" i="7"/>
  <c r="AO206" i="7"/>
  <c r="AR206" i="7"/>
  <c r="AE206" i="7"/>
  <c r="AM23" i="10"/>
  <c r="AH35" i="18"/>
  <c r="AK35" i="18" s="1"/>
  <c r="AH35" i="19"/>
  <c r="AK35" i="19" s="1"/>
  <c r="AH35" i="3"/>
  <c r="AK35" i="3" s="1"/>
  <c r="K97" i="6"/>
  <c r="K131" i="6"/>
  <c r="K121" i="6"/>
  <c r="K155" i="6"/>
  <c r="K124" i="6"/>
  <c r="K158" i="6"/>
  <c r="K184" i="6"/>
  <c r="K218" i="6"/>
  <c r="K183" i="6"/>
  <c r="K217" i="6"/>
  <c r="K194" i="6"/>
  <c r="K228" i="6"/>
  <c r="K54" i="6"/>
  <c r="AI23" i="23" s="1"/>
  <c r="K88" i="6"/>
  <c r="K58" i="6"/>
  <c r="AM23" i="23" s="1"/>
  <c r="K92" i="6"/>
  <c r="K31" i="6"/>
  <c r="L23" i="23" s="1"/>
  <c r="K65" i="6"/>
  <c r="K29" i="6"/>
  <c r="J23" i="23" s="1"/>
  <c r="K63" i="6"/>
  <c r="K103" i="6"/>
  <c r="K137" i="6"/>
  <c r="K127" i="6"/>
  <c r="K161" i="6"/>
  <c r="K98" i="6"/>
  <c r="K132" i="6"/>
  <c r="K192" i="6"/>
  <c r="K226" i="6"/>
  <c r="K165" i="6"/>
  <c r="K199" i="6"/>
  <c r="K35" i="6"/>
  <c r="P23" i="23" s="1"/>
  <c r="K69" i="6"/>
  <c r="K37" i="6"/>
  <c r="R23" i="23" s="1"/>
  <c r="K71" i="6"/>
  <c r="K112" i="6"/>
  <c r="K146" i="6"/>
  <c r="K123" i="6"/>
  <c r="K157" i="6"/>
  <c r="K125" i="6"/>
  <c r="K159" i="6"/>
  <c r="K177" i="6"/>
  <c r="K211" i="6"/>
  <c r="K181" i="6"/>
  <c r="K215" i="6"/>
  <c r="K49" i="6"/>
  <c r="AD23" i="23" s="1"/>
  <c r="K83" i="6"/>
  <c r="AR21" i="10"/>
  <c r="AS21" i="10"/>
  <c r="K116" i="6"/>
  <c r="K150" i="6"/>
  <c r="K107" i="6"/>
  <c r="K141" i="6"/>
  <c r="K118" i="6"/>
  <c r="K152" i="6"/>
  <c r="K166" i="6"/>
  <c r="K200" i="6"/>
  <c r="K197" i="6"/>
  <c r="K231" i="6"/>
  <c r="K39" i="6"/>
  <c r="T23" i="23" s="1"/>
  <c r="K73" i="6"/>
  <c r="K33" i="6"/>
  <c r="N23" i="23" s="1"/>
  <c r="K67" i="6"/>
  <c r="K43" i="6"/>
  <c r="X23" i="23" s="1"/>
  <c r="K77" i="6"/>
  <c r="K32" i="6"/>
  <c r="M23" i="23" s="1"/>
  <c r="K66" i="6"/>
  <c r="K57" i="6"/>
  <c r="AL23" i="23" s="1"/>
  <c r="K91" i="6"/>
  <c r="K129" i="6"/>
  <c r="K163" i="6"/>
  <c r="K113" i="6"/>
  <c r="K147" i="6"/>
  <c r="K126" i="6"/>
  <c r="K160" i="6"/>
  <c r="K179" i="6"/>
  <c r="K213" i="6"/>
  <c r="K178" i="6"/>
  <c r="K212" i="6"/>
  <c r="K176" i="6"/>
  <c r="K210" i="6"/>
  <c r="K45" i="6"/>
  <c r="Z23" i="23" s="1"/>
  <c r="K79" i="6"/>
  <c r="K47" i="6"/>
  <c r="AB23" i="23" s="1"/>
  <c r="K81" i="6"/>
  <c r="K40" i="6"/>
  <c r="U23" i="23" s="1"/>
  <c r="K74" i="6"/>
  <c r="K111" i="6"/>
  <c r="K145" i="6"/>
  <c r="K105" i="6"/>
  <c r="K139" i="6"/>
  <c r="K106" i="6"/>
  <c r="K140" i="6"/>
  <c r="K174" i="6"/>
  <c r="K208" i="6"/>
  <c r="K195" i="6"/>
  <c r="K229" i="6"/>
  <c r="K171" i="6"/>
  <c r="K205" i="6"/>
  <c r="K30" i="6"/>
  <c r="K23" i="23" s="1"/>
  <c r="K64" i="6"/>
  <c r="K53" i="6"/>
  <c r="AH23" i="23" s="1"/>
  <c r="K87" i="6"/>
  <c r="K51" i="6"/>
  <c r="AF23" i="23" s="1"/>
  <c r="K85" i="6"/>
  <c r="K44" i="6"/>
  <c r="Y23" i="23" s="1"/>
  <c r="K78" i="6"/>
  <c r="K120" i="6"/>
  <c r="K154" i="6"/>
  <c r="K101" i="6"/>
  <c r="K135" i="6"/>
  <c r="K114" i="6"/>
  <c r="K148" i="6"/>
  <c r="K187" i="6"/>
  <c r="K221" i="6"/>
  <c r="K196" i="6"/>
  <c r="K230" i="6"/>
  <c r="K185" i="6"/>
  <c r="K219" i="6"/>
  <c r="K34" i="6"/>
  <c r="O23" i="23" s="1"/>
  <c r="K68" i="6"/>
  <c r="K61" i="6"/>
  <c r="AP23" i="23" s="1"/>
  <c r="K95" i="6"/>
  <c r="K55" i="6"/>
  <c r="AJ23" i="23" s="1"/>
  <c r="K89" i="6"/>
  <c r="K48" i="6"/>
  <c r="AC23" i="23" s="1"/>
  <c r="K82" i="6"/>
  <c r="K100" i="6"/>
  <c r="K134" i="6"/>
  <c r="K99" i="6"/>
  <c r="K133" i="6"/>
  <c r="K119" i="6"/>
  <c r="K153" i="6"/>
  <c r="K190" i="6"/>
  <c r="K224" i="6"/>
  <c r="K193" i="6"/>
  <c r="K227" i="6"/>
  <c r="K170" i="6"/>
  <c r="K204" i="6"/>
  <c r="K38" i="6"/>
  <c r="S23" i="23" s="1"/>
  <c r="K72" i="6"/>
  <c r="K59" i="6"/>
  <c r="AN23" i="23" s="1"/>
  <c r="K93" i="6"/>
  <c r="K52" i="6"/>
  <c r="AG23" i="23" s="1"/>
  <c r="K86" i="6"/>
  <c r="K128" i="6"/>
  <c r="K162" i="6"/>
  <c r="K108" i="6"/>
  <c r="K142" i="6"/>
  <c r="K122" i="6"/>
  <c r="K156" i="6"/>
  <c r="K175" i="6"/>
  <c r="K209" i="6"/>
  <c r="K182" i="6"/>
  <c r="K216" i="6"/>
  <c r="K186" i="6"/>
  <c r="K220" i="6"/>
  <c r="AM34" i="3"/>
  <c r="AL34" i="3"/>
  <c r="K42" i="6"/>
  <c r="W23" i="23" s="1"/>
  <c r="K76" i="6"/>
  <c r="K36" i="6"/>
  <c r="Q23" i="23" s="1"/>
  <c r="K70" i="6"/>
  <c r="K56" i="6"/>
  <c r="AK23" i="23" s="1"/>
  <c r="K90" i="6"/>
  <c r="K117" i="6"/>
  <c r="K151" i="6"/>
  <c r="K104" i="6"/>
  <c r="K138" i="6"/>
  <c r="K191" i="6"/>
  <c r="K225" i="6"/>
  <c r="K180" i="6"/>
  <c r="K214" i="6"/>
  <c r="K172" i="6"/>
  <c r="K206" i="6"/>
  <c r="AL34" i="19"/>
  <c r="AN34" i="19" s="1"/>
  <c r="AM34" i="19"/>
  <c r="AO34" i="19" s="1"/>
  <c r="AP34" i="19" s="1"/>
  <c r="BJ34" i="19" s="1"/>
  <c r="K46" i="6"/>
  <c r="AA23" i="23" s="1"/>
  <c r="K80" i="6"/>
  <c r="K41" i="6"/>
  <c r="V23" i="23" s="1"/>
  <c r="K75" i="6"/>
  <c r="K60" i="6"/>
  <c r="AO23" i="23" s="1"/>
  <c r="K94" i="6"/>
  <c r="K115" i="6"/>
  <c r="K149" i="6"/>
  <c r="K109" i="6"/>
  <c r="K143" i="6"/>
  <c r="K173" i="6"/>
  <c r="K207" i="6"/>
  <c r="K168" i="6"/>
  <c r="K202" i="6"/>
  <c r="K188" i="6"/>
  <c r="K222" i="6"/>
  <c r="AB34" i="19"/>
  <c r="AD34" i="19" s="1"/>
  <c r="AM34" i="18"/>
  <c r="AO34" i="18" s="1"/>
  <c r="AP34" i="18" s="1"/>
  <c r="BJ34" i="18" s="1"/>
  <c r="AL34" i="18"/>
  <c r="AN34" i="18" s="1"/>
  <c r="K50" i="6"/>
  <c r="AE23" i="23" s="1"/>
  <c r="K84" i="6"/>
  <c r="K110" i="6"/>
  <c r="K144" i="6"/>
  <c r="K102" i="6"/>
  <c r="K136" i="6"/>
  <c r="K189" i="6"/>
  <c r="K223" i="6"/>
  <c r="K167" i="6"/>
  <c r="K201" i="6"/>
  <c r="K169" i="6"/>
  <c r="K203" i="6"/>
  <c r="AE199" i="16"/>
  <c r="AU53" i="6"/>
  <c r="BG53" i="6"/>
  <c r="AH199" i="16"/>
  <c r="AG199" i="16"/>
  <c r="AM108" i="18"/>
  <c r="AJ198" i="16"/>
  <c r="AI199" i="16"/>
  <c r="G204" i="16"/>
  <c r="H203" i="16"/>
  <c r="R203" i="16"/>
  <c r="S203" i="16" s="1"/>
  <c r="AH109" i="18"/>
  <c r="AK109" i="18" s="1"/>
  <c r="T202" i="16"/>
  <c r="V202" i="16"/>
  <c r="U202" i="16"/>
  <c r="CE122" i="16" s="1"/>
  <c r="CI54" i="6" s="1"/>
  <c r="P207" i="9"/>
  <c r="S207" i="9"/>
  <c r="Q207" i="9"/>
  <c r="AC200" i="16"/>
  <c r="AD200" i="16" s="1"/>
  <c r="Y201" i="16"/>
  <c r="AB201" i="16"/>
  <c r="W201" i="16"/>
  <c r="AA201" i="16"/>
  <c r="X201" i="16"/>
  <c r="Z201" i="16"/>
  <c r="K208" i="9"/>
  <c r="AF199" i="16"/>
  <c r="BK18" i="3"/>
  <c r="BD18" i="3"/>
  <c r="AO28" i="3"/>
  <c r="AP28" i="3" s="1"/>
  <c r="BJ28" i="3" s="1"/>
  <c r="AN28" i="3"/>
  <c r="M188" i="11"/>
  <c r="P188" i="11"/>
  <c r="Q188" i="11" s="1"/>
  <c r="K189" i="11"/>
  <c r="H46" i="8"/>
  <c r="D53" i="19"/>
  <c r="D53" i="18"/>
  <c r="AA166" i="7"/>
  <c r="AG171" i="7"/>
  <c r="AO171" i="7"/>
  <c r="H163" i="16"/>
  <c r="C7" i="10"/>
  <c r="C19" i="19"/>
  <c r="N19" i="19" s="1"/>
  <c r="Q19" i="19" s="1"/>
  <c r="C19" i="18"/>
  <c r="N19" i="18" s="1"/>
  <c r="Q19" i="18" s="1"/>
  <c r="AC34" i="18"/>
  <c r="AE34" i="18" s="1"/>
  <c r="AF34" i="18" s="1"/>
  <c r="BC34" i="18" s="1"/>
  <c r="P51" i="18"/>
  <c r="L51" i="18"/>
  <c r="E52" i="18"/>
  <c r="K128" i="17"/>
  <c r="AE34" i="19"/>
  <c r="AF34" i="19" s="1"/>
  <c r="BC34" i="19" s="1"/>
  <c r="E52" i="19"/>
  <c r="L51" i="19"/>
  <c r="P51" i="19"/>
  <c r="X35" i="18"/>
  <c r="AA35" i="18" s="1"/>
  <c r="AB35" i="18" s="1"/>
  <c r="AD35" i="18" s="1"/>
  <c r="H165" i="17"/>
  <c r="X35" i="19"/>
  <c r="AA35" i="19" s="1"/>
  <c r="AB35" i="19" s="1"/>
  <c r="U25" i="10"/>
  <c r="AI168" i="7"/>
  <c r="AL172" i="7"/>
  <c r="AH166" i="7"/>
  <c r="AJ172" i="7"/>
  <c r="AE207" i="7"/>
  <c r="AH207" i="7"/>
  <c r="AL168" i="7"/>
  <c r="AL207" i="7"/>
  <c r="AH172" i="7"/>
  <c r="AK172" i="7"/>
  <c r="AI170" i="7"/>
  <c r="P46" i="17"/>
  <c r="J47" i="17"/>
  <c r="V208" i="7"/>
  <c r="AP207" i="7"/>
  <c r="AJ208" i="7"/>
  <c r="Q209" i="7"/>
  <c r="AO207" i="7"/>
  <c r="U208" i="7"/>
  <c r="U209" i="7" s="1"/>
  <c r="W207" i="7"/>
  <c r="AQ206" i="7"/>
  <c r="AK207" i="7"/>
  <c r="AL206" i="7"/>
  <c r="S209" i="7"/>
  <c r="AL208" i="7"/>
  <c r="AD207" i="7"/>
  <c r="L208" i="7"/>
  <c r="R209" i="7"/>
  <c r="AK208" i="7"/>
  <c r="AA206" i="7"/>
  <c r="W46" i="17"/>
  <c r="Q47" i="17"/>
  <c r="K208" i="7"/>
  <c r="AC207" i="7"/>
  <c r="O209" i="7"/>
  <c r="AH208" i="7"/>
  <c r="AR207" i="7"/>
  <c r="X208" i="7"/>
  <c r="AA200" i="7"/>
  <c r="AI208" i="7"/>
  <c r="P209" i="7"/>
  <c r="AA207" i="7"/>
  <c r="I208" i="7"/>
  <c r="AK206" i="7"/>
  <c r="H207" i="7"/>
  <c r="Z206" i="7"/>
  <c r="J208" i="7"/>
  <c r="AB207" i="7"/>
  <c r="AH206" i="7"/>
  <c r="AI207" i="7"/>
  <c r="AI206" i="7"/>
  <c r="AJ206" i="7"/>
  <c r="AO169" i="7"/>
  <c r="A7" i="10"/>
  <c r="AC7" i="10" s="1"/>
  <c r="A19" i="18"/>
  <c r="O103" i="3"/>
  <c r="AA167" i="7"/>
  <c r="AK170" i="7"/>
  <c r="AK161" i="7"/>
  <c r="AH170" i="7"/>
  <c r="AK167" i="7"/>
  <c r="H207" i="1"/>
  <c r="R207" i="1"/>
  <c r="E208" i="1"/>
  <c r="AA161" i="7"/>
  <c r="AH167" i="7"/>
  <c r="AL161" i="7"/>
  <c r="AH161" i="7"/>
  <c r="AA164" i="7"/>
  <c r="I46" i="17"/>
  <c r="D52" i="17"/>
  <c r="D206" i="7" s="1"/>
  <c r="AO165" i="7"/>
  <c r="AE172" i="7"/>
  <c r="O174" i="7"/>
  <c r="AH173" i="7"/>
  <c r="AL163" i="7"/>
  <c r="AH163" i="7"/>
  <c r="AO163" i="7"/>
  <c r="AG163" i="7"/>
  <c r="AI163" i="7"/>
  <c r="J173" i="7"/>
  <c r="AB172" i="7"/>
  <c r="J158" i="7"/>
  <c r="AB158" i="7" s="1"/>
  <c r="I173" i="7"/>
  <c r="AA172" i="7"/>
  <c r="I158" i="7"/>
  <c r="AA158" i="7" s="1"/>
  <c r="AR172" i="7"/>
  <c r="AK160" i="7"/>
  <c r="P175" i="7"/>
  <c r="AI174" i="7"/>
  <c r="Q174" i="7"/>
  <c r="AJ173" i="7"/>
  <c r="AL171" i="7"/>
  <c r="AK166" i="7"/>
  <c r="AI166" i="7"/>
  <c r="AJ166" i="7"/>
  <c r="AG166" i="7"/>
  <c r="AA168" i="7"/>
  <c r="AG168" i="7"/>
  <c r="AO168" i="7"/>
  <c r="AK168" i="7"/>
  <c r="AK163" i="7"/>
  <c r="L173" i="7"/>
  <c r="AD172" i="7"/>
  <c r="L158" i="7"/>
  <c r="AD158" i="7" s="1"/>
  <c r="K173" i="7"/>
  <c r="AC172" i="7"/>
  <c r="R174" i="7"/>
  <c r="AK173" i="7"/>
  <c r="AG160" i="7"/>
  <c r="AA160" i="7"/>
  <c r="AL160" i="7"/>
  <c r="AK165" i="7"/>
  <c r="AI165" i="7"/>
  <c r="AG165" i="7"/>
  <c r="AJ165" i="7"/>
  <c r="AA165" i="7"/>
  <c r="AL165" i="7"/>
  <c r="U172" i="7"/>
  <c r="U173" i="7" s="1"/>
  <c r="AJ171" i="7"/>
  <c r="AK164" i="7"/>
  <c r="AG164" i="7"/>
  <c r="AJ164" i="7"/>
  <c r="AO164" i="7"/>
  <c r="AI164" i="7"/>
  <c r="AH164" i="7"/>
  <c r="AK162" i="7"/>
  <c r="AJ162" i="7"/>
  <c r="AH162" i="7"/>
  <c r="AG162" i="7"/>
  <c r="AL162" i="7"/>
  <c r="AI162" i="7"/>
  <c r="AA169" i="7"/>
  <c r="AK169" i="7"/>
  <c r="AG169" i="7"/>
  <c r="AJ169" i="7"/>
  <c r="AE176" i="7"/>
  <c r="AI160" i="7"/>
  <c r="AR192" i="7"/>
  <c r="V173" i="7"/>
  <c r="AP172" i="7"/>
  <c r="K158" i="7"/>
  <c r="AH160" i="7"/>
  <c r="AO160" i="7"/>
  <c r="AH171" i="7"/>
  <c r="S174" i="7"/>
  <c r="AL173" i="7"/>
  <c r="AQ192" i="7"/>
  <c r="AA171" i="7"/>
  <c r="AI169" i="7"/>
  <c r="AJ163" i="7"/>
  <c r="AI171" i="7"/>
  <c r="AK171" i="7"/>
  <c r="AG170" i="7"/>
  <c r="AL170" i="7"/>
  <c r="AJ170" i="7"/>
  <c r="AL167" i="7"/>
  <c r="AG167" i="7"/>
  <c r="AJ167" i="7"/>
  <c r="AJ161" i="7"/>
  <c r="AI161" i="7"/>
  <c r="AG161" i="7"/>
  <c r="AE191" i="7"/>
  <c r="AE186" i="7"/>
  <c r="AE182" i="7"/>
  <c r="AE192" i="7"/>
  <c r="AJ168" i="7"/>
  <c r="AQ172" i="7"/>
  <c r="AR173" i="7"/>
  <c r="AS158" i="7"/>
  <c r="I19" i="7"/>
  <c r="D51" i="11"/>
  <c r="F128" i="11" s="1"/>
  <c r="D51" i="16"/>
  <c r="H172" i="7"/>
  <c r="AL23" i="10"/>
  <c r="AP22" i="10"/>
  <c r="S24" i="10"/>
  <c r="L66" i="4"/>
  <c r="T24" i="10" s="1"/>
  <c r="J67" i="4"/>
  <c r="AN23" i="10"/>
  <c r="AK23" i="10"/>
  <c r="X35" i="3"/>
  <c r="AO23" i="10"/>
  <c r="K32" i="10"/>
  <c r="S39" i="9"/>
  <c r="Q39" i="9"/>
  <c r="P39" i="9"/>
  <c r="G88" i="4"/>
  <c r="D96" i="7"/>
  <c r="F88" i="4"/>
  <c r="C96" i="7"/>
  <c r="AD7" i="10"/>
  <c r="AH7" i="10"/>
  <c r="AE7" i="10"/>
  <c r="AF7" i="10"/>
  <c r="AG7" i="10"/>
  <c r="X28" i="10"/>
  <c r="AA43" i="10"/>
  <c r="W44" i="10"/>
  <c r="AU57" i="3"/>
  <c r="AV57" i="3" s="1"/>
  <c r="O57" i="3"/>
  <c r="C162" i="1"/>
  <c r="H161" i="1"/>
  <c r="R161" i="1"/>
  <c r="AD28" i="3"/>
  <c r="AE28" i="3"/>
  <c r="AF28" i="3" s="1"/>
  <c r="BC28" i="3" s="1"/>
  <c r="V25" i="10"/>
  <c r="Y24" i="10"/>
  <c r="D53" i="3"/>
  <c r="L42" i="10"/>
  <c r="P41" i="10"/>
  <c r="M55" i="10"/>
  <c r="M76" i="4"/>
  <c r="D33" i="10"/>
  <c r="T75" i="4"/>
  <c r="R76" i="4"/>
  <c r="I33" i="10"/>
  <c r="N76" i="4"/>
  <c r="E33" i="10"/>
  <c r="K50" i="4"/>
  <c r="B8" i="10"/>
  <c r="O76" i="4"/>
  <c r="F33" i="10"/>
  <c r="P76" i="4"/>
  <c r="G33" i="10"/>
  <c r="B47" i="8" s="1"/>
  <c r="Q76" i="4"/>
  <c r="H33" i="10"/>
  <c r="H47" i="8" s="1"/>
  <c r="S76" i="4"/>
  <c r="J33" i="10"/>
  <c r="AG20" i="8"/>
  <c r="AH20" i="8" s="1"/>
  <c r="AW20" i="3"/>
  <c r="AW23" i="3"/>
  <c r="AW27" i="3"/>
  <c r="AW28" i="3"/>
  <c r="AW26" i="3"/>
  <c r="AW25" i="3"/>
  <c r="AW19" i="3"/>
  <c r="AY19" i="3" s="1"/>
  <c r="AZ19" i="3" s="1"/>
  <c r="AW22" i="3"/>
  <c r="AW21" i="3"/>
  <c r="AW24" i="3"/>
  <c r="AX19" i="3"/>
  <c r="AW29" i="3"/>
  <c r="Y20" i="8"/>
  <c r="Z20" i="8" s="1"/>
  <c r="AO157" i="7"/>
  <c r="AA109" i="7"/>
  <c r="AO158" i="7"/>
  <c r="AB111" i="7"/>
  <c r="AK154" i="7"/>
  <c r="AK153" i="7"/>
  <c r="AJ147" i="7"/>
  <c r="AO121" i="7"/>
  <c r="AA112" i="7"/>
  <c r="AP124" i="7"/>
  <c r="AB108" i="7"/>
  <c r="AQ121" i="7"/>
  <c r="AO135" i="7"/>
  <c r="AA144" i="7"/>
  <c r="AA114" i="7"/>
  <c r="AI111" i="7"/>
  <c r="AB116" i="7"/>
  <c r="AI138" i="7"/>
  <c r="AQ111" i="7"/>
  <c r="AL126" i="7"/>
  <c r="AE158" i="7"/>
  <c r="AH121" i="7"/>
  <c r="AH118" i="7"/>
  <c r="AA133" i="7"/>
  <c r="AI121" i="7"/>
  <c r="AJ116" i="7"/>
  <c r="AL116" i="7"/>
  <c r="AL144" i="7"/>
  <c r="AC109" i="7"/>
  <c r="AC114" i="7"/>
  <c r="AC121" i="7"/>
  <c r="AA156" i="7"/>
  <c r="AO128" i="7"/>
  <c r="AO140" i="7"/>
  <c r="AH124" i="7"/>
  <c r="AH142" i="7"/>
  <c r="AH138" i="7"/>
  <c r="AO118" i="7"/>
  <c r="AA147" i="7"/>
  <c r="AH111" i="7"/>
  <c r="AO133" i="7"/>
  <c r="AI129" i="7"/>
  <c r="AI144" i="7"/>
  <c r="AI154" i="7"/>
  <c r="AI109" i="7"/>
  <c r="AI142" i="7"/>
  <c r="AB121" i="7"/>
  <c r="AI112" i="7"/>
  <c r="AK109" i="7"/>
  <c r="AK118" i="7"/>
  <c r="AR114" i="7"/>
  <c r="AR111" i="7"/>
  <c r="AK147" i="7"/>
  <c r="AJ140" i="7"/>
  <c r="AJ158" i="7"/>
  <c r="AL142" i="7"/>
  <c r="AE118" i="7"/>
  <c r="AC116" i="7"/>
  <c r="AC111" i="7"/>
  <c r="AO113" i="7"/>
  <c r="AH114" i="7"/>
  <c r="AH116" i="7"/>
  <c r="AO114" i="7"/>
  <c r="AO109" i="7"/>
  <c r="AH147" i="7"/>
  <c r="AH140" i="7"/>
  <c r="AA140" i="7"/>
  <c r="AO138" i="7"/>
  <c r="AH123" i="7"/>
  <c r="AA129" i="7"/>
  <c r="AO124" i="7"/>
  <c r="AI153" i="7"/>
  <c r="AP109" i="7"/>
  <c r="AB109" i="7"/>
  <c r="AI131" i="7"/>
  <c r="AI140" i="7"/>
  <c r="AR112" i="7"/>
  <c r="AD118" i="7"/>
  <c r="AK135" i="7"/>
  <c r="AJ142" i="7"/>
  <c r="AJ157" i="7"/>
  <c r="AL147" i="7"/>
  <c r="AL121" i="7"/>
  <c r="AE124" i="7"/>
  <c r="AC113" i="7"/>
  <c r="AA123" i="7"/>
  <c r="AA135" i="7"/>
  <c r="AA111" i="7"/>
  <c r="AH109" i="7"/>
  <c r="AO126" i="7"/>
  <c r="AA154" i="7"/>
  <c r="AH151" i="7"/>
  <c r="AO156" i="7"/>
  <c r="AP121" i="7"/>
  <c r="AI126" i="7"/>
  <c r="AI123" i="7"/>
  <c r="AB114" i="7"/>
  <c r="AI108" i="7"/>
  <c r="AI114" i="7"/>
  <c r="AK124" i="7"/>
  <c r="AK116" i="7"/>
  <c r="AK121" i="7"/>
  <c r="AK123" i="7"/>
  <c r="AQ114" i="7"/>
  <c r="AJ154" i="7"/>
  <c r="AJ114" i="7"/>
  <c r="AL112" i="7"/>
  <c r="AP88" i="7"/>
  <c r="AO88" i="7"/>
  <c r="AJ88" i="7"/>
  <c r="AQ88" i="7"/>
  <c r="AN88" i="7"/>
  <c r="AK88" i="7"/>
  <c r="AA88" i="7"/>
  <c r="AE88" i="7"/>
  <c r="AR88" i="7"/>
  <c r="AL88" i="7"/>
  <c r="AB88" i="7"/>
  <c r="AG88" i="7"/>
  <c r="AC88" i="7"/>
  <c r="AH88" i="7"/>
  <c r="AD88" i="7"/>
  <c r="Z88" i="7"/>
  <c r="AI88" i="7"/>
  <c r="AP59" i="7"/>
  <c r="AR59" i="7"/>
  <c r="AN59" i="7"/>
  <c r="AG59" i="7"/>
  <c r="AK59" i="7"/>
  <c r="AJ59" i="7"/>
  <c r="AL59" i="7"/>
  <c r="AH59" i="7"/>
  <c r="AB59" i="7"/>
  <c r="AI59" i="7"/>
  <c r="AA59" i="7"/>
  <c r="AC59" i="7"/>
  <c r="AO59" i="7"/>
  <c r="AD59" i="7"/>
  <c r="Z59" i="7"/>
  <c r="AE59" i="7"/>
  <c r="AQ59" i="7"/>
  <c r="AO66" i="7"/>
  <c r="AP66" i="7"/>
  <c r="AQ66" i="7"/>
  <c r="AG66" i="7"/>
  <c r="AK66" i="7"/>
  <c r="AI66" i="7"/>
  <c r="AN66" i="7"/>
  <c r="AJ66" i="7"/>
  <c r="AB66" i="7"/>
  <c r="AR66" i="7"/>
  <c r="AH66" i="7"/>
  <c r="Z66" i="7"/>
  <c r="AE66" i="7"/>
  <c r="AL66" i="7"/>
  <c r="AA66" i="7"/>
  <c r="AC66" i="7"/>
  <c r="AD66" i="7"/>
  <c r="AN89" i="7"/>
  <c r="AO89" i="7"/>
  <c r="AG89" i="7"/>
  <c r="AK89" i="7"/>
  <c r="AP89" i="7"/>
  <c r="AI89" i="7"/>
  <c r="AB89" i="7"/>
  <c r="AR89" i="7"/>
  <c r="AL89" i="7"/>
  <c r="Z89" i="7"/>
  <c r="AE89" i="7"/>
  <c r="AA89" i="7"/>
  <c r="AH89" i="7"/>
  <c r="AC89" i="7"/>
  <c r="AJ89" i="7"/>
  <c r="AD89" i="7"/>
  <c r="AQ89" i="7"/>
  <c r="AQ92" i="7"/>
  <c r="AP92" i="7"/>
  <c r="AR92" i="7"/>
  <c r="AN92" i="7"/>
  <c r="AJ92" i="7"/>
  <c r="Z92" i="7"/>
  <c r="AD92" i="7"/>
  <c r="AG92" i="7"/>
  <c r="AL92" i="7"/>
  <c r="AC92" i="7"/>
  <c r="AH92" i="7"/>
  <c r="AE92" i="7"/>
  <c r="AI92" i="7"/>
  <c r="AA92" i="7"/>
  <c r="AB92" i="7"/>
  <c r="AK92" i="7"/>
  <c r="AO92" i="7"/>
  <c r="AQ100" i="7"/>
  <c r="AP100" i="7"/>
  <c r="AR100" i="7"/>
  <c r="AN100" i="7"/>
  <c r="AI100" i="7"/>
  <c r="AB100" i="7"/>
  <c r="AK100" i="7"/>
  <c r="AA100" i="7"/>
  <c r="AG100" i="7"/>
  <c r="AL100" i="7"/>
  <c r="AC100" i="7"/>
  <c r="AH100" i="7"/>
  <c r="AD100" i="7"/>
  <c r="AJ100" i="7"/>
  <c r="Z100" i="7"/>
  <c r="AE100" i="7"/>
  <c r="AO100" i="7"/>
  <c r="AN96" i="7"/>
  <c r="AP96" i="7"/>
  <c r="AJ96" i="7"/>
  <c r="AC96" i="7"/>
  <c r="AQ96" i="7"/>
  <c r="AI96" i="7"/>
  <c r="Z96" i="7"/>
  <c r="AE96" i="7"/>
  <c r="AR96" i="7"/>
  <c r="AK96" i="7"/>
  <c r="AA96" i="7"/>
  <c r="AG96" i="7"/>
  <c r="AL96" i="7"/>
  <c r="AB96" i="7"/>
  <c r="AD96" i="7"/>
  <c r="AH96" i="7"/>
  <c r="AO96" i="7"/>
  <c r="AO84" i="7"/>
  <c r="AR84" i="7"/>
  <c r="AJ84" i="7"/>
  <c r="AN84" i="7"/>
  <c r="AH84" i="7"/>
  <c r="AB84" i="7"/>
  <c r="AP84" i="7"/>
  <c r="AG84" i="7"/>
  <c r="Z84" i="7"/>
  <c r="AE84" i="7"/>
  <c r="AQ84" i="7"/>
  <c r="AI84" i="7"/>
  <c r="AA84" i="7"/>
  <c r="AK84" i="7"/>
  <c r="AC84" i="7"/>
  <c r="AL84" i="7"/>
  <c r="AD84" i="7"/>
  <c r="AO68" i="7"/>
  <c r="AQ68" i="7"/>
  <c r="AG68" i="7"/>
  <c r="AK68" i="7"/>
  <c r="AN68" i="7"/>
  <c r="AH68" i="7"/>
  <c r="AP68" i="7"/>
  <c r="AI68" i="7"/>
  <c r="AB68" i="7"/>
  <c r="AJ68" i="7"/>
  <c r="AD68" i="7"/>
  <c r="AL68" i="7"/>
  <c r="Z68" i="7"/>
  <c r="AE68" i="7"/>
  <c r="AA68" i="7"/>
  <c r="AR68" i="7"/>
  <c r="AC68" i="7"/>
  <c r="AO103" i="7"/>
  <c r="AN103" i="7"/>
  <c r="AJ103" i="7"/>
  <c r="AC103" i="7"/>
  <c r="AP103" i="7"/>
  <c r="AH103" i="7"/>
  <c r="AD103" i="7"/>
  <c r="AR103" i="7"/>
  <c r="AI103" i="7"/>
  <c r="Z103" i="7"/>
  <c r="AE103" i="7"/>
  <c r="AK103" i="7"/>
  <c r="AA103" i="7"/>
  <c r="AL103" i="7"/>
  <c r="AB103" i="7"/>
  <c r="AG103" i="7"/>
  <c r="AQ103" i="7"/>
  <c r="AN87" i="7"/>
  <c r="AR87" i="7"/>
  <c r="AP87" i="7"/>
  <c r="AH87" i="7"/>
  <c r="AL87" i="7"/>
  <c r="AQ87" i="7"/>
  <c r="AK87" i="7"/>
  <c r="AC87" i="7"/>
  <c r="AJ87" i="7"/>
  <c r="AB87" i="7"/>
  <c r="AO87" i="7"/>
  <c r="AD87" i="7"/>
  <c r="AG87" i="7"/>
  <c r="Z87" i="7"/>
  <c r="AE87" i="7"/>
  <c r="AI87" i="7"/>
  <c r="AA87" i="7"/>
  <c r="AP71" i="7"/>
  <c r="AN71" i="7"/>
  <c r="AI71" i="7"/>
  <c r="AO71" i="7"/>
  <c r="AJ71" i="7"/>
  <c r="AG71" i="7"/>
  <c r="AC71" i="7"/>
  <c r="AA71" i="7"/>
  <c r="AH71" i="7"/>
  <c r="AB71" i="7"/>
  <c r="AK71" i="7"/>
  <c r="AD71" i="7"/>
  <c r="AR71" i="7"/>
  <c r="AL71" i="7"/>
  <c r="Z71" i="7"/>
  <c r="AE71" i="7"/>
  <c r="AQ71" i="7"/>
  <c r="AR57" i="7"/>
  <c r="AN57" i="7"/>
  <c r="AO57" i="7"/>
  <c r="AG57" i="7"/>
  <c r="AK57" i="7"/>
  <c r="AL57" i="7"/>
  <c r="AH57" i="7"/>
  <c r="AI57" i="7"/>
  <c r="AB57" i="7"/>
  <c r="AP57" i="7"/>
  <c r="AJ57" i="7"/>
  <c r="AC57" i="7"/>
  <c r="AD57" i="7"/>
  <c r="Z57" i="7"/>
  <c r="AE57" i="7"/>
  <c r="AA57" i="7"/>
  <c r="AQ57" i="7"/>
  <c r="AP94" i="7"/>
  <c r="AR94" i="7"/>
  <c r="AN94" i="7"/>
  <c r="AJ94" i="7"/>
  <c r="AC94" i="7"/>
  <c r="AQ94" i="7"/>
  <c r="AK94" i="7"/>
  <c r="AA94" i="7"/>
  <c r="AG94" i="7"/>
  <c r="AL94" i="7"/>
  <c r="AB94" i="7"/>
  <c r="AH94" i="7"/>
  <c r="AD94" i="7"/>
  <c r="AE94" i="7"/>
  <c r="AI94" i="7"/>
  <c r="Z94" i="7"/>
  <c r="AO94" i="7"/>
  <c r="AN78" i="7"/>
  <c r="AP78" i="7"/>
  <c r="AG78" i="7"/>
  <c r="AK78" i="7"/>
  <c r="AQ78" i="7"/>
  <c r="AH78" i="7"/>
  <c r="AL78" i="7"/>
  <c r="AC78" i="7"/>
  <c r="AR78" i="7"/>
  <c r="Z78" i="7"/>
  <c r="AE78" i="7"/>
  <c r="AI78" i="7"/>
  <c r="AA78" i="7"/>
  <c r="AJ78" i="7"/>
  <c r="AB78" i="7"/>
  <c r="AD78" i="7"/>
  <c r="AO78" i="7"/>
  <c r="AN62" i="7"/>
  <c r="AP62" i="7"/>
  <c r="AQ62" i="7"/>
  <c r="AH62" i="7"/>
  <c r="AL62" i="7"/>
  <c r="AG62" i="7"/>
  <c r="AI62" i="7"/>
  <c r="AJ62" i="7"/>
  <c r="AC62" i="7"/>
  <c r="AD62" i="7"/>
  <c r="AR62" i="7"/>
  <c r="Z62" i="7"/>
  <c r="AE62" i="7"/>
  <c r="AK62" i="7"/>
  <c r="AA62" i="7"/>
  <c r="AB62" i="7"/>
  <c r="AO62" i="7"/>
  <c r="AP101" i="7"/>
  <c r="AR101" i="7"/>
  <c r="AJ101" i="7"/>
  <c r="AC101" i="7"/>
  <c r="AN101" i="7"/>
  <c r="AI101" i="7"/>
  <c r="Z101" i="7"/>
  <c r="AE101" i="7"/>
  <c r="AK101" i="7"/>
  <c r="AA101" i="7"/>
  <c r="AO101" i="7"/>
  <c r="AG101" i="7"/>
  <c r="AL101" i="7"/>
  <c r="AB101" i="7"/>
  <c r="AD101" i="7"/>
  <c r="AH101" i="7"/>
  <c r="AQ101" i="7"/>
  <c r="AQ85" i="7"/>
  <c r="AP85" i="7"/>
  <c r="AH85" i="7"/>
  <c r="AL85" i="7"/>
  <c r="AR85" i="7"/>
  <c r="AG85" i="7"/>
  <c r="AC85" i="7"/>
  <c r="AN85" i="7"/>
  <c r="AI85" i="7"/>
  <c r="AD85" i="7"/>
  <c r="AJ85" i="7"/>
  <c r="Z85" i="7"/>
  <c r="AE85" i="7"/>
  <c r="AK85" i="7"/>
  <c r="AA85" i="7"/>
  <c r="AO85" i="7"/>
  <c r="AB85" i="7"/>
  <c r="AR69" i="7"/>
  <c r="AO69" i="7"/>
  <c r="AI69" i="7"/>
  <c r="AN69" i="7"/>
  <c r="AG69" i="7"/>
  <c r="AL69" i="7"/>
  <c r="AP69" i="7"/>
  <c r="AH69" i="7"/>
  <c r="AJ69" i="7"/>
  <c r="AC69" i="7"/>
  <c r="AB69" i="7"/>
  <c r="AD69" i="7"/>
  <c r="AK69" i="7"/>
  <c r="Z69" i="7"/>
  <c r="AE69" i="7"/>
  <c r="AA69" i="7"/>
  <c r="AQ69" i="7"/>
  <c r="AP75" i="7"/>
  <c r="AI75" i="7"/>
  <c r="AN75" i="7"/>
  <c r="AJ75" i="7"/>
  <c r="AG75" i="7"/>
  <c r="AB75" i="7"/>
  <c r="AR75" i="7"/>
  <c r="AL75" i="7"/>
  <c r="AC75" i="7"/>
  <c r="AD75" i="7"/>
  <c r="AH75" i="7"/>
  <c r="Z75" i="7"/>
  <c r="AE75" i="7"/>
  <c r="AO75" i="7"/>
  <c r="AK75" i="7"/>
  <c r="AA75" i="7"/>
  <c r="AQ75" i="7"/>
  <c r="AN105" i="7"/>
  <c r="AR105" i="7"/>
  <c r="AO105" i="7"/>
  <c r="AP105" i="7"/>
  <c r="AI105" i="7"/>
  <c r="AB105" i="7"/>
  <c r="AQ105" i="7"/>
  <c r="AK105" i="7"/>
  <c r="AA105" i="7"/>
  <c r="AG105" i="7"/>
  <c r="AL105" i="7"/>
  <c r="AC105" i="7"/>
  <c r="AH105" i="7"/>
  <c r="AD105" i="7"/>
  <c r="Z105" i="7"/>
  <c r="AE105" i="7"/>
  <c r="AJ105" i="7"/>
  <c r="AR80" i="7"/>
  <c r="AP80" i="7"/>
  <c r="AG80" i="7"/>
  <c r="AK80" i="7"/>
  <c r="AQ80" i="7"/>
  <c r="AN80" i="7"/>
  <c r="AL80" i="7"/>
  <c r="AC80" i="7"/>
  <c r="AJ80" i="7"/>
  <c r="AD80" i="7"/>
  <c r="Z80" i="7"/>
  <c r="AE80" i="7"/>
  <c r="AH80" i="7"/>
  <c r="AA80" i="7"/>
  <c r="AI80" i="7"/>
  <c r="AB80" i="7"/>
  <c r="AO80" i="7"/>
  <c r="AR64" i="7"/>
  <c r="AN64" i="7"/>
  <c r="AP64" i="7"/>
  <c r="AH64" i="7"/>
  <c r="AL64" i="7"/>
  <c r="AK64" i="7"/>
  <c r="AG64" i="7"/>
  <c r="AQ64" i="7"/>
  <c r="AI64" i="7"/>
  <c r="AC64" i="7"/>
  <c r="AB64" i="7"/>
  <c r="AJ64" i="7"/>
  <c r="AD64" i="7"/>
  <c r="Z64" i="7"/>
  <c r="AE64" i="7"/>
  <c r="AA64" i="7"/>
  <c r="AO64" i="7"/>
  <c r="AR99" i="7"/>
  <c r="AO99" i="7"/>
  <c r="AP99" i="7"/>
  <c r="AG99" i="7"/>
  <c r="AK99" i="7"/>
  <c r="Z99" i="7"/>
  <c r="AD99" i="7"/>
  <c r="AN99" i="7"/>
  <c r="AL99" i="7"/>
  <c r="AB99" i="7"/>
  <c r="AH99" i="7"/>
  <c r="AC99" i="7"/>
  <c r="AI99" i="7"/>
  <c r="AE99" i="7"/>
  <c r="AA99" i="7"/>
  <c r="AJ99" i="7"/>
  <c r="AQ99" i="7"/>
  <c r="AQ83" i="7"/>
  <c r="AN83" i="7"/>
  <c r="AH83" i="7"/>
  <c r="AL83" i="7"/>
  <c r="AO83" i="7"/>
  <c r="AR83" i="7"/>
  <c r="AI83" i="7"/>
  <c r="Z83" i="7"/>
  <c r="AD83" i="7"/>
  <c r="AA83" i="7"/>
  <c r="AG83" i="7"/>
  <c r="AB83" i="7"/>
  <c r="AP83" i="7"/>
  <c r="AJ83" i="7"/>
  <c r="AC83" i="7"/>
  <c r="AK83" i="7"/>
  <c r="AE83" i="7"/>
  <c r="AQ67" i="7"/>
  <c r="AO67" i="7"/>
  <c r="AI67" i="7"/>
  <c r="AN67" i="7"/>
  <c r="AH67" i="7"/>
  <c r="AP67" i="7"/>
  <c r="AJ67" i="7"/>
  <c r="AK67" i="7"/>
  <c r="Z67" i="7"/>
  <c r="AD67" i="7"/>
  <c r="AR67" i="7"/>
  <c r="AE67" i="7"/>
  <c r="AA67" i="7"/>
  <c r="AG67" i="7"/>
  <c r="AB67" i="7"/>
  <c r="AL67" i="7"/>
  <c r="AC67" i="7"/>
  <c r="AP106" i="7"/>
  <c r="AN106" i="7"/>
  <c r="AO106" i="7"/>
  <c r="AG106" i="7"/>
  <c r="AK106" i="7"/>
  <c r="Z106" i="7"/>
  <c r="AD106" i="7"/>
  <c r="AQ106" i="7"/>
  <c r="AJ106" i="7"/>
  <c r="AA106" i="7"/>
  <c r="AL106" i="7"/>
  <c r="AB106" i="7"/>
  <c r="AR106" i="7"/>
  <c r="AH106" i="7"/>
  <c r="AC106" i="7"/>
  <c r="AE106" i="7"/>
  <c r="AI106" i="7"/>
  <c r="AR90" i="7"/>
  <c r="AN90" i="7"/>
  <c r="AI90" i="7"/>
  <c r="AP90" i="7"/>
  <c r="AH90" i="7"/>
  <c r="Z90" i="7"/>
  <c r="AD90" i="7"/>
  <c r="AQ90" i="7"/>
  <c r="AL90" i="7"/>
  <c r="AE90" i="7"/>
  <c r="AG90" i="7"/>
  <c r="AA90" i="7"/>
  <c r="AJ90" i="7"/>
  <c r="AB90" i="7"/>
  <c r="AK90" i="7"/>
  <c r="AC90" i="7"/>
  <c r="AO90" i="7"/>
  <c r="AQ74" i="7"/>
  <c r="AR74" i="7"/>
  <c r="AG74" i="7"/>
  <c r="AK74" i="7"/>
  <c r="AH74" i="7"/>
  <c r="AL74" i="7"/>
  <c r="AN74" i="7"/>
  <c r="Z74" i="7"/>
  <c r="AD74" i="7"/>
  <c r="AP74" i="7"/>
  <c r="AI74" i="7"/>
  <c r="AC74" i="7"/>
  <c r="AJ74" i="7"/>
  <c r="AE74" i="7"/>
  <c r="AA74" i="7"/>
  <c r="AB74" i="7"/>
  <c r="AO74" i="7"/>
  <c r="AQ58" i="7"/>
  <c r="AR58" i="7"/>
  <c r="AN58" i="7"/>
  <c r="AI58" i="7"/>
  <c r="AK58" i="7"/>
  <c r="AP58" i="7"/>
  <c r="AG58" i="7"/>
  <c r="AL58" i="7"/>
  <c r="Z58" i="7"/>
  <c r="AD58" i="7"/>
  <c r="AH58" i="7"/>
  <c r="AB58" i="7"/>
  <c r="AJ58" i="7"/>
  <c r="AC58" i="7"/>
  <c r="AE58" i="7"/>
  <c r="AA58" i="7"/>
  <c r="AO58" i="7"/>
  <c r="AN97" i="7"/>
  <c r="AO97" i="7"/>
  <c r="AP97" i="7"/>
  <c r="AG97" i="7"/>
  <c r="AK97" i="7"/>
  <c r="Z97" i="7"/>
  <c r="AD97" i="7"/>
  <c r="AH97" i="7"/>
  <c r="AC97" i="7"/>
  <c r="AI97" i="7"/>
  <c r="AE97" i="7"/>
  <c r="AR97" i="7"/>
  <c r="AJ97" i="7"/>
  <c r="AA97" i="7"/>
  <c r="AL97" i="7"/>
  <c r="AB97" i="7"/>
  <c r="AQ97" i="7"/>
  <c r="AQ81" i="7"/>
  <c r="AP81" i="7"/>
  <c r="AH81" i="7"/>
  <c r="AL81" i="7"/>
  <c r="AR81" i="7"/>
  <c r="AJ81" i="7"/>
  <c r="Z81" i="7"/>
  <c r="AD81" i="7"/>
  <c r="AN81" i="7"/>
  <c r="AK81" i="7"/>
  <c r="AB81" i="7"/>
  <c r="AC81" i="7"/>
  <c r="AG81" i="7"/>
  <c r="AE81" i="7"/>
  <c r="AO81" i="7"/>
  <c r="AI81" i="7"/>
  <c r="AA81" i="7"/>
  <c r="AQ65" i="7"/>
  <c r="AN65" i="7"/>
  <c r="AR65" i="7"/>
  <c r="AO65" i="7"/>
  <c r="AI65" i="7"/>
  <c r="AJ65" i="7"/>
  <c r="AK65" i="7"/>
  <c r="AL65" i="7"/>
  <c r="Z65" i="7"/>
  <c r="AD65" i="7"/>
  <c r="AP65" i="7"/>
  <c r="AA65" i="7"/>
  <c r="AB65" i="7"/>
  <c r="AG65" i="7"/>
  <c r="AC65" i="7"/>
  <c r="AH65" i="7"/>
  <c r="AE65" i="7"/>
  <c r="AP72" i="7"/>
  <c r="AR72" i="7"/>
  <c r="AN72" i="7"/>
  <c r="AG72" i="7"/>
  <c r="AK72" i="7"/>
  <c r="AQ72" i="7"/>
  <c r="AH72" i="7"/>
  <c r="AL72" i="7"/>
  <c r="AI72" i="7"/>
  <c r="AA72" i="7"/>
  <c r="AE72" i="7"/>
  <c r="AJ72" i="7"/>
  <c r="Z72" i="7"/>
  <c r="AB72" i="7"/>
  <c r="AC72" i="7"/>
  <c r="AD72" i="7"/>
  <c r="AO72" i="7"/>
  <c r="AR91" i="7"/>
  <c r="AO91" i="7"/>
  <c r="AG91" i="7"/>
  <c r="AP91" i="7"/>
  <c r="AH91" i="7"/>
  <c r="AL91" i="7"/>
  <c r="AB91" i="7"/>
  <c r="AD91" i="7"/>
  <c r="AI91" i="7"/>
  <c r="Z91" i="7"/>
  <c r="AE91" i="7"/>
  <c r="AN91" i="7"/>
  <c r="AJ91" i="7"/>
  <c r="AA91" i="7"/>
  <c r="AC91" i="7"/>
  <c r="AK91" i="7"/>
  <c r="AQ91" i="7"/>
  <c r="AR98" i="7"/>
  <c r="AN98" i="7"/>
  <c r="AP98" i="7"/>
  <c r="AI98" i="7"/>
  <c r="AB98" i="7"/>
  <c r="AQ98" i="7"/>
  <c r="AG98" i="7"/>
  <c r="AL98" i="7"/>
  <c r="AC98" i="7"/>
  <c r="AH98" i="7"/>
  <c r="AD98" i="7"/>
  <c r="AJ98" i="7"/>
  <c r="Z98" i="7"/>
  <c r="AE98" i="7"/>
  <c r="AA98" i="7"/>
  <c r="AK98" i="7"/>
  <c r="AO98" i="7"/>
  <c r="AO82" i="7"/>
  <c r="AP82" i="7"/>
  <c r="AJ82" i="7"/>
  <c r="AQ82" i="7"/>
  <c r="AN82" i="7"/>
  <c r="AI82" i="7"/>
  <c r="AB82" i="7"/>
  <c r="AR82" i="7"/>
  <c r="AL82" i="7"/>
  <c r="AA82" i="7"/>
  <c r="AG82" i="7"/>
  <c r="AC82" i="7"/>
  <c r="AH82" i="7"/>
  <c r="AD82" i="7"/>
  <c r="AK82" i="7"/>
  <c r="Z82" i="7"/>
  <c r="AE82" i="7"/>
  <c r="AR73" i="7"/>
  <c r="AP73" i="7"/>
  <c r="AI73" i="7"/>
  <c r="AJ73" i="7"/>
  <c r="AK73" i="7"/>
  <c r="AB73" i="7"/>
  <c r="AN73" i="7"/>
  <c r="AD73" i="7"/>
  <c r="AO73" i="7"/>
  <c r="AG73" i="7"/>
  <c r="Z73" i="7"/>
  <c r="AE73" i="7"/>
  <c r="AH73" i="7"/>
  <c r="AA73" i="7"/>
  <c r="AL73" i="7"/>
  <c r="AC73" i="7"/>
  <c r="AQ73" i="7"/>
  <c r="AN104" i="7"/>
  <c r="AP104" i="7"/>
  <c r="AH104" i="7"/>
  <c r="AL104" i="7"/>
  <c r="AA104" i="7"/>
  <c r="AE104" i="7"/>
  <c r="AQ104" i="7"/>
  <c r="AG104" i="7"/>
  <c r="AC104" i="7"/>
  <c r="AI104" i="7"/>
  <c r="AD104" i="7"/>
  <c r="AJ104" i="7"/>
  <c r="Z104" i="7"/>
  <c r="AR104" i="7"/>
  <c r="AK104" i="7"/>
  <c r="AB104" i="7"/>
  <c r="AO104" i="7"/>
  <c r="AP76" i="7"/>
  <c r="AG76" i="7"/>
  <c r="AK76" i="7"/>
  <c r="AN76" i="7"/>
  <c r="AH76" i="7"/>
  <c r="AL76" i="7"/>
  <c r="AI76" i="7"/>
  <c r="Z76" i="7"/>
  <c r="AD76" i="7"/>
  <c r="AQ76" i="7"/>
  <c r="AB76" i="7"/>
  <c r="AJ76" i="7"/>
  <c r="AC76" i="7"/>
  <c r="AR76" i="7"/>
  <c r="AE76" i="7"/>
  <c r="AA76" i="7"/>
  <c r="AO76" i="7"/>
  <c r="AP60" i="7"/>
  <c r="AQ60" i="7"/>
  <c r="AR60" i="7"/>
  <c r="AI60" i="7"/>
  <c r="AN60" i="7"/>
  <c r="AJ60" i="7"/>
  <c r="AK60" i="7"/>
  <c r="AL60" i="7"/>
  <c r="Z60" i="7"/>
  <c r="AD60" i="7"/>
  <c r="AA60" i="7"/>
  <c r="AB60" i="7"/>
  <c r="AG60" i="7"/>
  <c r="AC60" i="7"/>
  <c r="AH60" i="7"/>
  <c r="AE60" i="7"/>
  <c r="AO60" i="7"/>
  <c r="AO95" i="7"/>
  <c r="AN95" i="7"/>
  <c r="AH95" i="7"/>
  <c r="AL95" i="7"/>
  <c r="AA95" i="7"/>
  <c r="AE95" i="7"/>
  <c r="AJ95" i="7"/>
  <c r="Z95" i="7"/>
  <c r="AK95" i="7"/>
  <c r="AB95" i="7"/>
  <c r="AP95" i="7"/>
  <c r="AG95" i="7"/>
  <c r="AC95" i="7"/>
  <c r="AR95" i="7"/>
  <c r="AD95" i="7"/>
  <c r="AI95" i="7"/>
  <c r="AQ95" i="7"/>
  <c r="AN79" i="7"/>
  <c r="AP79" i="7"/>
  <c r="AI79" i="7"/>
  <c r="AR79" i="7"/>
  <c r="AG79" i="7"/>
  <c r="AL79" i="7"/>
  <c r="AA79" i="7"/>
  <c r="AE79" i="7"/>
  <c r="AJ79" i="7"/>
  <c r="AD79" i="7"/>
  <c r="AO79" i="7"/>
  <c r="AK79" i="7"/>
  <c r="Z79" i="7"/>
  <c r="AB79" i="7"/>
  <c r="AH79" i="7"/>
  <c r="AC79" i="7"/>
  <c r="AQ79" i="7"/>
  <c r="AN63" i="7"/>
  <c r="AO63" i="7"/>
  <c r="AP63" i="7"/>
  <c r="AJ63" i="7"/>
  <c r="AR63" i="7"/>
  <c r="AG63" i="7"/>
  <c r="AL63" i="7"/>
  <c r="AH63" i="7"/>
  <c r="AA63" i="7"/>
  <c r="AE63" i="7"/>
  <c r="AK63" i="7"/>
  <c r="AC63" i="7"/>
  <c r="AD63" i="7"/>
  <c r="Z63" i="7"/>
  <c r="AI63" i="7"/>
  <c r="AB63" i="7"/>
  <c r="AQ63" i="7"/>
  <c r="AP102" i="7"/>
  <c r="AR102" i="7"/>
  <c r="AN102" i="7"/>
  <c r="AH102" i="7"/>
  <c r="AL102" i="7"/>
  <c r="AA102" i="7"/>
  <c r="AE102" i="7"/>
  <c r="AQ102" i="7"/>
  <c r="AI102" i="7"/>
  <c r="AD102" i="7"/>
  <c r="AJ102" i="7"/>
  <c r="Z102" i="7"/>
  <c r="AK102" i="7"/>
  <c r="AB102" i="7"/>
  <c r="AC102" i="7"/>
  <c r="AG102" i="7"/>
  <c r="AO102" i="7"/>
  <c r="AO86" i="7"/>
  <c r="AP86" i="7"/>
  <c r="AJ86" i="7"/>
  <c r="AQ86" i="7"/>
  <c r="AN86" i="7"/>
  <c r="AG86" i="7"/>
  <c r="AL86" i="7"/>
  <c r="AA86" i="7"/>
  <c r="AE86" i="7"/>
  <c r="AR86" i="7"/>
  <c r="AI86" i="7"/>
  <c r="AC86" i="7"/>
  <c r="AK86" i="7"/>
  <c r="AD86" i="7"/>
  <c r="Z86" i="7"/>
  <c r="AH86" i="7"/>
  <c r="AB86" i="7"/>
  <c r="AQ70" i="7"/>
  <c r="AN70" i="7"/>
  <c r="AG70" i="7"/>
  <c r="AR70" i="7"/>
  <c r="AK70" i="7"/>
  <c r="AH70" i="7"/>
  <c r="AL70" i="7"/>
  <c r="AA70" i="7"/>
  <c r="AE70" i="7"/>
  <c r="AJ70" i="7"/>
  <c r="AB70" i="7"/>
  <c r="AC70" i="7"/>
  <c r="AP70" i="7"/>
  <c r="AD70" i="7"/>
  <c r="AI70" i="7"/>
  <c r="Z70" i="7"/>
  <c r="AO70" i="7"/>
  <c r="AP93" i="7"/>
  <c r="AR93" i="7"/>
  <c r="AH93" i="7"/>
  <c r="AL93" i="7"/>
  <c r="AA93" i="7"/>
  <c r="AE93" i="7"/>
  <c r="AN93" i="7"/>
  <c r="AO93" i="7"/>
  <c r="AK93" i="7"/>
  <c r="AB93" i="7"/>
  <c r="AG93" i="7"/>
  <c r="AC93" i="7"/>
  <c r="AI93" i="7"/>
  <c r="AD93" i="7"/>
  <c r="AJ93" i="7"/>
  <c r="Z93" i="7"/>
  <c r="AQ93" i="7"/>
  <c r="AO77" i="7"/>
  <c r="AN77" i="7"/>
  <c r="AI77" i="7"/>
  <c r="AP77" i="7"/>
  <c r="AJ77" i="7"/>
  <c r="AK77" i="7"/>
  <c r="AA77" i="7"/>
  <c r="AE77" i="7"/>
  <c r="AL77" i="7"/>
  <c r="Z77" i="7"/>
  <c r="AB77" i="7"/>
  <c r="AG77" i="7"/>
  <c r="AC77" i="7"/>
  <c r="AR77" i="7"/>
  <c r="AH77" i="7"/>
  <c r="AD77" i="7"/>
  <c r="AQ77" i="7"/>
  <c r="AO61" i="7"/>
  <c r="AP61" i="7"/>
  <c r="AR61" i="7"/>
  <c r="AJ61" i="7"/>
  <c r="AH61" i="7"/>
  <c r="AN61" i="7"/>
  <c r="AI61" i="7"/>
  <c r="AA61" i="7"/>
  <c r="AE61" i="7"/>
  <c r="AG61" i="7"/>
  <c r="AK61" i="7"/>
  <c r="AD61" i="7"/>
  <c r="AL61" i="7"/>
  <c r="Z61" i="7"/>
  <c r="AB61" i="7"/>
  <c r="AC61" i="7"/>
  <c r="AQ61" i="7"/>
  <c r="AD107" i="7"/>
  <c r="AH107" i="7"/>
  <c r="AO107" i="7"/>
  <c r="AI107" i="7"/>
  <c r="AG137" i="7"/>
  <c r="AG152" i="7"/>
  <c r="Z119" i="7"/>
  <c r="AN119" i="7"/>
  <c r="AG119" i="7"/>
  <c r="AG143" i="7"/>
  <c r="AN110" i="7"/>
  <c r="Z110" i="7"/>
  <c r="AG110" i="7"/>
  <c r="AG134" i="7"/>
  <c r="Z117" i="7"/>
  <c r="AG117" i="7"/>
  <c r="AN117" i="7"/>
  <c r="AG145" i="7"/>
  <c r="AN120" i="7"/>
  <c r="AG120" i="7"/>
  <c r="Z120" i="7"/>
  <c r="AG132" i="7"/>
  <c r="AG115" i="7"/>
  <c r="Z115" i="7"/>
  <c r="AN115" i="7"/>
  <c r="AG155" i="7"/>
  <c r="Z122" i="7"/>
  <c r="AG122" i="7"/>
  <c r="AN122" i="7"/>
  <c r="AG130" i="7"/>
  <c r="AH137" i="7"/>
  <c r="AA132" i="7"/>
  <c r="AO117" i="7"/>
  <c r="AO150" i="7"/>
  <c r="AA134" i="7"/>
  <c r="AA137" i="7"/>
  <c r="AI141" i="7"/>
  <c r="AI152" i="7"/>
  <c r="AP113" i="7"/>
  <c r="AI155" i="7"/>
  <c r="AI149" i="7"/>
  <c r="AI130" i="7"/>
  <c r="AD115" i="7"/>
  <c r="AR117" i="7"/>
  <c r="AD110" i="7"/>
  <c r="AK136" i="7"/>
  <c r="AD120" i="7"/>
  <c r="AQ117" i="7"/>
  <c r="AQ115" i="7"/>
  <c r="AJ130" i="7"/>
  <c r="AJ137" i="7"/>
  <c r="AJ120" i="7"/>
  <c r="AL149" i="7"/>
  <c r="AE119" i="7"/>
  <c r="AL141" i="7"/>
  <c r="AL110" i="7"/>
  <c r="AL145" i="7"/>
  <c r="AL137" i="7"/>
  <c r="AG157" i="7"/>
  <c r="AG133" i="7"/>
  <c r="AG129" i="7"/>
  <c r="AG108" i="7"/>
  <c r="AN108" i="7"/>
  <c r="Z108" i="7"/>
  <c r="AG144" i="7"/>
  <c r="AG128" i="7"/>
  <c r="AG111" i="7"/>
  <c r="Z111" i="7"/>
  <c r="AN111" i="7"/>
  <c r="AG151" i="7"/>
  <c r="AG135" i="7"/>
  <c r="Z118" i="7"/>
  <c r="AG118" i="7"/>
  <c r="AN118" i="7"/>
  <c r="AG158" i="7"/>
  <c r="Z158" i="7"/>
  <c r="AN158" i="7"/>
  <c r="AG142" i="7"/>
  <c r="AG126" i="7"/>
  <c r="AG109" i="7"/>
  <c r="Z109" i="7"/>
  <c r="AN109" i="7"/>
  <c r="AC107" i="7"/>
  <c r="AC115" i="7"/>
  <c r="AC108" i="7"/>
  <c r="AO111" i="7"/>
  <c r="AO112" i="7"/>
  <c r="AA130" i="7"/>
  <c r="AO149" i="7"/>
  <c r="AA108" i="7"/>
  <c r="AO141" i="7"/>
  <c r="AO144" i="7"/>
  <c r="AO153" i="7"/>
  <c r="AA122" i="7"/>
  <c r="AA117" i="7"/>
  <c r="AO129" i="7"/>
  <c r="AO137" i="7"/>
  <c r="AA131" i="7"/>
  <c r="AH139" i="7"/>
  <c r="AA138" i="7"/>
  <c r="AH157" i="7"/>
  <c r="AA110" i="7"/>
  <c r="AH129" i="7"/>
  <c r="AH134" i="7"/>
  <c r="AO120" i="7"/>
  <c r="AH152" i="7"/>
  <c r="AA145" i="7"/>
  <c r="AA124" i="7"/>
  <c r="AA150" i="7"/>
  <c r="AH112" i="7"/>
  <c r="AH153" i="7"/>
  <c r="AO139" i="7"/>
  <c r="AO148" i="7"/>
  <c r="AO131" i="7"/>
  <c r="AH108" i="7"/>
  <c r="AH136" i="7"/>
  <c r="AH156" i="7"/>
  <c r="AH122" i="7"/>
  <c r="AA151" i="7"/>
  <c r="AH119" i="7"/>
  <c r="AO152" i="7"/>
  <c r="AO154" i="7"/>
  <c r="AO110" i="7"/>
  <c r="AI116" i="7"/>
  <c r="AI150" i="7"/>
  <c r="AP116" i="7"/>
  <c r="AI139" i="7"/>
  <c r="AP111" i="7"/>
  <c r="AP158" i="7"/>
  <c r="AB107" i="7"/>
  <c r="AP120" i="7"/>
  <c r="AI118" i="7"/>
  <c r="AI119" i="7"/>
  <c r="AB115" i="7"/>
  <c r="AI143" i="7"/>
  <c r="AB118" i="7"/>
  <c r="AI135" i="7"/>
  <c r="AB123" i="7"/>
  <c r="AP117" i="7"/>
  <c r="AB120" i="7"/>
  <c r="AI145" i="7"/>
  <c r="AI146" i="7"/>
  <c r="AP118" i="7"/>
  <c r="AI136" i="7"/>
  <c r="AI137" i="7"/>
  <c r="AB112" i="7"/>
  <c r="AB117" i="7"/>
  <c r="AR119" i="7"/>
  <c r="AK150" i="7"/>
  <c r="AR109" i="7"/>
  <c r="AK151" i="7"/>
  <c r="AK149" i="7"/>
  <c r="AD117" i="7"/>
  <c r="AK120" i="7"/>
  <c r="AD109" i="7"/>
  <c r="AK132" i="7"/>
  <c r="AK138" i="7"/>
  <c r="AR115" i="7"/>
  <c r="AR122" i="7"/>
  <c r="AK142" i="7"/>
  <c r="AD116" i="7"/>
  <c r="AK111" i="7"/>
  <c r="AK146" i="7"/>
  <c r="AK148" i="7"/>
  <c r="AQ110" i="7"/>
  <c r="AQ118" i="7"/>
  <c r="AQ158" i="7"/>
  <c r="AQ116" i="7"/>
  <c r="AJ144" i="7"/>
  <c r="AJ134" i="7"/>
  <c r="AJ126" i="7"/>
  <c r="AJ145" i="7"/>
  <c r="AJ122" i="7"/>
  <c r="AJ143" i="7"/>
  <c r="AJ138" i="7"/>
  <c r="AJ108" i="7"/>
  <c r="AJ129" i="7"/>
  <c r="AJ121" i="7"/>
  <c r="AJ111" i="7"/>
  <c r="AJ146" i="7"/>
  <c r="AL117" i="7"/>
  <c r="AL118" i="7"/>
  <c r="AL156" i="7"/>
  <c r="AL158" i="7"/>
  <c r="AL155" i="7"/>
  <c r="AL143" i="7"/>
  <c r="AL148" i="7"/>
  <c r="AE122" i="7"/>
  <c r="AL134" i="7"/>
  <c r="AL133" i="7"/>
  <c r="AE111" i="7"/>
  <c r="AL132" i="7"/>
  <c r="AG136" i="7"/>
  <c r="AG127" i="7"/>
  <c r="AG150" i="7"/>
  <c r="AC117" i="7"/>
  <c r="AG149" i="7"/>
  <c r="AG141" i="7"/>
  <c r="AG148" i="7"/>
  <c r="AG139" i="7"/>
  <c r="AG146" i="7"/>
  <c r="AG113" i="7"/>
  <c r="AN113" i="7"/>
  <c r="Z113" i="7"/>
  <c r="AC110" i="7"/>
  <c r="AO130" i="7"/>
  <c r="AH115" i="7"/>
  <c r="AH141" i="7"/>
  <c r="AA139" i="7"/>
  <c r="AA146" i="7"/>
  <c r="AA127" i="7"/>
  <c r="AO146" i="7"/>
  <c r="AI110" i="7"/>
  <c r="AB122" i="7"/>
  <c r="AP115" i="7"/>
  <c r="AP122" i="7"/>
  <c r="AI117" i="7"/>
  <c r="AK115" i="7"/>
  <c r="AK155" i="7"/>
  <c r="AK130" i="7"/>
  <c r="AQ113" i="7"/>
  <c r="AJ113" i="7"/>
  <c r="AJ139" i="7"/>
  <c r="AE110" i="7"/>
  <c r="AL127" i="7"/>
  <c r="AG124" i="7"/>
  <c r="AN124" i="7"/>
  <c r="Z124" i="7"/>
  <c r="AG116" i="7"/>
  <c r="Z116" i="7"/>
  <c r="AN116" i="7"/>
  <c r="Z112" i="7"/>
  <c r="AN112" i="7"/>
  <c r="AG112" i="7"/>
  <c r="AG153" i="7"/>
  <c r="AG156" i="7"/>
  <c r="AG140" i="7"/>
  <c r="Z123" i="7"/>
  <c r="AN123" i="7"/>
  <c r="AG123" i="7"/>
  <c r="AG107" i="7"/>
  <c r="Z107" i="7"/>
  <c r="AN107" i="7"/>
  <c r="AG147" i="7"/>
  <c r="AG131" i="7"/>
  <c r="AG114" i="7"/>
  <c r="Z114" i="7"/>
  <c r="AN114" i="7"/>
  <c r="AG154" i="7"/>
  <c r="AG138" i="7"/>
  <c r="AN121" i="7"/>
  <c r="Z121" i="7"/>
  <c r="AG121" i="7"/>
  <c r="AC123" i="7"/>
  <c r="AC122" i="7"/>
  <c r="AC124" i="7"/>
  <c r="AC112" i="7"/>
  <c r="AC118" i="7"/>
  <c r="AC120" i="7"/>
  <c r="AO136" i="7"/>
  <c r="AO142" i="7"/>
  <c r="AH135" i="7"/>
  <c r="AH128" i="7"/>
  <c r="AO132" i="7"/>
  <c r="AH126" i="7"/>
  <c r="AO122" i="7"/>
  <c r="AO119" i="7"/>
  <c r="AA157" i="7"/>
  <c r="AA141" i="7"/>
  <c r="AH130" i="7"/>
  <c r="AA149" i="7"/>
  <c r="AO147" i="7"/>
  <c r="AH158" i="7"/>
  <c r="AH131" i="7"/>
  <c r="AA116" i="7"/>
  <c r="AA126" i="7"/>
  <c r="AA143" i="7"/>
  <c r="AO127" i="7"/>
  <c r="AO151" i="7"/>
  <c r="AA119" i="7"/>
  <c r="AH113" i="7"/>
  <c r="AH145" i="7"/>
  <c r="AH127" i="7"/>
  <c r="AA107" i="7"/>
  <c r="AH143" i="7"/>
  <c r="AH150" i="7"/>
  <c r="AO123" i="7"/>
  <c r="AH154" i="7"/>
  <c r="AA128" i="7"/>
  <c r="AH132" i="7"/>
  <c r="AA121" i="7"/>
  <c r="AH117" i="7"/>
  <c r="AA115" i="7"/>
  <c r="AH120" i="7"/>
  <c r="AO116" i="7"/>
  <c r="AH148" i="7"/>
  <c r="AO108" i="7"/>
  <c r="AA153" i="7"/>
  <c r="AI115" i="7"/>
  <c r="AI133" i="7"/>
  <c r="AI132" i="7"/>
  <c r="AI157" i="7"/>
  <c r="AI134" i="7"/>
  <c r="AP123" i="7"/>
  <c r="AI148" i="7"/>
  <c r="AB124" i="7"/>
  <c r="AP110" i="7"/>
  <c r="AI128" i="7"/>
  <c r="AI147" i="7"/>
  <c r="AI124" i="7"/>
  <c r="AI156" i="7"/>
  <c r="AI158" i="7"/>
  <c r="AP112" i="7"/>
  <c r="AI127" i="7"/>
  <c r="AK110" i="7"/>
  <c r="AR121" i="7"/>
  <c r="AK143" i="7"/>
  <c r="AK113" i="7"/>
  <c r="AD121" i="7"/>
  <c r="AK133" i="7"/>
  <c r="AR113" i="7"/>
  <c r="AR118" i="7"/>
  <c r="AK152" i="7"/>
  <c r="AK128" i="7"/>
  <c r="AK117" i="7"/>
  <c r="AR107" i="7"/>
  <c r="AK157" i="7"/>
  <c r="AR124" i="7"/>
  <c r="AK140" i="7"/>
  <c r="AK145" i="7"/>
  <c r="AK158" i="7"/>
  <c r="AD119" i="7"/>
  <c r="AR158" i="7"/>
  <c r="AK119" i="7"/>
  <c r="AQ107" i="7"/>
  <c r="AQ124" i="7"/>
  <c r="AQ122" i="7"/>
  <c r="AJ148" i="7"/>
  <c r="AJ119" i="7"/>
  <c r="AJ128" i="7"/>
  <c r="AJ110" i="7"/>
  <c r="AJ127" i="7"/>
  <c r="AJ150" i="7"/>
  <c r="AJ115" i="7"/>
  <c r="AJ112" i="7"/>
  <c r="AJ149" i="7"/>
  <c r="AJ155" i="7"/>
  <c r="AJ132" i="7"/>
  <c r="AJ131" i="7"/>
  <c r="AJ141" i="7"/>
  <c r="AL139" i="7"/>
  <c r="AE120" i="7"/>
  <c r="AE114" i="7"/>
  <c r="AE108" i="7"/>
  <c r="AL111" i="7"/>
  <c r="AL130" i="7"/>
  <c r="AE117" i="7"/>
  <c r="AL114" i="7"/>
  <c r="AL122" i="7"/>
  <c r="AL131" i="7"/>
  <c r="AL108" i="7"/>
  <c r="AL109" i="7"/>
  <c r="AE113" i="7"/>
  <c r="AE123" i="7"/>
  <c r="AC119" i="7"/>
  <c r="AA136" i="7"/>
  <c r="AO134" i="7"/>
  <c r="AH110" i="7"/>
  <c r="AO143" i="7"/>
  <c r="AA120" i="7"/>
  <c r="AH146" i="7"/>
  <c r="AA155" i="7"/>
  <c r="AO115" i="7"/>
  <c r="AA152" i="7"/>
  <c r="AA113" i="7"/>
  <c r="AH149" i="7"/>
  <c r="AH155" i="7"/>
  <c r="AO155" i="7"/>
  <c r="AA148" i="7"/>
  <c r="AO145" i="7"/>
  <c r="AP119" i="7"/>
  <c r="AI120" i="7"/>
  <c r="AI122" i="7"/>
  <c r="AB113" i="7"/>
  <c r="AB110" i="7"/>
  <c r="AI113" i="7"/>
  <c r="AB119" i="7"/>
  <c r="AP107" i="7"/>
  <c r="AK131" i="7"/>
  <c r="AR110" i="7"/>
  <c r="AD112" i="7"/>
  <c r="AD122" i="7"/>
  <c r="AR123" i="7"/>
  <c r="AR108" i="7"/>
  <c r="AK156" i="7"/>
  <c r="AK137" i="7"/>
  <c r="AR120" i="7"/>
  <c r="AD123" i="7"/>
  <c r="AR116" i="7"/>
  <c r="AK134" i="7"/>
  <c r="AK126" i="7"/>
  <c r="AK139" i="7"/>
  <c r="AK141" i="7"/>
  <c r="AK127" i="7"/>
  <c r="AD108" i="7"/>
  <c r="AK144" i="7"/>
  <c r="AK114" i="7"/>
  <c r="AD114" i="7"/>
  <c r="AK108" i="7"/>
  <c r="AK129" i="7"/>
  <c r="AK122" i="7"/>
  <c r="AD113" i="7"/>
  <c r="AQ123" i="7"/>
  <c r="AQ119" i="7"/>
  <c r="AQ112" i="7"/>
  <c r="AQ108" i="7"/>
  <c r="AQ120" i="7"/>
  <c r="AQ109" i="7"/>
  <c r="AJ135" i="7"/>
  <c r="AJ109" i="7"/>
  <c r="AJ153" i="7"/>
  <c r="AJ117" i="7"/>
  <c r="AJ152" i="7"/>
  <c r="AJ156" i="7"/>
  <c r="AJ136" i="7"/>
  <c r="AJ107" i="7"/>
  <c r="AJ151" i="7"/>
  <c r="AJ118" i="7"/>
  <c r="AJ133" i="7"/>
  <c r="AJ124" i="7"/>
  <c r="AL128" i="7"/>
  <c r="AL115" i="7"/>
  <c r="AL129" i="7"/>
  <c r="AE112" i="7"/>
  <c r="AL107" i="7"/>
  <c r="AL124" i="7"/>
  <c r="AL135" i="7"/>
  <c r="AL140" i="7"/>
  <c r="AL151" i="7"/>
  <c r="AE107" i="7"/>
  <c r="AE115" i="7"/>
  <c r="AL152" i="7"/>
  <c r="AL123" i="7"/>
  <c r="AL150" i="7"/>
  <c r="AL120" i="7"/>
  <c r="AL119" i="7"/>
  <c r="R20" i="8"/>
  <c r="Y21" i="8"/>
  <c r="AB21" i="8"/>
  <c r="V21" i="8"/>
  <c r="AC21" i="8"/>
  <c r="AG21" i="8"/>
  <c r="M21" i="8"/>
  <c r="K21" i="8"/>
  <c r="N21" i="8"/>
  <c r="O21" i="8"/>
  <c r="C19" i="3"/>
  <c r="N19" i="3" s="1"/>
  <c r="Q19" i="3" s="1"/>
  <c r="H13" i="9"/>
  <c r="J13" i="9"/>
  <c r="G13" i="9"/>
  <c r="A58" i="7"/>
  <c r="A50" i="4"/>
  <c r="A20" i="19" s="1"/>
  <c r="A19" i="3"/>
  <c r="A14" i="9"/>
  <c r="A21" i="8"/>
  <c r="AM35" i="3" l="1"/>
  <c r="AL35" i="3"/>
  <c r="AM24" i="10"/>
  <c r="AH36" i="18"/>
  <c r="AK36" i="18" s="1"/>
  <c r="AH36" i="19"/>
  <c r="AK36" i="19" s="1"/>
  <c r="AH36" i="3"/>
  <c r="AK36" i="3" s="1"/>
  <c r="AF206" i="7"/>
  <c r="AM35" i="19"/>
  <c r="AO35" i="19" s="1"/>
  <c r="AP35" i="19" s="1"/>
  <c r="BJ35" i="19" s="1"/>
  <c r="AL35" i="19"/>
  <c r="AN35" i="19" s="1"/>
  <c r="AM35" i="18"/>
  <c r="AO35" i="18" s="1"/>
  <c r="AP35" i="18" s="1"/>
  <c r="BJ35" i="18" s="1"/>
  <c r="AL35" i="18"/>
  <c r="AN35" i="18" s="1"/>
  <c r="AR22" i="10"/>
  <c r="AS22" i="10"/>
  <c r="BG54" i="6"/>
  <c r="AU54" i="6"/>
  <c r="AI200" i="16"/>
  <c r="AJ199" i="16"/>
  <c r="S208" i="9"/>
  <c r="P208" i="9"/>
  <c r="Q208" i="9"/>
  <c r="AH200" i="16"/>
  <c r="K209" i="9"/>
  <c r="T203" i="16"/>
  <c r="V203" i="16"/>
  <c r="U203" i="16"/>
  <c r="CE123" i="16" s="1"/>
  <c r="CI55" i="6" s="1"/>
  <c r="AC201" i="16"/>
  <c r="AD201" i="16" s="1"/>
  <c r="Y202" i="16"/>
  <c r="W202" i="16"/>
  <c r="AB202" i="16"/>
  <c r="AA202" i="16"/>
  <c r="Z202" i="16"/>
  <c r="X202" i="16"/>
  <c r="AM109" i="18"/>
  <c r="AL109" i="18"/>
  <c r="AG200" i="16"/>
  <c r="AE200" i="16"/>
  <c r="AF200" i="16"/>
  <c r="G205" i="16"/>
  <c r="H204" i="16"/>
  <c r="R204" i="16"/>
  <c r="S204" i="16" s="1"/>
  <c r="BD19" i="3"/>
  <c r="BK19" i="3"/>
  <c r="AD35" i="19"/>
  <c r="AC35" i="18"/>
  <c r="AE35" i="18" s="1"/>
  <c r="AF35" i="18" s="1"/>
  <c r="BC35" i="18" s="1"/>
  <c r="AN29" i="3"/>
  <c r="AO29" i="3"/>
  <c r="AP29" i="3" s="1"/>
  <c r="BJ29" i="3" s="1"/>
  <c r="M189" i="11"/>
  <c r="P189" i="11"/>
  <c r="Q189" i="11" s="1"/>
  <c r="K190" i="11"/>
  <c r="S19" i="18"/>
  <c r="U19" i="18" s="1"/>
  <c r="V19" i="18" s="1"/>
  <c r="R19" i="18"/>
  <c r="T19" i="18" s="1"/>
  <c r="D54" i="19"/>
  <c r="D54" i="18"/>
  <c r="E53" i="18"/>
  <c r="L52" i="18"/>
  <c r="P52" i="18"/>
  <c r="S19" i="19"/>
  <c r="U19" i="19" s="1"/>
  <c r="V19" i="19" s="1"/>
  <c r="R19" i="19"/>
  <c r="T19" i="19" s="1"/>
  <c r="C8" i="10"/>
  <c r="C20" i="19"/>
  <c r="N20" i="19" s="1"/>
  <c r="Q20" i="19" s="1"/>
  <c r="C20" i="18"/>
  <c r="N20" i="18" s="1"/>
  <c r="Q20" i="18" s="1"/>
  <c r="H164" i="16"/>
  <c r="E53" i="19"/>
  <c r="P52" i="19"/>
  <c r="L52" i="19"/>
  <c r="AC35" i="19"/>
  <c r="AE35" i="19" s="1"/>
  <c r="AF35" i="19" s="1"/>
  <c r="BC35" i="19" s="1"/>
  <c r="X36" i="18"/>
  <c r="AA36" i="18" s="1"/>
  <c r="AB36" i="18" s="1"/>
  <c r="AD36" i="18" s="1"/>
  <c r="X36" i="19"/>
  <c r="AA36" i="19" s="1"/>
  <c r="AB36" i="19" s="1"/>
  <c r="AD36" i="19" s="1"/>
  <c r="H166" i="17"/>
  <c r="U26" i="10"/>
  <c r="AO208" i="7"/>
  <c r="O210" i="7"/>
  <c r="AH209" i="7"/>
  <c r="V209" i="7"/>
  <c r="AP208" i="7"/>
  <c r="P210" i="7"/>
  <c r="AI209" i="7"/>
  <c r="X209" i="7"/>
  <c r="AR208" i="7"/>
  <c r="Q210" i="7"/>
  <c r="AJ209" i="7"/>
  <c r="K209" i="7"/>
  <c r="AC208" i="7"/>
  <c r="S210" i="7"/>
  <c r="AL209" i="7"/>
  <c r="W208" i="7"/>
  <c r="AQ207" i="7"/>
  <c r="N206" i="7"/>
  <c r="P47" i="17"/>
  <c r="J209" i="7"/>
  <c r="AB208" i="7"/>
  <c r="H208" i="7"/>
  <c r="Z207" i="7"/>
  <c r="AF207" i="7" s="1"/>
  <c r="AA208" i="7"/>
  <c r="I209" i="7"/>
  <c r="T206" i="7"/>
  <c r="W47" i="17"/>
  <c r="R210" i="7"/>
  <c r="AK209" i="7"/>
  <c r="L209" i="7"/>
  <c r="AD208" i="7"/>
  <c r="U210" i="7"/>
  <c r="AO209" i="7"/>
  <c r="A8" i="10"/>
  <c r="AC8" i="10" s="1"/>
  <c r="A20" i="18"/>
  <c r="O104" i="3"/>
  <c r="AM168" i="7"/>
  <c r="R208" i="1"/>
  <c r="H208" i="1"/>
  <c r="E209" i="1"/>
  <c r="AM161" i="7"/>
  <c r="AM164" i="7"/>
  <c r="F109" i="17"/>
  <c r="D207" i="7" s="1"/>
  <c r="G108" i="17"/>
  <c r="AR98" i="19" s="1"/>
  <c r="AU98" i="19" s="1"/>
  <c r="AM162" i="7"/>
  <c r="R175" i="7"/>
  <c r="AK174" i="7"/>
  <c r="AM167" i="7"/>
  <c r="AM170" i="7"/>
  <c r="V174" i="7"/>
  <c r="AP173" i="7"/>
  <c r="AM165" i="7"/>
  <c r="K174" i="7"/>
  <c r="AC173" i="7"/>
  <c r="L174" i="7"/>
  <c r="AD173" i="7"/>
  <c r="AM166" i="7"/>
  <c r="P176" i="7"/>
  <c r="AI175" i="7"/>
  <c r="AM163" i="7"/>
  <c r="U174" i="7"/>
  <c r="AO173" i="7"/>
  <c r="Q175" i="7"/>
  <c r="AJ174" i="7"/>
  <c r="I174" i="7"/>
  <c r="AA173" i="7"/>
  <c r="J174" i="7"/>
  <c r="AB173" i="7"/>
  <c r="AO172" i="7"/>
  <c r="N172" i="7"/>
  <c r="S175" i="7"/>
  <c r="AL174" i="7"/>
  <c r="AM169" i="7"/>
  <c r="AM171" i="7"/>
  <c r="AM160" i="7"/>
  <c r="O175" i="7"/>
  <c r="AH174" i="7"/>
  <c r="AQ173" i="7"/>
  <c r="AR174" i="7"/>
  <c r="T172" i="7"/>
  <c r="T173" i="7" s="1"/>
  <c r="T174" i="7" s="1"/>
  <c r="T175" i="7" s="1"/>
  <c r="T176" i="7" s="1"/>
  <c r="T177" i="7" s="1"/>
  <c r="T178" i="7" s="1"/>
  <c r="T179" i="7" s="1"/>
  <c r="T180" i="7" s="1"/>
  <c r="T181" i="7" s="1"/>
  <c r="T182" i="7" s="1"/>
  <c r="T183" i="7" s="1"/>
  <c r="T184" i="7" s="1"/>
  <c r="T185" i="7" s="1"/>
  <c r="T186" i="7" s="1"/>
  <c r="T187" i="7" s="1"/>
  <c r="T188" i="7" s="1"/>
  <c r="T189" i="7" s="1"/>
  <c r="T190" i="7" s="1"/>
  <c r="T191" i="7" s="1"/>
  <c r="T192" i="7" s="1"/>
  <c r="AN192" i="7" s="1"/>
  <c r="G128" i="11"/>
  <c r="AR118" i="3" s="1"/>
  <c r="D158" i="7"/>
  <c r="D52" i="16"/>
  <c r="F108" i="16" s="1"/>
  <c r="D52" i="11"/>
  <c r="AP23" i="10"/>
  <c r="AL24" i="10"/>
  <c r="S25" i="10"/>
  <c r="J68" i="4"/>
  <c r="L67" i="4"/>
  <c r="T25" i="10" s="1"/>
  <c r="AN24" i="10"/>
  <c r="X36" i="3"/>
  <c r="AK24" i="10"/>
  <c r="AO24" i="10"/>
  <c r="K33" i="10"/>
  <c r="P40" i="9"/>
  <c r="S40" i="9"/>
  <c r="Q40" i="9"/>
  <c r="F89" i="4"/>
  <c r="C97" i="7"/>
  <c r="G89" i="4"/>
  <c r="D97" i="7"/>
  <c r="AA44" i="10"/>
  <c r="AG8" i="10"/>
  <c r="AD8" i="10"/>
  <c r="AH8" i="10"/>
  <c r="AE8" i="10"/>
  <c r="AF8" i="10"/>
  <c r="W45" i="10"/>
  <c r="X29" i="10"/>
  <c r="AI7" i="10"/>
  <c r="C163" i="1"/>
  <c r="R162" i="1"/>
  <c r="H162" i="1"/>
  <c r="AU58" i="3"/>
  <c r="AV58" i="3" s="1"/>
  <c r="O58" i="3"/>
  <c r="AD29" i="3"/>
  <c r="AE29" i="3"/>
  <c r="AF29" i="3" s="1"/>
  <c r="BC29" i="3" s="1"/>
  <c r="D54" i="3"/>
  <c r="L43" i="10"/>
  <c r="P42" i="10"/>
  <c r="V26" i="10"/>
  <c r="Y25" i="10"/>
  <c r="M56" i="10"/>
  <c r="M57" i="10" s="1"/>
  <c r="M58" i="10" s="1"/>
  <c r="M59" i="10" s="1"/>
  <c r="M60" i="10" s="1"/>
  <c r="M61" i="10" s="1"/>
  <c r="M62" i="10" s="1"/>
  <c r="M63" i="10" s="1"/>
  <c r="M64" i="10" s="1"/>
  <c r="M65" i="10" s="1"/>
  <c r="S77" i="4"/>
  <c r="J34" i="10"/>
  <c r="L45" i="3"/>
  <c r="P45" i="3"/>
  <c r="K51" i="4"/>
  <c r="B9" i="10"/>
  <c r="O77" i="4"/>
  <c r="F34" i="10"/>
  <c r="R77" i="4"/>
  <c r="I34" i="10"/>
  <c r="M77" i="4"/>
  <c r="D34" i="10"/>
  <c r="T76" i="4"/>
  <c r="Q77" i="4"/>
  <c r="H34" i="10"/>
  <c r="P77" i="4"/>
  <c r="G34" i="10"/>
  <c r="B48" i="8" s="1"/>
  <c r="N77" i="4"/>
  <c r="E34" i="10"/>
  <c r="Q21" i="8"/>
  <c r="R21" i="8" s="1"/>
  <c r="AX20" i="3"/>
  <c r="AY21" i="3" s="1"/>
  <c r="AZ21" i="3" s="1"/>
  <c r="AY20" i="3"/>
  <c r="AZ20" i="3" s="1"/>
  <c r="S19" i="3"/>
  <c r="R19" i="3"/>
  <c r="S18" i="3"/>
  <c r="U18" i="3" s="1"/>
  <c r="V18" i="3" s="1"/>
  <c r="R18" i="3"/>
  <c r="T18" i="3" s="1"/>
  <c r="Q22" i="8"/>
  <c r="AT59" i="7"/>
  <c r="AT114" i="7"/>
  <c r="AF89" i="7"/>
  <c r="AT70" i="7"/>
  <c r="AF102" i="7"/>
  <c r="AT72" i="7"/>
  <c r="AT58" i="7"/>
  <c r="AT94" i="7"/>
  <c r="AM154" i="7"/>
  <c r="AM142" i="7"/>
  <c r="AT106" i="7"/>
  <c r="AF83" i="7"/>
  <c r="AF64" i="7"/>
  <c r="AF105" i="7"/>
  <c r="AM75" i="7"/>
  <c r="AF69" i="7"/>
  <c r="AM101" i="7"/>
  <c r="AF101" i="7"/>
  <c r="AF78" i="7"/>
  <c r="AF57" i="7"/>
  <c r="AF87" i="7"/>
  <c r="AF84" i="7"/>
  <c r="AF100" i="7"/>
  <c r="AT92" i="7"/>
  <c r="AM89" i="7"/>
  <c r="AF59" i="7"/>
  <c r="AF88" i="7"/>
  <c r="AM88" i="7"/>
  <c r="AF124" i="7"/>
  <c r="AF114" i="7"/>
  <c r="AT123" i="7"/>
  <c r="AM116" i="7"/>
  <c r="AF113" i="7"/>
  <c r="AM108" i="7"/>
  <c r="AF86" i="7"/>
  <c r="AM102" i="7"/>
  <c r="AF82" i="7"/>
  <c r="AF91" i="7"/>
  <c r="AT81" i="7"/>
  <c r="AM58" i="7"/>
  <c r="AF80" i="7"/>
  <c r="AM157" i="7"/>
  <c r="AM153" i="7"/>
  <c r="AF109" i="7"/>
  <c r="AM82" i="7"/>
  <c r="AT74" i="7"/>
  <c r="AT80" i="7"/>
  <c r="AM87" i="7"/>
  <c r="AT103" i="7"/>
  <c r="AT122" i="7"/>
  <c r="AT121" i="7"/>
  <c r="AF116" i="7"/>
  <c r="AF108" i="7"/>
  <c r="AT118" i="7"/>
  <c r="AF98" i="7"/>
  <c r="AF74" i="7"/>
  <c r="AM85" i="7"/>
  <c r="AM68" i="7"/>
  <c r="AF79" i="7"/>
  <c r="AT79" i="7"/>
  <c r="AT95" i="7"/>
  <c r="AF76" i="7"/>
  <c r="AF104" i="7"/>
  <c r="AT104" i="7"/>
  <c r="AF81" i="7"/>
  <c r="AF97" i="7"/>
  <c r="AT97" i="7"/>
  <c r="AM74" i="7"/>
  <c r="AM67" i="7"/>
  <c r="AM83" i="7"/>
  <c r="AT99" i="7"/>
  <c r="AM99" i="7"/>
  <c r="AT64" i="7"/>
  <c r="AF75" i="7"/>
  <c r="AT69" i="7"/>
  <c r="AM69" i="7"/>
  <c r="AF62" i="7"/>
  <c r="AT78" i="7"/>
  <c r="AM57" i="7"/>
  <c r="AT87" i="7"/>
  <c r="AF103" i="7"/>
  <c r="AM84" i="7"/>
  <c r="AT84" i="7"/>
  <c r="AT96" i="7"/>
  <c r="AT63" i="7"/>
  <c r="AF85" i="7"/>
  <c r="AT62" i="7"/>
  <c r="AF93" i="7"/>
  <c r="AT76" i="7"/>
  <c r="AF65" i="7"/>
  <c r="AT61" i="7"/>
  <c r="AT77" i="7"/>
  <c r="AT93" i="7"/>
  <c r="AM93" i="7"/>
  <c r="AF70" i="7"/>
  <c r="AT86" i="7"/>
  <c r="AM76" i="7"/>
  <c r="AM104" i="7"/>
  <c r="AT73" i="7"/>
  <c r="AM73" i="7"/>
  <c r="AM98" i="7"/>
  <c r="AT91" i="7"/>
  <c r="AF72" i="7"/>
  <c r="AM72" i="7"/>
  <c r="AM65" i="7"/>
  <c r="AM81" i="7"/>
  <c r="AM97" i="7"/>
  <c r="AF58" i="7"/>
  <c r="AM90" i="7"/>
  <c r="AM106" i="7"/>
  <c r="AF67" i="7"/>
  <c r="AT83" i="7"/>
  <c r="AT75" i="7"/>
  <c r="AT85" i="7"/>
  <c r="AM94" i="7"/>
  <c r="AF71" i="7"/>
  <c r="AM96" i="7"/>
  <c r="AM100" i="7"/>
  <c r="AF92" i="7"/>
  <c r="AF66" i="7"/>
  <c r="AM66" i="7"/>
  <c r="AT88" i="7"/>
  <c r="AF106" i="7"/>
  <c r="AM80" i="7"/>
  <c r="AT89" i="7"/>
  <c r="AM77" i="7"/>
  <c r="AM86" i="7"/>
  <c r="AT102" i="7"/>
  <c r="AM79" i="7"/>
  <c r="AF61" i="7"/>
  <c r="AM61" i="7"/>
  <c r="AF77" i="7"/>
  <c r="AM70" i="7"/>
  <c r="AF63" i="7"/>
  <c r="AM63" i="7"/>
  <c r="AM95" i="7"/>
  <c r="AF95" i="7"/>
  <c r="AM60" i="7"/>
  <c r="AF60" i="7"/>
  <c r="AT60" i="7"/>
  <c r="AF73" i="7"/>
  <c r="AT82" i="7"/>
  <c r="AT98" i="7"/>
  <c r="AM91" i="7"/>
  <c r="AT65" i="7"/>
  <c r="AF90" i="7"/>
  <c r="AT90" i="7"/>
  <c r="AT67" i="7"/>
  <c r="AF99" i="7"/>
  <c r="AM64" i="7"/>
  <c r="AM105" i="7"/>
  <c r="AT105" i="7"/>
  <c r="AT101" i="7"/>
  <c r="AM62" i="7"/>
  <c r="AM78" i="7"/>
  <c r="AF94" i="7"/>
  <c r="AT57" i="7"/>
  <c r="AM71" i="7"/>
  <c r="AT71" i="7"/>
  <c r="AM103" i="7"/>
  <c r="AF68" i="7"/>
  <c r="AT68" i="7"/>
  <c r="AF96" i="7"/>
  <c r="AT100" i="7"/>
  <c r="AM92" i="7"/>
  <c r="AT66" i="7"/>
  <c r="AM59" i="7"/>
  <c r="AT158" i="7"/>
  <c r="AM118" i="7"/>
  <c r="AM135" i="7"/>
  <c r="AT111" i="7"/>
  <c r="AM144" i="7"/>
  <c r="AM133" i="7"/>
  <c r="AM130" i="7"/>
  <c r="AM122" i="7"/>
  <c r="AM120" i="7"/>
  <c r="AF117" i="7"/>
  <c r="AM110" i="7"/>
  <c r="AM143" i="7"/>
  <c r="AF119" i="7"/>
  <c r="AT107" i="7"/>
  <c r="AT112" i="7"/>
  <c r="AM139" i="7"/>
  <c r="AT109" i="7"/>
  <c r="AM155" i="7"/>
  <c r="AM117" i="7"/>
  <c r="AT119" i="7"/>
  <c r="AF123" i="7"/>
  <c r="AM149" i="7"/>
  <c r="AM150" i="7"/>
  <c r="AM121" i="7"/>
  <c r="AM147" i="7"/>
  <c r="AM107" i="7"/>
  <c r="AM140" i="7"/>
  <c r="AM156" i="7"/>
  <c r="AT116" i="7"/>
  <c r="AT124" i="7"/>
  <c r="AM113" i="7"/>
  <c r="AM148" i="7"/>
  <c r="AM141" i="7"/>
  <c r="AM109" i="7"/>
  <c r="AF118" i="7"/>
  <c r="AF111" i="7"/>
  <c r="AM128" i="7"/>
  <c r="AM129" i="7"/>
  <c r="AF122" i="7"/>
  <c r="AT115" i="7"/>
  <c r="AM132" i="7"/>
  <c r="AT120" i="7"/>
  <c r="AF110" i="7"/>
  <c r="AM137" i="7"/>
  <c r="AF120" i="7"/>
  <c r="AM115" i="7"/>
  <c r="AM145" i="7"/>
  <c r="AM114" i="7"/>
  <c r="AF107" i="7"/>
  <c r="AT113" i="7"/>
  <c r="AM136" i="7"/>
  <c r="AM158" i="7"/>
  <c r="AF112" i="7"/>
  <c r="AF121" i="7"/>
  <c r="AM138" i="7"/>
  <c r="AM131" i="7"/>
  <c r="AM123" i="7"/>
  <c r="AM112" i="7"/>
  <c r="AM124" i="7"/>
  <c r="AM146" i="7"/>
  <c r="AM127" i="7"/>
  <c r="AM126" i="7"/>
  <c r="AM151" i="7"/>
  <c r="AM111" i="7"/>
  <c r="AT108" i="7"/>
  <c r="AF115" i="7"/>
  <c r="AT117" i="7"/>
  <c r="AM134" i="7"/>
  <c r="AT110" i="7"/>
  <c r="AM119" i="7"/>
  <c r="AM152" i="7"/>
  <c r="Z21" i="8"/>
  <c r="AH21" i="8"/>
  <c r="H14" i="9"/>
  <c r="G14" i="9"/>
  <c r="J14" i="9"/>
  <c r="AF22" i="8"/>
  <c r="C20" i="3"/>
  <c r="N20" i="3" s="1"/>
  <c r="Q20" i="3" s="1"/>
  <c r="AE22" i="8"/>
  <c r="T22" i="8"/>
  <c r="W22" i="8"/>
  <c r="V22" i="8"/>
  <c r="AA22" i="8"/>
  <c r="AB22" i="8"/>
  <c r="L22" i="8"/>
  <c r="AC22" i="8"/>
  <c r="AD22" i="8"/>
  <c r="P22" i="8"/>
  <c r="K22" i="8"/>
  <c r="M22" i="8"/>
  <c r="N22" i="8"/>
  <c r="X22" i="8"/>
  <c r="S22" i="8"/>
  <c r="O22" i="8"/>
  <c r="U22" i="8"/>
  <c r="A59" i="7"/>
  <c r="A15" i="9"/>
  <c r="A51" i="4"/>
  <c r="A21" i="19" s="1"/>
  <c r="A22" i="8"/>
  <c r="A20" i="3"/>
  <c r="AR23" i="10" l="1"/>
  <c r="AS23" i="10"/>
  <c r="AL36" i="3"/>
  <c r="AM36" i="3"/>
  <c r="AL36" i="19"/>
  <c r="AN36" i="19" s="1"/>
  <c r="AM36" i="19"/>
  <c r="AO36" i="19" s="1"/>
  <c r="AP36" i="19" s="1"/>
  <c r="BJ36" i="19" s="1"/>
  <c r="AM36" i="18"/>
  <c r="AO36" i="18" s="1"/>
  <c r="AP36" i="18" s="1"/>
  <c r="BJ36" i="18" s="1"/>
  <c r="AL36" i="18"/>
  <c r="AN36" i="18" s="1"/>
  <c r="AL25" i="10"/>
  <c r="AH37" i="19"/>
  <c r="AK37" i="19" s="1"/>
  <c r="AH37" i="18"/>
  <c r="AK37" i="18" s="1"/>
  <c r="AH37" i="3"/>
  <c r="AK37" i="3" s="1"/>
  <c r="BG55" i="6"/>
  <c r="AU55" i="6"/>
  <c r="AI201" i="16"/>
  <c r="AH201" i="16"/>
  <c r="AF201" i="16"/>
  <c r="AG201" i="16"/>
  <c r="AE201" i="16"/>
  <c r="AH111" i="18" s="1"/>
  <c r="AK111" i="18" s="1"/>
  <c r="AL111" i="18" s="1"/>
  <c r="K210" i="9"/>
  <c r="Y203" i="16"/>
  <c r="AB203" i="16"/>
  <c r="W203" i="16"/>
  <c r="AA203" i="16"/>
  <c r="Z203" i="16"/>
  <c r="X203" i="16"/>
  <c r="G206" i="16"/>
  <c r="H205" i="16"/>
  <c r="R205" i="16"/>
  <c r="S205" i="16" s="1"/>
  <c r="T204" i="16"/>
  <c r="V204" i="16"/>
  <c r="U204" i="16"/>
  <c r="CE124" i="16" s="1"/>
  <c r="CI56" i="6" s="1"/>
  <c r="AJ200" i="16"/>
  <c r="AH110" i="18"/>
  <c r="AK110" i="18" s="1"/>
  <c r="AC202" i="16"/>
  <c r="AD202" i="16" s="1"/>
  <c r="Q209" i="9"/>
  <c r="P209" i="9"/>
  <c r="S209" i="9"/>
  <c r="BD20" i="3"/>
  <c r="BK20" i="3"/>
  <c r="BB19" i="18"/>
  <c r="BE19" i="18" s="1"/>
  <c r="BG19" i="18" s="1"/>
  <c r="BI19" i="18"/>
  <c r="BL19" i="18" s="1"/>
  <c r="BN19" i="18" s="1"/>
  <c r="BB18" i="3"/>
  <c r="BE18" i="3" s="1"/>
  <c r="BG18" i="3" s="1"/>
  <c r="BI18" i="3"/>
  <c r="BL18" i="3" s="1"/>
  <c r="BN18" i="3" s="1"/>
  <c r="BD21" i="3"/>
  <c r="BK21" i="3"/>
  <c r="BI19" i="19"/>
  <c r="BL19" i="19" s="1"/>
  <c r="BN19" i="19" s="1"/>
  <c r="BB19" i="19"/>
  <c r="BE19" i="19" s="1"/>
  <c r="BG19" i="19" s="1"/>
  <c r="AC36" i="19"/>
  <c r="AE36" i="19" s="1"/>
  <c r="AF36" i="19" s="1"/>
  <c r="BC36" i="19" s="1"/>
  <c r="AC36" i="18"/>
  <c r="AE36" i="18" s="1"/>
  <c r="AF36" i="18" s="1"/>
  <c r="BC36" i="18" s="1"/>
  <c r="AN30" i="3"/>
  <c r="AO30" i="3"/>
  <c r="AP30" i="3" s="1"/>
  <c r="BJ30" i="3" s="1"/>
  <c r="K191" i="11"/>
  <c r="M190" i="11"/>
  <c r="P190" i="11"/>
  <c r="Q190" i="11" s="1"/>
  <c r="H48" i="8"/>
  <c r="D55" i="19"/>
  <c r="D55" i="18"/>
  <c r="H165" i="16"/>
  <c r="R20" i="18"/>
  <c r="T20" i="18" s="1"/>
  <c r="S20" i="18"/>
  <c r="U20" i="18" s="1"/>
  <c r="V20" i="18" s="1"/>
  <c r="P53" i="18"/>
  <c r="L53" i="18"/>
  <c r="E54" i="18"/>
  <c r="C9" i="10"/>
  <c r="C21" i="19"/>
  <c r="N21" i="19" s="1"/>
  <c r="Q21" i="19" s="1"/>
  <c r="C21" i="18"/>
  <c r="N21" i="18" s="1"/>
  <c r="Q21" i="18" s="1"/>
  <c r="S20" i="19"/>
  <c r="U20" i="19" s="1"/>
  <c r="V20" i="19" s="1"/>
  <c r="R20" i="19"/>
  <c r="T20" i="19" s="1"/>
  <c r="P53" i="19"/>
  <c r="L53" i="19"/>
  <c r="E54" i="19"/>
  <c r="X37" i="19"/>
  <c r="AA37" i="19" s="1"/>
  <c r="AC37" i="19" s="1"/>
  <c r="AE37" i="19" s="1"/>
  <c r="AF37" i="19" s="1"/>
  <c r="BC37" i="19" s="1"/>
  <c r="AM25" i="10"/>
  <c r="X37" i="18"/>
  <c r="AA37" i="18" s="1"/>
  <c r="AB37" i="18" s="1"/>
  <c r="AD37" i="18" s="1"/>
  <c r="H167" i="17"/>
  <c r="U27" i="10"/>
  <c r="AW98" i="19"/>
  <c r="AV98" i="19"/>
  <c r="AD209" i="7"/>
  <c r="L210" i="7"/>
  <c r="T207" i="7"/>
  <c r="AN206" i="7"/>
  <c r="H209" i="7"/>
  <c r="Z208" i="7"/>
  <c r="AF208" i="7" s="1"/>
  <c r="N207" i="7"/>
  <c r="AG206" i="7"/>
  <c r="AM206" i="7" s="1"/>
  <c r="AS206" i="7"/>
  <c r="S211" i="7"/>
  <c r="AL210" i="7"/>
  <c r="Q211" i="7"/>
  <c r="AJ210" i="7"/>
  <c r="AI210" i="7"/>
  <c r="P211" i="7"/>
  <c r="I210" i="7"/>
  <c r="AA209" i="7"/>
  <c r="O211" i="7"/>
  <c r="AH210" i="7"/>
  <c r="U211" i="7"/>
  <c r="AO210" i="7"/>
  <c r="R211" i="7"/>
  <c r="AK210" i="7"/>
  <c r="AB209" i="7"/>
  <c r="J210" i="7"/>
  <c r="W209" i="7"/>
  <c r="AQ208" i="7"/>
  <c r="AC209" i="7"/>
  <c r="K210" i="7"/>
  <c r="X210" i="7"/>
  <c r="AR209" i="7"/>
  <c r="V210" i="7"/>
  <c r="AP209" i="7"/>
  <c r="A9" i="10"/>
  <c r="AC9" i="10" s="1"/>
  <c r="A21" i="18"/>
  <c r="O105" i="3"/>
  <c r="H209" i="1"/>
  <c r="R209" i="1"/>
  <c r="E210" i="1"/>
  <c r="G109" i="17"/>
  <c r="AR99" i="19" s="1"/>
  <c r="AU99" i="19" s="1"/>
  <c r="F110" i="17"/>
  <c r="D208" i="7" s="1"/>
  <c r="Q176" i="7"/>
  <c r="AJ175" i="7"/>
  <c r="L175" i="7"/>
  <c r="AD174" i="7"/>
  <c r="R176" i="7"/>
  <c r="AK175" i="7"/>
  <c r="S176" i="7"/>
  <c r="AL175" i="7"/>
  <c r="I175" i="7"/>
  <c r="AA174" i="7"/>
  <c r="U175" i="7"/>
  <c r="AO174" i="7"/>
  <c r="K175" i="7"/>
  <c r="AC174" i="7"/>
  <c r="J175" i="7"/>
  <c r="AB174" i="7"/>
  <c r="AH175" i="7"/>
  <c r="O176" i="7"/>
  <c r="P177" i="7"/>
  <c r="AI176" i="7"/>
  <c r="V175" i="7"/>
  <c r="AP174" i="7"/>
  <c r="N173" i="7"/>
  <c r="AG172" i="7"/>
  <c r="AM172" i="7" s="1"/>
  <c r="AS172" i="7"/>
  <c r="AN172" i="7"/>
  <c r="AR175" i="7"/>
  <c r="F109" i="16"/>
  <c r="D172" i="7"/>
  <c r="AQ174" i="7"/>
  <c r="AP24" i="10"/>
  <c r="AN25" i="10"/>
  <c r="X37" i="3"/>
  <c r="AK25" i="10"/>
  <c r="AO25" i="10"/>
  <c r="S26" i="10"/>
  <c r="J69" i="4"/>
  <c r="L68" i="4"/>
  <c r="T26" i="10" s="1"/>
  <c r="G90" i="4"/>
  <c r="D98" i="7"/>
  <c r="K34" i="10"/>
  <c r="S41" i="9"/>
  <c r="P41" i="9"/>
  <c r="Q41" i="9"/>
  <c r="F90" i="4"/>
  <c r="C98" i="7"/>
  <c r="AE9" i="10"/>
  <c r="AF9" i="10"/>
  <c r="AD9" i="10"/>
  <c r="AH9" i="10"/>
  <c r="AG9" i="10"/>
  <c r="W46" i="10"/>
  <c r="AI8" i="10"/>
  <c r="AA45" i="10"/>
  <c r="X30" i="10"/>
  <c r="O59" i="3"/>
  <c r="AU59" i="3"/>
  <c r="AV59" i="3" s="1"/>
  <c r="C164" i="1"/>
  <c r="R163" i="1"/>
  <c r="H163" i="1"/>
  <c r="D55" i="3"/>
  <c r="L44" i="10"/>
  <c r="P43" i="10"/>
  <c r="V27" i="10"/>
  <c r="Y26" i="10"/>
  <c r="AV59" i="7"/>
  <c r="R78" i="4"/>
  <c r="I35" i="10"/>
  <c r="K52" i="4"/>
  <c r="B10" i="10"/>
  <c r="P78" i="4"/>
  <c r="G35" i="10"/>
  <c r="B49" i="8" s="1"/>
  <c r="Q78" i="4"/>
  <c r="H35" i="10"/>
  <c r="M78" i="4"/>
  <c r="D35" i="10"/>
  <c r="T77" i="4"/>
  <c r="N78" i="4"/>
  <c r="E35" i="10"/>
  <c r="L46" i="3"/>
  <c r="P46" i="3"/>
  <c r="O78" i="4"/>
  <c r="F35" i="10"/>
  <c r="S78" i="4"/>
  <c r="J35" i="10"/>
  <c r="Y22" i="8"/>
  <c r="Z22" i="8" s="1"/>
  <c r="AG22" i="8"/>
  <c r="AH22" i="8" s="1"/>
  <c r="AX21" i="3"/>
  <c r="AX22" i="3" s="1"/>
  <c r="AX23" i="3" s="1"/>
  <c r="S20" i="3"/>
  <c r="R20" i="3"/>
  <c r="T19" i="3"/>
  <c r="U19" i="3"/>
  <c r="V19" i="3" s="1"/>
  <c r="AV112" i="7"/>
  <c r="J15" i="6" s="1"/>
  <c r="P15" i="6" s="1"/>
  <c r="T15" i="6" s="1"/>
  <c r="AV85" i="7"/>
  <c r="AV81" i="7"/>
  <c r="AV107" i="7"/>
  <c r="J10" i="6" s="1"/>
  <c r="P10" i="6" s="1"/>
  <c r="T10" i="6" s="1"/>
  <c r="BE10" i="6" s="1"/>
  <c r="AV121" i="7"/>
  <c r="J24" i="6" s="1"/>
  <c r="AV118" i="7"/>
  <c r="J21" i="6" s="1"/>
  <c r="P21" i="6" s="1"/>
  <c r="T21" i="6" s="1"/>
  <c r="AV123" i="7"/>
  <c r="J26" i="6" s="1"/>
  <c r="AV119" i="7"/>
  <c r="J22" i="6" s="1"/>
  <c r="AV116" i="7"/>
  <c r="J19" i="6" s="1"/>
  <c r="P19" i="6" s="1"/>
  <c r="T19" i="6" s="1"/>
  <c r="AV109" i="7"/>
  <c r="J12" i="6" s="1"/>
  <c r="P12" i="6" s="1"/>
  <c r="T12" i="6" s="1"/>
  <c r="AV114" i="7"/>
  <c r="J17" i="6" s="1"/>
  <c r="P17" i="6" s="1"/>
  <c r="T17" i="6" s="1"/>
  <c r="AV117" i="7"/>
  <c r="J20" i="6" s="1"/>
  <c r="P20" i="6" s="1"/>
  <c r="T20" i="6" s="1"/>
  <c r="AV108" i="7"/>
  <c r="J11" i="6" s="1"/>
  <c r="P11" i="6" s="1"/>
  <c r="T11" i="6" s="1"/>
  <c r="AV120" i="7"/>
  <c r="J23" i="6" s="1"/>
  <c r="AV110" i="7"/>
  <c r="J13" i="6" s="1"/>
  <c r="P13" i="6" s="1"/>
  <c r="T13" i="6" s="1"/>
  <c r="AV113" i="7"/>
  <c r="J16" i="6" s="1"/>
  <c r="P16" i="6" s="1"/>
  <c r="T16" i="6" s="1"/>
  <c r="AV124" i="7"/>
  <c r="J27" i="6" s="1"/>
  <c r="AV115" i="7"/>
  <c r="J18" i="6" s="1"/>
  <c r="P18" i="6" s="1"/>
  <c r="T18" i="6" s="1"/>
  <c r="AV122" i="7"/>
  <c r="J25" i="6" s="1"/>
  <c r="AV111" i="7"/>
  <c r="J14" i="6" s="1"/>
  <c r="P14" i="6" s="1"/>
  <c r="T14" i="6" s="1"/>
  <c r="AV103" i="7"/>
  <c r="AV101" i="7"/>
  <c r="AV89" i="7"/>
  <c r="AV102" i="7"/>
  <c r="AV58" i="7"/>
  <c r="AV87" i="7"/>
  <c r="AV106" i="7"/>
  <c r="AV75" i="7"/>
  <c r="AV80" i="7"/>
  <c r="AV83" i="7"/>
  <c r="AV71" i="7"/>
  <c r="AV90" i="7"/>
  <c r="AV98" i="7"/>
  <c r="AV92" i="7"/>
  <c r="AV94" i="7"/>
  <c r="AV72" i="7"/>
  <c r="AV73" i="7"/>
  <c r="AV70" i="7"/>
  <c r="AV64" i="7"/>
  <c r="AV95" i="7"/>
  <c r="AV66" i="7"/>
  <c r="AV68" i="7"/>
  <c r="AV82" i="7"/>
  <c r="AV88" i="7"/>
  <c r="AV91" i="7"/>
  <c r="AV84" i="7"/>
  <c r="AV74" i="7"/>
  <c r="AV61" i="7"/>
  <c r="AV57" i="7"/>
  <c r="AV99" i="7"/>
  <c r="AV104" i="7"/>
  <c r="AV79" i="7"/>
  <c r="AV62" i="7"/>
  <c r="AV69" i="7"/>
  <c r="AV65" i="7"/>
  <c r="AV93" i="7"/>
  <c r="AV76" i="7"/>
  <c r="AV63" i="7"/>
  <c r="AV78" i="7"/>
  <c r="AV100" i="7"/>
  <c r="AV105" i="7"/>
  <c r="AV67" i="7"/>
  <c r="AV60" i="7"/>
  <c r="AV86" i="7"/>
  <c r="AV77" i="7"/>
  <c r="AV96" i="7"/>
  <c r="AV97" i="7"/>
  <c r="J15" i="9"/>
  <c r="G15" i="9"/>
  <c r="H15" i="9"/>
  <c r="R22" i="8"/>
  <c r="X23" i="8"/>
  <c r="N23" i="8"/>
  <c r="P23" i="8"/>
  <c r="AD23" i="8"/>
  <c r="C21" i="3"/>
  <c r="N21" i="3" s="1"/>
  <c r="Q21" i="3" s="1"/>
  <c r="T23" i="8"/>
  <c r="AC23" i="8"/>
  <c r="AA23" i="8"/>
  <c r="K23" i="8"/>
  <c r="AE23" i="8"/>
  <c r="AF23" i="8"/>
  <c r="AB23" i="8"/>
  <c r="O23" i="8"/>
  <c r="M23" i="8"/>
  <c r="S23" i="8"/>
  <c r="L23" i="8"/>
  <c r="V23" i="8"/>
  <c r="W23" i="8"/>
  <c r="U23" i="8"/>
  <c r="A60" i="7"/>
  <c r="A16" i="9"/>
  <c r="A23" i="8"/>
  <c r="A52" i="4"/>
  <c r="A22" i="19" s="1"/>
  <c r="A21" i="3"/>
  <c r="AM37" i="3" l="1"/>
  <c r="AL37" i="3"/>
  <c r="AM37" i="18"/>
  <c r="AO37" i="18" s="1"/>
  <c r="AP37" i="18" s="1"/>
  <c r="BJ37" i="18" s="1"/>
  <c r="AL37" i="18"/>
  <c r="AN37" i="18" s="1"/>
  <c r="AM37" i="19"/>
  <c r="AO37" i="19" s="1"/>
  <c r="AP37" i="19" s="1"/>
  <c r="BJ37" i="19" s="1"/>
  <c r="AL37" i="19"/>
  <c r="AN37" i="19" s="1"/>
  <c r="AR24" i="10"/>
  <c r="AS24" i="10"/>
  <c r="P23" i="6"/>
  <c r="T23" i="6" s="1"/>
  <c r="AA23" i="6" s="1"/>
  <c r="E20" i="23"/>
  <c r="P26" i="6"/>
  <c r="T26" i="6" s="1"/>
  <c r="AS26" i="6" s="1"/>
  <c r="H20" i="23"/>
  <c r="P25" i="6"/>
  <c r="T25" i="6" s="1"/>
  <c r="G20" i="23"/>
  <c r="P27" i="6"/>
  <c r="T27" i="6" s="1"/>
  <c r="AS27" i="6" s="1"/>
  <c r="I20" i="23"/>
  <c r="P24" i="6"/>
  <c r="T24" i="6" s="1"/>
  <c r="F20" i="23"/>
  <c r="AM26" i="10"/>
  <c r="AH38" i="19"/>
  <c r="AK38" i="19" s="1"/>
  <c r="AH38" i="18"/>
  <c r="AK38" i="18" s="1"/>
  <c r="AH38" i="3"/>
  <c r="AK38" i="3" s="1"/>
  <c r="BG56" i="6"/>
  <c r="AU56" i="6"/>
  <c r="P22" i="6"/>
  <c r="T22" i="6" s="1"/>
  <c r="D20" i="23"/>
  <c r="AJ201" i="16"/>
  <c r="AG202" i="16"/>
  <c r="AH202" i="16"/>
  <c r="AI202" i="16"/>
  <c r="AM111" i="18"/>
  <c r="AL110" i="18"/>
  <c r="AM110" i="18"/>
  <c r="G207" i="16"/>
  <c r="H206" i="16"/>
  <c r="R206" i="16"/>
  <c r="S206" i="16" s="1"/>
  <c r="S210" i="9"/>
  <c r="Q210" i="9"/>
  <c r="P210" i="9"/>
  <c r="AE202" i="16"/>
  <c r="AF202" i="16"/>
  <c r="T205" i="16"/>
  <c r="V205" i="16"/>
  <c r="U205" i="16"/>
  <c r="CE125" i="16" s="1"/>
  <c r="CI57" i="6" s="1"/>
  <c r="AC203" i="16"/>
  <c r="AD203" i="16" s="1"/>
  <c r="AE203" i="16"/>
  <c r="AH113" i="18" s="1"/>
  <c r="AK113" i="18" s="1"/>
  <c r="Y204" i="16"/>
  <c r="W204" i="16"/>
  <c r="Z204" i="16"/>
  <c r="AB204" i="16"/>
  <c r="AA204" i="16"/>
  <c r="X204" i="16"/>
  <c r="K211" i="9"/>
  <c r="AB37" i="19"/>
  <c r="AD37" i="19" s="1"/>
  <c r="BB20" i="18"/>
  <c r="BE20" i="18" s="1"/>
  <c r="BG20" i="18" s="1"/>
  <c r="BI20" i="18"/>
  <c r="BL20" i="18" s="1"/>
  <c r="BN20" i="18" s="1"/>
  <c r="BI20" i="19"/>
  <c r="BL20" i="19" s="1"/>
  <c r="BN20" i="19" s="1"/>
  <c r="BB20" i="19"/>
  <c r="BE20" i="19" s="1"/>
  <c r="BG20" i="19" s="1"/>
  <c r="BB19" i="3"/>
  <c r="BE19" i="3" s="1"/>
  <c r="BG19" i="3" s="1"/>
  <c r="BI19" i="3"/>
  <c r="BL19" i="3" s="1"/>
  <c r="BN19" i="3" s="1"/>
  <c r="AS25" i="6"/>
  <c r="BE25" i="6"/>
  <c r="AS18" i="6"/>
  <c r="BE18" i="6"/>
  <c r="BE23" i="6"/>
  <c r="AS12" i="6"/>
  <c r="BE12" i="6"/>
  <c r="AS21" i="6"/>
  <c r="BE21" i="6"/>
  <c r="AS13" i="6"/>
  <c r="BE13" i="6"/>
  <c r="BE27" i="6"/>
  <c r="AS11" i="6"/>
  <c r="BE11" i="6"/>
  <c r="AS19" i="6"/>
  <c r="BE19" i="6"/>
  <c r="AS24" i="6"/>
  <c r="BE24" i="6"/>
  <c r="AS15" i="6"/>
  <c r="BE15" i="6"/>
  <c r="AS17" i="6"/>
  <c r="BE17" i="6"/>
  <c r="AS14" i="6"/>
  <c r="BE14" i="6"/>
  <c r="AS16" i="6"/>
  <c r="BE16" i="6"/>
  <c r="AS20" i="6"/>
  <c r="BE20" i="6"/>
  <c r="AS22" i="6"/>
  <c r="BE22" i="6"/>
  <c r="AS10" i="6"/>
  <c r="AM10" i="6"/>
  <c r="AA18" i="6"/>
  <c r="AG18" i="6"/>
  <c r="AA12" i="6"/>
  <c r="AG12" i="6"/>
  <c r="AA21" i="6"/>
  <c r="AG21" i="6"/>
  <c r="AA27" i="6"/>
  <c r="AM27" i="6" s="1"/>
  <c r="AG27" i="6"/>
  <c r="AA11" i="6"/>
  <c r="AG11" i="6"/>
  <c r="AA19" i="6"/>
  <c r="AG19" i="6"/>
  <c r="AA24" i="6"/>
  <c r="AM24" i="6" s="1"/>
  <c r="AG24" i="6"/>
  <c r="AA15" i="6"/>
  <c r="AG15" i="6"/>
  <c r="AA14" i="6"/>
  <c r="AM14" i="6" s="1"/>
  <c r="AG14" i="6"/>
  <c r="AA16" i="6"/>
  <c r="AG16" i="6"/>
  <c r="AA20" i="6"/>
  <c r="AG20" i="6"/>
  <c r="AA22" i="6"/>
  <c r="AY22" i="6" s="1"/>
  <c r="AG22" i="6"/>
  <c r="AA10" i="6"/>
  <c r="AY10" i="6" s="1"/>
  <c r="AG10" i="6"/>
  <c r="AA25" i="6"/>
  <c r="AG25" i="6"/>
  <c r="AA13" i="6"/>
  <c r="AM13" i="6" s="1"/>
  <c r="AG13" i="6"/>
  <c r="AA17" i="6"/>
  <c r="AG17" i="6"/>
  <c r="AA26" i="6"/>
  <c r="AM26" i="6" s="1"/>
  <c r="AG26" i="6"/>
  <c r="AC37" i="18"/>
  <c r="AE37" i="18" s="1"/>
  <c r="AF37" i="18" s="1"/>
  <c r="BC37" i="18" s="1"/>
  <c r="AO31" i="3"/>
  <c r="AP31" i="3" s="1"/>
  <c r="BJ31" i="3" s="1"/>
  <c r="AN31" i="3"/>
  <c r="K192" i="11"/>
  <c r="M191" i="11"/>
  <c r="P191" i="11"/>
  <c r="Q191" i="11" s="1"/>
  <c r="H49" i="8"/>
  <c r="H166" i="16"/>
  <c r="S21" i="19"/>
  <c r="U21" i="19" s="1"/>
  <c r="V21" i="19" s="1"/>
  <c r="R21" i="19"/>
  <c r="T21" i="19" s="1"/>
  <c r="P54" i="19"/>
  <c r="E55" i="19"/>
  <c r="L54" i="19"/>
  <c r="C10" i="10"/>
  <c r="C22" i="19"/>
  <c r="N22" i="19" s="1"/>
  <c r="Q22" i="19" s="1"/>
  <c r="C22" i="18"/>
  <c r="N22" i="18" s="1"/>
  <c r="Q22" i="18" s="1"/>
  <c r="D56" i="19"/>
  <c r="D56" i="18"/>
  <c r="E55" i="18"/>
  <c r="L54" i="18"/>
  <c r="P54" i="18"/>
  <c r="S21" i="18"/>
  <c r="U21" i="18" s="1"/>
  <c r="V21" i="18" s="1"/>
  <c r="R21" i="18"/>
  <c r="T21" i="18" s="1"/>
  <c r="AY14" i="6"/>
  <c r="AY25" i="6"/>
  <c r="AM25" i="6"/>
  <c r="AY13" i="6"/>
  <c r="AY17" i="6"/>
  <c r="AM17" i="6"/>
  <c r="AM20" i="6"/>
  <c r="AY20" i="6"/>
  <c r="AY18" i="6"/>
  <c r="AM18" i="6"/>
  <c r="AM12" i="6"/>
  <c r="AY12" i="6"/>
  <c r="AY21" i="6"/>
  <c r="AM21" i="6"/>
  <c r="AM16" i="6"/>
  <c r="AY16" i="6"/>
  <c r="AY11" i="6"/>
  <c r="AM11" i="6"/>
  <c r="AM19" i="6"/>
  <c r="AY19" i="6"/>
  <c r="AY15" i="6"/>
  <c r="AM15" i="6"/>
  <c r="X38" i="18"/>
  <c r="AA38" i="18" s="1"/>
  <c r="AC38" i="18" s="1"/>
  <c r="AE38" i="18" s="1"/>
  <c r="AF38" i="18" s="1"/>
  <c r="BC38" i="18" s="1"/>
  <c r="AP25" i="10"/>
  <c r="X38" i="19"/>
  <c r="AA38" i="19" s="1"/>
  <c r="AC38" i="19" s="1"/>
  <c r="H168" i="17"/>
  <c r="U28" i="10"/>
  <c r="AV99" i="19"/>
  <c r="AW99" i="19"/>
  <c r="V211" i="7"/>
  <c r="AP210" i="7"/>
  <c r="U212" i="7"/>
  <c r="AO211" i="7"/>
  <c r="I211" i="7"/>
  <c r="AA210" i="7"/>
  <c r="AJ211" i="7"/>
  <c r="Q212" i="7"/>
  <c r="N208" i="7"/>
  <c r="AS207" i="7"/>
  <c r="AG207" i="7"/>
  <c r="AM207" i="7" s="1"/>
  <c r="L211" i="7"/>
  <c r="AD210" i="7"/>
  <c r="AI211" i="7"/>
  <c r="P212" i="7"/>
  <c r="X211" i="7"/>
  <c r="AR210" i="7"/>
  <c r="AQ209" i="7"/>
  <c r="W210" i="7"/>
  <c r="R212" i="7"/>
  <c r="AK211" i="7"/>
  <c r="O212" i="7"/>
  <c r="AH211" i="7"/>
  <c r="S212" i="7"/>
  <c r="AL211" i="7"/>
  <c r="Z209" i="7"/>
  <c r="AF209" i="7" s="1"/>
  <c r="H210" i="7"/>
  <c r="AN207" i="7"/>
  <c r="T208" i="7"/>
  <c r="K211" i="7"/>
  <c r="AC210" i="7"/>
  <c r="J211" i="7"/>
  <c r="AB210" i="7"/>
  <c r="AT206" i="7"/>
  <c r="AV206" i="7" s="1"/>
  <c r="A10" i="10"/>
  <c r="AC10" i="10" s="1"/>
  <c r="A22" i="18"/>
  <c r="O106" i="3"/>
  <c r="AT172" i="7"/>
  <c r="R210" i="1"/>
  <c r="H210" i="1"/>
  <c r="E211" i="1"/>
  <c r="F111" i="17"/>
  <c r="D209" i="7" s="1"/>
  <c r="G110" i="17"/>
  <c r="AR100" i="19" s="1"/>
  <c r="AU100" i="19" s="1"/>
  <c r="P178" i="7"/>
  <c r="AI177" i="7"/>
  <c r="U176" i="7"/>
  <c r="AO175" i="7"/>
  <c r="S177" i="7"/>
  <c r="AL176" i="7"/>
  <c r="V176" i="7"/>
  <c r="AP175" i="7"/>
  <c r="K176" i="7"/>
  <c r="AC175" i="7"/>
  <c r="I176" i="7"/>
  <c r="AA175" i="7"/>
  <c r="R177" i="7"/>
  <c r="AK176" i="7"/>
  <c r="N174" i="7"/>
  <c r="AG173" i="7"/>
  <c r="AM173" i="7" s="1"/>
  <c r="AS173" i="7"/>
  <c r="J176" i="7"/>
  <c r="AB175" i="7"/>
  <c r="O177" i="7"/>
  <c r="AH176" i="7"/>
  <c r="L176" i="7"/>
  <c r="AD175" i="7"/>
  <c r="Q177" i="7"/>
  <c r="AJ176" i="7"/>
  <c r="AR176" i="7"/>
  <c r="AQ175" i="7"/>
  <c r="AN173" i="7"/>
  <c r="F110" i="16"/>
  <c r="D173" i="7"/>
  <c r="AL26" i="10"/>
  <c r="AN26" i="10"/>
  <c r="AK26" i="10"/>
  <c r="X38" i="3"/>
  <c r="AO26" i="10"/>
  <c r="S27" i="10"/>
  <c r="L69" i="4"/>
  <c r="T27" i="10" s="1"/>
  <c r="J70" i="4"/>
  <c r="K35" i="10"/>
  <c r="Q42" i="9"/>
  <c r="P42" i="9"/>
  <c r="S42" i="9"/>
  <c r="F91" i="4"/>
  <c r="C99" i="7"/>
  <c r="G91" i="4"/>
  <c r="D99" i="7"/>
  <c r="AD10" i="10"/>
  <c r="AH10" i="10"/>
  <c r="AE10" i="10"/>
  <c r="AF10" i="10"/>
  <c r="AG10" i="10"/>
  <c r="AA46" i="10"/>
  <c r="X31" i="10"/>
  <c r="W47" i="10"/>
  <c r="AI9" i="10"/>
  <c r="AU60" i="3"/>
  <c r="AV60" i="3" s="1"/>
  <c r="O60" i="3"/>
  <c r="C165" i="1"/>
  <c r="H164" i="1"/>
  <c r="R164" i="1"/>
  <c r="V28" i="10"/>
  <c r="Y27" i="10"/>
  <c r="D56" i="3"/>
  <c r="P44" i="10"/>
  <c r="L45" i="10"/>
  <c r="AY23" i="3"/>
  <c r="AZ23" i="3" s="1"/>
  <c r="AY22" i="3"/>
  <c r="AZ22" i="3" s="1"/>
  <c r="S79" i="4"/>
  <c r="J36" i="10"/>
  <c r="N79" i="4"/>
  <c r="E36" i="10"/>
  <c r="L47" i="3"/>
  <c r="P47" i="3"/>
  <c r="K53" i="4"/>
  <c r="B11" i="10"/>
  <c r="Q79" i="4"/>
  <c r="H36" i="10"/>
  <c r="P79" i="4"/>
  <c r="G36" i="10"/>
  <c r="B50" i="8" s="1"/>
  <c r="O79" i="4"/>
  <c r="F36" i="10"/>
  <c r="M79" i="4"/>
  <c r="D36" i="10"/>
  <c r="T78" i="4"/>
  <c r="R79" i="4"/>
  <c r="I36" i="10"/>
  <c r="T20" i="3"/>
  <c r="Y23" i="8"/>
  <c r="Z23" i="8" s="1"/>
  <c r="AX24" i="3"/>
  <c r="AY24" i="3"/>
  <c r="AZ24" i="3" s="1"/>
  <c r="R21" i="3"/>
  <c r="S21" i="3"/>
  <c r="U20" i="3"/>
  <c r="V20" i="3" s="1"/>
  <c r="Q23" i="8"/>
  <c r="R23" i="8" s="1"/>
  <c r="AG23" i="8"/>
  <c r="AH23" i="8" s="1"/>
  <c r="J16" i="9"/>
  <c r="H16" i="9"/>
  <c r="G16" i="9"/>
  <c r="M24" i="8"/>
  <c r="AA24" i="8"/>
  <c r="AE24" i="8"/>
  <c r="N24" i="8"/>
  <c r="S24" i="8"/>
  <c r="W24" i="8"/>
  <c r="AB24" i="8"/>
  <c r="AF24" i="8"/>
  <c r="K24" i="8"/>
  <c r="O24" i="8"/>
  <c r="AC24" i="8"/>
  <c r="L24" i="8"/>
  <c r="AD24" i="8"/>
  <c r="P24" i="8"/>
  <c r="U24" i="8"/>
  <c r="C22" i="3"/>
  <c r="N22" i="3" s="1"/>
  <c r="Q22" i="3" s="1"/>
  <c r="V24" i="8"/>
  <c r="X24" i="8"/>
  <c r="T24" i="8"/>
  <c r="A53" i="4"/>
  <c r="A23" i="19" s="1"/>
  <c r="A24" i="8"/>
  <c r="A17" i="9"/>
  <c r="A61" i="7"/>
  <c r="A22" i="3"/>
  <c r="AY24" i="6" l="1"/>
  <c r="AS23" i="6"/>
  <c r="AY26" i="6"/>
  <c r="AY27" i="6"/>
  <c r="AG23" i="6"/>
  <c r="BE26" i="6"/>
  <c r="AM23" i="6"/>
  <c r="AY23" i="6"/>
  <c r="AM38" i="3"/>
  <c r="AL38" i="3"/>
  <c r="AM38" i="18"/>
  <c r="AO38" i="18" s="1"/>
  <c r="AP38" i="18" s="1"/>
  <c r="BJ38" i="18" s="1"/>
  <c r="AL38" i="18"/>
  <c r="AN38" i="18" s="1"/>
  <c r="AL38" i="19"/>
  <c r="AN38" i="19" s="1"/>
  <c r="AM38" i="19"/>
  <c r="AO38" i="19" s="1"/>
  <c r="AP38" i="19" s="1"/>
  <c r="BJ38" i="19" s="1"/>
  <c r="AM27" i="10"/>
  <c r="AH39" i="19"/>
  <c r="AK39" i="19" s="1"/>
  <c r="AH39" i="18"/>
  <c r="AK39" i="18" s="1"/>
  <c r="AH39" i="3"/>
  <c r="AK39" i="3" s="1"/>
  <c r="AE38" i="19"/>
  <c r="AF38" i="19" s="1"/>
  <c r="BC38" i="19" s="1"/>
  <c r="AS25" i="10"/>
  <c r="AR25" i="10"/>
  <c r="AF203" i="16"/>
  <c r="BG57" i="6"/>
  <c r="AU57" i="6"/>
  <c r="AM22" i="6"/>
  <c r="AG203" i="16"/>
  <c r="AH203" i="16"/>
  <c r="AI203" i="16"/>
  <c r="K212" i="9"/>
  <c r="Y205" i="16"/>
  <c r="AB205" i="16"/>
  <c r="W205" i="16"/>
  <c r="Z205" i="16"/>
  <c r="AA205" i="16"/>
  <c r="X205" i="16"/>
  <c r="AC204" i="16"/>
  <c r="AD204" i="16" s="1"/>
  <c r="U206" i="16"/>
  <c r="CE126" i="16" s="1"/>
  <c r="CI58" i="6" s="1"/>
  <c r="T206" i="16"/>
  <c r="V206" i="16"/>
  <c r="P211" i="9"/>
  <c r="Q211" i="9"/>
  <c r="S211" i="9"/>
  <c r="AJ202" i="16"/>
  <c r="AH112" i="18"/>
  <c r="AK112" i="18" s="1"/>
  <c r="G208" i="16"/>
  <c r="H207" i="16"/>
  <c r="R207" i="16"/>
  <c r="S207" i="16" s="1"/>
  <c r="AL113" i="18"/>
  <c r="AM113" i="18"/>
  <c r="BD24" i="3"/>
  <c r="BK24" i="3"/>
  <c r="BD23" i="3"/>
  <c r="BK23" i="3"/>
  <c r="BB20" i="3"/>
  <c r="BE20" i="3" s="1"/>
  <c r="BG20" i="3" s="1"/>
  <c r="BI20" i="3"/>
  <c r="BL20" i="3" s="1"/>
  <c r="BN20" i="3" s="1"/>
  <c r="BB21" i="18"/>
  <c r="BE21" i="18" s="1"/>
  <c r="BG21" i="18" s="1"/>
  <c r="BI21" i="18"/>
  <c r="BL21" i="18" s="1"/>
  <c r="BN21" i="18" s="1"/>
  <c r="BD22" i="3"/>
  <c r="BK22" i="3"/>
  <c r="BB21" i="19"/>
  <c r="BE21" i="19" s="1"/>
  <c r="BG21" i="19" s="1"/>
  <c r="BI21" i="19"/>
  <c r="BL21" i="19" s="1"/>
  <c r="BN21" i="19" s="1"/>
  <c r="J177" i="6"/>
  <c r="P177" i="6" s="1"/>
  <c r="T177" i="6" s="1"/>
  <c r="AY40" i="6" s="1"/>
  <c r="J211" i="6"/>
  <c r="P211" i="6" s="1"/>
  <c r="T211" i="6" s="1"/>
  <c r="BE40" i="6" s="1"/>
  <c r="AB38" i="19"/>
  <c r="AD38" i="19" s="1"/>
  <c r="AO32" i="3"/>
  <c r="AP32" i="3" s="1"/>
  <c r="BJ32" i="3" s="1"/>
  <c r="AN32" i="3"/>
  <c r="K193" i="11"/>
  <c r="M192" i="11"/>
  <c r="P192" i="11"/>
  <c r="Q192" i="11" s="1"/>
  <c r="H50" i="8"/>
  <c r="D57" i="19"/>
  <c r="D57" i="18"/>
  <c r="H167" i="16"/>
  <c r="C11" i="10"/>
  <c r="C23" i="19"/>
  <c r="N23" i="19" s="1"/>
  <c r="Q23" i="19" s="1"/>
  <c r="C23" i="18"/>
  <c r="N23" i="18" s="1"/>
  <c r="Q23" i="18" s="1"/>
  <c r="S22" i="18"/>
  <c r="U22" i="18" s="1"/>
  <c r="V22" i="18" s="1"/>
  <c r="R22" i="18"/>
  <c r="T22" i="18" s="1"/>
  <c r="P55" i="19"/>
  <c r="E56" i="19"/>
  <c r="L55" i="19"/>
  <c r="E56" i="18"/>
  <c r="L55" i="18"/>
  <c r="P55" i="18"/>
  <c r="R22" i="19"/>
  <c r="T22" i="19" s="1"/>
  <c r="S22" i="19"/>
  <c r="U22" i="19" s="1"/>
  <c r="V22" i="19" s="1"/>
  <c r="AB38" i="18"/>
  <c r="AD38" i="18" s="1"/>
  <c r="X39" i="18"/>
  <c r="AA39" i="18" s="1"/>
  <c r="AC39" i="18" s="1"/>
  <c r="X39" i="19"/>
  <c r="AA39" i="19" s="1"/>
  <c r="AB39" i="19" s="1"/>
  <c r="AD39" i="19" s="1"/>
  <c r="U29" i="10"/>
  <c r="AP26" i="10"/>
  <c r="AV100" i="19"/>
  <c r="AW100" i="19"/>
  <c r="AT207" i="7"/>
  <c r="AV207" i="7" s="1"/>
  <c r="J212" i="7"/>
  <c r="AB211" i="7"/>
  <c r="O213" i="7"/>
  <c r="AH212" i="7"/>
  <c r="P213" i="7"/>
  <c r="AI212" i="7"/>
  <c r="AD211" i="7"/>
  <c r="L212" i="7"/>
  <c r="Q213" i="7"/>
  <c r="AJ212" i="7"/>
  <c r="Z210" i="7"/>
  <c r="AF210" i="7" s="1"/>
  <c r="H211" i="7"/>
  <c r="AL212" i="7"/>
  <c r="S213" i="7"/>
  <c r="AO212" i="7"/>
  <c r="U213" i="7"/>
  <c r="K212" i="7"/>
  <c r="AC211" i="7"/>
  <c r="AK212" i="7"/>
  <c r="R213" i="7"/>
  <c r="X212" i="7"/>
  <c r="AR211" i="7"/>
  <c r="AN208" i="7"/>
  <c r="T209" i="7"/>
  <c r="W211" i="7"/>
  <c r="AQ210" i="7"/>
  <c r="N209" i="7"/>
  <c r="AG208" i="7"/>
  <c r="AM208" i="7" s="1"/>
  <c r="AS208" i="7"/>
  <c r="AA211" i="7"/>
  <c r="I212" i="7"/>
  <c r="AP211" i="7"/>
  <c r="V212" i="7"/>
  <c r="AT173" i="7"/>
  <c r="O107" i="3"/>
  <c r="A11" i="10"/>
  <c r="AC11" i="10" s="1"/>
  <c r="A23" i="18"/>
  <c r="H211" i="1"/>
  <c r="R211" i="1"/>
  <c r="E212" i="1"/>
  <c r="G111" i="17"/>
  <c r="AR101" i="19" s="1"/>
  <c r="AU101" i="19" s="1"/>
  <c r="F112" i="17"/>
  <c r="D210" i="7" s="1"/>
  <c r="N175" i="7"/>
  <c r="AG174" i="7"/>
  <c r="AM174" i="7" s="1"/>
  <c r="AS174" i="7"/>
  <c r="I177" i="7"/>
  <c r="AA176" i="7"/>
  <c r="U177" i="7"/>
  <c r="AO176" i="7"/>
  <c r="R178" i="7"/>
  <c r="AK177" i="7"/>
  <c r="K177" i="7"/>
  <c r="AC176" i="7"/>
  <c r="V177" i="7"/>
  <c r="AP176" i="7"/>
  <c r="Q178" i="7"/>
  <c r="AJ177" i="7"/>
  <c r="O178" i="7"/>
  <c r="AH177" i="7"/>
  <c r="J177" i="7"/>
  <c r="AB176" i="7"/>
  <c r="L177" i="7"/>
  <c r="AD176" i="7"/>
  <c r="S178" i="7"/>
  <c r="AL177" i="7"/>
  <c r="P179" i="7"/>
  <c r="AI178" i="7"/>
  <c r="AR177" i="7"/>
  <c r="AN174" i="7"/>
  <c r="AQ176" i="7"/>
  <c r="F111" i="16"/>
  <c r="D174" i="7"/>
  <c r="AL27" i="10"/>
  <c r="S28" i="10"/>
  <c r="L70" i="4"/>
  <c r="T28" i="10" s="1"/>
  <c r="J71" i="4"/>
  <c r="AN27" i="10"/>
  <c r="X39" i="3"/>
  <c r="AK27" i="10"/>
  <c r="AO27" i="10"/>
  <c r="G92" i="4"/>
  <c r="D100" i="7"/>
  <c r="K36" i="10"/>
  <c r="S43" i="9"/>
  <c r="P43" i="9"/>
  <c r="Q43" i="9"/>
  <c r="F92" i="4"/>
  <c r="C100" i="7"/>
  <c r="AF11" i="10"/>
  <c r="AE11" i="10"/>
  <c r="AG11" i="10"/>
  <c r="AH11" i="10"/>
  <c r="AD11" i="10"/>
  <c r="W48" i="10"/>
  <c r="X32" i="10"/>
  <c r="AA47" i="10"/>
  <c r="AI10" i="10"/>
  <c r="C166" i="1"/>
  <c r="H165" i="1"/>
  <c r="R165" i="1"/>
  <c r="AU61" i="3"/>
  <c r="AV61" i="3" s="1"/>
  <c r="O61" i="3"/>
  <c r="D57" i="3"/>
  <c r="L46" i="10"/>
  <c r="P45" i="10"/>
  <c r="V29" i="10"/>
  <c r="Y28" i="10"/>
  <c r="R80" i="4"/>
  <c r="I37" i="10"/>
  <c r="M80" i="4"/>
  <c r="D37" i="10"/>
  <c r="T79" i="4"/>
  <c r="K54" i="4"/>
  <c r="B12" i="10"/>
  <c r="P48" i="3"/>
  <c r="L48" i="3"/>
  <c r="S80" i="4"/>
  <c r="J37" i="10"/>
  <c r="O80" i="4"/>
  <c r="F37" i="10"/>
  <c r="P80" i="4"/>
  <c r="G37" i="10"/>
  <c r="B51" i="8" s="1"/>
  <c r="Q80" i="4"/>
  <c r="H37" i="10"/>
  <c r="N80" i="4"/>
  <c r="E37" i="10"/>
  <c r="T21" i="3"/>
  <c r="U21" i="3"/>
  <c r="V21" i="3" s="1"/>
  <c r="Q24" i="8"/>
  <c r="R24" i="8" s="1"/>
  <c r="AX25" i="3"/>
  <c r="AY25" i="3"/>
  <c r="AZ25" i="3" s="1"/>
  <c r="S22" i="3"/>
  <c r="R22" i="3"/>
  <c r="AG24" i="8"/>
  <c r="AH24" i="8" s="1"/>
  <c r="Y24" i="8"/>
  <c r="Z24" i="8" s="1"/>
  <c r="J17" i="9"/>
  <c r="H17" i="9"/>
  <c r="G17" i="9"/>
  <c r="P25" i="8"/>
  <c r="K25" i="8"/>
  <c r="S25" i="8"/>
  <c r="AC25" i="8"/>
  <c r="L25" i="8"/>
  <c r="U25" i="8"/>
  <c r="AD25" i="8"/>
  <c r="O25" i="8"/>
  <c r="V25" i="8"/>
  <c r="AF25" i="8"/>
  <c r="C23" i="3"/>
  <c r="N23" i="3" s="1"/>
  <c r="Q23" i="3" s="1"/>
  <c r="M25" i="8"/>
  <c r="AE25" i="8"/>
  <c r="AB25" i="8"/>
  <c r="T25" i="8"/>
  <c r="X25" i="8"/>
  <c r="W25" i="8"/>
  <c r="AA25" i="8"/>
  <c r="N25" i="8"/>
  <c r="A62" i="7"/>
  <c r="A54" i="4"/>
  <c r="A24" i="19" s="1"/>
  <c r="A18" i="9"/>
  <c r="A23" i="3"/>
  <c r="A25" i="8"/>
  <c r="AE39" i="18" l="1"/>
  <c r="AF39" i="18" s="1"/>
  <c r="BC39" i="18" s="1"/>
  <c r="AM39" i="3"/>
  <c r="AL39" i="3"/>
  <c r="AL39" i="18"/>
  <c r="AN39" i="18" s="1"/>
  <c r="AM39" i="18"/>
  <c r="AO39" i="18" s="1"/>
  <c r="AP39" i="18" s="1"/>
  <c r="BJ39" i="18" s="1"/>
  <c r="AL39" i="19"/>
  <c r="AN39" i="19" s="1"/>
  <c r="AM39" i="19"/>
  <c r="AO39" i="19" s="1"/>
  <c r="AP39" i="19" s="1"/>
  <c r="BJ39" i="19" s="1"/>
  <c r="AM28" i="10"/>
  <c r="AH40" i="19"/>
  <c r="AK40" i="19" s="1"/>
  <c r="AH40" i="18"/>
  <c r="AK40" i="18" s="1"/>
  <c r="AH40" i="3"/>
  <c r="AK40" i="3" s="1"/>
  <c r="AR26" i="10"/>
  <c r="AS26" i="10"/>
  <c r="AJ203" i="16"/>
  <c r="BG58" i="6"/>
  <c r="AU58" i="6"/>
  <c r="AI204" i="16"/>
  <c r="AH204" i="16"/>
  <c r="AF204" i="16"/>
  <c r="AE204" i="16"/>
  <c r="AH114" i="18" s="1"/>
  <c r="AK114" i="18" s="1"/>
  <c r="AL114" i="18" s="1"/>
  <c r="U207" i="16"/>
  <c r="CE127" i="16" s="1"/>
  <c r="CI59" i="6" s="1"/>
  <c r="V207" i="16"/>
  <c r="T207" i="16"/>
  <c r="K213" i="9"/>
  <c r="AG204" i="16"/>
  <c r="H208" i="16"/>
  <c r="R208" i="16"/>
  <c r="S208" i="16" s="1"/>
  <c r="Y206" i="16"/>
  <c r="W206" i="16"/>
  <c r="AB206" i="16"/>
  <c r="Z206" i="16"/>
  <c r="X206" i="16"/>
  <c r="AA206" i="16"/>
  <c r="AC205" i="16"/>
  <c r="AD205" i="16" s="1"/>
  <c r="AM112" i="18"/>
  <c r="AL112" i="18"/>
  <c r="S212" i="9"/>
  <c r="P212" i="9"/>
  <c r="Q212" i="9"/>
  <c r="BB21" i="3"/>
  <c r="BE21" i="3" s="1"/>
  <c r="BG21" i="3" s="1"/>
  <c r="BI21" i="3"/>
  <c r="BL21" i="3" s="1"/>
  <c r="BN21" i="3" s="1"/>
  <c r="BB22" i="19"/>
  <c r="BE22" i="19" s="1"/>
  <c r="BG22" i="19" s="1"/>
  <c r="BI22" i="19"/>
  <c r="BL22" i="19" s="1"/>
  <c r="BN22" i="19" s="1"/>
  <c r="BD25" i="3"/>
  <c r="BK25" i="3"/>
  <c r="BI22" i="18"/>
  <c r="BL22" i="18" s="1"/>
  <c r="BN22" i="18" s="1"/>
  <c r="BB22" i="18"/>
  <c r="BE22" i="18" s="1"/>
  <c r="BG22" i="18" s="1"/>
  <c r="J178" i="6"/>
  <c r="P178" i="6" s="1"/>
  <c r="T178" i="6" s="1"/>
  <c r="AY41" i="6" s="1"/>
  <c r="J212" i="6"/>
  <c r="P212" i="6" s="1"/>
  <c r="T212" i="6" s="1"/>
  <c r="BE41" i="6" s="1"/>
  <c r="AO33" i="3"/>
  <c r="AP33" i="3" s="1"/>
  <c r="BJ33" i="3" s="1"/>
  <c r="AN33" i="3"/>
  <c r="M193" i="11"/>
  <c r="P193" i="11"/>
  <c r="Q193" i="11" s="1"/>
  <c r="K194" i="11"/>
  <c r="C12" i="10"/>
  <c r="AE12" i="10" s="1"/>
  <c r="C24" i="19"/>
  <c r="N24" i="19" s="1"/>
  <c r="Q24" i="19" s="1"/>
  <c r="C24" i="18"/>
  <c r="N24" i="18" s="1"/>
  <c r="Q24" i="18" s="1"/>
  <c r="S23" i="18"/>
  <c r="U23" i="18" s="1"/>
  <c r="V23" i="18" s="1"/>
  <c r="R23" i="18"/>
  <c r="T23" i="18" s="1"/>
  <c r="H51" i="8"/>
  <c r="D58" i="19"/>
  <c r="D58" i="18"/>
  <c r="S23" i="19"/>
  <c r="U23" i="19" s="1"/>
  <c r="V23" i="19" s="1"/>
  <c r="R23" i="19"/>
  <c r="T23" i="19" s="1"/>
  <c r="H168" i="16"/>
  <c r="P56" i="18"/>
  <c r="E57" i="18"/>
  <c r="L56" i="18"/>
  <c r="L56" i="19"/>
  <c r="E57" i="19"/>
  <c r="P56" i="19"/>
  <c r="C25" i="8"/>
  <c r="G25" i="8"/>
  <c r="D25" i="8"/>
  <c r="E25" i="8"/>
  <c r="I25" i="8"/>
  <c r="F25" i="8"/>
  <c r="AB39" i="18"/>
  <c r="AD39" i="18" s="1"/>
  <c r="AC39" i="19"/>
  <c r="AE39" i="19" s="1"/>
  <c r="AF39" i="19" s="1"/>
  <c r="BC39" i="19" s="1"/>
  <c r="X40" i="18"/>
  <c r="AA40" i="18" s="1"/>
  <c r="AB40" i="18" s="1"/>
  <c r="X40" i="19"/>
  <c r="AA40" i="19" s="1"/>
  <c r="AC40" i="19" s="1"/>
  <c r="AE40" i="19" s="1"/>
  <c r="AF40" i="19" s="1"/>
  <c r="BC40" i="19" s="1"/>
  <c r="U30" i="10"/>
  <c r="AW101" i="19"/>
  <c r="AV101" i="19"/>
  <c r="V213" i="7"/>
  <c r="AP212" i="7"/>
  <c r="W212" i="7"/>
  <c r="AQ211" i="7"/>
  <c r="AH213" i="7"/>
  <c r="O214" i="7"/>
  <c r="T210" i="7"/>
  <c r="AN209" i="7"/>
  <c r="X213" i="7"/>
  <c r="AR212" i="7"/>
  <c r="AC212" i="7"/>
  <c r="K213" i="7"/>
  <c r="S214" i="7"/>
  <c r="AL213" i="7"/>
  <c r="AA212" i="7"/>
  <c r="I213" i="7"/>
  <c r="N210" i="7"/>
  <c r="AG209" i="7"/>
  <c r="AM209" i="7" s="1"/>
  <c r="AS209" i="7"/>
  <c r="AT208" i="7"/>
  <c r="AV208" i="7" s="1"/>
  <c r="AK213" i="7"/>
  <c r="R214" i="7"/>
  <c r="U214" i="7"/>
  <c r="AO213" i="7"/>
  <c r="Q214" i="7"/>
  <c r="AJ213" i="7"/>
  <c r="AI213" i="7"/>
  <c r="P214" i="7"/>
  <c r="AB212" i="7"/>
  <c r="J213" i="7"/>
  <c r="Z211" i="7"/>
  <c r="AF211" i="7" s="1"/>
  <c r="H212" i="7"/>
  <c r="AD212" i="7"/>
  <c r="L213" i="7"/>
  <c r="O108" i="3"/>
  <c r="A12" i="10"/>
  <c r="AC12" i="10" s="1"/>
  <c r="A24" i="18"/>
  <c r="R212" i="1"/>
  <c r="H212" i="1"/>
  <c r="E213" i="1"/>
  <c r="F113" i="17"/>
  <c r="D211" i="7" s="1"/>
  <c r="G112" i="17"/>
  <c r="AR102" i="19" s="1"/>
  <c r="AU102" i="19" s="1"/>
  <c r="I178" i="7"/>
  <c r="AA177" i="7"/>
  <c r="P180" i="7"/>
  <c r="AI179" i="7"/>
  <c r="J178" i="7"/>
  <c r="AB177" i="7"/>
  <c r="K178" i="7"/>
  <c r="AC177" i="7"/>
  <c r="U178" i="7"/>
  <c r="AO177" i="7"/>
  <c r="AT174" i="7"/>
  <c r="Q179" i="7"/>
  <c r="AJ178" i="7"/>
  <c r="S179" i="7"/>
  <c r="AL178" i="7"/>
  <c r="L178" i="7"/>
  <c r="AD177" i="7"/>
  <c r="O179" i="7"/>
  <c r="AH178" i="7"/>
  <c r="V178" i="7"/>
  <c r="AP177" i="7"/>
  <c r="R179" i="7"/>
  <c r="AK178" i="7"/>
  <c r="N176" i="7"/>
  <c r="AG175" i="7"/>
  <c r="AM175" i="7" s="1"/>
  <c r="AS175" i="7"/>
  <c r="AN175" i="7"/>
  <c r="F112" i="16"/>
  <c r="D175" i="7"/>
  <c r="AQ177" i="7"/>
  <c r="AR178" i="7"/>
  <c r="AL28" i="10"/>
  <c r="AP27" i="10"/>
  <c r="S29" i="10"/>
  <c r="J72" i="4"/>
  <c r="L71" i="4"/>
  <c r="T29" i="10" s="1"/>
  <c r="AN28" i="10"/>
  <c r="X40" i="3"/>
  <c r="AK28" i="10"/>
  <c r="AO28" i="10"/>
  <c r="F93" i="4"/>
  <c r="C101" i="7"/>
  <c r="K37" i="10"/>
  <c r="Q44" i="9"/>
  <c r="S44" i="9"/>
  <c r="P44" i="9"/>
  <c r="G93" i="4"/>
  <c r="D101" i="7"/>
  <c r="X33" i="10"/>
  <c r="W49" i="10"/>
  <c r="AF12" i="10"/>
  <c r="AH12" i="10"/>
  <c r="AA48" i="10"/>
  <c r="AI11" i="10"/>
  <c r="AU62" i="3"/>
  <c r="AV62" i="3" s="1"/>
  <c r="O62" i="3"/>
  <c r="C167" i="1"/>
  <c r="H166" i="1"/>
  <c r="R166" i="1"/>
  <c r="V30" i="10"/>
  <c r="Y29" i="10"/>
  <c r="D58" i="3"/>
  <c r="P46" i="10"/>
  <c r="L47" i="10"/>
  <c r="T22" i="3"/>
  <c r="U22" i="3"/>
  <c r="V22" i="3" s="1"/>
  <c r="N81" i="4"/>
  <c r="E38" i="10"/>
  <c r="K55" i="4"/>
  <c r="B13" i="10"/>
  <c r="O81" i="4"/>
  <c r="F38" i="10"/>
  <c r="S81" i="4"/>
  <c r="J38" i="10"/>
  <c r="L49" i="3"/>
  <c r="P49" i="3"/>
  <c r="P81" i="4"/>
  <c r="G38" i="10"/>
  <c r="B52" i="8" s="1"/>
  <c r="R81" i="4"/>
  <c r="I38" i="10"/>
  <c r="Q81" i="4"/>
  <c r="H38" i="10"/>
  <c r="H52" i="8" s="1"/>
  <c r="M81" i="4"/>
  <c r="D38" i="10"/>
  <c r="T80" i="4"/>
  <c r="AG25" i="8"/>
  <c r="AH25" i="8" s="1"/>
  <c r="Q25" i="8"/>
  <c r="R25" i="8" s="1"/>
  <c r="Y25" i="8"/>
  <c r="Z25" i="8" s="1"/>
  <c r="AY26" i="3"/>
  <c r="AZ26" i="3" s="1"/>
  <c r="AX26" i="3"/>
  <c r="AY27" i="3" s="1"/>
  <c r="S23" i="3"/>
  <c r="R23" i="3"/>
  <c r="C24" i="3"/>
  <c r="N24" i="3" s="1"/>
  <c r="Q24" i="3" s="1"/>
  <c r="L26" i="8"/>
  <c r="AD26" i="8"/>
  <c r="AE26" i="8"/>
  <c r="AF26" i="8"/>
  <c r="O26" i="8"/>
  <c r="AC26" i="8"/>
  <c r="P26" i="8"/>
  <c r="K26" i="8"/>
  <c r="M26" i="8"/>
  <c r="N26" i="8"/>
  <c r="Y26" i="8"/>
  <c r="S26" i="8"/>
  <c r="V26" i="8"/>
  <c r="X26" i="8"/>
  <c r="T26" i="8"/>
  <c r="W26" i="8"/>
  <c r="U26" i="8"/>
  <c r="AA26" i="8"/>
  <c r="AB26" i="8"/>
  <c r="G18" i="9"/>
  <c r="H18" i="9"/>
  <c r="J18" i="9"/>
  <c r="A63" i="7"/>
  <c r="A19" i="9"/>
  <c r="A55" i="4"/>
  <c r="A25" i="19" s="1"/>
  <c r="A24" i="3"/>
  <c r="A26" i="8"/>
  <c r="AM40" i="3" l="1"/>
  <c r="AL40" i="3"/>
  <c r="AM40" i="18"/>
  <c r="AO40" i="18" s="1"/>
  <c r="AP40" i="18" s="1"/>
  <c r="BJ40" i="18" s="1"/>
  <c r="AL40" i="18"/>
  <c r="AN40" i="18" s="1"/>
  <c r="AM40" i="19"/>
  <c r="AO40" i="19" s="1"/>
  <c r="AP40" i="19" s="1"/>
  <c r="BJ40" i="19" s="1"/>
  <c r="AL40" i="19"/>
  <c r="AN40" i="19" s="1"/>
  <c r="X41" i="18"/>
  <c r="AA41" i="18" s="1"/>
  <c r="AH41" i="19"/>
  <c r="AK41" i="19" s="1"/>
  <c r="AH41" i="18"/>
  <c r="AK41" i="18" s="1"/>
  <c r="AH41" i="3"/>
  <c r="AK41" i="3" s="1"/>
  <c r="AR27" i="10"/>
  <c r="AS27" i="10"/>
  <c r="AU59" i="6"/>
  <c r="BG59" i="6"/>
  <c r="AE205" i="16"/>
  <c r="AH115" i="18" s="1"/>
  <c r="AK115" i="18" s="1"/>
  <c r="AJ204" i="16"/>
  <c r="AH205" i="16"/>
  <c r="AM114" i="18"/>
  <c r="AF205" i="16"/>
  <c r="AL115" i="18"/>
  <c r="AM115" i="18"/>
  <c r="U208" i="16"/>
  <c r="CE128" i="16" s="1"/>
  <c r="CI60" i="6" s="1"/>
  <c r="T208" i="16"/>
  <c r="V208" i="16"/>
  <c r="K214" i="9"/>
  <c r="P213" i="9"/>
  <c r="Q213" i="9"/>
  <c r="S213" i="9"/>
  <c r="AC206" i="16"/>
  <c r="AD206" i="16" s="1"/>
  <c r="AG205" i="16"/>
  <c r="Y207" i="16"/>
  <c r="AB207" i="16"/>
  <c r="W207" i="16"/>
  <c r="Z207" i="16"/>
  <c r="AA207" i="16"/>
  <c r="X207" i="16"/>
  <c r="AI205" i="16"/>
  <c r="BB23" i="19"/>
  <c r="BE23" i="19" s="1"/>
  <c r="BG23" i="19" s="1"/>
  <c r="BI23" i="19"/>
  <c r="BL23" i="19" s="1"/>
  <c r="BN23" i="19" s="1"/>
  <c r="BB23" i="18"/>
  <c r="BE23" i="18" s="1"/>
  <c r="BG23" i="18" s="1"/>
  <c r="BI23" i="18"/>
  <c r="BL23" i="18" s="1"/>
  <c r="BN23" i="18" s="1"/>
  <c r="BB22" i="3"/>
  <c r="BE22" i="3" s="1"/>
  <c r="BG22" i="3" s="1"/>
  <c r="BI22" i="3"/>
  <c r="BL22" i="3" s="1"/>
  <c r="BN22" i="3" s="1"/>
  <c r="BD26" i="3"/>
  <c r="BK26" i="3"/>
  <c r="J179" i="6"/>
  <c r="P179" i="6" s="1"/>
  <c r="T179" i="6" s="1"/>
  <c r="AY42" i="6" s="1"/>
  <c r="J213" i="6"/>
  <c r="P213" i="6" s="1"/>
  <c r="T213" i="6" s="1"/>
  <c r="BE42" i="6" s="1"/>
  <c r="AN34" i="3"/>
  <c r="AO34" i="3"/>
  <c r="AP34" i="3" s="1"/>
  <c r="BJ34" i="3" s="1"/>
  <c r="AG12" i="10"/>
  <c r="AD12" i="10"/>
  <c r="M194" i="11"/>
  <c r="P194" i="11"/>
  <c r="Q194" i="11" s="1"/>
  <c r="K195" i="11"/>
  <c r="D59" i="19"/>
  <c r="D59" i="18"/>
  <c r="P57" i="18"/>
  <c r="L57" i="18"/>
  <c r="E58" i="18"/>
  <c r="L57" i="19"/>
  <c r="E58" i="19"/>
  <c r="P57" i="19"/>
  <c r="S24" i="18"/>
  <c r="U24" i="18" s="1"/>
  <c r="V24" i="18" s="1"/>
  <c r="R24" i="18"/>
  <c r="T24" i="18" s="1"/>
  <c r="C13" i="10"/>
  <c r="C25" i="19"/>
  <c r="N25" i="19" s="1"/>
  <c r="Q25" i="19" s="1"/>
  <c r="C25" i="18"/>
  <c r="N25" i="18" s="1"/>
  <c r="Q25" i="18" s="1"/>
  <c r="S24" i="19"/>
  <c r="U24" i="19" s="1"/>
  <c r="V24" i="19" s="1"/>
  <c r="R24" i="19"/>
  <c r="T24" i="19" s="1"/>
  <c r="AD40" i="18"/>
  <c r="J25" i="8"/>
  <c r="D26" i="8"/>
  <c r="E26" i="8"/>
  <c r="I26" i="8"/>
  <c r="F26" i="8"/>
  <c r="G26" i="8"/>
  <c r="C26" i="8"/>
  <c r="AB40" i="19"/>
  <c r="AD40" i="19" s="1"/>
  <c r="AC40" i="18"/>
  <c r="AE40" i="18" s="1"/>
  <c r="AF40" i="18" s="1"/>
  <c r="BC40" i="18" s="1"/>
  <c r="X41" i="19"/>
  <c r="AA41" i="19" s="1"/>
  <c r="AC41" i="19" s="1"/>
  <c r="U31" i="10"/>
  <c r="AC41" i="18"/>
  <c r="AB41" i="18"/>
  <c r="AW102" i="19"/>
  <c r="AV102" i="19"/>
  <c r="AT209" i="7"/>
  <c r="AV209" i="7" s="1"/>
  <c r="Q215" i="7"/>
  <c r="AJ214" i="7"/>
  <c r="AG210" i="7"/>
  <c r="AM210" i="7" s="1"/>
  <c r="N211" i="7"/>
  <c r="AS210" i="7"/>
  <c r="W213" i="7"/>
  <c r="AQ212" i="7"/>
  <c r="Z212" i="7"/>
  <c r="AF212" i="7" s="1"/>
  <c r="H213" i="7"/>
  <c r="P215" i="7"/>
  <c r="AI214" i="7"/>
  <c r="I214" i="7"/>
  <c r="AA213" i="7"/>
  <c r="AL214" i="7"/>
  <c r="S215" i="7"/>
  <c r="X214" i="7"/>
  <c r="AR213" i="7"/>
  <c r="O215" i="7"/>
  <c r="AH214" i="7"/>
  <c r="AO214" i="7"/>
  <c r="U215" i="7"/>
  <c r="AC213" i="7"/>
  <c r="K214" i="7"/>
  <c r="V214" i="7"/>
  <c r="AP213" i="7"/>
  <c r="L214" i="7"/>
  <c r="AD213" i="7"/>
  <c r="J214" i="7"/>
  <c r="AB213" i="7"/>
  <c r="R215" i="7"/>
  <c r="AK214" i="7"/>
  <c r="T211" i="7"/>
  <c r="AN210" i="7"/>
  <c r="A13" i="10"/>
  <c r="AC13" i="10" s="1"/>
  <c r="A25" i="18"/>
  <c r="O109" i="3"/>
  <c r="R213" i="1"/>
  <c r="H213" i="1"/>
  <c r="E214" i="1"/>
  <c r="AT175" i="7"/>
  <c r="F114" i="17"/>
  <c r="D212" i="7" s="1"/>
  <c r="G113" i="17"/>
  <c r="AR103" i="19" s="1"/>
  <c r="AU103" i="19" s="1"/>
  <c r="K179" i="7"/>
  <c r="AC178" i="7"/>
  <c r="N177" i="7"/>
  <c r="AG176" i="7"/>
  <c r="AM176" i="7" s="1"/>
  <c r="AS176" i="7"/>
  <c r="L179" i="7"/>
  <c r="AD178" i="7"/>
  <c r="U179" i="7"/>
  <c r="AO178" i="7"/>
  <c r="J179" i="7"/>
  <c r="AB178" i="7"/>
  <c r="I179" i="7"/>
  <c r="AA178" i="7"/>
  <c r="P181" i="7"/>
  <c r="AI180" i="7"/>
  <c r="V179" i="7"/>
  <c r="AP178" i="7"/>
  <c r="AJ179" i="7"/>
  <c r="Q180" i="7"/>
  <c r="R180" i="7"/>
  <c r="AK179" i="7"/>
  <c r="O180" i="7"/>
  <c r="AH179" i="7"/>
  <c r="AL179" i="7"/>
  <c r="S180" i="7"/>
  <c r="AN176" i="7"/>
  <c r="AQ178" i="7"/>
  <c r="AR179" i="7"/>
  <c r="F113" i="16"/>
  <c r="D176" i="7"/>
  <c r="AP28" i="10"/>
  <c r="AN29" i="10"/>
  <c r="X41" i="3"/>
  <c r="AK29" i="10"/>
  <c r="AO29" i="10"/>
  <c r="AM29" i="10"/>
  <c r="S30" i="10"/>
  <c r="J73" i="4"/>
  <c r="L72" i="4"/>
  <c r="T30" i="10" s="1"/>
  <c r="AL29" i="10"/>
  <c r="K38" i="10"/>
  <c r="P45" i="9"/>
  <c r="Q45" i="9"/>
  <c r="S45" i="9"/>
  <c r="G94" i="4"/>
  <c r="D102" i="7"/>
  <c r="F94" i="4"/>
  <c r="C102" i="7"/>
  <c r="AG13" i="10"/>
  <c r="AE13" i="10"/>
  <c r="AF13" i="10"/>
  <c r="AD13" i="10"/>
  <c r="AH13" i="10"/>
  <c r="W50" i="10"/>
  <c r="X34" i="10"/>
  <c r="AA49" i="10"/>
  <c r="AI12" i="10"/>
  <c r="C168" i="1"/>
  <c r="R167" i="1"/>
  <c r="H167" i="1"/>
  <c r="O63" i="3"/>
  <c r="AU63" i="3"/>
  <c r="AV63" i="3" s="1"/>
  <c r="T23" i="3"/>
  <c r="D59" i="3"/>
  <c r="P47" i="10"/>
  <c r="L48" i="10"/>
  <c r="V31" i="10"/>
  <c r="Y30" i="10"/>
  <c r="U23" i="3"/>
  <c r="V23" i="3" s="1"/>
  <c r="P82" i="4"/>
  <c r="G39" i="10"/>
  <c r="B53" i="8" s="1"/>
  <c r="M82" i="4"/>
  <c r="D39" i="10"/>
  <c r="T81" i="4"/>
  <c r="R82" i="4"/>
  <c r="I39" i="10"/>
  <c r="O82" i="4"/>
  <c r="F39" i="10"/>
  <c r="Q82" i="4"/>
  <c r="H39" i="10"/>
  <c r="H53" i="8" s="1"/>
  <c r="K56" i="4"/>
  <c r="B14" i="10"/>
  <c r="S82" i="4"/>
  <c r="J39" i="10"/>
  <c r="P50" i="3"/>
  <c r="L50" i="3"/>
  <c r="N82" i="4"/>
  <c r="E39" i="10"/>
  <c r="Q26" i="8"/>
  <c r="R26" i="8" s="1"/>
  <c r="AG26" i="8"/>
  <c r="AH26" i="8" s="1"/>
  <c r="AX27" i="3"/>
  <c r="AY28" i="3" s="1"/>
  <c r="AZ27" i="3"/>
  <c r="S24" i="3"/>
  <c r="R24" i="3"/>
  <c r="Y27" i="8"/>
  <c r="O27" i="8"/>
  <c r="C25" i="3"/>
  <c r="N25" i="3" s="1"/>
  <c r="Q25" i="3" s="1"/>
  <c r="AC27" i="8"/>
  <c r="AF27" i="8"/>
  <c r="W27" i="8"/>
  <c r="T27" i="8"/>
  <c r="K27" i="8"/>
  <c r="AB27" i="8"/>
  <c r="P27" i="8"/>
  <c r="M27" i="8"/>
  <c r="AA27" i="8"/>
  <c r="N27" i="8"/>
  <c r="X27" i="8"/>
  <c r="S27" i="8"/>
  <c r="AE27" i="8"/>
  <c r="AD27" i="8"/>
  <c r="U27" i="8"/>
  <c r="L27" i="8"/>
  <c r="V27" i="8"/>
  <c r="Z26" i="8"/>
  <c r="G19" i="9"/>
  <c r="J19" i="9"/>
  <c r="H19" i="9"/>
  <c r="A64" i="7"/>
  <c r="A20" i="9"/>
  <c r="A27" i="8"/>
  <c r="A56" i="4"/>
  <c r="A26" i="19" s="1"/>
  <c r="A25" i="3"/>
  <c r="AE41" i="18" l="1"/>
  <c r="AF41" i="18" s="1"/>
  <c r="BC41" i="18" s="1"/>
  <c r="AM41" i="3"/>
  <c r="AL41" i="3"/>
  <c r="AM41" i="18"/>
  <c r="AO41" i="18" s="1"/>
  <c r="AP41" i="18" s="1"/>
  <c r="BJ41" i="18" s="1"/>
  <c r="AL41" i="18"/>
  <c r="AN41" i="18" s="1"/>
  <c r="AL41" i="19"/>
  <c r="AN41" i="19" s="1"/>
  <c r="AM41" i="19"/>
  <c r="AO41" i="19" s="1"/>
  <c r="AP41" i="19" s="1"/>
  <c r="BJ41" i="19" s="1"/>
  <c r="AF206" i="16"/>
  <c r="AR28" i="10"/>
  <c r="AS28" i="10"/>
  <c r="AL30" i="10"/>
  <c r="AH42" i="18"/>
  <c r="AK42" i="18" s="1"/>
  <c r="AH42" i="19"/>
  <c r="AK42" i="19" s="1"/>
  <c r="AH42" i="3"/>
  <c r="AK42" i="3" s="1"/>
  <c r="AU60" i="6"/>
  <c r="BG60" i="6"/>
  <c r="AJ205" i="16"/>
  <c r="AE206" i="16"/>
  <c r="AH116" i="18" s="1"/>
  <c r="AK116" i="18" s="1"/>
  <c r="AH206" i="16"/>
  <c r="AC207" i="16"/>
  <c r="AD207" i="16" s="1"/>
  <c r="Y208" i="16"/>
  <c r="W208" i="16"/>
  <c r="AB208" i="16"/>
  <c r="AA208" i="16"/>
  <c r="X208" i="16"/>
  <c r="Z208" i="16"/>
  <c r="S214" i="9"/>
  <c r="Q214" i="9"/>
  <c r="P214" i="9"/>
  <c r="AI206" i="16"/>
  <c r="K215" i="9"/>
  <c r="AG206" i="16"/>
  <c r="AD41" i="18"/>
  <c r="BB24" i="19"/>
  <c r="BE24" i="19" s="1"/>
  <c r="BG24" i="19" s="1"/>
  <c r="BI24" i="19"/>
  <c r="BL24" i="19" s="1"/>
  <c r="BN24" i="19" s="1"/>
  <c r="BD27" i="3"/>
  <c r="BK27" i="3"/>
  <c r="BB23" i="3"/>
  <c r="BE23" i="3" s="1"/>
  <c r="BG23" i="3" s="1"/>
  <c r="BI23" i="3"/>
  <c r="BL23" i="3" s="1"/>
  <c r="BN23" i="3" s="1"/>
  <c r="BB24" i="18"/>
  <c r="BE24" i="18" s="1"/>
  <c r="BG24" i="18" s="1"/>
  <c r="BI24" i="18"/>
  <c r="BL24" i="18" s="1"/>
  <c r="BN24" i="18" s="1"/>
  <c r="J180" i="6"/>
  <c r="P180" i="6" s="1"/>
  <c r="T180" i="6" s="1"/>
  <c r="AY43" i="6" s="1"/>
  <c r="J214" i="6"/>
  <c r="P214" i="6" s="1"/>
  <c r="T214" i="6" s="1"/>
  <c r="BE43" i="6" s="1"/>
  <c r="AE41" i="19"/>
  <c r="AF41" i="19" s="1"/>
  <c r="BC41" i="19" s="1"/>
  <c r="AO35" i="3"/>
  <c r="AP35" i="3" s="1"/>
  <c r="BJ35" i="3" s="1"/>
  <c r="AN35" i="3"/>
  <c r="K196" i="11"/>
  <c r="M195" i="11"/>
  <c r="P195" i="11"/>
  <c r="Q195" i="11" s="1"/>
  <c r="J26" i="8"/>
  <c r="S25" i="19"/>
  <c r="U25" i="19" s="1"/>
  <c r="V25" i="19" s="1"/>
  <c r="R25" i="19"/>
  <c r="T25" i="19" s="1"/>
  <c r="E27" i="8"/>
  <c r="I27" i="8"/>
  <c r="F27" i="8"/>
  <c r="C27" i="8"/>
  <c r="G27" i="8"/>
  <c r="D27" i="8"/>
  <c r="E59" i="18"/>
  <c r="P58" i="18"/>
  <c r="L58" i="18"/>
  <c r="P58" i="19"/>
  <c r="E59" i="19"/>
  <c r="L58" i="19"/>
  <c r="C14" i="10"/>
  <c r="AH14" i="10" s="1"/>
  <c r="C26" i="19"/>
  <c r="N26" i="19" s="1"/>
  <c r="Q26" i="19" s="1"/>
  <c r="C26" i="18"/>
  <c r="N26" i="18" s="1"/>
  <c r="Q26" i="18" s="1"/>
  <c r="D60" i="19"/>
  <c r="D60" i="18"/>
  <c r="S25" i="18"/>
  <c r="U25" i="18" s="1"/>
  <c r="V25" i="18" s="1"/>
  <c r="R25" i="18"/>
  <c r="T25" i="18" s="1"/>
  <c r="AB41" i="19"/>
  <c r="AD41" i="19" s="1"/>
  <c r="X42" i="18"/>
  <c r="AA42" i="18" s="1"/>
  <c r="AC42" i="18" s="1"/>
  <c r="X42" i="19"/>
  <c r="AA42" i="19" s="1"/>
  <c r="AB42" i="19" s="1"/>
  <c r="U32" i="10"/>
  <c r="AW103" i="19"/>
  <c r="AV103" i="19"/>
  <c r="R216" i="7"/>
  <c r="AK215" i="7"/>
  <c r="L215" i="7"/>
  <c r="AD214" i="7"/>
  <c r="X215" i="7"/>
  <c r="AR214" i="7"/>
  <c r="AA214" i="7"/>
  <c r="I215" i="7"/>
  <c r="AG211" i="7"/>
  <c r="AM211" i="7" s="1"/>
  <c r="N212" i="7"/>
  <c r="AS211" i="7"/>
  <c r="U216" i="7"/>
  <c r="AO215" i="7"/>
  <c r="AL215" i="7"/>
  <c r="S216" i="7"/>
  <c r="T212" i="7"/>
  <c r="AN211" i="7"/>
  <c r="J215" i="7"/>
  <c r="AB214" i="7"/>
  <c r="V215" i="7"/>
  <c r="AP214" i="7"/>
  <c r="AH215" i="7"/>
  <c r="O216" i="7"/>
  <c r="AI215" i="7"/>
  <c r="P216" i="7"/>
  <c r="W214" i="7"/>
  <c r="AQ213" i="7"/>
  <c r="K215" i="7"/>
  <c r="AC214" i="7"/>
  <c r="H214" i="7"/>
  <c r="Z213" i="7"/>
  <c r="AF213" i="7" s="1"/>
  <c r="AT210" i="7"/>
  <c r="AV210" i="7" s="1"/>
  <c r="Q216" i="7"/>
  <c r="AJ215" i="7"/>
  <c r="O110" i="3"/>
  <c r="A14" i="10"/>
  <c r="AC14" i="10" s="1"/>
  <c r="A26" i="18"/>
  <c r="H214" i="1"/>
  <c r="R214" i="1"/>
  <c r="E215" i="1"/>
  <c r="G114" i="17"/>
  <c r="AR104" i="19" s="1"/>
  <c r="AU104" i="19" s="1"/>
  <c r="F115" i="17"/>
  <c r="D213" i="7" s="1"/>
  <c r="AT176" i="7"/>
  <c r="S181" i="7"/>
  <c r="AL180" i="7"/>
  <c r="R181" i="7"/>
  <c r="AK180" i="7"/>
  <c r="V180" i="7"/>
  <c r="AP179" i="7"/>
  <c r="L180" i="7"/>
  <c r="AD179" i="7"/>
  <c r="O181" i="7"/>
  <c r="AH180" i="7"/>
  <c r="P182" i="7"/>
  <c r="AI181" i="7"/>
  <c r="J180" i="7"/>
  <c r="AB179" i="7"/>
  <c r="N178" i="7"/>
  <c r="AG177" i="7"/>
  <c r="AM177" i="7" s="1"/>
  <c r="AS177" i="7"/>
  <c r="Q181" i="7"/>
  <c r="AJ180" i="7"/>
  <c r="AA179" i="7"/>
  <c r="I180" i="7"/>
  <c r="U180" i="7"/>
  <c r="AO179" i="7"/>
  <c r="K180" i="7"/>
  <c r="AC179" i="7"/>
  <c r="AR180" i="7"/>
  <c r="AQ179" i="7"/>
  <c r="AN177" i="7"/>
  <c r="F114" i="16"/>
  <c r="D177" i="7"/>
  <c r="AP29" i="10"/>
  <c r="AN30" i="10"/>
  <c r="X42" i="3"/>
  <c r="AK30" i="10"/>
  <c r="AO30" i="10"/>
  <c r="AM30" i="10"/>
  <c r="S31" i="10"/>
  <c r="J74" i="4"/>
  <c r="L73" i="4"/>
  <c r="T31" i="10" s="1"/>
  <c r="F95" i="4"/>
  <c r="C103" i="7"/>
  <c r="K39" i="10"/>
  <c r="P46" i="9"/>
  <c r="S46" i="9"/>
  <c r="Q46" i="9"/>
  <c r="G95" i="4"/>
  <c r="D103" i="7"/>
  <c r="W51" i="10"/>
  <c r="X35" i="10"/>
  <c r="AA50" i="10"/>
  <c r="AF14" i="10"/>
  <c r="AG14" i="10"/>
  <c r="AD14" i="10"/>
  <c r="AI13" i="10"/>
  <c r="O64" i="3"/>
  <c r="C169" i="1"/>
  <c r="H168" i="1"/>
  <c r="R168" i="1"/>
  <c r="T24" i="3"/>
  <c r="U24" i="3"/>
  <c r="V24" i="3" s="1"/>
  <c r="D60" i="3"/>
  <c r="L49" i="10"/>
  <c r="P48" i="10"/>
  <c r="V32" i="10"/>
  <c r="Y31" i="10"/>
  <c r="N83" i="4"/>
  <c r="E40" i="10"/>
  <c r="Q83" i="4"/>
  <c r="H40" i="10"/>
  <c r="P51" i="3"/>
  <c r="L51" i="3"/>
  <c r="K57" i="4"/>
  <c r="B15" i="10"/>
  <c r="S83" i="4"/>
  <c r="J40" i="10"/>
  <c r="R83" i="4"/>
  <c r="I40" i="10"/>
  <c r="M83" i="4"/>
  <c r="D40" i="10"/>
  <c r="T82" i="4"/>
  <c r="P83" i="4"/>
  <c r="G40" i="10"/>
  <c r="B54" i="8" s="1"/>
  <c r="O83" i="4"/>
  <c r="F40" i="10"/>
  <c r="AG27" i="8"/>
  <c r="AH27" i="8" s="1"/>
  <c r="Q27" i="8"/>
  <c r="R27" i="8" s="1"/>
  <c r="AX28" i="3"/>
  <c r="AY29" i="3" s="1"/>
  <c r="AZ28" i="3"/>
  <c r="R25" i="3"/>
  <c r="S25" i="3"/>
  <c r="Y28" i="8"/>
  <c r="Z27" i="8"/>
  <c r="G20" i="9"/>
  <c r="J20" i="9"/>
  <c r="H20" i="9"/>
  <c r="AF28" i="8"/>
  <c r="M28" i="8"/>
  <c r="C26" i="3"/>
  <c r="N26" i="3" s="1"/>
  <c r="Q26" i="3" s="1"/>
  <c r="AA28" i="8"/>
  <c r="AC28" i="8"/>
  <c r="S28" i="8"/>
  <c r="U28" i="8"/>
  <c r="AE28" i="8"/>
  <c r="O28" i="8"/>
  <c r="L28" i="8"/>
  <c r="AD28" i="8"/>
  <c r="K28" i="8"/>
  <c r="V28" i="8"/>
  <c r="N28" i="8"/>
  <c r="AB28" i="8"/>
  <c r="P28" i="8"/>
  <c r="X28" i="8"/>
  <c r="T28" i="8"/>
  <c r="W28" i="8"/>
  <c r="A65" i="7"/>
  <c r="A57" i="4"/>
  <c r="A27" i="19" s="1"/>
  <c r="A28" i="8"/>
  <c r="A21" i="9"/>
  <c r="A26" i="3"/>
  <c r="AE42" i="18" l="1"/>
  <c r="AF42" i="18" s="1"/>
  <c r="BC42" i="18" s="1"/>
  <c r="AM42" i="19"/>
  <c r="AO42" i="19" s="1"/>
  <c r="AP42" i="19" s="1"/>
  <c r="BJ42" i="19" s="1"/>
  <c r="AL42" i="19"/>
  <c r="AN42" i="19" s="1"/>
  <c r="AM42" i="18"/>
  <c r="AO42" i="18" s="1"/>
  <c r="AP42" i="18" s="1"/>
  <c r="BJ42" i="18" s="1"/>
  <c r="AL42" i="18"/>
  <c r="AN42" i="18" s="1"/>
  <c r="AR29" i="10"/>
  <c r="AS29" i="10"/>
  <c r="AL31" i="10"/>
  <c r="AH43" i="18"/>
  <c r="AK43" i="18" s="1"/>
  <c r="AH43" i="19"/>
  <c r="AK43" i="19" s="1"/>
  <c r="AH43" i="3"/>
  <c r="AK43" i="3" s="1"/>
  <c r="AL42" i="3"/>
  <c r="AM42" i="3"/>
  <c r="AH207" i="16"/>
  <c r="AI207" i="16"/>
  <c r="AG207" i="16"/>
  <c r="AJ206" i="16"/>
  <c r="Q215" i="9"/>
  <c r="P215" i="9"/>
  <c r="S215" i="9"/>
  <c r="AF207" i="16"/>
  <c r="AM116" i="18"/>
  <c r="AL116" i="18"/>
  <c r="AE207" i="16"/>
  <c r="AC208" i="16"/>
  <c r="AD208" i="16" s="1"/>
  <c r="K216" i="9"/>
  <c r="BI25" i="18"/>
  <c r="BL25" i="18" s="1"/>
  <c r="BN25" i="18" s="1"/>
  <c r="BB25" i="18"/>
  <c r="BE25" i="18" s="1"/>
  <c r="BG25" i="18" s="1"/>
  <c r="BD28" i="3"/>
  <c r="BK28" i="3"/>
  <c r="BB24" i="3"/>
  <c r="BE24" i="3" s="1"/>
  <c r="BG24" i="3" s="1"/>
  <c r="BI24" i="3"/>
  <c r="BL24" i="3" s="1"/>
  <c r="BN24" i="3" s="1"/>
  <c r="BB25" i="19"/>
  <c r="BE25" i="19" s="1"/>
  <c r="BG25" i="19" s="1"/>
  <c r="BI25" i="19"/>
  <c r="BL25" i="19" s="1"/>
  <c r="BN25" i="19" s="1"/>
  <c r="J181" i="6"/>
  <c r="P181" i="6" s="1"/>
  <c r="T181" i="6" s="1"/>
  <c r="AY44" i="6" s="1"/>
  <c r="J215" i="6"/>
  <c r="P215" i="6" s="1"/>
  <c r="T215" i="6" s="1"/>
  <c r="BE44" i="6" s="1"/>
  <c r="AN36" i="3"/>
  <c r="AO36" i="3"/>
  <c r="AP36" i="3" s="1"/>
  <c r="BJ36" i="3" s="1"/>
  <c r="AE14" i="10"/>
  <c r="K197" i="11"/>
  <c r="M196" i="11"/>
  <c r="P196" i="11"/>
  <c r="Q196" i="11" s="1"/>
  <c r="AC42" i="19"/>
  <c r="AE42" i="19" s="1"/>
  <c r="AF42" i="19" s="1"/>
  <c r="BC42" i="19" s="1"/>
  <c r="AB42" i="18"/>
  <c r="AD42" i="18" s="1"/>
  <c r="S26" i="18"/>
  <c r="U26" i="18" s="1"/>
  <c r="V26" i="18" s="1"/>
  <c r="R26" i="18"/>
  <c r="T26" i="18" s="1"/>
  <c r="P59" i="19"/>
  <c r="E60" i="19"/>
  <c r="L59" i="19"/>
  <c r="E60" i="18"/>
  <c r="P59" i="18"/>
  <c r="L59" i="18"/>
  <c r="D61" i="19"/>
  <c r="D61" i="18"/>
  <c r="S26" i="19"/>
  <c r="U26" i="19" s="1"/>
  <c r="V26" i="19" s="1"/>
  <c r="R26" i="19"/>
  <c r="T26" i="19" s="1"/>
  <c r="C15" i="10"/>
  <c r="AE15" i="10" s="1"/>
  <c r="C27" i="19"/>
  <c r="N27" i="19" s="1"/>
  <c r="Q27" i="19" s="1"/>
  <c r="C27" i="18"/>
  <c r="N27" i="18" s="1"/>
  <c r="Q27" i="18" s="1"/>
  <c r="H54" i="8"/>
  <c r="AD42" i="19"/>
  <c r="F28" i="8"/>
  <c r="C28" i="8"/>
  <c r="G28" i="8"/>
  <c r="D28" i="8"/>
  <c r="I28" i="8"/>
  <c r="E28" i="8"/>
  <c r="J27" i="8"/>
  <c r="X43" i="18"/>
  <c r="AA43" i="18" s="1"/>
  <c r="AC43" i="18" s="1"/>
  <c r="X43" i="19"/>
  <c r="AA43" i="19" s="1"/>
  <c r="AC43" i="19" s="1"/>
  <c r="AP30" i="10"/>
  <c r="U33" i="10"/>
  <c r="AV104" i="19"/>
  <c r="AW104" i="19"/>
  <c r="AJ216" i="7"/>
  <c r="Q217" i="7"/>
  <c r="P217" i="7"/>
  <c r="AI216" i="7"/>
  <c r="AL216" i="7"/>
  <c r="S217" i="7"/>
  <c r="AT211" i="7"/>
  <c r="AV211" i="7" s="1"/>
  <c r="I216" i="7"/>
  <c r="AA215" i="7"/>
  <c r="AC215" i="7"/>
  <c r="K216" i="7"/>
  <c r="V216" i="7"/>
  <c r="AP215" i="7"/>
  <c r="T213" i="7"/>
  <c r="AN212" i="7"/>
  <c r="N213" i="7"/>
  <c r="AG212" i="7"/>
  <c r="AM212" i="7" s="1"/>
  <c r="AS212" i="7"/>
  <c r="AD215" i="7"/>
  <c r="L216" i="7"/>
  <c r="O217" i="7"/>
  <c r="AH216" i="7"/>
  <c r="H215" i="7"/>
  <c r="Z214" i="7"/>
  <c r="AF214" i="7" s="1"/>
  <c r="W215" i="7"/>
  <c r="AQ214" i="7"/>
  <c r="J216" i="7"/>
  <c r="AB215" i="7"/>
  <c r="U217" i="7"/>
  <c r="AO216" i="7"/>
  <c r="X216" i="7"/>
  <c r="AR215" i="7"/>
  <c r="R217" i="7"/>
  <c r="AK216" i="7"/>
  <c r="O111" i="3"/>
  <c r="A15" i="10"/>
  <c r="AC15" i="10" s="1"/>
  <c r="A27" i="18"/>
  <c r="R215" i="1"/>
  <c r="H215" i="1"/>
  <c r="E216" i="1"/>
  <c r="AT177" i="7"/>
  <c r="G115" i="17"/>
  <c r="AR105" i="19" s="1"/>
  <c r="AU105" i="19" s="1"/>
  <c r="F116" i="17"/>
  <c r="D214" i="7" s="1"/>
  <c r="Q182" i="7"/>
  <c r="AJ181" i="7"/>
  <c r="P183" i="7"/>
  <c r="AI182" i="7"/>
  <c r="I181" i="7"/>
  <c r="AA180" i="7"/>
  <c r="L181" i="7"/>
  <c r="AD180" i="7"/>
  <c r="R182" i="7"/>
  <c r="AK181" i="7"/>
  <c r="V181" i="7"/>
  <c r="AP180" i="7"/>
  <c r="U181" i="7"/>
  <c r="AO180" i="7"/>
  <c r="N179" i="7"/>
  <c r="AG178" i="7"/>
  <c r="AM178" i="7" s="1"/>
  <c r="AS178" i="7"/>
  <c r="S182" i="7"/>
  <c r="AL181" i="7"/>
  <c r="K181" i="7"/>
  <c r="AC180" i="7"/>
  <c r="J181" i="7"/>
  <c r="AB180" i="7"/>
  <c r="O182" i="7"/>
  <c r="AH181" i="7"/>
  <c r="AQ180" i="7"/>
  <c r="F115" i="16"/>
  <c r="D178" i="7"/>
  <c r="AN178" i="7"/>
  <c r="AT178" i="7" s="1"/>
  <c r="AR181" i="7"/>
  <c r="S32" i="10"/>
  <c r="J75" i="4"/>
  <c r="L74" i="4"/>
  <c r="T32" i="10" s="1"/>
  <c r="AN31" i="10"/>
  <c r="AK31" i="10"/>
  <c r="X43" i="3"/>
  <c r="AO31" i="10"/>
  <c r="AM31" i="10"/>
  <c r="G96" i="4"/>
  <c r="D104" i="7"/>
  <c r="K40" i="10"/>
  <c r="Q47" i="9"/>
  <c r="S47" i="9"/>
  <c r="P47" i="9"/>
  <c r="F96" i="4"/>
  <c r="C104" i="7"/>
  <c r="AI14" i="10"/>
  <c r="AF15" i="10"/>
  <c r="AH15" i="10"/>
  <c r="X36" i="10"/>
  <c r="AA51" i="10"/>
  <c r="W52" i="10"/>
  <c r="C170" i="1"/>
  <c r="R169" i="1"/>
  <c r="H169" i="1"/>
  <c r="O65" i="3"/>
  <c r="U25" i="3"/>
  <c r="V25" i="3" s="1"/>
  <c r="T25" i="3"/>
  <c r="V33" i="10"/>
  <c r="Y32" i="10"/>
  <c r="D61" i="3"/>
  <c r="L50" i="10"/>
  <c r="P49" i="10"/>
  <c r="O84" i="4"/>
  <c r="F41" i="10"/>
  <c r="R84" i="4"/>
  <c r="I41" i="10"/>
  <c r="P84" i="4"/>
  <c r="G41" i="10"/>
  <c r="B55" i="8" s="1"/>
  <c r="M84" i="4"/>
  <c r="D41" i="10"/>
  <c r="T83" i="4"/>
  <c r="K58" i="4"/>
  <c r="B16" i="10"/>
  <c r="N84" i="4"/>
  <c r="E41" i="10"/>
  <c r="L52" i="3"/>
  <c r="P52" i="3"/>
  <c r="S84" i="4"/>
  <c r="J41" i="10"/>
  <c r="Q84" i="4"/>
  <c r="H41" i="10"/>
  <c r="H55" i="8" s="1"/>
  <c r="AG28" i="8"/>
  <c r="AH28" i="8" s="1"/>
  <c r="Q28" i="8"/>
  <c r="R28" i="8" s="1"/>
  <c r="AZ29" i="3"/>
  <c r="AX29" i="3"/>
  <c r="S26" i="3"/>
  <c r="R26" i="3"/>
  <c r="Z28" i="8"/>
  <c r="J21" i="9"/>
  <c r="G21" i="9"/>
  <c r="H21" i="9"/>
  <c r="K29" i="8"/>
  <c r="O29" i="8"/>
  <c r="L29" i="8"/>
  <c r="P29" i="8"/>
  <c r="M29" i="8"/>
  <c r="AB29" i="8"/>
  <c r="N29" i="8"/>
  <c r="AF29" i="8"/>
  <c r="C27" i="3"/>
  <c r="N27" i="3" s="1"/>
  <c r="Q27" i="3" s="1"/>
  <c r="W29" i="8"/>
  <c r="V29" i="8"/>
  <c r="S29" i="8"/>
  <c r="T29" i="8"/>
  <c r="U29" i="8"/>
  <c r="AA29" i="8"/>
  <c r="X29" i="8"/>
  <c r="AE29" i="8"/>
  <c r="AC29" i="8"/>
  <c r="AD29" i="8"/>
  <c r="A66" i="7"/>
  <c r="A29" i="8"/>
  <c r="A58" i="4"/>
  <c r="A28" i="19" s="1"/>
  <c r="A22" i="9"/>
  <c r="A27" i="3"/>
  <c r="AM43" i="3" l="1"/>
  <c r="AL43" i="3"/>
  <c r="AL43" i="19"/>
  <c r="AN43" i="19" s="1"/>
  <c r="AM43" i="19"/>
  <c r="AO43" i="19" s="1"/>
  <c r="AP43" i="19" s="1"/>
  <c r="BJ43" i="19" s="1"/>
  <c r="AM43" i="18"/>
  <c r="AO43" i="18" s="1"/>
  <c r="AP43" i="18" s="1"/>
  <c r="BJ43" i="18" s="1"/>
  <c r="AL43" i="18"/>
  <c r="AN43" i="18" s="1"/>
  <c r="AR30" i="10"/>
  <c r="AS30" i="10"/>
  <c r="AL32" i="10"/>
  <c r="AH44" i="18"/>
  <c r="AK44" i="18" s="1"/>
  <c r="AH44" i="19"/>
  <c r="AK44" i="19" s="1"/>
  <c r="AH44" i="3"/>
  <c r="AK44" i="3" s="1"/>
  <c r="AI208" i="16"/>
  <c r="AH208" i="16"/>
  <c r="AG208" i="16"/>
  <c r="AJ207" i="16"/>
  <c r="AH117" i="18"/>
  <c r="AK117" i="18" s="1"/>
  <c r="AE208" i="16"/>
  <c r="S216" i="9"/>
  <c r="P216" i="9"/>
  <c r="Q216" i="9"/>
  <c r="AF208" i="16"/>
  <c r="BB25" i="3"/>
  <c r="BE25" i="3" s="1"/>
  <c r="BG25" i="3" s="1"/>
  <c r="BI25" i="3"/>
  <c r="BL25" i="3" s="1"/>
  <c r="BN25" i="3" s="1"/>
  <c r="BB26" i="18"/>
  <c r="BE26" i="18" s="1"/>
  <c r="BG26" i="18" s="1"/>
  <c r="BI26" i="18"/>
  <c r="BL26" i="18" s="1"/>
  <c r="BN26" i="18" s="1"/>
  <c r="BD29" i="3"/>
  <c r="BK29" i="3"/>
  <c r="BB26" i="19"/>
  <c r="BE26" i="19" s="1"/>
  <c r="BG26" i="19" s="1"/>
  <c r="BI26" i="19"/>
  <c r="BL26" i="19" s="1"/>
  <c r="BN26" i="19" s="1"/>
  <c r="J182" i="6"/>
  <c r="P182" i="6" s="1"/>
  <c r="T182" i="6" s="1"/>
  <c r="AY45" i="6" s="1"/>
  <c r="J216" i="6"/>
  <c r="P216" i="6" s="1"/>
  <c r="T216" i="6" s="1"/>
  <c r="BE45" i="6" s="1"/>
  <c r="AE43" i="18"/>
  <c r="AF43" i="18" s="1"/>
  <c r="BC43" i="18" s="1"/>
  <c r="AN37" i="3"/>
  <c r="AO37" i="3"/>
  <c r="AP37" i="3" s="1"/>
  <c r="BJ37" i="3" s="1"/>
  <c r="AG15" i="10"/>
  <c r="AD15" i="10"/>
  <c r="M197" i="11"/>
  <c r="P197" i="11"/>
  <c r="Q197" i="11" s="1"/>
  <c r="K198" i="11"/>
  <c r="AE43" i="19"/>
  <c r="AF43" i="19" s="1"/>
  <c r="BC43" i="19" s="1"/>
  <c r="AB43" i="18"/>
  <c r="AD43" i="18" s="1"/>
  <c r="U26" i="3"/>
  <c r="V26" i="3" s="1"/>
  <c r="R27" i="18"/>
  <c r="T27" i="18" s="1"/>
  <c r="S27" i="18"/>
  <c r="U27" i="18" s="1"/>
  <c r="V27" i="18" s="1"/>
  <c r="L60" i="18"/>
  <c r="E61" i="18"/>
  <c r="P60" i="18"/>
  <c r="J28" i="8"/>
  <c r="S27" i="19"/>
  <c r="U27" i="19" s="1"/>
  <c r="V27" i="19" s="1"/>
  <c r="R27" i="19"/>
  <c r="T27" i="19" s="1"/>
  <c r="C29" i="8"/>
  <c r="G29" i="8"/>
  <c r="D29" i="8"/>
  <c r="E29" i="8"/>
  <c r="I29" i="8"/>
  <c r="F29" i="8"/>
  <c r="L60" i="19"/>
  <c r="E61" i="19"/>
  <c r="P60" i="19"/>
  <c r="C16" i="10"/>
  <c r="C28" i="19"/>
  <c r="N28" i="19" s="1"/>
  <c r="Q28" i="19" s="1"/>
  <c r="C28" i="18"/>
  <c r="N28" i="18" s="1"/>
  <c r="Q28" i="18" s="1"/>
  <c r="D62" i="19"/>
  <c r="D62" i="18"/>
  <c r="AB43" i="19"/>
  <c r="AD43" i="19" s="1"/>
  <c r="X44" i="18"/>
  <c r="AA44" i="18" s="1"/>
  <c r="AB44" i="18" s="1"/>
  <c r="X44" i="19"/>
  <c r="AA44" i="19" s="1"/>
  <c r="AB44" i="19" s="1"/>
  <c r="U34" i="10"/>
  <c r="AW105" i="19"/>
  <c r="AV105" i="19"/>
  <c r="AT212" i="7"/>
  <c r="AV212" i="7" s="1"/>
  <c r="AH217" i="7"/>
  <c r="O218" i="7"/>
  <c r="T214" i="7"/>
  <c r="AN213" i="7"/>
  <c r="K217" i="7"/>
  <c r="AC216" i="7"/>
  <c r="I217" i="7"/>
  <c r="AA216" i="7"/>
  <c r="X217" i="7"/>
  <c r="AR216" i="7"/>
  <c r="J217" i="7"/>
  <c r="AB216" i="7"/>
  <c r="H216" i="7"/>
  <c r="Z215" i="7"/>
  <c r="AI217" i="7"/>
  <c r="P218" i="7"/>
  <c r="AD216" i="7"/>
  <c r="L217" i="7"/>
  <c r="AG213" i="7"/>
  <c r="AM213" i="7" s="1"/>
  <c r="N214" i="7"/>
  <c r="AS213" i="7"/>
  <c r="V217" i="7"/>
  <c r="AP216" i="7"/>
  <c r="S218" i="7"/>
  <c r="AL217" i="7"/>
  <c r="AJ217" i="7"/>
  <c r="Q218" i="7"/>
  <c r="R218" i="7"/>
  <c r="AK217" i="7"/>
  <c r="U218" i="7"/>
  <c r="AO217" i="7"/>
  <c r="W216" i="7"/>
  <c r="AQ215" i="7"/>
  <c r="AF215" i="7"/>
  <c r="O112" i="3"/>
  <c r="A16" i="10"/>
  <c r="AC16" i="10" s="1"/>
  <c r="A28" i="18"/>
  <c r="R216" i="1"/>
  <c r="H216" i="1"/>
  <c r="E217" i="1"/>
  <c r="F117" i="17"/>
  <c r="D215" i="7" s="1"/>
  <c r="G116" i="17"/>
  <c r="AR106" i="19" s="1"/>
  <c r="AU106" i="19" s="1"/>
  <c r="O183" i="7"/>
  <c r="AH182" i="7"/>
  <c r="K182" i="7"/>
  <c r="AC181" i="7"/>
  <c r="U182" i="7"/>
  <c r="AO181" i="7"/>
  <c r="I182" i="7"/>
  <c r="AA181" i="7"/>
  <c r="S183" i="7"/>
  <c r="AL182" i="7"/>
  <c r="R183" i="7"/>
  <c r="AK182" i="7"/>
  <c r="P184" i="7"/>
  <c r="AI183" i="7"/>
  <c r="J182" i="7"/>
  <c r="AB181" i="7"/>
  <c r="AG179" i="7"/>
  <c r="AM179" i="7" s="1"/>
  <c r="N180" i="7"/>
  <c r="AS179" i="7"/>
  <c r="V182" i="7"/>
  <c r="AP181" i="7"/>
  <c r="L182" i="7"/>
  <c r="AD181" i="7"/>
  <c r="Q183" i="7"/>
  <c r="AJ182" i="7"/>
  <c r="AN179" i="7"/>
  <c r="AQ181" i="7"/>
  <c r="AR182" i="7"/>
  <c r="F116" i="16"/>
  <c r="D179" i="7"/>
  <c r="AM32" i="10"/>
  <c r="AP31" i="10"/>
  <c r="AN32" i="10"/>
  <c r="X44" i="3"/>
  <c r="AK32" i="10"/>
  <c r="AO32" i="10"/>
  <c r="S33" i="10"/>
  <c r="J76" i="4"/>
  <c r="L75" i="4"/>
  <c r="T33" i="10" s="1"/>
  <c r="F97" i="4"/>
  <c r="C105" i="7"/>
  <c r="K41" i="10"/>
  <c r="P48" i="9"/>
  <c r="Q48" i="9"/>
  <c r="S48" i="9"/>
  <c r="G97" i="4"/>
  <c r="D105" i="7"/>
  <c r="AD16" i="10"/>
  <c r="AH16" i="10"/>
  <c r="AF16" i="10"/>
  <c r="AG16" i="10"/>
  <c r="AE16" i="10"/>
  <c r="W53" i="10"/>
  <c r="X37" i="10"/>
  <c r="AA52" i="10"/>
  <c r="AI15" i="10"/>
  <c r="O66" i="3"/>
  <c r="R170" i="1"/>
  <c r="C171" i="1"/>
  <c r="H170" i="1"/>
  <c r="T26" i="3"/>
  <c r="D62" i="3"/>
  <c r="P50" i="10"/>
  <c r="L51" i="10"/>
  <c r="V34" i="10"/>
  <c r="Y33" i="10"/>
  <c r="K59" i="4"/>
  <c r="B17" i="10"/>
  <c r="S85" i="4"/>
  <c r="J42" i="10"/>
  <c r="P85" i="4"/>
  <c r="G42" i="10"/>
  <c r="B56" i="8" s="1"/>
  <c r="Q85" i="4"/>
  <c r="H42" i="10"/>
  <c r="M85" i="4"/>
  <c r="D42" i="10"/>
  <c r="T84" i="4"/>
  <c r="R85" i="4"/>
  <c r="I42" i="10"/>
  <c r="N85" i="4"/>
  <c r="E42" i="10"/>
  <c r="P53" i="3"/>
  <c r="L53" i="3"/>
  <c r="O85" i="4"/>
  <c r="F42" i="10"/>
  <c r="AG29" i="8"/>
  <c r="AH29" i="8" s="1"/>
  <c r="Y29" i="8"/>
  <c r="Z29" i="8" s="1"/>
  <c r="Q29" i="8"/>
  <c r="R29" i="8" s="1"/>
  <c r="S27" i="3"/>
  <c r="R27" i="3"/>
  <c r="J22" i="9"/>
  <c r="G22" i="9"/>
  <c r="H22" i="9"/>
  <c r="L30" i="8"/>
  <c r="S30" i="8"/>
  <c r="AF30" i="8"/>
  <c r="N30" i="8"/>
  <c r="U30" i="8"/>
  <c r="AB30" i="8"/>
  <c r="O30" i="8"/>
  <c r="V30" i="8"/>
  <c r="AC30" i="8"/>
  <c r="P30" i="8"/>
  <c r="W30" i="8"/>
  <c r="AD30" i="8"/>
  <c r="K30" i="8"/>
  <c r="C28" i="3"/>
  <c r="N28" i="3" s="1"/>
  <c r="Q28" i="3" s="1"/>
  <c r="M30" i="8"/>
  <c r="AA30" i="8"/>
  <c r="X30" i="8"/>
  <c r="T30" i="8"/>
  <c r="AE30" i="8"/>
  <c r="A67" i="7"/>
  <c r="A59" i="4"/>
  <c r="A29" i="19" s="1"/>
  <c r="A23" i="9"/>
  <c r="A30" i="8"/>
  <c r="A28" i="3"/>
  <c r="AM44" i="3" l="1"/>
  <c r="AL44" i="3"/>
  <c r="AM44" i="19"/>
  <c r="AO44" i="19" s="1"/>
  <c r="AP44" i="19" s="1"/>
  <c r="BJ44" i="19" s="1"/>
  <c r="AL44" i="19"/>
  <c r="AN44" i="19" s="1"/>
  <c r="AL44" i="18"/>
  <c r="AN44" i="18" s="1"/>
  <c r="AM44" i="18"/>
  <c r="AO44" i="18" s="1"/>
  <c r="AP44" i="18" s="1"/>
  <c r="BJ44" i="18" s="1"/>
  <c r="AM33" i="10"/>
  <c r="AH45" i="18"/>
  <c r="AK45" i="18" s="1"/>
  <c r="AH45" i="19"/>
  <c r="AK45" i="19" s="1"/>
  <c r="AH45" i="3"/>
  <c r="AK45" i="3" s="1"/>
  <c r="AS31" i="10"/>
  <c r="AR31" i="10"/>
  <c r="AL117" i="18"/>
  <c r="AM117" i="18"/>
  <c r="AH118" i="18"/>
  <c r="AK118" i="18" s="1"/>
  <c r="AJ208" i="16"/>
  <c r="BB26" i="3"/>
  <c r="BE26" i="3" s="1"/>
  <c r="BG26" i="3" s="1"/>
  <c r="BI26" i="3"/>
  <c r="BL26" i="3" s="1"/>
  <c r="BN26" i="3" s="1"/>
  <c r="BB27" i="18"/>
  <c r="BE27" i="18" s="1"/>
  <c r="BG27" i="18" s="1"/>
  <c r="BI27" i="18"/>
  <c r="BL27" i="18" s="1"/>
  <c r="BN27" i="18" s="1"/>
  <c r="BB27" i="19"/>
  <c r="BE27" i="19" s="1"/>
  <c r="BG27" i="19" s="1"/>
  <c r="BI27" i="19"/>
  <c r="BL27" i="19" s="1"/>
  <c r="BN27" i="19" s="1"/>
  <c r="J183" i="6"/>
  <c r="P183" i="6" s="1"/>
  <c r="T183" i="6" s="1"/>
  <c r="AY46" i="6" s="1"/>
  <c r="J217" i="6"/>
  <c r="P217" i="6" s="1"/>
  <c r="T217" i="6" s="1"/>
  <c r="BE46" i="6" s="1"/>
  <c r="AD44" i="18"/>
  <c r="AN38" i="3"/>
  <c r="AO38" i="3"/>
  <c r="AP38" i="3" s="1"/>
  <c r="BJ38" i="3" s="1"/>
  <c r="K199" i="11"/>
  <c r="M198" i="11"/>
  <c r="P198" i="11"/>
  <c r="Q198" i="11" s="1"/>
  <c r="AD44" i="19"/>
  <c r="D30" i="8"/>
  <c r="E30" i="8"/>
  <c r="I30" i="8"/>
  <c r="F30" i="8"/>
  <c r="C30" i="8"/>
  <c r="G30" i="8"/>
  <c r="H56" i="8"/>
  <c r="J29" i="8"/>
  <c r="R28" i="18"/>
  <c r="T28" i="18" s="1"/>
  <c r="S28" i="18"/>
  <c r="U28" i="18" s="1"/>
  <c r="V28" i="18" s="1"/>
  <c r="L61" i="19"/>
  <c r="P61" i="19"/>
  <c r="E62" i="19"/>
  <c r="L61" i="18"/>
  <c r="P61" i="18"/>
  <c r="E62" i="18"/>
  <c r="C17" i="10"/>
  <c r="C29" i="19"/>
  <c r="N29" i="19" s="1"/>
  <c r="Q29" i="19" s="1"/>
  <c r="C29" i="18"/>
  <c r="N29" i="18" s="1"/>
  <c r="Q29" i="18" s="1"/>
  <c r="D63" i="19"/>
  <c r="D63" i="18"/>
  <c r="AC44" i="18"/>
  <c r="AE44" i="18" s="1"/>
  <c r="AF44" i="18" s="1"/>
  <c r="BC44" i="18" s="1"/>
  <c r="S28" i="19"/>
  <c r="U28" i="19" s="1"/>
  <c r="V28" i="19" s="1"/>
  <c r="R28" i="19"/>
  <c r="T28" i="19" s="1"/>
  <c r="AC44" i="19"/>
  <c r="AE44" i="19" s="1"/>
  <c r="AF44" i="19" s="1"/>
  <c r="BC44" i="19" s="1"/>
  <c r="X45" i="19"/>
  <c r="AA45" i="19" s="1"/>
  <c r="AB45" i="19" s="1"/>
  <c r="AD45" i="19" s="1"/>
  <c r="X45" i="18"/>
  <c r="AA45" i="18" s="1"/>
  <c r="AC45" i="18" s="1"/>
  <c r="AE45" i="18" s="1"/>
  <c r="AF45" i="18" s="1"/>
  <c r="BC45" i="18" s="1"/>
  <c r="U35" i="10"/>
  <c r="AW106" i="19"/>
  <c r="AV106" i="19"/>
  <c r="AT213" i="7"/>
  <c r="AA217" i="7"/>
  <c r="I218" i="7"/>
  <c r="AN214" i="7"/>
  <c r="T215" i="7"/>
  <c r="W217" i="7"/>
  <c r="AQ216" i="7"/>
  <c r="R219" i="7"/>
  <c r="AK218" i="7"/>
  <c r="AL218" i="7"/>
  <c r="S219" i="7"/>
  <c r="N215" i="7"/>
  <c r="AG214" i="7"/>
  <c r="AM214" i="7" s="1"/>
  <c r="AS214" i="7"/>
  <c r="AI218" i="7"/>
  <c r="P219" i="7"/>
  <c r="Z216" i="7"/>
  <c r="AF216" i="7" s="1"/>
  <c r="H217" i="7"/>
  <c r="X218" i="7"/>
  <c r="AR217" i="7"/>
  <c r="AH218" i="7"/>
  <c r="O219" i="7"/>
  <c r="Q219" i="7"/>
  <c r="AJ218" i="7"/>
  <c r="AV213" i="7"/>
  <c r="AC217" i="7"/>
  <c r="K218" i="7"/>
  <c r="U219" i="7"/>
  <c r="AO218" i="7"/>
  <c r="V218" i="7"/>
  <c r="AP217" i="7"/>
  <c r="L218" i="7"/>
  <c r="AD217" i="7"/>
  <c r="AB217" i="7"/>
  <c r="J218" i="7"/>
  <c r="O113" i="3"/>
  <c r="A17" i="10"/>
  <c r="AC17" i="10" s="1"/>
  <c r="A29" i="18"/>
  <c r="H217" i="1"/>
  <c r="R217" i="1"/>
  <c r="E218" i="1"/>
  <c r="T27" i="3"/>
  <c r="F118" i="17"/>
  <c r="D216" i="7" s="1"/>
  <c r="G117" i="17"/>
  <c r="AR107" i="19" s="1"/>
  <c r="AU107" i="19" s="1"/>
  <c r="Q184" i="7"/>
  <c r="AJ183" i="7"/>
  <c r="V183" i="7"/>
  <c r="AP182" i="7"/>
  <c r="K183" i="7"/>
  <c r="AC182" i="7"/>
  <c r="J183" i="7"/>
  <c r="AB182" i="7"/>
  <c r="AT179" i="7"/>
  <c r="L183" i="7"/>
  <c r="AD182" i="7"/>
  <c r="N181" i="7"/>
  <c r="AG180" i="7"/>
  <c r="AM180" i="7" s="1"/>
  <c r="AS180" i="7"/>
  <c r="U183" i="7"/>
  <c r="AO182" i="7"/>
  <c r="O184" i="7"/>
  <c r="AH183" i="7"/>
  <c r="I183" i="7"/>
  <c r="AA182" i="7"/>
  <c r="P185" i="7"/>
  <c r="AI184" i="7"/>
  <c r="S184" i="7"/>
  <c r="AL183" i="7"/>
  <c r="R184" i="7"/>
  <c r="AK183" i="7"/>
  <c r="F117" i="16"/>
  <c r="D180" i="7"/>
  <c r="AQ182" i="7"/>
  <c r="AR183" i="7"/>
  <c r="AN180" i="7"/>
  <c r="AP32" i="10"/>
  <c r="AL33" i="10"/>
  <c r="AN33" i="10"/>
  <c r="X45" i="3"/>
  <c r="AK33" i="10"/>
  <c r="AO33" i="10"/>
  <c r="S34" i="10"/>
  <c r="L76" i="4"/>
  <c r="T34" i="10" s="1"/>
  <c r="J77" i="4"/>
  <c r="G98" i="4"/>
  <c r="D106" i="7"/>
  <c r="K42" i="10"/>
  <c r="Q49" i="9"/>
  <c r="P49" i="9"/>
  <c r="S49" i="9"/>
  <c r="F98" i="4"/>
  <c r="C106" i="7"/>
  <c r="AG17" i="10"/>
  <c r="AF17" i="10"/>
  <c r="AH17" i="10"/>
  <c r="AD17" i="10"/>
  <c r="AE17" i="10"/>
  <c r="AA53" i="10"/>
  <c r="AI16" i="10"/>
  <c r="X38" i="10"/>
  <c r="W54" i="10"/>
  <c r="H171" i="1"/>
  <c r="R171" i="1"/>
  <c r="C172" i="1"/>
  <c r="O67" i="3"/>
  <c r="U27" i="3"/>
  <c r="V27" i="3" s="1"/>
  <c r="V35" i="10"/>
  <c r="Y34" i="10"/>
  <c r="D63" i="3"/>
  <c r="L52" i="10"/>
  <c r="P51" i="10"/>
  <c r="O86" i="4"/>
  <c r="F43" i="10"/>
  <c r="L54" i="3"/>
  <c r="P54" i="3"/>
  <c r="S86" i="4"/>
  <c r="J43" i="10"/>
  <c r="Q86" i="4"/>
  <c r="H43" i="10"/>
  <c r="P86" i="4"/>
  <c r="G43" i="10"/>
  <c r="B57" i="8" s="1"/>
  <c r="K60" i="4"/>
  <c r="B18" i="10"/>
  <c r="N86" i="4"/>
  <c r="E43" i="10"/>
  <c r="R86" i="4"/>
  <c r="I43" i="10"/>
  <c r="M86" i="4"/>
  <c r="D43" i="10"/>
  <c r="T85" i="4"/>
  <c r="AG30" i="8"/>
  <c r="AH30" i="8" s="1"/>
  <c r="Y30" i="8"/>
  <c r="Z30" i="8" s="1"/>
  <c r="S28" i="3"/>
  <c r="R28" i="3"/>
  <c r="T28" i="3" s="1"/>
  <c r="Q30" i="8"/>
  <c r="R30" i="8" s="1"/>
  <c r="AG31" i="8"/>
  <c r="J23" i="9"/>
  <c r="G23" i="9"/>
  <c r="H23" i="9"/>
  <c r="K31" i="8"/>
  <c r="N31" i="8"/>
  <c r="O31" i="8"/>
  <c r="U31" i="8"/>
  <c r="AC31" i="8"/>
  <c r="C29" i="3"/>
  <c r="N29" i="3" s="1"/>
  <c r="Q29" i="3" s="1"/>
  <c r="AF31" i="8"/>
  <c r="V31" i="8"/>
  <c r="AB31" i="8"/>
  <c r="W31" i="8"/>
  <c r="T31" i="8"/>
  <c r="AD31" i="8"/>
  <c r="L31" i="8"/>
  <c r="X31" i="8"/>
  <c r="P31" i="8"/>
  <c r="M31" i="8"/>
  <c r="AA31" i="8"/>
  <c r="S31" i="8"/>
  <c r="AE31" i="8"/>
  <c r="A68" i="7"/>
  <c r="A60" i="4"/>
  <c r="A30" i="19" s="1"/>
  <c r="A24" i="9"/>
  <c r="A31" i="8"/>
  <c r="A29" i="3"/>
  <c r="AM34" i="10" l="1"/>
  <c r="AH46" i="18"/>
  <c r="AK46" i="18" s="1"/>
  <c r="AH46" i="19"/>
  <c r="AK46" i="19" s="1"/>
  <c r="AH46" i="3"/>
  <c r="AK46" i="3" s="1"/>
  <c r="AM45" i="3"/>
  <c r="AL45" i="3"/>
  <c r="AM45" i="19"/>
  <c r="AO45" i="19" s="1"/>
  <c r="AP45" i="19" s="1"/>
  <c r="BJ45" i="19" s="1"/>
  <c r="AL45" i="19"/>
  <c r="AN45" i="19" s="1"/>
  <c r="AL45" i="18"/>
  <c r="AN45" i="18" s="1"/>
  <c r="AM45" i="18"/>
  <c r="AO45" i="18" s="1"/>
  <c r="AP45" i="18" s="1"/>
  <c r="BJ45" i="18" s="1"/>
  <c r="AR32" i="10"/>
  <c r="AS32" i="10"/>
  <c r="AL118" i="18"/>
  <c r="AM118" i="18"/>
  <c r="BB28" i="19"/>
  <c r="BE28" i="19" s="1"/>
  <c r="BG28" i="19" s="1"/>
  <c r="BI28" i="19"/>
  <c r="BL28" i="19" s="1"/>
  <c r="BN28" i="19" s="1"/>
  <c r="BB27" i="3"/>
  <c r="BE27" i="3" s="1"/>
  <c r="BG27" i="3" s="1"/>
  <c r="BI27" i="3"/>
  <c r="BL27" i="3" s="1"/>
  <c r="BN27" i="3" s="1"/>
  <c r="BB28" i="18"/>
  <c r="BE28" i="18" s="1"/>
  <c r="BG28" i="18" s="1"/>
  <c r="BI28" i="18"/>
  <c r="BL28" i="18" s="1"/>
  <c r="BN28" i="18" s="1"/>
  <c r="AT180" i="7"/>
  <c r="J184" i="6"/>
  <c r="P184" i="6" s="1"/>
  <c r="T184" i="6" s="1"/>
  <c r="AY47" i="6" s="1"/>
  <c r="J218" i="6"/>
  <c r="P218" i="6" s="1"/>
  <c r="T218" i="6" s="1"/>
  <c r="BE47" i="6" s="1"/>
  <c r="U28" i="3"/>
  <c r="V28" i="3" s="1"/>
  <c r="AO39" i="3"/>
  <c r="AP39" i="3" s="1"/>
  <c r="BJ39" i="3" s="1"/>
  <c r="AN39" i="3"/>
  <c r="M199" i="11"/>
  <c r="P199" i="11"/>
  <c r="Q199" i="11" s="1"/>
  <c r="K200" i="11"/>
  <c r="E63" i="18"/>
  <c r="L62" i="18"/>
  <c r="P62" i="18"/>
  <c r="C18" i="10"/>
  <c r="C30" i="19"/>
  <c r="N30" i="19" s="1"/>
  <c r="Q30" i="19" s="1"/>
  <c r="C30" i="18"/>
  <c r="N30" i="18" s="1"/>
  <c r="Q30" i="18" s="1"/>
  <c r="H57" i="8"/>
  <c r="R29" i="18"/>
  <c r="T29" i="18" s="1"/>
  <c r="S29" i="18"/>
  <c r="U29" i="18" s="1"/>
  <c r="V29" i="18" s="1"/>
  <c r="D64" i="19"/>
  <c r="D64" i="18"/>
  <c r="S29" i="19"/>
  <c r="U29" i="19" s="1"/>
  <c r="V29" i="19" s="1"/>
  <c r="R29" i="19"/>
  <c r="T29" i="19" s="1"/>
  <c r="J30" i="8"/>
  <c r="AB45" i="18"/>
  <c r="AD45" i="18" s="1"/>
  <c r="E31" i="8"/>
  <c r="I31" i="8"/>
  <c r="F31" i="8"/>
  <c r="C31" i="8"/>
  <c r="G31" i="8"/>
  <c r="D31" i="8"/>
  <c r="E63" i="19"/>
  <c r="P62" i="19"/>
  <c r="L62" i="19"/>
  <c r="AC45" i="19"/>
  <c r="AE45" i="19" s="1"/>
  <c r="AF45" i="19" s="1"/>
  <c r="BC45" i="19" s="1"/>
  <c r="X46" i="18"/>
  <c r="AA46" i="18" s="1"/>
  <c r="AC46" i="18" s="1"/>
  <c r="X46" i="19"/>
  <c r="AA46" i="19" s="1"/>
  <c r="AC46" i="19" s="1"/>
  <c r="AE46" i="19" s="1"/>
  <c r="AF46" i="19" s="1"/>
  <c r="BC46" i="19" s="1"/>
  <c r="U36" i="10"/>
  <c r="AW107" i="19"/>
  <c r="AV107" i="19"/>
  <c r="AT214" i="7"/>
  <c r="AV214" i="7" s="1"/>
  <c r="AB218" i="7"/>
  <c r="J219" i="7"/>
  <c r="AN215" i="7"/>
  <c r="T216" i="7"/>
  <c r="V219" i="7"/>
  <c r="AP218" i="7"/>
  <c r="AC218" i="7"/>
  <c r="K219" i="7"/>
  <c r="AI219" i="7"/>
  <c r="P220" i="7"/>
  <c r="N216" i="7"/>
  <c r="AG215" i="7"/>
  <c r="AM215" i="7" s="1"/>
  <c r="AS215" i="7"/>
  <c r="AK219" i="7"/>
  <c r="R220" i="7"/>
  <c r="AJ219" i="7"/>
  <c r="Q220" i="7"/>
  <c r="X219" i="7"/>
  <c r="AR218" i="7"/>
  <c r="S220" i="7"/>
  <c r="AL219" i="7"/>
  <c r="AA218" i="7"/>
  <c r="I219" i="7"/>
  <c r="AD218" i="7"/>
  <c r="L219" i="7"/>
  <c r="U220" i="7"/>
  <c r="AO219" i="7"/>
  <c r="O220" i="7"/>
  <c r="AH219" i="7"/>
  <c r="H218" i="7"/>
  <c r="Z217" i="7"/>
  <c r="AF217" i="7" s="1"/>
  <c r="AQ217" i="7"/>
  <c r="W218" i="7"/>
  <c r="O114" i="3"/>
  <c r="A18" i="10"/>
  <c r="AC18" i="10" s="1"/>
  <c r="A30" i="18"/>
  <c r="H218" i="1"/>
  <c r="R218" i="1"/>
  <c r="E219" i="1"/>
  <c r="G118" i="17"/>
  <c r="AR108" i="19" s="1"/>
  <c r="AU108" i="19" s="1"/>
  <c r="F119" i="17"/>
  <c r="D217" i="7" s="1"/>
  <c r="R185" i="7"/>
  <c r="AK184" i="7"/>
  <c r="AA183" i="7"/>
  <c r="I184" i="7"/>
  <c r="U184" i="7"/>
  <c r="AO183" i="7"/>
  <c r="J184" i="7"/>
  <c r="AB183" i="7"/>
  <c r="P186" i="7"/>
  <c r="AI185" i="7"/>
  <c r="O185" i="7"/>
  <c r="AH184" i="7"/>
  <c r="S185" i="7"/>
  <c r="AL184" i="7"/>
  <c r="L184" i="7"/>
  <c r="AD183" i="7"/>
  <c r="V184" i="7"/>
  <c r="AP183" i="7"/>
  <c r="N182" i="7"/>
  <c r="AG181" i="7"/>
  <c r="AM181" i="7" s="1"/>
  <c r="AS181" i="7"/>
  <c r="K184" i="7"/>
  <c r="AC183" i="7"/>
  <c r="Q185" i="7"/>
  <c r="AJ184" i="7"/>
  <c r="AR184" i="7"/>
  <c r="AQ183" i="7"/>
  <c r="AN181" i="7"/>
  <c r="F118" i="16"/>
  <c r="D181" i="7"/>
  <c r="AP33" i="10"/>
  <c r="S35" i="10"/>
  <c r="L77" i="4"/>
  <c r="T35" i="10" s="1"/>
  <c r="J78" i="4"/>
  <c r="AN34" i="10"/>
  <c r="X46" i="3"/>
  <c r="AK34" i="10"/>
  <c r="AO34" i="10"/>
  <c r="AL34" i="10"/>
  <c r="K43" i="10"/>
  <c r="Q50" i="9"/>
  <c r="S50" i="9"/>
  <c r="P50" i="9"/>
  <c r="F99" i="4"/>
  <c r="C107" i="7"/>
  <c r="G99" i="4"/>
  <c r="D107" i="7"/>
  <c r="AF18" i="10"/>
  <c r="AG18" i="10"/>
  <c r="AH18" i="10"/>
  <c r="AE18" i="10"/>
  <c r="AD18" i="10"/>
  <c r="X39" i="10"/>
  <c r="AA54" i="10"/>
  <c r="W55" i="10"/>
  <c r="AI17" i="10"/>
  <c r="R172" i="1"/>
  <c r="H172" i="1"/>
  <c r="C173" i="1"/>
  <c r="O68" i="3"/>
  <c r="AU68" i="3"/>
  <c r="AV68" i="3" s="1"/>
  <c r="D64" i="3"/>
  <c r="L53" i="10"/>
  <c r="P52" i="10"/>
  <c r="V36" i="10"/>
  <c r="Y35" i="10"/>
  <c r="R87" i="4"/>
  <c r="I44" i="10"/>
  <c r="N87" i="4"/>
  <c r="E44" i="10"/>
  <c r="M87" i="4"/>
  <c r="D44" i="10"/>
  <c r="T86" i="4"/>
  <c r="Q87" i="4"/>
  <c r="H44" i="10"/>
  <c r="S87" i="4"/>
  <c r="J44" i="10"/>
  <c r="P87" i="4"/>
  <c r="G44" i="10"/>
  <c r="B58" i="8" s="1"/>
  <c r="O87" i="4"/>
  <c r="F44" i="10"/>
  <c r="K61" i="4"/>
  <c r="B19" i="10"/>
  <c r="P55" i="3"/>
  <c r="L55" i="3"/>
  <c r="Y31" i="8"/>
  <c r="Z31" i="8" s="1"/>
  <c r="Q31" i="8"/>
  <c r="R31" i="8" s="1"/>
  <c r="R29" i="3"/>
  <c r="T29" i="3" s="1"/>
  <c r="S29" i="3"/>
  <c r="U29" i="3" s="1"/>
  <c r="V29" i="3" s="1"/>
  <c r="AH31" i="8"/>
  <c r="J24" i="9"/>
  <c r="G24" i="9"/>
  <c r="H24" i="9"/>
  <c r="AE32" i="8"/>
  <c r="C30" i="3"/>
  <c r="N30" i="3" s="1"/>
  <c r="X32" i="8"/>
  <c r="AF32" i="8"/>
  <c r="L32" i="8"/>
  <c r="N32" i="8"/>
  <c r="V32" i="8"/>
  <c r="P32" i="8"/>
  <c r="M32" i="8"/>
  <c r="U32" i="8"/>
  <c r="AC32" i="8"/>
  <c r="T32" i="8"/>
  <c r="S32" i="8"/>
  <c r="AB32" i="8"/>
  <c r="K32" i="8"/>
  <c r="W32" i="8"/>
  <c r="AA32" i="8"/>
  <c r="O32" i="8"/>
  <c r="AD32" i="8"/>
  <c r="A69" i="7"/>
  <c r="A61" i="4"/>
  <c r="A31" i="19" s="1"/>
  <c r="A32" i="8"/>
  <c r="A25" i="9"/>
  <c r="A30" i="3"/>
  <c r="AL46" i="3" l="1"/>
  <c r="AM46" i="3"/>
  <c r="AM46" i="19"/>
  <c r="AO46" i="19" s="1"/>
  <c r="AP46" i="19" s="1"/>
  <c r="BJ46" i="19" s="1"/>
  <c r="AL46" i="19"/>
  <c r="AN46" i="19" s="1"/>
  <c r="AR33" i="10"/>
  <c r="AS33" i="10"/>
  <c r="AL35" i="10"/>
  <c r="AH47" i="18"/>
  <c r="AK47" i="18" s="1"/>
  <c r="AH47" i="19"/>
  <c r="AK47" i="19" s="1"/>
  <c r="AH47" i="3"/>
  <c r="AK47" i="3" s="1"/>
  <c r="AM46" i="18"/>
  <c r="AO46" i="18" s="1"/>
  <c r="AP46" i="18" s="1"/>
  <c r="BJ46" i="18" s="1"/>
  <c r="AL46" i="18"/>
  <c r="AN46" i="18" s="1"/>
  <c r="BB29" i="3"/>
  <c r="BI29" i="3"/>
  <c r="BL29" i="3" s="1"/>
  <c r="BN29" i="3" s="1"/>
  <c r="BB29" i="19"/>
  <c r="BE29" i="19" s="1"/>
  <c r="BG29" i="19" s="1"/>
  <c r="BI29" i="19"/>
  <c r="BL29" i="19" s="1"/>
  <c r="BN29" i="19" s="1"/>
  <c r="BB28" i="3"/>
  <c r="BE28" i="3" s="1"/>
  <c r="BG28" i="3" s="1"/>
  <c r="BI28" i="3"/>
  <c r="BL28" i="3" s="1"/>
  <c r="BN28" i="3" s="1"/>
  <c r="BI29" i="18"/>
  <c r="BL29" i="18" s="1"/>
  <c r="BN29" i="18" s="1"/>
  <c r="BB29" i="18"/>
  <c r="BE29" i="18" s="1"/>
  <c r="BG29" i="18" s="1"/>
  <c r="J185" i="6"/>
  <c r="P185" i="6" s="1"/>
  <c r="T185" i="6" s="1"/>
  <c r="AY48" i="6" s="1"/>
  <c r="J219" i="6"/>
  <c r="P219" i="6" s="1"/>
  <c r="T219" i="6" s="1"/>
  <c r="BE48" i="6" s="1"/>
  <c r="AE46" i="18"/>
  <c r="AF46" i="18" s="1"/>
  <c r="BC46" i="18" s="1"/>
  <c r="AB46" i="18"/>
  <c r="AD46" i="18" s="1"/>
  <c r="AO40" i="3"/>
  <c r="AP40" i="3" s="1"/>
  <c r="BJ40" i="3" s="1"/>
  <c r="AN40" i="3"/>
  <c r="K201" i="11"/>
  <c r="M200" i="11"/>
  <c r="P200" i="11"/>
  <c r="Q200" i="11" s="1"/>
  <c r="J31" i="8"/>
  <c r="F32" i="8"/>
  <c r="C32" i="8"/>
  <c r="G32" i="8"/>
  <c r="D32" i="8"/>
  <c r="E32" i="8"/>
  <c r="I32" i="8"/>
  <c r="E64" i="18"/>
  <c r="L63" i="18"/>
  <c r="P63" i="18"/>
  <c r="L63" i="19"/>
  <c r="P63" i="19"/>
  <c r="E64" i="19"/>
  <c r="R30" i="18"/>
  <c r="T30" i="18" s="1"/>
  <c r="S30" i="18"/>
  <c r="U30" i="18" s="1"/>
  <c r="V30" i="18" s="1"/>
  <c r="C19" i="10"/>
  <c r="C31" i="19"/>
  <c r="N31" i="19" s="1"/>
  <c r="Q31" i="19" s="1"/>
  <c r="C31" i="18"/>
  <c r="N31" i="18" s="1"/>
  <c r="Q31" i="18" s="1"/>
  <c r="H58" i="8"/>
  <c r="D65" i="19"/>
  <c r="D65" i="18"/>
  <c r="S30" i="19"/>
  <c r="U30" i="19" s="1"/>
  <c r="V30" i="19" s="1"/>
  <c r="R30" i="19"/>
  <c r="T30" i="19" s="1"/>
  <c r="AB46" i="19"/>
  <c r="AD46" i="19" s="1"/>
  <c r="X47" i="18"/>
  <c r="AA47" i="18" s="1"/>
  <c r="AM35" i="10"/>
  <c r="X47" i="19"/>
  <c r="AA47" i="19" s="1"/>
  <c r="AC47" i="19" s="1"/>
  <c r="U37" i="10"/>
  <c r="AB47" i="18"/>
  <c r="AC47" i="18"/>
  <c r="AV108" i="19"/>
  <c r="AW108" i="19"/>
  <c r="AT215" i="7"/>
  <c r="AV215" i="7" s="1"/>
  <c r="W219" i="7"/>
  <c r="AQ218" i="7"/>
  <c r="L220" i="7"/>
  <c r="AD219" i="7"/>
  <c r="X220" i="7"/>
  <c r="AR219" i="7"/>
  <c r="AK220" i="7"/>
  <c r="R221" i="7"/>
  <c r="AG216" i="7"/>
  <c r="AM216" i="7" s="1"/>
  <c r="N217" i="7"/>
  <c r="AS216" i="7"/>
  <c r="AH220" i="7"/>
  <c r="O221" i="7"/>
  <c r="AL220" i="7"/>
  <c r="S221" i="7"/>
  <c r="AJ220" i="7"/>
  <c r="Q221" i="7"/>
  <c r="AI220" i="7"/>
  <c r="P221" i="7"/>
  <c r="AA219" i="7"/>
  <c r="I220" i="7"/>
  <c r="V220" i="7"/>
  <c r="AP219" i="7"/>
  <c r="J220" i="7"/>
  <c r="AB219" i="7"/>
  <c r="Z218" i="7"/>
  <c r="AF218" i="7" s="1"/>
  <c r="H219" i="7"/>
  <c r="U221" i="7"/>
  <c r="AO220" i="7"/>
  <c r="K220" i="7"/>
  <c r="AC219" i="7"/>
  <c r="T217" i="7"/>
  <c r="AN216" i="7"/>
  <c r="O115" i="3"/>
  <c r="A19" i="10"/>
  <c r="AC19" i="10" s="1"/>
  <c r="A31" i="18"/>
  <c r="H219" i="1"/>
  <c r="R219" i="1"/>
  <c r="E220" i="1"/>
  <c r="AT181" i="7"/>
  <c r="F120" i="17"/>
  <c r="D218" i="7" s="1"/>
  <c r="G119" i="17"/>
  <c r="AR109" i="19" s="1"/>
  <c r="AU109" i="19" s="1"/>
  <c r="Q186" i="7"/>
  <c r="AJ185" i="7"/>
  <c r="I185" i="7"/>
  <c r="AA184" i="7"/>
  <c r="J185" i="7"/>
  <c r="AB184" i="7"/>
  <c r="K185" i="7"/>
  <c r="AC184" i="7"/>
  <c r="S186" i="7"/>
  <c r="AL185" i="7"/>
  <c r="N183" i="7"/>
  <c r="AG182" i="7"/>
  <c r="AM182" i="7" s="1"/>
  <c r="AS182" i="7"/>
  <c r="L185" i="7"/>
  <c r="AD184" i="7"/>
  <c r="P187" i="7"/>
  <c r="AI186" i="7"/>
  <c r="V185" i="7"/>
  <c r="AP184" i="7"/>
  <c r="O186" i="7"/>
  <c r="AH185" i="7"/>
  <c r="U185" i="7"/>
  <c r="AO184" i="7"/>
  <c r="R186" i="7"/>
  <c r="AK185" i="7"/>
  <c r="AQ184" i="7"/>
  <c r="AR185" i="7"/>
  <c r="F119" i="16"/>
  <c r="D182" i="7"/>
  <c r="AN182" i="7"/>
  <c r="AP34" i="10"/>
  <c r="S36" i="10"/>
  <c r="L78" i="4"/>
  <c r="T36" i="10" s="1"/>
  <c r="J79" i="4"/>
  <c r="AN35" i="10"/>
  <c r="X47" i="3"/>
  <c r="AK35" i="10"/>
  <c r="AO35" i="10"/>
  <c r="K44" i="10"/>
  <c r="S51" i="9"/>
  <c r="P51" i="9"/>
  <c r="Q51" i="9"/>
  <c r="G100" i="4"/>
  <c r="D108" i="7"/>
  <c r="F100" i="4"/>
  <c r="C108" i="7"/>
  <c r="AA55" i="10"/>
  <c r="X40" i="10"/>
  <c r="AI18" i="10"/>
  <c r="AE19" i="10"/>
  <c r="AG19" i="10"/>
  <c r="AH19" i="10"/>
  <c r="AD19" i="10"/>
  <c r="AF19" i="10"/>
  <c r="W56" i="10"/>
  <c r="H173" i="1"/>
  <c r="C174" i="1"/>
  <c r="R173" i="1"/>
  <c r="AU69" i="3"/>
  <c r="AV69" i="3" s="1"/>
  <c r="O69" i="3"/>
  <c r="V37" i="10"/>
  <c r="Y36" i="10"/>
  <c r="D65" i="3"/>
  <c r="L54" i="10"/>
  <c r="P53" i="10"/>
  <c r="P88" i="4"/>
  <c r="G45" i="10"/>
  <c r="B59" i="8" s="1"/>
  <c r="P56" i="3"/>
  <c r="L56" i="3"/>
  <c r="K62" i="4"/>
  <c r="B20" i="10"/>
  <c r="O88" i="4"/>
  <c r="F45" i="10"/>
  <c r="R88" i="4"/>
  <c r="I45" i="10"/>
  <c r="Q88" i="4"/>
  <c r="H45" i="10"/>
  <c r="M88" i="4"/>
  <c r="D45" i="10"/>
  <c r="T87" i="4"/>
  <c r="N88" i="4"/>
  <c r="E45" i="10"/>
  <c r="S88" i="4"/>
  <c r="J45" i="10"/>
  <c r="AG32" i="8"/>
  <c r="AH32" i="8" s="1"/>
  <c r="Q30" i="3"/>
  <c r="S30" i="3" s="1"/>
  <c r="U30" i="3" s="1"/>
  <c r="V30" i="3" s="1"/>
  <c r="AA30" i="3"/>
  <c r="Y32" i="8"/>
  <c r="Z32" i="8" s="1"/>
  <c r="Q32" i="8"/>
  <c r="R32" i="8" s="1"/>
  <c r="L33" i="8"/>
  <c r="P33" i="8"/>
  <c r="U33" i="8"/>
  <c r="AD33" i="8"/>
  <c r="M33" i="8"/>
  <c r="V33" i="8"/>
  <c r="AA33" i="8"/>
  <c r="AE33" i="8"/>
  <c r="N33" i="8"/>
  <c r="S33" i="8"/>
  <c r="W33" i="8"/>
  <c r="AB33" i="8"/>
  <c r="AF33" i="8"/>
  <c r="X33" i="8"/>
  <c r="K33" i="8"/>
  <c r="AC33" i="8"/>
  <c r="O33" i="8"/>
  <c r="T33" i="8"/>
  <c r="C31" i="3"/>
  <c r="N31" i="3" s="1"/>
  <c r="J25" i="9"/>
  <c r="H25" i="9"/>
  <c r="G25" i="9"/>
  <c r="A70" i="7"/>
  <c r="A62" i="4"/>
  <c r="A32" i="19" s="1"/>
  <c r="A26" i="9"/>
  <c r="A33" i="8"/>
  <c r="A31" i="3"/>
  <c r="AM47" i="3" l="1"/>
  <c r="AL47" i="3"/>
  <c r="AL47" i="19"/>
  <c r="AN47" i="19" s="1"/>
  <c r="AM47" i="19"/>
  <c r="AO47" i="19" s="1"/>
  <c r="AP47" i="19" s="1"/>
  <c r="BJ47" i="19" s="1"/>
  <c r="AM47" i="18"/>
  <c r="AO47" i="18" s="1"/>
  <c r="AP47" i="18" s="1"/>
  <c r="BJ47" i="18" s="1"/>
  <c r="AL47" i="18"/>
  <c r="AN47" i="18" s="1"/>
  <c r="AL36" i="10"/>
  <c r="AH48" i="18"/>
  <c r="AK48" i="18" s="1"/>
  <c r="AH48" i="19"/>
  <c r="AK48" i="19" s="1"/>
  <c r="AH48" i="3"/>
  <c r="AK48" i="3" s="1"/>
  <c r="AR34" i="10"/>
  <c r="AS34" i="10"/>
  <c r="AE47" i="18"/>
  <c r="AF47" i="18" s="1"/>
  <c r="BC47" i="18" s="1"/>
  <c r="BB30" i="3"/>
  <c r="BI30" i="3"/>
  <c r="BB30" i="19"/>
  <c r="BE30" i="19" s="1"/>
  <c r="BG30" i="19" s="1"/>
  <c r="BI30" i="19"/>
  <c r="BL30" i="19" s="1"/>
  <c r="BN30" i="19" s="1"/>
  <c r="BI30" i="18"/>
  <c r="BL30" i="18" s="1"/>
  <c r="BN30" i="18" s="1"/>
  <c r="BB30" i="18"/>
  <c r="BE30" i="18" s="1"/>
  <c r="BG30" i="18" s="1"/>
  <c r="J186" i="6"/>
  <c r="P186" i="6" s="1"/>
  <c r="T186" i="6" s="1"/>
  <c r="AY49" i="6" s="1"/>
  <c r="J220" i="6"/>
  <c r="P220" i="6" s="1"/>
  <c r="T220" i="6" s="1"/>
  <c r="BE49" i="6" s="1"/>
  <c r="AE47" i="19"/>
  <c r="AF47" i="19" s="1"/>
  <c r="BC47" i="19" s="1"/>
  <c r="AD47" i="18"/>
  <c r="AO41" i="3"/>
  <c r="AP41" i="3" s="1"/>
  <c r="BJ41" i="3" s="1"/>
  <c r="AN41" i="3"/>
  <c r="M201" i="11"/>
  <c r="P201" i="11"/>
  <c r="Q201" i="11" s="1"/>
  <c r="K202" i="11"/>
  <c r="H59" i="8"/>
  <c r="D66" i="19"/>
  <c r="D66" i="18"/>
  <c r="R31" i="19"/>
  <c r="T31" i="19" s="1"/>
  <c r="S31" i="19"/>
  <c r="U31" i="19" s="1"/>
  <c r="V31" i="19" s="1"/>
  <c r="E65" i="19"/>
  <c r="P64" i="19"/>
  <c r="L64" i="19"/>
  <c r="C20" i="10"/>
  <c r="AF20" i="10" s="1"/>
  <c r="C32" i="19"/>
  <c r="N32" i="19" s="1"/>
  <c r="Q32" i="19" s="1"/>
  <c r="C32" i="18"/>
  <c r="N32" i="18" s="1"/>
  <c r="Q32" i="18" s="1"/>
  <c r="C33" i="8"/>
  <c r="G33" i="8"/>
  <c r="D33" i="8"/>
  <c r="E33" i="8"/>
  <c r="I33" i="8"/>
  <c r="F33" i="8"/>
  <c r="E65" i="18"/>
  <c r="L64" i="18"/>
  <c r="P64" i="18"/>
  <c r="S31" i="18"/>
  <c r="U31" i="18" s="1"/>
  <c r="V31" i="18" s="1"/>
  <c r="R31" i="18"/>
  <c r="T31" i="18" s="1"/>
  <c r="J32" i="8"/>
  <c r="AB47" i="19"/>
  <c r="AD47" i="19" s="1"/>
  <c r="X48" i="19"/>
  <c r="AA48" i="19" s="1"/>
  <c r="AC48" i="19" s="1"/>
  <c r="X48" i="18"/>
  <c r="AA48" i="18" s="1"/>
  <c r="AC48" i="18" s="1"/>
  <c r="U38" i="10"/>
  <c r="AW109" i="19"/>
  <c r="AV109" i="19"/>
  <c r="AT216" i="7"/>
  <c r="AV216" i="7" s="1"/>
  <c r="AG217" i="7"/>
  <c r="AM217" i="7" s="1"/>
  <c r="N218" i="7"/>
  <c r="AS217" i="7"/>
  <c r="T218" i="7"/>
  <c r="AN217" i="7"/>
  <c r="AI221" i="7"/>
  <c r="P222" i="7"/>
  <c r="K221" i="7"/>
  <c r="AC220" i="7"/>
  <c r="U222" i="7"/>
  <c r="AO221" i="7"/>
  <c r="J221" i="7"/>
  <c r="AB220" i="7"/>
  <c r="I221" i="7"/>
  <c r="AA220" i="7"/>
  <c r="Q222" i="7"/>
  <c r="AJ221" i="7"/>
  <c r="O222" i="7"/>
  <c r="AH221" i="7"/>
  <c r="X221" i="7"/>
  <c r="AR220" i="7"/>
  <c r="W220" i="7"/>
  <c r="AQ219" i="7"/>
  <c r="V221" i="7"/>
  <c r="AP220" i="7"/>
  <c r="S222" i="7"/>
  <c r="AL221" i="7"/>
  <c r="AD220" i="7"/>
  <c r="L221" i="7"/>
  <c r="Z219" i="7"/>
  <c r="AF219" i="7" s="1"/>
  <c r="H220" i="7"/>
  <c r="AK221" i="7"/>
  <c r="R222" i="7"/>
  <c r="A20" i="10"/>
  <c r="AC20" i="10" s="1"/>
  <c r="A32" i="18"/>
  <c r="O116" i="3"/>
  <c r="R220" i="1"/>
  <c r="H220" i="1"/>
  <c r="G120" i="17"/>
  <c r="AR110" i="19" s="1"/>
  <c r="AU110" i="19" s="1"/>
  <c r="F121" i="17"/>
  <c r="D219" i="7" s="1"/>
  <c r="AT182" i="7"/>
  <c r="R187" i="7"/>
  <c r="AK186" i="7"/>
  <c r="V186" i="7"/>
  <c r="AP185" i="7"/>
  <c r="K186" i="7"/>
  <c r="AC185" i="7"/>
  <c r="U186" i="7"/>
  <c r="AO185" i="7"/>
  <c r="O187" i="7"/>
  <c r="AH186" i="7"/>
  <c r="P188" i="7"/>
  <c r="AI187" i="7"/>
  <c r="S187" i="7"/>
  <c r="AL186" i="7"/>
  <c r="L186" i="7"/>
  <c r="AD185" i="7"/>
  <c r="I186" i="7"/>
  <c r="AA185" i="7"/>
  <c r="AG183" i="7"/>
  <c r="AM183" i="7" s="1"/>
  <c r="N184" i="7"/>
  <c r="AS183" i="7"/>
  <c r="J186" i="7"/>
  <c r="AB185" i="7"/>
  <c r="Q187" i="7"/>
  <c r="AJ186" i="7"/>
  <c r="AQ185" i="7"/>
  <c r="F120" i="16"/>
  <c r="D183" i="7"/>
  <c r="AN183" i="7"/>
  <c r="AT183" i="7" s="1"/>
  <c r="AR186" i="7"/>
  <c r="AM36" i="10"/>
  <c r="AP35" i="10"/>
  <c r="S37" i="10"/>
  <c r="L79" i="4"/>
  <c r="T37" i="10" s="1"/>
  <c r="J80" i="4"/>
  <c r="AN36" i="10"/>
  <c r="X48" i="3"/>
  <c r="AK36" i="10"/>
  <c r="AO36" i="10"/>
  <c r="K45" i="10"/>
  <c r="Q52" i="9"/>
  <c r="S52" i="9"/>
  <c r="P52" i="9"/>
  <c r="F101" i="4"/>
  <c r="C109" i="7"/>
  <c r="G101" i="4"/>
  <c r="D109" i="7"/>
  <c r="AG20" i="10"/>
  <c r="AH20" i="10"/>
  <c r="AD20" i="10"/>
  <c r="W57" i="10"/>
  <c r="AI19" i="10"/>
  <c r="X41" i="10"/>
  <c r="AA56" i="10"/>
  <c r="AU70" i="3"/>
  <c r="AV70" i="3" s="1"/>
  <c r="O70" i="3"/>
  <c r="R174" i="1"/>
  <c r="H174" i="1"/>
  <c r="C175" i="1"/>
  <c r="D66" i="3"/>
  <c r="L55" i="10"/>
  <c r="P54" i="10"/>
  <c r="V38" i="10"/>
  <c r="Y37" i="10"/>
  <c r="K63" i="4"/>
  <c r="B21" i="10"/>
  <c r="S89" i="4"/>
  <c r="J46" i="10"/>
  <c r="N89" i="4"/>
  <c r="E46" i="10"/>
  <c r="M89" i="4"/>
  <c r="D46" i="10"/>
  <c r="T88" i="4"/>
  <c r="L57" i="3"/>
  <c r="P57" i="3"/>
  <c r="O89" i="4"/>
  <c r="F46" i="10"/>
  <c r="P89" i="4"/>
  <c r="G46" i="10"/>
  <c r="B60" i="8" s="1"/>
  <c r="Q89" i="4"/>
  <c r="H46" i="10"/>
  <c r="R89" i="4"/>
  <c r="I46" i="10"/>
  <c r="R30" i="3"/>
  <c r="T30" i="3" s="1"/>
  <c r="Q33" i="8"/>
  <c r="R33" i="8" s="1"/>
  <c r="AB30" i="3"/>
  <c r="AD30" i="3" s="1"/>
  <c r="AC30" i="3"/>
  <c r="AE30" i="3" s="1"/>
  <c r="AF30" i="3" s="1"/>
  <c r="BC30" i="3" s="1"/>
  <c r="Q31" i="3"/>
  <c r="S31" i="3" s="1"/>
  <c r="AA31" i="3"/>
  <c r="AG33" i="8"/>
  <c r="AH33" i="8" s="1"/>
  <c r="Y33" i="8"/>
  <c r="Z33" i="8" s="1"/>
  <c r="AG34" i="8"/>
  <c r="H26" i="9"/>
  <c r="G26" i="9"/>
  <c r="J26" i="9"/>
  <c r="N34" i="8"/>
  <c r="O34" i="8"/>
  <c r="V34" i="8"/>
  <c r="AC34" i="8"/>
  <c r="K34" i="8"/>
  <c r="P34" i="8"/>
  <c r="W34" i="8"/>
  <c r="AD34" i="8"/>
  <c r="L34" i="8"/>
  <c r="S34" i="8"/>
  <c r="AF34" i="8"/>
  <c r="C32" i="3"/>
  <c r="N32" i="3" s="1"/>
  <c r="M34" i="8"/>
  <c r="AB34" i="8"/>
  <c r="U34" i="8"/>
  <c r="X34" i="8"/>
  <c r="T34" i="8"/>
  <c r="AE34" i="8"/>
  <c r="AA34" i="8"/>
  <c r="A71" i="7"/>
  <c r="A27" i="9"/>
  <c r="A63" i="4"/>
  <c r="A33" i="19" s="1"/>
  <c r="A32" i="3"/>
  <c r="A34" i="8"/>
  <c r="AR35" i="10" l="1"/>
  <c r="AS35" i="10"/>
  <c r="AM48" i="3"/>
  <c r="AL48" i="3"/>
  <c r="AL48" i="19"/>
  <c r="AN48" i="19" s="1"/>
  <c r="AM48" i="19"/>
  <c r="AO48" i="19" s="1"/>
  <c r="AP48" i="19" s="1"/>
  <c r="BJ48" i="19" s="1"/>
  <c r="AL48" i="18"/>
  <c r="AN48" i="18" s="1"/>
  <c r="AM48" i="18"/>
  <c r="AO48" i="18" s="1"/>
  <c r="AP48" i="18" s="1"/>
  <c r="BJ48" i="18" s="1"/>
  <c r="AE48" i="18"/>
  <c r="AF48" i="18" s="1"/>
  <c r="BC48" i="18" s="1"/>
  <c r="AM37" i="10"/>
  <c r="AH49" i="19"/>
  <c r="AK49" i="19" s="1"/>
  <c r="AH49" i="18"/>
  <c r="AK49" i="18" s="1"/>
  <c r="AH49" i="3"/>
  <c r="AK49" i="3" s="1"/>
  <c r="BI31" i="18"/>
  <c r="BL31" i="18" s="1"/>
  <c r="BN31" i="18" s="1"/>
  <c r="BB31" i="18"/>
  <c r="BE31" i="18" s="1"/>
  <c r="BG31" i="18" s="1"/>
  <c r="BB31" i="19"/>
  <c r="BE31" i="19" s="1"/>
  <c r="BG31" i="19" s="1"/>
  <c r="BI31" i="19"/>
  <c r="BL31" i="19" s="1"/>
  <c r="BN31" i="19" s="1"/>
  <c r="J187" i="6"/>
  <c r="P187" i="6" s="1"/>
  <c r="T187" i="6" s="1"/>
  <c r="AY50" i="6" s="1"/>
  <c r="J221" i="6"/>
  <c r="P221" i="6" s="1"/>
  <c r="T221" i="6" s="1"/>
  <c r="BE50" i="6" s="1"/>
  <c r="AO42" i="3"/>
  <c r="AP42" i="3" s="1"/>
  <c r="BJ42" i="3" s="1"/>
  <c r="AN42" i="3"/>
  <c r="AE20" i="10"/>
  <c r="K203" i="11"/>
  <c r="M202" i="11"/>
  <c r="P202" i="11"/>
  <c r="Q202" i="11" s="1"/>
  <c r="H60" i="8"/>
  <c r="AB48" i="19"/>
  <c r="AD48" i="19" s="1"/>
  <c r="D67" i="19"/>
  <c r="D67" i="18"/>
  <c r="AE48" i="19"/>
  <c r="AF48" i="19" s="1"/>
  <c r="BC48" i="19" s="1"/>
  <c r="J33" i="8"/>
  <c r="R32" i="18"/>
  <c r="T32" i="18" s="1"/>
  <c r="S32" i="18"/>
  <c r="U32" i="18" s="1"/>
  <c r="V32" i="18" s="1"/>
  <c r="L65" i="18"/>
  <c r="E66" i="18"/>
  <c r="P65" i="18"/>
  <c r="S32" i="19"/>
  <c r="U32" i="19" s="1"/>
  <c r="V32" i="19" s="1"/>
  <c r="R32" i="19"/>
  <c r="T32" i="19" s="1"/>
  <c r="X49" i="19"/>
  <c r="AA49" i="19" s="1"/>
  <c r="AC49" i="19" s="1"/>
  <c r="D34" i="8"/>
  <c r="E34" i="8"/>
  <c r="I34" i="8"/>
  <c r="F34" i="8"/>
  <c r="C34" i="8"/>
  <c r="G34" i="8"/>
  <c r="L65" i="19"/>
  <c r="E66" i="19"/>
  <c r="P65" i="19"/>
  <c r="C21" i="10"/>
  <c r="AE21" i="10" s="1"/>
  <c r="C33" i="19"/>
  <c r="N33" i="19" s="1"/>
  <c r="Q33" i="19" s="1"/>
  <c r="C33" i="18"/>
  <c r="N33" i="18" s="1"/>
  <c r="Q33" i="18" s="1"/>
  <c r="AB48" i="18"/>
  <c r="AD48" i="18" s="1"/>
  <c r="AP36" i="10"/>
  <c r="X49" i="18"/>
  <c r="AA49" i="18" s="1"/>
  <c r="AC49" i="18" s="1"/>
  <c r="U39" i="10"/>
  <c r="AB49" i="19"/>
  <c r="AV110" i="19"/>
  <c r="AW110" i="19"/>
  <c r="AT217" i="7"/>
  <c r="AV217" i="7" s="1"/>
  <c r="L222" i="7"/>
  <c r="AD221" i="7"/>
  <c r="V222" i="7"/>
  <c r="AP221" i="7"/>
  <c r="X222" i="7"/>
  <c r="AR221" i="7"/>
  <c r="AL222" i="7"/>
  <c r="S223" i="7"/>
  <c r="W221" i="7"/>
  <c r="AQ220" i="7"/>
  <c r="P223" i="7"/>
  <c r="AI222" i="7"/>
  <c r="AK222" i="7"/>
  <c r="R223" i="7"/>
  <c r="AH222" i="7"/>
  <c r="O223" i="7"/>
  <c r="I222" i="7"/>
  <c r="AA221" i="7"/>
  <c r="U223" i="7"/>
  <c r="AO222" i="7"/>
  <c r="N219" i="7"/>
  <c r="AG218" i="7"/>
  <c r="AM218" i="7" s="1"/>
  <c r="AS218" i="7"/>
  <c r="Z220" i="7"/>
  <c r="AF220" i="7" s="1"/>
  <c r="H221" i="7"/>
  <c r="AJ222" i="7"/>
  <c r="Q223" i="7"/>
  <c r="AB221" i="7"/>
  <c r="J222" i="7"/>
  <c r="K222" i="7"/>
  <c r="AC221" i="7"/>
  <c r="T219" i="7"/>
  <c r="AN218" i="7"/>
  <c r="A21" i="10"/>
  <c r="AC21" i="10" s="1"/>
  <c r="A33" i="18"/>
  <c r="O117" i="3"/>
  <c r="F122" i="17"/>
  <c r="D220" i="7" s="1"/>
  <c r="G121" i="17"/>
  <c r="AR111" i="19" s="1"/>
  <c r="AU111" i="19" s="1"/>
  <c r="U187" i="7"/>
  <c r="AO186" i="7"/>
  <c r="V187" i="7"/>
  <c r="AP186" i="7"/>
  <c r="J187" i="7"/>
  <c r="AB186" i="7"/>
  <c r="L187" i="7"/>
  <c r="AD186" i="7"/>
  <c r="S188" i="7"/>
  <c r="AL187" i="7"/>
  <c r="O188" i="7"/>
  <c r="AH187" i="7"/>
  <c r="K187" i="7"/>
  <c r="AC186" i="7"/>
  <c r="Q188" i="7"/>
  <c r="AJ187" i="7"/>
  <c r="N185" i="7"/>
  <c r="AG184" i="7"/>
  <c r="AM184" i="7" s="1"/>
  <c r="AS184" i="7"/>
  <c r="P189" i="7"/>
  <c r="AI188" i="7"/>
  <c r="I187" i="7"/>
  <c r="AA186" i="7"/>
  <c r="R188" i="7"/>
  <c r="AK187" i="7"/>
  <c r="AR187" i="7"/>
  <c r="F121" i="16"/>
  <c r="D184" i="7"/>
  <c r="AN184" i="7"/>
  <c r="AQ186" i="7"/>
  <c r="AL37" i="10"/>
  <c r="S38" i="10"/>
  <c r="J81" i="4"/>
  <c r="L80" i="4"/>
  <c r="T38" i="10" s="1"/>
  <c r="AN37" i="10"/>
  <c r="X49" i="3"/>
  <c r="AK37" i="10"/>
  <c r="AO37" i="10"/>
  <c r="K46" i="10"/>
  <c r="P53" i="9"/>
  <c r="Q53" i="9"/>
  <c r="S53" i="9"/>
  <c r="G102" i="4"/>
  <c r="D110" i="7"/>
  <c r="F102" i="4"/>
  <c r="C110" i="7"/>
  <c r="W58" i="10"/>
  <c r="X42" i="10"/>
  <c r="AI20" i="10"/>
  <c r="AH21" i="10"/>
  <c r="AD21" i="10"/>
  <c r="AA57" i="10"/>
  <c r="O71" i="3"/>
  <c r="AU71" i="3"/>
  <c r="AV71" i="3" s="1"/>
  <c r="H175" i="1"/>
  <c r="C176" i="1"/>
  <c r="R175" i="1"/>
  <c r="V39" i="10"/>
  <c r="Y38" i="10"/>
  <c r="D67" i="3"/>
  <c r="L56" i="10"/>
  <c r="P55" i="10"/>
  <c r="U31" i="3"/>
  <c r="V31" i="3" s="1"/>
  <c r="R90" i="4"/>
  <c r="I47" i="10"/>
  <c r="L58" i="3"/>
  <c r="P58" i="3"/>
  <c r="S90" i="4"/>
  <c r="J47" i="10"/>
  <c r="N90" i="4"/>
  <c r="E47" i="10"/>
  <c r="O90" i="4"/>
  <c r="F47" i="10"/>
  <c r="M90" i="4"/>
  <c r="D47" i="10"/>
  <c r="T89" i="4"/>
  <c r="K64" i="4"/>
  <c r="B22" i="10"/>
  <c r="Q90" i="4"/>
  <c r="H47" i="10"/>
  <c r="P90" i="4"/>
  <c r="G47" i="10"/>
  <c r="B61" i="8" s="1"/>
  <c r="AB31" i="3"/>
  <c r="AD31" i="3" s="1"/>
  <c r="AC31" i="3"/>
  <c r="AE31" i="3" s="1"/>
  <c r="AF31" i="3" s="1"/>
  <c r="BC31" i="3" s="1"/>
  <c r="AW30" i="3"/>
  <c r="AX30" i="3"/>
  <c r="Q32" i="3"/>
  <c r="S32" i="3" s="1"/>
  <c r="AA32" i="3"/>
  <c r="R31" i="3"/>
  <c r="T31" i="3" s="1"/>
  <c r="Y34" i="8"/>
  <c r="Z34" i="8" s="1"/>
  <c r="Y35" i="8"/>
  <c r="Q34" i="8"/>
  <c r="R34" i="8" s="1"/>
  <c r="AH34" i="8"/>
  <c r="J27" i="9"/>
  <c r="G27" i="9"/>
  <c r="H27" i="9"/>
  <c r="N35" i="8"/>
  <c r="U35" i="8"/>
  <c r="AG35" i="8"/>
  <c r="K35" i="8"/>
  <c r="AB35" i="8"/>
  <c r="C33" i="3"/>
  <c r="N33" i="3" s="1"/>
  <c r="AF35" i="8"/>
  <c r="P35" i="8"/>
  <c r="AA35" i="8"/>
  <c r="V35" i="8"/>
  <c r="S35" i="8"/>
  <c r="AE35" i="8"/>
  <c r="O35" i="8"/>
  <c r="T35" i="8"/>
  <c r="W35" i="8"/>
  <c r="L35" i="8"/>
  <c r="AD35" i="8"/>
  <c r="X35" i="8"/>
  <c r="AC35" i="8"/>
  <c r="M35" i="8"/>
  <c r="A72" i="7"/>
  <c r="A64" i="4"/>
  <c r="A34" i="19" s="1"/>
  <c r="A28" i="9"/>
  <c r="A35" i="8"/>
  <c r="A33" i="3"/>
  <c r="AM49" i="18" l="1"/>
  <c r="AO49" i="18" s="1"/>
  <c r="AP49" i="18" s="1"/>
  <c r="BJ49" i="18" s="1"/>
  <c r="AL49" i="18"/>
  <c r="AN49" i="18" s="1"/>
  <c r="AM49" i="19"/>
  <c r="AO49" i="19" s="1"/>
  <c r="AP49" i="19" s="1"/>
  <c r="BJ49" i="19" s="1"/>
  <c r="AL49" i="19"/>
  <c r="AN49" i="19" s="1"/>
  <c r="AR36" i="10"/>
  <c r="AS36" i="10"/>
  <c r="AL38" i="10"/>
  <c r="AH50" i="19"/>
  <c r="AK50" i="19" s="1"/>
  <c r="AH50" i="18"/>
  <c r="AK50" i="18" s="1"/>
  <c r="AH50" i="3"/>
  <c r="AK50" i="3" s="1"/>
  <c r="AM49" i="3"/>
  <c r="AL49" i="3"/>
  <c r="BB31" i="3"/>
  <c r="BI31" i="3"/>
  <c r="BI32" i="18"/>
  <c r="BL32" i="18" s="1"/>
  <c r="BN32" i="18" s="1"/>
  <c r="BB32" i="18"/>
  <c r="BE32" i="18" s="1"/>
  <c r="BG32" i="18" s="1"/>
  <c r="BB32" i="19"/>
  <c r="BE32" i="19" s="1"/>
  <c r="BG32" i="19" s="1"/>
  <c r="BI32" i="19"/>
  <c r="BL32" i="19" s="1"/>
  <c r="BN32" i="19" s="1"/>
  <c r="J188" i="6"/>
  <c r="P188" i="6" s="1"/>
  <c r="T188" i="6" s="1"/>
  <c r="AY51" i="6" s="1"/>
  <c r="J222" i="6"/>
  <c r="P222" i="6" s="1"/>
  <c r="T222" i="6" s="1"/>
  <c r="BE51" i="6" s="1"/>
  <c r="AO43" i="3"/>
  <c r="AP43" i="3" s="1"/>
  <c r="BJ43" i="3" s="1"/>
  <c r="AN43" i="3"/>
  <c r="AF21" i="10"/>
  <c r="AG21" i="10"/>
  <c r="M203" i="11"/>
  <c r="P203" i="11"/>
  <c r="Q203" i="11" s="1"/>
  <c r="K204" i="11"/>
  <c r="AE49" i="18"/>
  <c r="AF49" i="18" s="1"/>
  <c r="BC49" i="18" s="1"/>
  <c r="AD49" i="19"/>
  <c r="AE49" i="19"/>
  <c r="AF49" i="19" s="1"/>
  <c r="BC49" i="19" s="1"/>
  <c r="AT184" i="7"/>
  <c r="C22" i="10"/>
  <c r="C34" i="19"/>
  <c r="N34" i="19" s="1"/>
  <c r="Q34" i="19" s="1"/>
  <c r="C34" i="18"/>
  <c r="N34" i="18" s="1"/>
  <c r="Q34" i="18" s="1"/>
  <c r="S33" i="18"/>
  <c r="U33" i="18" s="1"/>
  <c r="V33" i="18" s="1"/>
  <c r="R33" i="18"/>
  <c r="T33" i="18" s="1"/>
  <c r="P66" i="19"/>
  <c r="L66" i="19"/>
  <c r="E67" i="19"/>
  <c r="D68" i="19"/>
  <c r="D68" i="18"/>
  <c r="R33" i="19"/>
  <c r="T33" i="19" s="1"/>
  <c r="S33" i="19"/>
  <c r="U33" i="19" s="1"/>
  <c r="V33" i="19" s="1"/>
  <c r="E67" i="18"/>
  <c r="L66" i="18"/>
  <c r="P66" i="18"/>
  <c r="H61" i="8"/>
  <c r="E35" i="8"/>
  <c r="I35" i="8"/>
  <c r="F35" i="8"/>
  <c r="C35" i="8"/>
  <c r="G35" i="8"/>
  <c r="D35" i="8"/>
  <c r="J34" i="8"/>
  <c r="AB49" i="18"/>
  <c r="AD49" i="18" s="1"/>
  <c r="X50" i="19"/>
  <c r="AA50" i="19" s="1"/>
  <c r="AC50" i="19" s="1"/>
  <c r="X50" i="18"/>
  <c r="AA50" i="18" s="1"/>
  <c r="AC50" i="18" s="1"/>
  <c r="U40" i="10"/>
  <c r="AT218" i="7"/>
  <c r="AV218" i="7" s="1"/>
  <c r="AW111" i="19"/>
  <c r="AV111" i="19"/>
  <c r="T220" i="7"/>
  <c r="AN219" i="7"/>
  <c r="O224" i="7"/>
  <c r="AH223" i="7"/>
  <c r="AL223" i="7"/>
  <c r="S224" i="7"/>
  <c r="X223" i="7"/>
  <c r="AR222" i="7"/>
  <c r="Q224" i="7"/>
  <c r="AJ223" i="7"/>
  <c r="U224" i="7"/>
  <c r="AO223" i="7"/>
  <c r="P224" i="7"/>
  <c r="AI223" i="7"/>
  <c r="K223" i="7"/>
  <c r="AC222" i="7"/>
  <c r="R224" i="7"/>
  <c r="AK223" i="7"/>
  <c r="V223" i="7"/>
  <c r="AP222" i="7"/>
  <c r="L223" i="7"/>
  <c r="AD222" i="7"/>
  <c r="AB222" i="7"/>
  <c r="J223" i="7"/>
  <c r="H222" i="7"/>
  <c r="Z221" i="7"/>
  <c r="AF221" i="7" s="1"/>
  <c r="N220" i="7"/>
  <c r="AG219" i="7"/>
  <c r="AM219" i="7" s="1"/>
  <c r="AS219" i="7"/>
  <c r="I223" i="7"/>
  <c r="AA222" i="7"/>
  <c r="W222" i="7"/>
  <c r="AQ221" i="7"/>
  <c r="A22" i="10"/>
  <c r="AC22" i="10" s="1"/>
  <c r="A34" i="18"/>
  <c r="F123" i="17"/>
  <c r="D221" i="7" s="1"/>
  <c r="G122" i="17"/>
  <c r="AR112" i="19" s="1"/>
  <c r="AU112" i="19" s="1"/>
  <c r="S189" i="7"/>
  <c r="AL188" i="7"/>
  <c r="J188" i="7"/>
  <c r="AB187" i="7"/>
  <c r="I188" i="7"/>
  <c r="AA187" i="7"/>
  <c r="Q189" i="7"/>
  <c r="AJ188" i="7"/>
  <c r="O189" i="7"/>
  <c r="AH188" i="7"/>
  <c r="L188" i="7"/>
  <c r="AD187" i="7"/>
  <c r="V188" i="7"/>
  <c r="AP187" i="7"/>
  <c r="R189" i="7"/>
  <c r="AK188" i="7"/>
  <c r="N186" i="7"/>
  <c r="AG185" i="7"/>
  <c r="AM185" i="7" s="1"/>
  <c r="AS185" i="7"/>
  <c r="K188" i="7"/>
  <c r="AC187" i="7"/>
  <c r="P190" i="7"/>
  <c r="AI189" i="7"/>
  <c r="U188" i="7"/>
  <c r="AO187" i="7"/>
  <c r="AN185" i="7"/>
  <c r="F122" i="16"/>
  <c r="D185" i="7"/>
  <c r="AQ187" i="7"/>
  <c r="AR188" i="7"/>
  <c r="AP37" i="10"/>
  <c r="AM38" i="10"/>
  <c r="AN38" i="10"/>
  <c r="AK38" i="10"/>
  <c r="X50" i="3"/>
  <c r="AO38" i="10"/>
  <c r="S39" i="10"/>
  <c r="L81" i="4"/>
  <c r="T39" i="10" s="1"/>
  <c r="J82" i="4"/>
  <c r="AY30" i="3"/>
  <c r="AZ30" i="3" s="1"/>
  <c r="BK30" i="3" s="1"/>
  <c r="BL30" i="3" s="1"/>
  <c r="BN30" i="3" s="1"/>
  <c r="F103" i="4"/>
  <c r="C111" i="7"/>
  <c r="K47" i="10"/>
  <c r="Q54" i="9"/>
  <c r="P54" i="9"/>
  <c r="S54" i="9"/>
  <c r="G103" i="4"/>
  <c r="D111" i="7"/>
  <c r="AD22" i="10"/>
  <c r="AH22" i="10"/>
  <c r="AE22" i="10"/>
  <c r="AF22" i="10"/>
  <c r="AG22" i="10"/>
  <c r="AI21" i="10"/>
  <c r="AA58" i="10"/>
  <c r="X43" i="10"/>
  <c r="W59" i="10"/>
  <c r="R176" i="1"/>
  <c r="H176" i="1"/>
  <c r="C177" i="1"/>
  <c r="O72" i="3"/>
  <c r="AU72" i="3"/>
  <c r="AV72" i="3" s="1"/>
  <c r="D68" i="3"/>
  <c r="L57" i="10"/>
  <c r="P56" i="10"/>
  <c r="V40" i="10"/>
  <c r="Y39" i="10"/>
  <c r="Q91" i="4"/>
  <c r="H48" i="10"/>
  <c r="H62" i="8" s="1"/>
  <c r="R91" i="4"/>
  <c r="I48" i="10"/>
  <c r="K65" i="4"/>
  <c r="B23" i="10"/>
  <c r="P91" i="4"/>
  <c r="G48" i="10"/>
  <c r="B62" i="8" s="1"/>
  <c r="P59" i="3"/>
  <c r="L59" i="3"/>
  <c r="O91" i="4"/>
  <c r="F48" i="10"/>
  <c r="N91" i="4"/>
  <c r="E48" i="10"/>
  <c r="M91" i="4"/>
  <c r="D48" i="10"/>
  <c r="T90" i="4"/>
  <c r="S91" i="4"/>
  <c r="J48" i="10"/>
  <c r="R32" i="3"/>
  <c r="T32" i="3" s="1"/>
  <c r="AC32" i="3"/>
  <c r="AE32" i="3" s="1"/>
  <c r="AF32" i="3" s="1"/>
  <c r="BC32" i="3" s="1"/>
  <c r="AB32" i="3"/>
  <c r="AD32" i="3" s="1"/>
  <c r="Q35" i="8"/>
  <c r="R35" i="8" s="1"/>
  <c r="AX31" i="3"/>
  <c r="AW31" i="3"/>
  <c r="U32" i="3"/>
  <c r="V32" i="3" s="1"/>
  <c r="Q33" i="3"/>
  <c r="R33" i="3" s="1"/>
  <c r="AA33" i="3"/>
  <c r="AG36" i="8"/>
  <c r="M36" i="8"/>
  <c r="N36" i="8"/>
  <c r="Q36" i="8"/>
  <c r="T36" i="8"/>
  <c r="AA36" i="8"/>
  <c r="C34" i="3"/>
  <c r="N34" i="3" s="1"/>
  <c r="AE36" i="8"/>
  <c r="U36" i="8"/>
  <c r="Y36" i="8"/>
  <c r="AB36" i="8"/>
  <c r="AF36" i="8"/>
  <c r="X36" i="8"/>
  <c r="K36" i="8"/>
  <c r="W36" i="8"/>
  <c r="O36" i="8"/>
  <c r="AD36" i="8"/>
  <c r="L36" i="8"/>
  <c r="V36" i="8"/>
  <c r="P36" i="8"/>
  <c r="AC36" i="8"/>
  <c r="S36" i="8"/>
  <c r="AH35" i="8"/>
  <c r="G28" i="9"/>
  <c r="J28" i="9"/>
  <c r="H28" i="9"/>
  <c r="Z35" i="8"/>
  <c r="A73" i="7"/>
  <c r="A65" i="4"/>
  <c r="A35" i="19" s="1"/>
  <c r="A36" i="8"/>
  <c r="A29" i="9"/>
  <c r="A34" i="3"/>
  <c r="AL50" i="3" l="1"/>
  <c r="AM50" i="3"/>
  <c r="AM50" i="18"/>
  <c r="AO50" i="18" s="1"/>
  <c r="AP50" i="18" s="1"/>
  <c r="BJ50" i="18" s="1"/>
  <c r="AL50" i="18"/>
  <c r="AN50" i="18" s="1"/>
  <c r="AM50" i="19"/>
  <c r="AO50" i="19" s="1"/>
  <c r="AP50" i="19" s="1"/>
  <c r="BJ50" i="19" s="1"/>
  <c r="AL50" i="19"/>
  <c r="AN50" i="19" s="1"/>
  <c r="AL39" i="10"/>
  <c r="AH51" i="19"/>
  <c r="AK51" i="19" s="1"/>
  <c r="AH51" i="18"/>
  <c r="AK51" i="18" s="1"/>
  <c r="AH51" i="3"/>
  <c r="AK51" i="3" s="1"/>
  <c r="AS37" i="10"/>
  <c r="AR37" i="10"/>
  <c r="BB32" i="3"/>
  <c r="BI32" i="3"/>
  <c r="BB33" i="19"/>
  <c r="BE33" i="19" s="1"/>
  <c r="BG33" i="19" s="1"/>
  <c r="BI33" i="19"/>
  <c r="BL33" i="19" s="1"/>
  <c r="BN33" i="19" s="1"/>
  <c r="BI33" i="18"/>
  <c r="BL33" i="18" s="1"/>
  <c r="BN33" i="18" s="1"/>
  <c r="BB33" i="18"/>
  <c r="BE33" i="18" s="1"/>
  <c r="BG33" i="18" s="1"/>
  <c r="J189" i="6"/>
  <c r="P189" i="6" s="1"/>
  <c r="T189" i="6" s="1"/>
  <c r="AY52" i="6" s="1"/>
  <c r="J223" i="6"/>
  <c r="P223" i="6" s="1"/>
  <c r="T223" i="6" s="1"/>
  <c r="BE52" i="6" s="1"/>
  <c r="AE50" i="19"/>
  <c r="AF50" i="19" s="1"/>
  <c r="BC50" i="19" s="1"/>
  <c r="AN44" i="3"/>
  <c r="AO44" i="3"/>
  <c r="AP44" i="3" s="1"/>
  <c r="BJ44" i="3" s="1"/>
  <c r="K205" i="11"/>
  <c r="M204" i="11"/>
  <c r="P204" i="11"/>
  <c r="Q204" i="11" s="1"/>
  <c r="AE50" i="18"/>
  <c r="AF50" i="18" s="1"/>
  <c r="BC50" i="18" s="1"/>
  <c r="J35" i="8"/>
  <c r="D69" i="19"/>
  <c r="D69" i="18"/>
  <c r="R34" i="18"/>
  <c r="T34" i="18" s="1"/>
  <c r="S34" i="18"/>
  <c r="U34" i="18" s="1"/>
  <c r="V34" i="18" s="1"/>
  <c r="P67" i="18"/>
  <c r="L67" i="18"/>
  <c r="E68" i="18"/>
  <c r="P67" i="19"/>
  <c r="L67" i="19"/>
  <c r="E68" i="19"/>
  <c r="R34" i="19"/>
  <c r="T34" i="19" s="1"/>
  <c r="S34" i="19"/>
  <c r="U34" i="19" s="1"/>
  <c r="V34" i="19" s="1"/>
  <c r="F36" i="8"/>
  <c r="C36" i="8"/>
  <c r="G36" i="8"/>
  <c r="D36" i="8"/>
  <c r="E36" i="8"/>
  <c r="I36" i="8"/>
  <c r="C23" i="10"/>
  <c r="AD23" i="10" s="1"/>
  <c r="C35" i="19"/>
  <c r="N35" i="19" s="1"/>
  <c r="Q35" i="19" s="1"/>
  <c r="C35" i="18"/>
  <c r="N35" i="18" s="1"/>
  <c r="Q35" i="18" s="1"/>
  <c r="AB50" i="19"/>
  <c r="AD50" i="19" s="1"/>
  <c r="X51" i="18"/>
  <c r="AA51" i="18" s="1"/>
  <c r="AC51" i="18" s="1"/>
  <c r="AT219" i="7"/>
  <c r="AV219" i="7" s="1"/>
  <c r="AB50" i="18"/>
  <c r="AD50" i="18" s="1"/>
  <c r="X51" i="19"/>
  <c r="AA51" i="19" s="1"/>
  <c r="AC51" i="19" s="1"/>
  <c r="AE51" i="19" s="1"/>
  <c r="AF51" i="19" s="1"/>
  <c r="BC51" i="19" s="1"/>
  <c r="U41" i="10"/>
  <c r="AV112" i="19"/>
  <c r="AW112" i="19"/>
  <c r="BE29" i="3"/>
  <c r="BG29" i="3" s="1"/>
  <c r="BD30" i="3"/>
  <c r="H223" i="7"/>
  <c r="Z222" i="7"/>
  <c r="AF222" i="7" s="1"/>
  <c r="L224" i="7"/>
  <c r="AD223" i="7"/>
  <c r="AK224" i="7"/>
  <c r="R225" i="7"/>
  <c r="AC223" i="7"/>
  <c r="K224" i="7"/>
  <c r="U225" i="7"/>
  <c r="AO224" i="7"/>
  <c r="X224" i="7"/>
  <c r="AR223" i="7"/>
  <c r="O225" i="7"/>
  <c r="AH224" i="7"/>
  <c r="W223" i="7"/>
  <c r="AQ222" i="7"/>
  <c r="J224" i="7"/>
  <c r="AB223" i="7"/>
  <c r="S225" i="7"/>
  <c r="AL224" i="7"/>
  <c r="AG220" i="7"/>
  <c r="AM220" i="7" s="1"/>
  <c r="N221" i="7"/>
  <c r="AS220" i="7"/>
  <c r="V224" i="7"/>
  <c r="AP223" i="7"/>
  <c r="P225" i="7"/>
  <c r="AI224" i="7"/>
  <c r="Q225" i="7"/>
  <c r="AJ224" i="7"/>
  <c r="T221" i="7"/>
  <c r="AN220" i="7"/>
  <c r="AA223" i="7"/>
  <c r="I224" i="7"/>
  <c r="A23" i="10"/>
  <c r="AC23" i="10" s="1"/>
  <c r="A35" i="18"/>
  <c r="F124" i="17"/>
  <c r="D222" i="7" s="1"/>
  <c r="G123" i="17"/>
  <c r="AR113" i="19" s="1"/>
  <c r="AU113" i="19" s="1"/>
  <c r="R190" i="7"/>
  <c r="AK189" i="7"/>
  <c r="L189" i="7"/>
  <c r="AD188" i="7"/>
  <c r="Q190" i="7"/>
  <c r="AJ189" i="7"/>
  <c r="P191" i="7"/>
  <c r="AI190" i="7"/>
  <c r="AT185" i="7"/>
  <c r="N187" i="7"/>
  <c r="AG186" i="7"/>
  <c r="AM186" i="7" s="1"/>
  <c r="AS186" i="7"/>
  <c r="V189" i="7"/>
  <c r="AP188" i="7"/>
  <c r="O190" i="7"/>
  <c r="AH189" i="7"/>
  <c r="I189" i="7"/>
  <c r="AA188" i="7"/>
  <c r="J189" i="7"/>
  <c r="AB188" i="7"/>
  <c r="U189" i="7"/>
  <c r="AO188" i="7"/>
  <c r="K189" i="7"/>
  <c r="AC188" i="7"/>
  <c r="S190" i="7"/>
  <c r="AL189" i="7"/>
  <c r="AQ188" i="7"/>
  <c r="F123" i="16"/>
  <c r="D186" i="7"/>
  <c r="AR189" i="7"/>
  <c r="AN186" i="7"/>
  <c r="AM39" i="10"/>
  <c r="AP38" i="10"/>
  <c r="S40" i="10"/>
  <c r="L82" i="4"/>
  <c r="T40" i="10" s="1"/>
  <c r="J83" i="4"/>
  <c r="AN39" i="10"/>
  <c r="AK39" i="10"/>
  <c r="X51" i="3"/>
  <c r="AO39" i="10"/>
  <c r="AY31" i="3"/>
  <c r="AZ31" i="3" s="1"/>
  <c r="BK31" i="3" s="1"/>
  <c r="BL31" i="3" s="1"/>
  <c r="BN31" i="3" s="1"/>
  <c r="G104" i="4"/>
  <c r="D112" i="7"/>
  <c r="K48" i="10"/>
  <c r="Q55" i="9"/>
  <c r="P55" i="9"/>
  <c r="S55" i="9"/>
  <c r="F104" i="4"/>
  <c r="C112" i="7"/>
  <c r="W60" i="10"/>
  <c r="X44" i="10"/>
  <c r="AG23" i="10"/>
  <c r="AE23" i="10"/>
  <c r="AF23" i="10"/>
  <c r="AA59" i="10"/>
  <c r="AI22" i="10"/>
  <c r="H177" i="1"/>
  <c r="R177" i="1"/>
  <c r="C178" i="1"/>
  <c r="AU73" i="3"/>
  <c r="AV73" i="3" s="1"/>
  <c r="O73" i="3"/>
  <c r="V41" i="10"/>
  <c r="Y40" i="10"/>
  <c r="L58" i="10"/>
  <c r="D69" i="3"/>
  <c r="S92" i="4"/>
  <c r="J49" i="10"/>
  <c r="M92" i="4"/>
  <c r="D49" i="10"/>
  <c r="T91" i="4"/>
  <c r="R92" i="4"/>
  <c r="I49" i="10"/>
  <c r="L60" i="3"/>
  <c r="P60" i="3"/>
  <c r="O92" i="4"/>
  <c r="F49" i="10"/>
  <c r="K66" i="4"/>
  <c r="B24" i="10"/>
  <c r="N92" i="4"/>
  <c r="E49" i="10"/>
  <c r="P92" i="4"/>
  <c r="G49" i="10"/>
  <c r="B63" i="8" s="1"/>
  <c r="Q92" i="4"/>
  <c r="H49" i="10"/>
  <c r="H63" i="8" s="1"/>
  <c r="T33" i="3"/>
  <c r="AB33" i="3"/>
  <c r="AD33" i="3" s="1"/>
  <c r="AC33" i="3"/>
  <c r="AE33" i="3" s="1"/>
  <c r="AF33" i="3" s="1"/>
  <c r="BC33" i="3" s="1"/>
  <c r="S33" i="3"/>
  <c r="U33" i="3" s="1"/>
  <c r="V33" i="3" s="1"/>
  <c r="Q34" i="3"/>
  <c r="R34" i="3" s="1"/>
  <c r="T34" i="3" s="1"/>
  <c r="AA34" i="3"/>
  <c r="Z36" i="8"/>
  <c r="AH36" i="8"/>
  <c r="R36" i="8"/>
  <c r="J29" i="9"/>
  <c r="H29" i="9"/>
  <c r="G29" i="9"/>
  <c r="N37" i="8"/>
  <c r="S37" i="8"/>
  <c r="W37" i="8"/>
  <c r="AB37" i="8"/>
  <c r="AF37" i="8"/>
  <c r="K37" i="8"/>
  <c r="O37" i="8"/>
  <c r="T37" i="8"/>
  <c r="X37" i="8"/>
  <c r="AC37" i="8"/>
  <c r="L37" i="8"/>
  <c r="P37" i="8"/>
  <c r="U37" i="8"/>
  <c r="AD37" i="8"/>
  <c r="M37" i="8"/>
  <c r="AE37" i="8"/>
  <c r="V37" i="8"/>
  <c r="AA37" i="8"/>
  <c r="C35" i="3"/>
  <c r="N35" i="3" s="1"/>
  <c r="A74" i="7"/>
  <c r="A66" i="4"/>
  <c r="A36" i="19" s="1"/>
  <c r="A30" i="9"/>
  <c r="A37" i="8"/>
  <c r="A35" i="3"/>
  <c r="AM51" i="3" l="1"/>
  <c r="AL51" i="3"/>
  <c r="AM51" i="18"/>
  <c r="AO51" i="18" s="1"/>
  <c r="AP51" i="18" s="1"/>
  <c r="BJ51" i="18" s="1"/>
  <c r="AL51" i="18"/>
  <c r="AN51" i="18" s="1"/>
  <c r="AL51" i="19"/>
  <c r="AN51" i="19" s="1"/>
  <c r="AM51" i="19"/>
  <c r="AO51" i="19" s="1"/>
  <c r="AP51" i="19" s="1"/>
  <c r="BJ51" i="19" s="1"/>
  <c r="AM40" i="10"/>
  <c r="AH52" i="19"/>
  <c r="AK52" i="19" s="1"/>
  <c r="AH52" i="18"/>
  <c r="AK52" i="18" s="1"/>
  <c r="AH52" i="3"/>
  <c r="AK52" i="3" s="1"/>
  <c r="AR38" i="10"/>
  <c r="AS38" i="10"/>
  <c r="AE51" i="18"/>
  <c r="AF51" i="18" s="1"/>
  <c r="BC51" i="18" s="1"/>
  <c r="BB34" i="19"/>
  <c r="BE34" i="19" s="1"/>
  <c r="BG34" i="19" s="1"/>
  <c r="BI34" i="19"/>
  <c r="BL34" i="19" s="1"/>
  <c r="BN34" i="19" s="1"/>
  <c r="BI34" i="18"/>
  <c r="BL34" i="18" s="1"/>
  <c r="BN34" i="18" s="1"/>
  <c r="BB34" i="18"/>
  <c r="BE34" i="18" s="1"/>
  <c r="BG34" i="18" s="1"/>
  <c r="BB33" i="3"/>
  <c r="BI33" i="3"/>
  <c r="J190" i="6"/>
  <c r="P190" i="6" s="1"/>
  <c r="T190" i="6" s="1"/>
  <c r="AY53" i="6" s="1"/>
  <c r="J224" i="6"/>
  <c r="P224" i="6" s="1"/>
  <c r="T224" i="6" s="1"/>
  <c r="BE53" i="6" s="1"/>
  <c r="AO45" i="3"/>
  <c r="AP45" i="3" s="1"/>
  <c r="BJ45" i="3" s="1"/>
  <c r="AN45" i="3"/>
  <c r="AH23" i="10"/>
  <c r="M205" i="11"/>
  <c r="P205" i="11"/>
  <c r="Q205" i="11" s="1"/>
  <c r="K206" i="11"/>
  <c r="AB51" i="18"/>
  <c r="AD51" i="18" s="1"/>
  <c r="J36" i="8"/>
  <c r="D70" i="19"/>
  <c r="D70" i="18"/>
  <c r="R35" i="18"/>
  <c r="T35" i="18" s="1"/>
  <c r="S35" i="18"/>
  <c r="U35" i="18" s="1"/>
  <c r="V35" i="18" s="1"/>
  <c r="C24" i="10"/>
  <c r="C36" i="19"/>
  <c r="N36" i="19" s="1"/>
  <c r="Q36" i="19" s="1"/>
  <c r="C36" i="18"/>
  <c r="N36" i="18" s="1"/>
  <c r="Q36" i="18" s="1"/>
  <c r="S35" i="19"/>
  <c r="U35" i="19" s="1"/>
  <c r="V35" i="19" s="1"/>
  <c r="R35" i="19"/>
  <c r="T35" i="19" s="1"/>
  <c r="P68" i="18"/>
  <c r="E69" i="18"/>
  <c r="L68" i="18"/>
  <c r="C37" i="8"/>
  <c r="G37" i="8"/>
  <c r="D37" i="8"/>
  <c r="E37" i="8"/>
  <c r="I37" i="8"/>
  <c r="F37" i="8"/>
  <c r="L68" i="19"/>
  <c r="E69" i="19"/>
  <c r="P68" i="19"/>
  <c r="X52" i="18"/>
  <c r="AA52" i="18" s="1"/>
  <c r="AC52" i="18" s="1"/>
  <c r="AB51" i="19"/>
  <c r="AD51" i="19" s="1"/>
  <c r="X52" i="19"/>
  <c r="AA52" i="19" s="1"/>
  <c r="AC52" i="19" s="1"/>
  <c r="AP39" i="10"/>
  <c r="U42" i="10"/>
  <c r="AB52" i="18"/>
  <c r="AW113" i="19"/>
  <c r="AV113" i="19"/>
  <c r="BE30" i="3"/>
  <c r="BG30" i="3" s="1"/>
  <c r="BD31" i="3"/>
  <c r="T222" i="7"/>
  <c r="AN221" i="7"/>
  <c r="P226" i="7"/>
  <c r="AI226" i="7" s="1"/>
  <c r="AI225" i="7"/>
  <c r="N222" i="7"/>
  <c r="AG221" i="7"/>
  <c r="AM221" i="7" s="1"/>
  <c r="AS221" i="7"/>
  <c r="K225" i="7"/>
  <c r="AC224" i="7"/>
  <c r="AA224" i="7"/>
  <c r="I225" i="7"/>
  <c r="W224" i="7"/>
  <c r="AQ223" i="7"/>
  <c r="X225" i="7"/>
  <c r="AR224" i="7"/>
  <c r="L225" i="7"/>
  <c r="AD224" i="7"/>
  <c r="AJ225" i="7"/>
  <c r="Q226" i="7"/>
  <c r="AJ226" i="7" s="1"/>
  <c r="V225" i="7"/>
  <c r="AP224" i="7"/>
  <c r="R226" i="7"/>
  <c r="AK226" i="7" s="1"/>
  <c r="AK225" i="7"/>
  <c r="AT220" i="7"/>
  <c r="AV220" i="7" s="1"/>
  <c r="AL225" i="7"/>
  <c r="S226" i="7"/>
  <c r="AL226" i="7" s="1"/>
  <c r="AB224" i="7"/>
  <c r="J225" i="7"/>
  <c r="O226" i="7"/>
  <c r="AH226" i="7" s="1"/>
  <c r="AH225" i="7"/>
  <c r="U226" i="7"/>
  <c r="AO226" i="7" s="1"/>
  <c r="AO225" i="7"/>
  <c r="H224" i="7"/>
  <c r="Z223" i="7"/>
  <c r="AF223" i="7" s="1"/>
  <c r="AT186" i="7"/>
  <c r="A24" i="10"/>
  <c r="AC24" i="10" s="1"/>
  <c r="A36" i="18"/>
  <c r="F125" i="17"/>
  <c r="D223" i="7" s="1"/>
  <c r="G124" i="17"/>
  <c r="AR114" i="19" s="1"/>
  <c r="AU114" i="19" s="1"/>
  <c r="O191" i="7"/>
  <c r="AH190" i="7"/>
  <c r="K190" i="7"/>
  <c r="AC189" i="7"/>
  <c r="AG187" i="7"/>
  <c r="AM187" i="7" s="1"/>
  <c r="N188" i="7"/>
  <c r="AS187" i="7"/>
  <c r="L190" i="7"/>
  <c r="AD189" i="7"/>
  <c r="I190" i="7"/>
  <c r="AA189" i="7"/>
  <c r="V190" i="7"/>
  <c r="AP189" i="7"/>
  <c r="J190" i="7"/>
  <c r="AB189" i="7"/>
  <c r="P192" i="7"/>
  <c r="AI192" i="7" s="1"/>
  <c r="AI191" i="7"/>
  <c r="S191" i="7"/>
  <c r="AL190" i="7"/>
  <c r="U190" i="7"/>
  <c r="AO189" i="7"/>
  <c r="Q191" i="7"/>
  <c r="AJ190" i="7"/>
  <c r="R191" i="7"/>
  <c r="AK190" i="7"/>
  <c r="F124" i="16"/>
  <c r="D187" i="7"/>
  <c r="AN187" i="7"/>
  <c r="AR191" i="7"/>
  <c r="AR190" i="7"/>
  <c r="AQ189" i="7"/>
  <c r="AL40" i="10"/>
  <c r="S41" i="10"/>
  <c r="J84" i="4"/>
  <c r="L83" i="4"/>
  <c r="T41" i="10" s="1"/>
  <c r="AN40" i="10"/>
  <c r="X52" i="3"/>
  <c r="AK40" i="10"/>
  <c r="AO40" i="10"/>
  <c r="K49" i="10"/>
  <c r="P56" i="9"/>
  <c r="S56" i="9"/>
  <c r="Q56" i="9"/>
  <c r="F105" i="4"/>
  <c r="C113" i="7"/>
  <c r="G105" i="4"/>
  <c r="D113" i="7"/>
  <c r="AA60" i="10"/>
  <c r="AF24" i="10"/>
  <c r="AG24" i="10"/>
  <c r="AD24" i="10"/>
  <c r="AE24" i="10"/>
  <c r="AH24" i="10"/>
  <c r="AI23" i="10"/>
  <c r="X45" i="10"/>
  <c r="W61" i="10"/>
  <c r="R178" i="1"/>
  <c r="C179" i="1"/>
  <c r="H178" i="1"/>
  <c r="AU74" i="3"/>
  <c r="AV74" i="3" s="1"/>
  <c r="O74" i="3"/>
  <c r="L59" i="10"/>
  <c r="D70" i="3"/>
  <c r="V42" i="10"/>
  <c r="Y41" i="10"/>
  <c r="P61" i="3"/>
  <c r="L61" i="3"/>
  <c r="N93" i="4"/>
  <c r="E50" i="10"/>
  <c r="R93" i="4"/>
  <c r="I50" i="10"/>
  <c r="M93" i="4"/>
  <c r="D50" i="10"/>
  <c r="T92" i="4"/>
  <c r="Q93" i="4"/>
  <c r="H50" i="10"/>
  <c r="O93" i="4"/>
  <c r="F50" i="10"/>
  <c r="S93" i="4"/>
  <c r="J50" i="10"/>
  <c r="K67" i="4"/>
  <c r="B25" i="10"/>
  <c r="P93" i="4"/>
  <c r="G50" i="10"/>
  <c r="B64" i="8" s="1"/>
  <c r="AC34" i="3"/>
  <c r="AE34" i="3" s="1"/>
  <c r="AF34" i="3" s="1"/>
  <c r="BC34" i="3" s="1"/>
  <c r="AB34" i="3"/>
  <c r="AD34" i="3" s="1"/>
  <c r="AG37" i="8"/>
  <c r="AH37" i="8" s="1"/>
  <c r="S34" i="3"/>
  <c r="U34" i="3" s="1"/>
  <c r="V34" i="3" s="1"/>
  <c r="AW32" i="3"/>
  <c r="AX32" i="3"/>
  <c r="Q35" i="3"/>
  <c r="S35" i="3" s="1"/>
  <c r="U35" i="3" s="1"/>
  <c r="V35" i="3" s="1"/>
  <c r="AA35" i="3"/>
  <c r="Q37" i="8"/>
  <c r="R37" i="8" s="1"/>
  <c r="Y37" i="8"/>
  <c r="Z37" i="8" s="1"/>
  <c r="Q38" i="8"/>
  <c r="G30" i="9"/>
  <c r="H30" i="9"/>
  <c r="J30" i="9"/>
  <c r="K38" i="8"/>
  <c r="P38" i="8"/>
  <c r="L38" i="8"/>
  <c r="N38" i="8"/>
  <c r="AC38" i="8"/>
  <c r="O38" i="8"/>
  <c r="C36" i="3"/>
  <c r="N36" i="3" s="1"/>
  <c r="AD38" i="8"/>
  <c r="U38" i="8"/>
  <c r="S38" i="8"/>
  <c r="AB38" i="8"/>
  <c r="V38" i="8"/>
  <c r="M38" i="8"/>
  <c r="W38" i="8"/>
  <c r="AF38" i="8"/>
  <c r="X38" i="8"/>
  <c r="T38" i="8"/>
  <c r="AE38" i="8"/>
  <c r="AA38" i="8"/>
  <c r="A75" i="7"/>
  <c r="A31" i="9"/>
  <c r="A67" i="4"/>
  <c r="A37" i="19" s="1"/>
  <c r="A38" i="8"/>
  <c r="A36" i="3"/>
  <c r="AM52" i="3" l="1"/>
  <c r="AL52" i="3"/>
  <c r="AL52" i="18"/>
  <c r="AN52" i="18" s="1"/>
  <c r="AM52" i="18"/>
  <c r="AO52" i="18" s="1"/>
  <c r="AP52" i="18" s="1"/>
  <c r="BJ52" i="18" s="1"/>
  <c r="AM52" i="19"/>
  <c r="AO52" i="19" s="1"/>
  <c r="AP52" i="19" s="1"/>
  <c r="BJ52" i="19" s="1"/>
  <c r="AL52" i="19"/>
  <c r="AN52" i="19" s="1"/>
  <c r="AR39" i="10"/>
  <c r="AS39" i="10"/>
  <c r="AL41" i="10"/>
  <c r="AH53" i="19"/>
  <c r="AK53" i="19" s="1"/>
  <c r="AH53" i="18"/>
  <c r="AK53" i="18" s="1"/>
  <c r="AH53" i="3"/>
  <c r="AK53" i="3" s="1"/>
  <c r="AE52" i="19"/>
  <c r="AF52" i="19" s="1"/>
  <c r="BC52" i="19" s="1"/>
  <c r="BB34" i="3"/>
  <c r="BI34" i="3"/>
  <c r="BB35" i="3"/>
  <c r="BI35" i="3"/>
  <c r="BB35" i="19"/>
  <c r="BE35" i="19" s="1"/>
  <c r="BG35" i="19" s="1"/>
  <c r="BI35" i="19"/>
  <c r="BL35" i="19" s="1"/>
  <c r="BN35" i="19" s="1"/>
  <c r="BB35" i="18"/>
  <c r="BE35" i="18" s="1"/>
  <c r="BG35" i="18" s="1"/>
  <c r="BI35" i="18"/>
  <c r="BL35" i="18" s="1"/>
  <c r="BN35" i="18" s="1"/>
  <c r="J191" i="6"/>
  <c r="P191" i="6" s="1"/>
  <c r="T191" i="6" s="1"/>
  <c r="AY54" i="6" s="1"/>
  <c r="J225" i="6"/>
  <c r="P225" i="6" s="1"/>
  <c r="T225" i="6" s="1"/>
  <c r="BE54" i="6" s="1"/>
  <c r="AE52" i="18"/>
  <c r="AF52" i="18" s="1"/>
  <c r="BC52" i="18" s="1"/>
  <c r="AN46" i="3"/>
  <c r="AO46" i="3"/>
  <c r="AP46" i="3" s="1"/>
  <c r="BJ46" i="3" s="1"/>
  <c r="K208" i="11"/>
  <c r="K207" i="11"/>
  <c r="M206" i="11"/>
  <c r="P206" i="11"/>
  <c r="Q206" i="11" s="1"/>
  <c r="H64" i="8"/>
  <c r="AD52" i="18"/>
  <c r="P69" i="19"/>
  <c r="L69" i="19"/>
  <c r="E70" i="19"/>
  <c r="D38" i="8"/>
  <c r="E38" i="8"/>
  <c r="I38" i="8"/>
  <c r="F38" i="8"/>
  <c r="C38" i="8"/>
  <c r="G38" i="8"/>
  <c r="E70" i="18"/>
  <c r="P69" i="18"/>
  <c r="L69" i="18"/>
  <c r="C25" i="10"/>
  <c r="C37" i="19"/>
  <c r="N37" i="19" s="1"/>
  <c r="Q37" i="19" s="1"/>
  <c r="C37" i="18"/>
  <c r="N37" i="18" s="1"/>
  <c r="Q37" i="18" s="1"/>
  <c r="D71" i="19"/>
  <c r="D71" i="18"/>
  <c r="R36" i="18"/>
  <c r="T36" i="18" s="1"/>
  <c r="S36" i="18"/>
  <c r="U36" i="18" s="1"/>
  <c r="V36" i="18" s="1"/>
  <c r="J37" i="8"/>
  <c r="S36" i="19"/>
  <c r="U36" i="19" s="1"/>
  <c r="V36" i="19" s="1"/>
  <c r="R36" i="19"/>
  <c r="T36" i="19" s="1"/>
  <c r="AB52" i="19"/>
  <c r="AD52" i="19" s="1"/>
  <c r="X53" i="18"/>
  <c r="AA53" i="18" s="1"/>
  <c r="AB53" i="18" s="1"/>
  <c r="X53" i="19"/>
  <c r="AA53" i="19" s="1"/>
  <c r="AB53" i="19" s="1"/>
  <c r="U43" i="10"/>
  <c r="AW114" i="19"/>
  <c r="AV114" i="19"/>
  <c r="K226" i="7"/>
  <c r="AC226" i="7" s="1"/>
  <c r="AC225" i="7"/>
  <c r="AT187" i="7"/>
  <c r="Z224" i="7"/>
  <c r="AF224" i="7" s="1"/>
  <c r="H225" i="7"/>
  <c r="X226" i="7"/>
  <c r="AR226" i="7" s="1"/>
  <c r="AR225" i="7"/>
  <c r="I226" i="7"/>
  <c r="AA226" i="7" s="1"/>
  <c r="AA225" i="7"/>
  <c r="AT221" i="7"/>
  <c r="AV221" i="7" s="1"/>
  <c r="J226" i="7"/>
  <c r="AB226" i="7" s="1"/>
  <c r="AB225" i="7"/>
  <c r="V226" i="7"/>
  <c r="AP226" i="7" s="1"/>
  <c r="AP225" i="7"/>
  <c r="L226" i="7"/>
  <c r="AD226" i="7" s="1"/>
  <c r="AD225" i="7"/>
  <c r="W225" i="7"/>
  <c r="AQ224" i="7"/>
  <c r="AG222" i="7"/>
  <c r="AM222" i="7" s="1"/>
  <c r="N223" i="7"/>
  <c r="AS222" i="7"/>
  <c r="T223" i="7"/>
  <c r="AN222" i="7"/>
  <c r="A25" i="10"/>
  <c r="AC25" i="10" s="1"/>
  <c r="A37" i="18"/>
  <c r="F126" i="17"/>
  <c r="D224" i="7" s="1"/>
  <c r="G125" i="17"/>
  <c r="AR115" i="19" s="1"/>
  <c r="AU115" i="19" s="1"/>
  <c r="Q192" i="7"/>
  <c r="AJ192" i="7" s="1"/>
  <c r="AJ191" i="7"/>
  <c r="V191" i="7"/>
  <c r="AP190" i="7"/>
  <c r="L191" i="7"/>
  <c r="AD190" i="7"/>
  <c r="R192" i="7"/>
  <c r="AK192" i="7" s="1"/>
  <c r="AK191" i="7"/>
  <c r="I191" i="7"/>
  <c r="AA190" i="7"/>
  <c r="N189" i="7"/>
  <c r="AG188" i="7"/>
  <c r="AM188" i="7" s="1"/>
  <c r="AS188" i="7"/>
  <c r="U191" i="7"/>
  <c r="AO190" i="7"/>
  <c r="O192" i="7"/>
  <c r="AH192" i="7" s="1"/>
  <c r="AH191" i="7"/>
  <c r="S192" i="7"/>
  <c r="AL192" i="7" s="1"/>
  <c r="AL191" i="7"/>
  <c r="J191" i="7"/>
  <c r="AB190" i="7"/>
  <c r="K191" i="7"/>
  <c r="AC190" i="7"/>
  <c r="F125" i="16"/>
  <c r="D188" i="7"/>
  <c r="AQ191" i="7"/>
  <c r="AQ190" i="7"/>
  <c r="AN188" i="7"/>
  <c r="AM41" i="10"/>
  <c r="AP40" i="10"/>
  <c r="AN41" i="10"/>
  <c r="X53" i="3"/>
  <c r="AK41" i="10"/>
  <c r="AO41" i="10"/>
  <c r="S42" i="10"/>
  <c r="L84" i="4"/>
  <c r="T42" i="10" s="1"/>
  <c r="J85" i="4"/>
  <c r="AY32" i="3"/>
  <c r="AZ32" i="3" s="1"/>
  <c r="BK32" i="3" s="1"/>
  <c r="BL32" i="3" s="1"/>
  <c r="BN32" i="3" s="1"/>
  <c r="K50" i="10"/>
  <c r="S57" i="9"/>
  <c r="P57" i="9"/>
  <c r="Q57" i="9"/>
  <c r="G106" i="4"/>
  <c r="D114" i="7"/>
  <c r="F106" i="4"/>
  <c r="C114" i="7"/>
  <c r="X46" i="10"/>
  <c r="AI24" i="10"/>
  <c r="AE25" i="10"/>
  <c r="AF25" i="10"/>
  <c r="AG25" i="10"/>
  <c r="AD25" i="10"/>
  <c r="AH25" i="10"/>
  <c r="W62" i="10"/>
  <c r="AA61" i="10"/>
  <c r="H179" i="1"/>
  <c r="R179" i="1"/>
  <c r="C180" i="1"/>
  <c r="O75" i="3"/>
  <c r="AU75" i="3"/>
  <c r="AV75" i="3" s="1"/>
  <c r="V43" i="10"/>
  <c r="Y42" i="10"/>
  <c r="L60" i="10"/>
  <c r="D71" i="3"/>
  <c r="P94" i="4"/>
  <c r="G51" i="10"/>
  <c r="B65" i="8" s="1"/>
  <c r="Q94" i="4"/>
  <c r="H51" i="10"/>
  <c r="R94" i="4"/>
  <c r="I51" i="10"/>
  <c r="O94" i="4"/>
  <c r="F51" i="10"/>
  <c r="M94" i="4"/>
  <c r="D51" i="10"/>
  <c r="T93" i="4"/>
  <c r="K68" i="4"/>
  <c r="B26" i="10"/>
  <c r="S94" i="4"/>
  <c r="J51" i="10"/>
  <c r="P62" i="3"/>
  <c r="L62" i="3"/>
  <c r="N94" i="4"/>
  <c r="E51" i="10"/>
  <c r="AG38" i="8"/>
  <c r="AH38" i="8" s="1"/>
  <c r="AB35" i="3"/>
  <c r="AD35" i="3" s="1"/>
  <c r="AC35" i="3"/>
  <c r="AE35" i="3" s="1"/>
  <c r="AF35" i="3" s="1"/>
  <c r="BC35" i="3" s="1"/>
  <c r="AX33" i="3"/>
  <c r="AW33" i="3"/>
  <c r="R35" i="3"/>
  <c r="T35" i="3" s="1"/>
  <c r="Q36" i="3"/>
  <c r="S36" i="3" s="1"/>
  <c r="AA36" i="3"/>
  <c r="Y38" i="8"/>
  <c r="Z38" i="8" s="1"/>
  <c r="AB39" i="8"/>
  <c r="K39" i="8"/>
  <c r="AC39" i="8"/>
  <c r="X39" i="8"/>
  <c r="C37" i="3"/>
  <c r="N37" i="3" s="1"/>
  <c r="M39" i="8"/>
  <c r="AA39" i="8"/>
  <c r="S39" i="8"/>
  <c r="AE39" i="8"/>
  <c r="AF39" i="8"/>
  <c r="T39" i="8"/>
  <c r="O39" i="8"/>
  <c r="W39" i="8"/>
  <c r="L39" i="8"/>
  <c r="AD39" i="8"/>
  <c r="N39" i="8"/>
  <c r="V39" i="8"/>
  <c r="P39" i="8"/>
  <c r="U39" i="8"/>
  <c r="R38" i="8"/>
  <c r="G31" i="9"/>
  <c r="J31" i="9"/>
  <c r="H31" i="9"/>
  <c r="A76" i="7"/>
  <c r="A32" i="9"/>
  <c r="A39" i="8"/>
  <c r="A68" i="4"/>
  <c r="A38" i="19" s="1"/>
  <c r="A37" i="3"/>
  <c r="AL53" i="18" l="1"/>
  <c r="AN53" i="18" s="1"/>
  <c r="AM53" i="18"/>
  <c r="AO53" i="18" s="1"/>
  <c r="AP53" i="18" s="1"/>
  <c r="BJ53" i="18" s="1"/>
  <c r="AR40" i="10"/>
  <c r="AS40" i="10"/>
  <c r="AM53" i="19"/>
  <c r="AO53" i="19" s="1"/>
  <c r="AP53" i="19" s="1"/>
  <c r="BJ53" i="19" s="1"/>
  <c r="AL53" i="19"/>
  <c r="AN53" i="19" s="1"/>
  <c r="AM53" i="3"/>
  <c r="AL53" i="3"/>
  <c r="AM42" i="10"/>
  <c r="AH54" i="18"/>
  <c r="AK54" i="18" s="1"/>
  <c r="AH54" i="19"/>
  <c r="AK54" i="19" s="1"/>
  <c r="AH54" i="3"/>
  <c r="AK54" i="3" s="1"/>
  <c r="BB36" i="19"/>
  <c r="BE36" i="19" s="1"/>
  <c r="BG36" i="19" s="1"/>
  <c r="BI36" i="19"/>
  <c r="BL36" i="19" s="1"/>
  <c r="BN36" i="19" s="1"/>
  <c r="BI36" i="18"/>
  <c r="BL36" i="18" s="1"/>
  <c r="BN36" i="18" s="1"/>
  <c r="BB36" i="18"/>
  <c r="BE36" i="18" s="1"/>
  <c r="BG36" i="18" s="1"/>
  <c r="J192" i="6"/>
  <c r="P192" i="6" s="1"/>
  <c r="T192" i="6" s="1"/>
  <c r="AY55" i="6" s="1"/>
  <c r="J226" i="6"/>
  <c r="P226" i="6" s="1"/>
  <c r="T226" i="6" s="1"/>
  <c r="BE55" i="6" s="1"/>
  <c r="AD53" i="19"/>
  <c r="AD53" i="18"/>
  <c r="AN47" i="3"/>
  <c r="AO47" i="3"/>
  <c r="AP47" i="3" s="1"/>
  <c r="BJ47" i="3" s="1"/>
  <c r="M207" i="11"/>
  <c r="P207" i="11"/>
  <c r="Q207" i="11" s="1"/>
  <c r="M208" i="11"/>
  <c r="P208" i="11"/>
  <c r="Q208" i="11" s="1"/>
  <c r="H65" i="8"/>
  <c r="S37" i="19"/>
  <c r="U37" i="19" s="1"/>
  <c r="V37" i="19" s="1"/>
  <c r="R37" i="19"/>
  <c r="T37" i="19" s="1"/>
  <c r="E71" i="18"/>
  <c r="P70" i="18"/>
  <c r="L70" i="18"/>
  <c r="C26" i="10"/>
  <c r="AE26" i="10" s="1"/>
  <c r="C38" i="19"/>
  <c r="N38" i="19" s="1"/>
  <c r="Q38" i="19" s="1"/>
  <c r="C38" i="18"/>
  <c r="N38" i="18" s="1"/>
  <c r="Q38" i="18" s="1"/>
  <c r="E39" i="8"/>
  <c r="I39" i="8"/>
  <c r="F39" i="8"/>
  <c r="C39" i="8"/>
  <c r="G39" i="8"/>
  <c r="D39" i="8"/>
  <c r="J38" i="8"/>
  <c r="D72" i="19"/>
  <c r="D72" i="18"/>
  <c r="R37" i="18"/>
  <c r="T37" i="18" s="1"/>
  <c r="S37" i="18"/>
  <c r="U37" i="18" s="1"/>
  <c r="V37" i="18" s="1"/>
  <c r="E71" i="19"/>
  <c r="L70" i="19"/>
  <c r="P70" i="19"/>
  <c r="AC53" i="19"/>
  <c r="AE53" i="19" s="1"/>
  <c r="AF53" i="19" s="1"/>
  <c r="BC53" i="19" s="1"/>
  <c r="AC53" i="18"/>
  <c r="AE53" i="18" s="1"/>
  <c r="AF53" i="18" s="1"/>
  <c r="BC53" i="18" s="1"/>
  <c r="X54" i="18"/>
  <c r="AA54" i="18" s="1"/>
  <c r="AB54" i="18" s="1"/>
  <c r="X54" i="19"/>
  <c r="AA54" i="19" s="1"/>
  <c r="AB54" i="19" s="1"/>
  <c r="AD54" i="19" s="1"/>
  <c r="U44" i="10"/>
  <c r="AW115" i="19"/>
  <c r="AV115" i="19"/>
  <c r="BE31" i="3"/>
  <c r="BG31" i="3" s="1"/>
  <c r="BD32" i="3"/>
  <c r="AT222" i="7"/>
  <c r="AV222" i="7" s="1"/>
  <c r="W226" i="7"/>
  <c r="AQ226" i="7" s="1"/>
  <c r="AQ225" i="7"/>
  <c r="N224" i="7"/>
  <c r="AG223" i="7"/>
  <c r="AM223" i="7" s="1"/>
  <c r="AS223" i="7"/>
  <c r="H226" i="7"/>
  <c r="Z226" i="7" s="1"/>
  <c r="AF226" i="7" s="1"/>
  <c r="Z225" i="7"/>
  <c r="AF225" i="7" s="1"/>
  <c r="T224" i="7"/>
  <c r="AN223" i="7"/>
  <c r="A26" i="10"/>
  <c r="AC26" i="10" s="1"/>
  <c r="A38" i="18"/>
  <c r="AT188" i="7"/>
  <c r="F127" i="17"/>
  <c r="D225" i="7" s="1"/>
  <c r="G126" i="17"/>
  <c r="AR116" i="19" s="1"/>
  <c r="AU116" i="19" s="1"/>
  <c r="V192" i="7"/>
  <c r="AP192" i="7" s="1"/>
  <c r="AP191" i="7"/>
  <c r="J192" i="7"/>
  <c r="AB192" i="7" s="1"/>
  <c r="AB191" i="7"/>
  <c r="L192" i="7"/>
  <c r="AD192" i="7" s="1"/>
  <c r="AD191" i="7"/>
  <c r="U192" i="7"/>
  <c r="AO192" i="7" s="1"/>
  <c r="AO191" i="7"/>
  <c r="I192" i="7"/>
  <c r="AA192" i="7" s="1"/>
  <c r="AA191" i="7"/>
  <c r="K192" i="7"/>
  <c r="AC192" i="7" s="1"/>
  <c r="AC191" i="7"/>
  <c r="N190" i="7"/>
  <c r="AG189" i="7"/>
  <c r="AM189" i="7" s="1"/>
  <c r="AS189" i="7"/>
  <c r="AN189" i="7"/>
  <c r="F126" i="16"/>
  <c r="D189" i="7"/>
  <c r="AP41" i="10"/>
  <c r="AL42" i="10"/>
  <c r="S43" i="10"/>
  <c r="J86" i="4"/>
  <c r="L85" i="4"/>
  <c r="T43" i="10" s="1"/>
  <c r="AN42" i="10"/>
  <c r="X54" i="3"/>
  <c r="AK42" i="10"/>
  <c r="AO42" i="10"/>
  <c r="AY33" i="3"/>
  <c r="AZ33" i="3" s="1"/>
  <c r="BK33" i="3" s="1"/>
  <c r="BL33" i="3" s="1"/>
  <c r="BN33" i="3" s="1"/>
  <c r="K51" i="10"/>
  <c r="S58" i="9"/>
  <c r="Q58" i="9"/>
  <c r="P58" i="9"/>
  <c r="F107" i="4"/>
  <c r="C115" i="7"/>
  <c r="G107" i="4"/>
  <c r="D115" i="7"/>
  <c r="X47" i="10"/>
  <c r="AH26" i="10"/>
  <c r="AG26" i="10"/>
  <c r="AA62" i="10"/>
  <c r="W63" i="10"/>
  <c r="AI25" i="10"/>
  <c r="R180" i="1"/>
  <c r="H180" i="1"/>
  <c r="C181" i="1"/>
  <c r="O76" i="3"/>
  <c r="AU76" i="3"/>
  <c r="AV76" i="3" s="1"/>
  <c r="V44" i="10"/>
  <c r="Y43" i="10"/>
  <c r="L61" i="10"/>
  <c r="D72" i="3"/>
  <c r="S95" i="4"/>
  <c r="J52" i="10"/>
  <c r="L63" i="3"/>
  <c r="P63" i="3"/>
  <c r="R95" i="4"/>
  <c r="I52" i="10"/>
  <c r="N95" i="4"/>
  <c r="E52" i="10"/>
  <c r="K69" i="4"/>
  <c r="B27" i="10"/>
  <c r="O95" i="4"/>
  <c r="F52" i="10"/>
  <c r="Q95" i="4"/>
  <c r="H52" i="10"/>
  <c r="H66" i="8" s="1"/>
  <c r="M95" i="4"/>
  <c r="D52" i="10"/>
  <c r="T94" i="4"/>
  <c r="P95" i="4"/>
  <c r="G52" i="10"/>
  <c r="B66" i="8" s="1"/>
  <c r="Y39" i="8"/>
  <c r="Z39" i="8" s="1"/>
  <c r="AC36" i="3"/>
  <c r="AE36" i="3" s="1"/>
  <c r="AF36" i="3" s="1"/>
  <c r="BC36" i="3" s="1"/>
  <c r="AB36" i="3"/>
  <c r="AD36" i="3" s="1"/>
  <c r="AW35" i="3"/>
  <c r="U36" i="3"/>
  <c r="V36" i="3" s="1"/>
  <c r="AW34" i="3"/>
  <c r="AX34" i="3"/>
  <c r="R36" i="3"/>
  <c r="T36" i="3" s="1"/>
  <c r="Q37" i="3"/>
  <c r="R37" i="3" s="1"/>
  <c r="AA37" i="3"/>
  <c r="AG39" i="8"/>
  <c r="AH39" i="8" s="1"/>
  <c r="Q39" i="8"/>
  <c r="R39" i="8" s="1"/>
  <c r="J32" i="9"/>
  <c r="G32" i="9"/>
  <c r="H32" i="9"/>
  <c r="AF40" i="8"/>
  <c r="L40" i="8"/>
  <c r="T40" i="8"/>
  <c r="AA40" i="8"/>
  <c r="M40" i="8"/>
  <c r="U40" i="8"/>
  <c r="AD40" i="8"/>
  <c r="AE40" i="8"/>
  <c r="P40" i="8"/>
  <c r="W40" i="8"/>
  <c r="C38" i="3"/>
  <c r="N38" i="3" s="1"/>
  <c r="AC40" i="8"/>
  <c r="X40" i="8"/>
  <c r="AG40" i="8"/>
  <c r="K40" i="8"/>
  <c r="S40" i="8"/>
  <c r="O40" i="8"/>
  <c r="N40" i="8"/>
  <c r="V40" i="8"/>
  <c r="AB40" i="8"/>
  <c r="A77" i="7"/>
  <c r="A69" i="4"/>
  <c r="A39" i="19" s="1"/>
  <c r="A40" i="8"/>
  <c r="A33" i="9"/>
  <c r="A38" i="3"/>
  <c r="AL54" i="3" l="1"/>
  <c r="AM54" i="3"/>
  <c r="AM54" i="19"/>
  <c r="AO54" i="19" s="1"/>
  <c r="AP54" i="19" s="1"/>
  <c r="BJ54" i="19" s="1"/>
  <c r="AL54" i="19"/>
  <c r="AN54" i="19" s="1"/>
  <c r="AM54" i="18"/>
  <c r="AO54" i="18" s="1"/>
  <c r="AP54" i="18" s="1"/>
  <c r="BJ54" i="18" s="1"/>
  <c r="AL54" i="18"/>
  <c r="AN54" i="18" s="1"/>
  <c r="AR41" i="10"/>
  <c r="AS41" i="10"/>
  <c r="AL43" i="10"/>
  <c r="AH55" i="18"/>
  <c r="AK55" i="18" s="1"/>
  <c r="AH55" i="19"/>
  <c r="AK55" i="19" s="1"/>
  <c r="AH55" i="3"/>
  <c r="AK55" i="3" s="1"/>
  <c r="R208" i="11"/>
  <c r="S208" i="11" s="1"/>
  <c r="AD54" i="18"/>
  <c r="BI37" i="18"/>
  <c r="BL37" i="18" s="1"/>
  <c r="BN37" i="18" s="1"/>
  <c r="BB37" i="18"/>
  <c r="BE37" i="18" s="1"/>
  <c r="BG37" i="18" s="1"/>
  <c r="BB37" i="19"/>
  <c r="BE37" i="19" s="1"/>
  <c r="BG37" i="19" s="1"/>
  <c r="BI37" i="19"/>
  <c r="BL37" i="19" s="1"/>
  <c r="BN37" i="19" s="1"/>
  <c r="BB36" i="3"/>
  <c r="BI36" i="3"/>
  <c r="J193" i="6"/>
  <c r="P193" i="6" s="1"/>
  <c r="T193" i="6" s="1"/>
  <c r="AY56" i="6" s="1"/>
  <c r="J227" i="6"/>
  <c r="P227" i="6" s="1"/>
  <c r="T227" i="6" s="1"/>
  <c r="BE56" i="6" s="1"/>
  <c r="AN48" i="3"/>
  <c r="AO48" i="3"/>
  <c r="AP48" i="3" s="1"/>
  <c r="BJ48" i="3" s="1"/>
  <c r="AF26" i="10"/>
  <c r="AD26" i="10"/>
  <c r="S38" i="18"/>
  <c r="U38" i="18" s="1"/>
  <c r="V38" i="18" s="1"/>
  <c r="R38" i="18"/>
  <c r="T38" i="18" s="1"/>
  <c r="S38" i="19"/>
  <c r="U38" i="19" s="1"/>
  <c r="V38" i="19" s="1"/>
  <c r="R38" i="19"/>
  <c r="T38" i="19" s="1"/>
  <c r="E72" i="18"/>
  <c r="P71" i="18"/>
  <c r="L71" i="18"/>
  <c r="D73" i="19"/>
  <c r="D73" i="18"/>
  <c r="E72" i="19"/>
  <c r="P71" i="19"/>
  <c r="L71" i="19"/>
  <c r="J39" i="8"/>
  <c r="F40" i="8"/>
  <c r="C40" i="8"/>
  <c r="G40" i="8"/>
  <c r="D40" i="8"/>
  <c r="E40" i="8"/>
  <c r="I40" i="8"/>
  <c r="C27" i="10"/>
  <c r="AH27" i="10" s="1"/>
  <c r="C39" i="19"/>
  <c r="N39" i="19" s="1"/>
  <c r="Q39" i="19" s="1"/>
  <c r="C39" i="18"/>
  <c r="N39" i="18" s="1"/>
  <c r="Q39" i="18" s="1"/>
  <c r="AC54" i="19"/>
  <c r="AE54" i="19" s="1"/>
  <c r="AF54" i="19" s="1"/>
  <c r="BC54" i="19" s="1"/>
  <c r="AC54" i="18"/>
  <c r="AE54" i="18" s="1"/>
  <c r="AF54" i="18" s="1"/>
  <c r="BC54" i="18" s="1"/>
  <c r="X55" i="18"/>
  <c r="AA55" i="18" s="1"/>
  <c r="AC55" i="18" s="1"/>
  <c r="AE55" i="18" s="1"/>
  <c r="AF55" i="18" s="1"/>
  <c r="BC55" i="18" s="1"/>
  <c r="X55" i="19"/>
  <c r="AA55" i="19" s="1"/>
  <c r="AC55" i="19" s="1"/>
  <c r="AE55" i="19" s="1"/>
  <c r="AF55" i="19" s="1"/>
  <c r="BC55" i="19" s="1"/>
  <c r="U45" i="10"/>
  <c r="AV116" i="19"/>
  <c r="AW116" i="19"/>
  <c r="BE32" i="3"/>
  <c r="BG32" i="3" s="1"/>
  <c r="BD33" i="3"/>
  <c r="AT223" i="7"/>
  <c r="AV223" i="7" s="1"/>
  <c r="AG224" i="7"/>
  <c r="AM224" i="7" s="1"/>
  <c r="N225" i="7"/>
  <c r="AS224" i="7"/>
  <c r="T225" i="7"/>
  <c r="AN224" i="7"/>
  <c r="A27" i="10"/>
  <c r="AC27" i="10" s="1"/>
  <c r="A39" i="18"/>
  <c r="AY35" i="3"/>
  <c r="AZ35" i="3" s="1"/>
  <c r="BK35" i="3" s="1"/>
  <c r="BL35" i="3" s="1"/>
  <c r="BN35" i="3" s="1"/>
  <c r="F128" i="17"/>
  <c r="G127" i="17"/>
  <c r="AR117" i="19" s="1"/>
  <c r="AU117" i="19" s="1"/>
  <c r="N191" i="7"/>
  <c r="AG190" i="7"/>
  <c r="AM190" i="7" s="1"/>
  <c r="AS190" i="7"/>
  <c r="AT189" i="7"/>
  <c r="F127" i="16"/>
  <c r="D190" i="7"/>
  <c r="AN190" i="7"/>
  <c r="AN191" i="7"/>
  <c r="AM43" i="10"/>
  <c r="AP42" i="10"/>
  <c r="AN43" i="10"/>
  <c r="AK43" i="10"/>
  <c r="X55" i="3"/>
  <c r="AO43" i="10"/>
  <c r="S44" i="10"/>
  <c r="L86" i="4"/>
  <c r="T44" i="10" s="1"/>
  <c r="J87" i="4"/>
  <c r="AY34" i="3"/>
  <c r="AZ34" i="3" s="1"/>
  <c r="BK34" i="3" s="1"/>
  <c r="BL34" i="3" s="1"/>
  <c r="BN34" i="3" s="1"/>
  <c r="G108" i="4"/>
  <c r="D116" i="7"/>
  <c r="K52" i="10"/>
  <c r="S59" i="9"/>
  <c r="Q59" i="9"/>
  <c r="P59" i="9"/>
  <c r="F108" i="4"/>
  <c r="C116" i="7"/>
  <c r="AA63" i="10"/>
  <c r="W64" i="10"/>
  <c r="AD27" i="10"/>
  <c r="AI26" i="10"/>
  <c r="X48" i="10"/>
  <c r="H181" i="1"/>
  <c r="C182" i="1"/>
  <c r="R181" i="1"/>
  <c r="AU77" i="3"/>
  <c r="AV77" i="3" s="1"/>
  <c r="O77" i="3"/>
  <c r="L62" i="10"/>
  <c r="D73" i="3"/>
  <c r="V45" i="10"/>
  <c r="Y44" i="10"/>
  <c r="P96" i="4"/>
  <c r="G53" i="10"/>
  <c r="B67" i="8" s="1"/>
  <c r="M96" i="4"/>
  <c r="D53" i="10"/>
  <c r="T95" i="4"/>
  <c r="L64" i="3"/>
  <c r="P64" i="3"/>
  <c r="O96" i="4"/>
  <c r="F53" i="10"/>
  <c r="R96" i="4"/>
  <c r="I53" i="10"/>
  <c r="K70" i="4"/>
  <c r="B28" i="10"/>
  <c r="Q96" i="4"/>
  <c r="H53" i="10"/>
  <c r="H67" i="8" s="1"/>
  <c r="N96" i="4"/>
  <c r="E53" i="10"/>
  <c r="S96" i="4"/>
  <c r="J53" i="10"/>
  <c r="T37" i="3"/>
  <c r="Y40" i="8"/>
  <c r="Z40" i="8" s="1"/>
  <c r="S37" i="3"/>
  <c r="U37" i="3" s="1"/>
  <c r="V37" i="3" s="1"/>
  <c r="AB37" i="3"/>
  <c r="AD37" i="3" s="1"/>
  <c r="AC37" i="3"/>
  <c r="AE37" i="3" s="1"/>
  <c r="AF37" i="3" s="1"/>
  <c r="BC37" i="3" s="1"/>
  <c r="AX35" i="3"/>
  <c r="Q38" i="3"/>
  <c r="R38" i="3" s="1"/>
  <c r="AA38" i="3"/>
  <c r="Q40" i="8"/>
  <c r="R40" i="8" s="1"/>
  <c r="AG41" i="8"/>
  <c r="J33" i="9"/>
  <c r="G33" i="9"/>
  <c r="H33" i="9"/>
  <c r="L41" i="8"/>
  <c r="P41" i="8"/>
  <c r="U41" i="8"/>
  <c r="Y41" i="8"/>
  <c r="AC41" i="8"/>
  <c r="M41" i="8"/>
  <c r="V41" i="8"/>
  <c r="AD41" i="8"/>
  <c r="N41" i="8"/>
  <c r="S41" i="8"/>
  <c r="W41" i="8"/>
  <c r="AA41" i="8"/>
  <c r="AE41" i="8"/>
  <c r="T41" i="8"/>
  <c r="X41" i="8"/>
  <c r="K41" i="8"/>
  <c r="AB41" i="8"/>
  <c r="O41" i="8"/>
  <c r="AF41" i="8"/>
  <c r="C39" i="3"/>
  <c r="N39" i="3" s="1"/>
  <c r="AH40" i="8"/>
  <c r="A78" i="7"/>
  <c r="A70" i="4"/>
  <c r="A40" i="19" s="1"/>
  <c r="A34" i="9"/>
  <c r="A39" i="3"/>
  <c r="A41" i="8"/>
  <c r="AL44" i="10" l="1"/>
  <c r="AH56" i="18"/>
  <c r="AK56" i="18" s="1"/>
  <c r="AH56" i="19"/>
  <c r="AK56" i="19" s="1"/>
  <c r="AH56" i="3"/>
  <c r="AK56" i="3" s="1"/>
  <c r="AM55" i="3"/>
  <c r="AL55" i="3"/>
  <c r="AL55" i="19"/>
  <c r="AN55" i="19" s="1"/>
  <c r="AM55" i="19"/>
  <c r="AO55" i="19" s="1"/>
  <c r="AP55" i="19" s="1"/>
  <c r="BJ55" i="19" s="1"/>
  <c r="AM55" i="18"/>
  <c r="AO55" i="18" s="1"/>
  <c r="AP55" i="18" s="1"/>
  <c r="BJ55" i="18" s="1"/>
  <c r="AL55" i="18"/>
  <c r="AN55" i="18" s="1"/>
  <c r="AR42" i="10"/>
  <c r="AS42" i="10"/>
  <c r="T208" i="11"/>
  <c r="AI60" i="6" s="1"/>
  <c r="V208" i="11"/>
  <c r="U208" i="11"/>
  <c r="CE128" i="11" s="1"/>
  <c r="CE60" i="6" s="1"/>
  <c r="AT190" i="7"/>
  <c r="BI38" i="18"/>
  <c r="BL38" i="18" s="1"/>
  <c r="BN38" i="18" s="1"/>
  <c r="BB38" i="18"/>
  <c r="BE38" i="18" s="1"/>
  <c r="BG38" i="18" s="1"/>
  <c r="BB38" i="19"/>
  <c r="BE38" i="19" s="1"/>
  <c r="BG38" i="19" s="1"/>
  <c r="BI38" i="19"/>
  <c r="BL38" i="19" s="1"/>
  <c r="BN38" i="19" s="1"/>
  <c r="BB37" i="3"/>
  <c r="BI37" i="3"/>
  <c r="J194" i="6"/>
  <c r="P194" i="6" s="1"/>
  <c r="T194" i="6" s="1"/>
  <c r="AY57" i="6" s="1"/>
  <c r="J228" i="6"/>
  <c r="P228" i="6" s="1"/>
  <c r="T228" i="6" s="1"/>
  <c r="BE57" i="6" s="1"/>
  <c r="AN49" i="3"/>
  <c r="AO49" i="3"/>
  <c r="AP49" i="3" s="1"/>
  <c r="BJ49" i="3" s="1"/>
  <c r="AF27" i="10"/>
  <c r="AG27" i="10"/>
  <c r="AE27" i="10"/>
  <c r="S39" i="19"/>
  <c r="U39" i="19" s="1"/>
  <c r="V39" i="19" s="1"/>
  <c r="R39" i="19"/>
  <c r="T39" i="19" s="1"/>
  <c r="C28" i="10"/>
  <c r="AD28" i="10" s="1"/>
  <c r="C40" i="19"/>
  <c r="N40" i="19" s="1"/>
  <c r="Q40" i="19" s="1"/>
  <c r="C40" i="18"/>
  <c r="N40" i="18" s="1"/>
  <c r="Q40" i="18" s="1"/>
  <c r="D74" i="19"/>
  <c r="D74" i="18"/>
  <c r="C41" i="8"/>
  <c r="G41" i="8"/>
  <c r="D41" i="8"/>
  <c r="E41" i="8"/>
  <c r="F41" i="8"/>
  <c r="I41" i="8"/>
  <c r="J40" i="8"/>
  <c r="S39" i="18"/>
  <c r="U39" i="18" s="1"/>
  <c r="V39" i="18" s="1"/>
  <c r="R39" i="18"/>
  <c r="T39" i="18" s="1"/>
  <c r="E73" i="19"/>
  <c r="P72" i="19"/>
  <c r="L72" i="19"/>
  <c r="L72" i="18"/>
  <c r="E73" i="18"/>
  <c r="P72" i="18"/>
  <c r="AB55" i="19"/>
  <c r="AD55" i="19" s="1"/>
  <c r="AB55" i="18"/>
  <c r="AD55" i="18" s="1"/>
  <c r="X56" i="18"/>
  <c r="AA56" i="18" s="1"/>
  <c r="AC56" i="18" s="1"/>
  <c r="X56" i="19"/>
  <c r="AA56" i="19" s="1"/>
  <c r="AC56" i="19" s="1"/>
  <c r="U46" i="10"/>
  <c r="AW117" i="19"/>
  <c r="AV117" i="19"/>
  <c r="BD35" i="3"/>
  <c r="BE33" i="3"/>
  <c r="BG33" i="3" s="1"/>
  <c r="BD34" i="3"/>
  <c r="BE34" i="3" s="1"/>
  <c r="BG34" i="3" s="1"/>
  <c r="T226" i="7"/>
  <c r="AN226" i="7" s="1"/>
  <c r="AN225" i="7"/>
  <c r="AT224" i="7"/>
  <c r="AV224" i="7" s="1"/>
  <c r="AG225" i="7"/>
  <c r="AM225" i="7" s="1"/>
  <c r="N226" i="7"/>
  <c r="AS225" i="7"/>
  <c r="G128" i="17"/>
  <c r="AR118" i="19" s="1"/>
  <c r="D226" i="7"/>
  <c r="A28" i="10"/>
  <c r="AC28" i="10" s="1"/>
  <c r="A40" i="18"/>
  <c r="N192" i="7"/>
  <c r="AG191" i="7"/>
  <c r="AM191" i="7" s="1"/>
  <c r="AS191" i="7"/>
  <c r="AT191" i="7" s="1"/>
  <c r="F128" i="16"/>
  <c r="D191" i="7"/>
  <c r="AP43" i="10"/>
  <c r="S45" i="10"/>
  <c r="J88" i="4"/>
  <c r="L87" i="4"/>
  <c r="T45" i="10" s="1"/>
  <c r="AN44" i="10"/>
  <c r="AK44" i="10"/>
  <c r="X56" i="3"/>
  <c r="AO44" i="10"/>
  <c r="AM44" i="10"/>
  <c r="K53" i="10"/>
  <c r="Q60" i="9"/>
  <c r="S60" i="9"/>
  <c r="P60" i="9"/>
  <c r="F109" i="4"/>
  <c r="C117" i="7"/>
  <c r="G109" i="4"/>
  <c r="D117" i="7"/>
  <c r="AF28" i="10"/>
  <c r="AE28" i="10"/>
  <c r="W65" i="10"/>
  <c r="X49" i="10"/>
  <c r="AI27" i="10"/>
  <c r="AA64" i="10"/>
  <c r="AU78" i="3"/>
  <c r="AV78" i="3" s="1"/>
  <c r="O78" i="3"/>
  <c r="R182" i="1"/>
  <c r="H182" i="1"/>
  <c r="C183" i="1"/>
  <c r="V46" i="10"/>
  <c r="Y45" i="10"/>
  <c r="L63" i="10"/>
  <c r="D74" i="3"/>
  <c r="S97" i="4"/>
  <c r="J54" i="10"/>
  <c r="M97" i="4"/>
  <c r="D54" i="10"/>
  <c r="T96" i="4"/>
  <c r="Q97" i="4"/>
  <c r="H54" i="10"/>
  <c r="H68" i="8" s="1"/>
  <c r="O97" i="4"/>
  <c r="F54" i="10"/>
  <c r="L65" i="3"/>
  <c r="P65" i="3"/>
  <c r="K71" i="4"/>
  <c r="B29" i="10"/>
  <c r="N97" i="4"/>
  <c r="E54" i="10"/>
  <c r="R97" i="4"/>
  <c r="I54" i="10"/>
  <c r="P97" i="4"/>
  <c r="G54" i="10"/>
  <c r="B68" i="8" s="1"/>
  <c r="T38" i="3"/>
  <c r="Q41" i="8"/>
  <c r="R41" i="8" s="1"/>
  <c r="S38" i="3"/>
  <c r="U38" i="3" s="1"/>
  <c r="V38" i="3" s="1"/>
  <c r="AB38" i="3"/>
  <c r="AD38" i="3" s="1"/>
  <c r="AC38" i="3"/>
  <c r="AE38" i="3" s="1"/>
  <c r="AF38" i="3" s="1"/>
  <c r="BC38" i="3" s="1"/>
  <c r="AW37" i="3"/>
  <c r="AW36" i="3"/>
  <c r="AX36" i="3"/>
  <c r="Q39" i="3"/>
  <c r="S39" i="3" s="1"/>
  <c r="AA39" i="3"/>
  <c r="AG42" i="8"/>
  <c r="AH41" i="8"/>
  <c r="H34" i="9"/>
  <c r="G34" i="9"/>
  <c r="J34" i="9"/>
  <c r="O42" i="8"/>
  <c r="AB42" i="8"/>
  <c r="S42" i="8"/>
  <c r="AC42" i="8"/>
  <c r="W42" i="8"/>
  <c r="N42" i="8"/>
  <c r="C40" i="3"/>
  <c r="N40" i="3" s="1"/>
  <c r="V42" i="8"/>
  <c r="M42" i="8"/>
  <c r="AA42" i="8"/>
  <c r="U42" i="8"/>
  <c r="AF42" i="8"/>
  <c r="AE42" i="8"/>
  <c r="AD42" i="8"/>
  <c r="T42" i="8"/>
  <c r="K42" i="8"/>
  <c r="L42" i="8"/>
  <c r="X42" i="8"/>
  <c r="P42" i="8"/>
  <c r="Z41" i="8"/>
  <c r="A79" i="7"/>
  <c r="A35" i="9"/>
  <c r="A71" i="4"/>
  <c r="A41" i="19" s="1"/>
  <c r="A40" i="3"/>
  <c r="A42" i="8"/>
  <c r="AL45" i="10" l="1"/>
  <c r="AH57" i="18"/>
  <c r="AK57" i="18" s="1"/>
  <c r="AH57" i="19"/>
  <c r="AK57" i="19" s="1"/>
  <c r="AH57" i="3"/>
  <c r="AK57" i="3" s="1"/>
  <c r="AS43" i="10"/>
  <c r="AR43" i="10"/>
  <c r="AM56" i="3"/>
  <c r="AL56" i="3"/>
  <c r="AM56" i="19"/>
  <c r="AO56" i="19" s="1"/>
  <c r="AP56" i="19" s="1"/>
  <c r="BJ56" i="19" s="1"/>
  <c r="AL56" i="19"/>
  <c r="AN56" i="19" s="1"/>
  <c r="AM56" i="18"/>
  <c r="AO56" i="18" s="1"/>
  <c r="AP56" i="18" s="1"/>
  <c r="BJ56" i="18" s="1"/>
  <c r="AL56" i="18"/>
  <c r="AN56" i="18" s="1"/>
  <c r="W208" i="11"/>
  <c r="AA208" i="11"/>
  <c r="AB208" i="11"/>
  <c r="Y208" i="11"/>
  <c r="Z208" i="11"/>
  <c r="K148" i="9" s="1"/>
  <c r="X208" i="11"/>
  <c r="BB38" i="3"/>
  <c r="BI38" i="3"/>
  <c r="BB39" i="19"/>
  <c r="BE39" i="19" s="1"/>
  <c r="BG39" i="19" s="1"/>
  <c r="BI39" i="19"/>
  <c r="BL39" i="19" s="1"/>
  <c r="BN39" i="19" s="1"/>
  <c r="BI39" i="18"/>
  <c r="BL39" i="18" s="1"/>
  <c r="BN39" i="18" s="1"/>
  <c r="BB39" i="18"/>
  <c r="BE39" i="18" s="1"/>
  <c r="BG39" i="18" s="1"/>
  <c r="J195" i="6"/>
  <c r="P195" i="6" s="1"/>
  <c r="T195" i="6" s="1"/>
  <c r="AY58" i="6" s="1"/>
  <c r="J229" i="6"/>
  <c r="P229" i="6" s="1"/>
  <c r="T229" i="6" s="1"/>
  <c r="BE58" i="6" s="1"/>
  <c r="AE56" i="19"/>
  <c r="AF56" i="19" s="1"/>
  <c r="BC56" i="19" s="1"/>
  <c r="AO50" i="3"/>
  <c r="AP50" i="3" s="1"/>
  <c r="BJ50" i="3" s="1"/>
  <c r="AN50" i="3"/>
  <c r="D75" i="19"/>
  <c r="D75" i="18"/>
  <c r="AE56" i="18"/>
  <c r="AF56" i="18" s="1"/>
  <c r="BC56" i="18" s="1"/>
  <c r="P73" i="18"/>
  <c r="L73" i="18"/>
  <c r="E74" i="18"/>
  <c r="E74" i="19"/>
  <c r="L73" i="19"/>
  <c r="P73" i="19"/>
  <c r="D42" i="8"/>
  <c r="E42" i="8"/>
  <c r="I42" i="8"/>
  <c r="F42" i="8"/>
  <c r="G42" i="8"/>
  <c r="C42" i="8"/>
  <c r="C29" i="10"/>
  <c r="AH29" i="10" s="1"/>
  <c r="C41" i="19"/>
  <c r="N41" i="19" s="1"/>
  <c r="Q41" i="19" s="1"/>
  <c r="C41" i="18"/>
  <c r="N41" i="18" s="1"/>
  <c r="Q41" i="18" s="1"/>
  <c r="AH28" i="10"/>
  <c r="J41" i="8"/>
  <c r="R40" i="18"/>
  <c r="T40" i="18" s="1"/>
  <c r="S40" i="18"/>
  <c r="U40" i="18" s="1"/>
  <c r="V40" i="18" s="1"/>
  <c r="AG28" i="10"/>
  <c r="AI28" i="10" s="1"/>
  <c r="X57" i="18"/>
  <c r="AA57" i="18" s="1"/>
  <c r="AC57" i="18" s="1"/>
  <c r="S40" i="19"/>
  <c r="U40" i="19" s="1"/>
  <c r="V40" i="19" s="1"/>
  <c r="R40" i="19"/>
  <c r="T40" i="19" s="1"/>
  <c r="AT225" i="7"/>
  <c r="AV225" i="7" s="1"/>
  <c r="AB56" i="18"/>
  <c r="AD56" i="18" s="1"/>
  <c r="AB56" i="19"/>
  <c r="AD56" i="19" s="1"/>
  <c r="X57" i="19"/>
  <c r="AA57" i="19" s="1"/>
  <c r="AB57" i="19" s="1"/>
  <c r="U47" i="10"/>
  <c r="AG226" i="7"/>
  <c r="AM226" i="7" s="1"/>
  <c r="AS226" i="7"/>
  <c r="AT226" i="7" s="1"/>
  <c r="A29" i="10"/>
  <c r="AC29" i="10" s="1"/>
  <c r="A41" i="18"/>
  <c r="AG192" i="7"/>
  <c r="AM192" i="7" s="1"/>
  <c r="AS192" i="7"/>
  <c r="AT192" i="7" s="1"/>
  <c r="G128" i="16"/>
  <c r="AR118" i="18" s="1"/>
  <c r="D192" i="7"/>
  <c r="AM45" i="10"/>
  <c r="AP44" i="10"/>
  <c r="AN45" i="10"/>
  <c r="X57" i="3"/>
  <c r="AK45" i="10"/>
  <c r="AO45" i="10"/>
  <c r="S46" i="10"/>
  <c r="J89" i="4"/>
  <c r="L88" i="4"/>
  <c r="T46" i="10" s="1"/>
  <c r="AY36" i="3"/>
  <c r="AZ36" i="3" s="1"/>
  <c r="BK36" i="3" s="1"/>
  <c r="BL36" i="3" s="1"/>
  <c r="BN36" i="3" s="1"/>
  <c r="AY37" i="3"/>
  <c r="AZ37" i="3" s="1"/>
  <c r="BK37" i="3" s="1"/>
  <c r="BL37" i="3" s="1"/>
  <c r="BN37" i="3" s="1"/>
  <c r="K54" i="10"/>
  <c r="Q61" i="9"/>
  <c r="P61" i="9"/>
  <c r="S61" i="9"/>
  <c r="G110" i="4"/>
  <c r="D118" i="7"/>
  <c r="F110" i="4"/>
  <c r="C118" i="7"/>
  <c r="AF29" i="10"/>
  <c r="X50" i="10"/>
  <c r="AA65" i="10"/>
  <c r="W66" i="10"/>
  <c r="O79" i="3"/>
  <c r="AU79" i="3"/>
  <c r="AV79" i="3" s="1"/>
  <c r="H183" i="1"/>
  <c r="C184" i="1"/>
  <c r="R183" i="1"/>
  <c r="V47" i="10"/>
  <c r="Y46" i="10"/>
  <c r="L64" i="10"/>
  <c r="D75" i="3"/>
  <c r="U39" i="3"/>
  <c r="V39" i="3" s="1"/>
  <c r="K72" i="4"/>
  <c r="B30" i="10"/>
  <c r="P98" i="4"/>
  <c r="G55" i="10"/>
  <c r="B69" i="8" s="1"/>
  <c r="Q98" i="4"/>
  <c r="H55" i="10"/>
  <c r="M98" i="4"/>
  <c r="D55" i="10"/>
  <c r="T97" i="4"/>
  <c r="O98" i="4"/>
  <c r="F55" i="10"/>
  <c r="N98" i="4"/>
  <c r="E55" i="10"/>
  <c r="P66" i="3"/>
  <c r="L66" i="3"/>
  <c r="R98" i="4"/>
  <c r="I55" i="10"/>
  <c r="S98" i="4"/>
  <c r="J55" i="10"/>
  <c r="AB39" i="3"/>
  <c r="AD39" i="3" s="1"/>
  <c r="AC39" i="3"/>
  <c r="AE39" i="3" s="1"/>
  <c r="AF39" i="3" s="1"/>
  <c r="BC39" i="3" s="1"/>
  <c r="AW38" i="3"/>
  <c r="AX37" i="3"/>
  <c r="Q40" i="3"/>
  <c r="R40" i="3" s="1"/>
  <c r="AA40" i="3"/>
  <c r="R39" i="3"/>
  <c r="T39" i="3" s="1"/>
  <c r="Q42" i="8"/>
  <c r="R42" i="8" s="1"/>
  <c r="Y42" i="8"/>
  <c r="Z42" i="8" s="1"/>
  <c r="AF43" i="8"/>
  <c r="K43" i="8"/>
  <c r="T43" i="8"/>
  <c r="AA43" i="8"/>
  <c r="M43" i="8"/>
  <c r="U43" i="8"/>
  <c r="AC43" i="8"/>
  <c r="O43" i="8"/>
  <c r="V43" i="8"/>
  <c r="AE43" i="8"/>
  <c r="C41" i="3"/>
  <c r="N41" i="3" s="1"/>
  <c r="W43" i="8"/>
  <c r="AB43" i="8"/>
  <c r="L43" i="8"/>
  <c r="AD43" i="8"/>
  <c r="X43" i="8"/>
  <c r="P43" i="8"/>
  <c r="N43" i="8"/>
  <c r="S43" i="8"/>
  <c r="AH42" i="8"/>
  <c r="G35" i="9"/>
  <c r="J35" i="9"/>
  <c r="H35" i="9"/>
  <c r="A80" i="7"/>
  <c r="A36" i="9"/>
  <c r="A43" i="8"/>
  <c r="A72" i="4"/>
  <c r="A42" i="19" s="1"/>
  <c r="A41" i="3"/>
  <c r="AR44" i="10" l="1"/>
  <c r="AS44" i="10"/>
  <c r="AM46" i="10"/>
  <c r="AH58" i="18"/>
  <c r="AK58" i="18" s="1"/>
  <c r="AH58" i="19"/>
  <c r="AK58" i="19" s="1"/>
  <c r="AH58" i="3"/>
  <c r="AK58" i="3" s="1"/>
  <c r="AM57" i="3"/>
  <c r="AL57" i="3"/>
  <c r="AM57" i="19"/>
  <c r="AO57" i="19" s="1"/>
  <c r="AP57" i="19" s="1"/>
  <c r="BJ57" i="19" s="1"/>
  <c r="AL57" i="19"/>
  <c r="AN57" i="19" s="1"/>
  <c r="AM57" i="18"/>
  <c r="AO57" i="18" s="1"/>
  <c r="AP57" i="18" s="1"/>
  <c r="BJ57" i="18" s="1"/>
  <c r="AL57" i="18"/>
  <c r="AN57" i="18" s="1"/>
  <c r="AC208" i="11"/>
  <c r="S148" i="9"/>
  <c r="Q148" i="9"/>
  <c r="P148" i="9"/>
  <c r="BB39" i="3"/>
  <c r="BI39" i="3"/>
  <c r="BB40" i="19"/>
  <c r="BE40" i="19" s="1"/>
  <c r="BG40" i="19" s="1"/>
  <c r="BI40" i="19"/>
  <c r="BL40" i="19" s="1"/>
  <c r="BN40" i="19" s="1"/>
  <c r="BI40" i="18"/>
  <c r="BL40" i="18" s="1"/>
  <c r="BN40" i="18" s="1"/>
  <c r="BB40" i="18"/>
  <c r="BE40" i="18" s="1"/>
  <c r="BG40" i="18" s="1"/>
  <c r="J196" i="6"/>
  <c r="P196" i="6" s="1"/>
  <c r="T196" i="6" s="1"/>
  <c r="AY59" i="6" s="1"/>
  <c r="J230" i="6"/>
  <c r="P230" i="6" s="1"/>
  <c r="T230" i="6" s="1"/>
  <c r="BE59" i="6" s="1"/>
  <c r="AC57" i="19"/>
  <c r="AE57" i="18"/>
  <c r="AF57" i="18" s="1"/>
  <c r="BC57" i="18" s="1"/>
  <c r="AB57" i="18"/>
  <c r="AD57" i="18" s="1"/>
  <c r="AN51" i="3"/>
  <c r="AO51" i="3"/>
  <c r="AP51" i="3" s="1"/>
  <c r="BJ51" i="3" s="1"/>
  <c r="AG29" i="10"/>
  <c r="AE29" i="10"/>
  <c r="AD29" i="10"/>
  <c r="S41" i="19"/>
  <c r="U41" i="19" s="1"/>
  <c r="V41" i="19" s="1"/>
  <c r="R41" i="19"/>
  <c r="T41" i="19" s="1"/>
  <c r="E75" i="19"/>
  <c r="L74" i="19"/>
  <c r="P74" i="19"/>
  <c r="E43" i="8"/>
  <c r="I43" i="8"/>
  <c r="F43" i="8"/>
  <c r="G43" i="8"/>
  <c r="C43" i="8"/>
  <c r="D43" i="8"/>
  <c r="E75" i="18"/>
  <c r="P74" i="18"/>
  <c r="L74" i="18"/>
  <c r="H69" i="8"/>
  <c r="C30" i="10"/>
  <c r="C42" i="19"/>
  <c r="N42" i="19" s="1"/>
  <c r="Q42" i="19" s="1"/>
  <c r="C42" i="18"/>
  <c r="N42" i="18" s="1"/>
  <c r="Q42" i="18" s="1"/>
  <c r="D76" i="19"/>
  <c r="D76" i="18"/>
  <c r="J42" i="8"/>
  <c r="AE57" i="19"/>
  <c r="AF57" i="19" s="1"/>
  <c r="BC57" i="19" s="1"/>
  <c r="AD57" i="19"/>
  <c r="S41" i="18"/>
  <c r="U41" i="18" s="1"/>
  <c r="V41" i="18" s="1"/>
  <c r="R41" i="18"/>
  <c r="T41" i="18" s="1"/>
  <c r="X58" i="18"/>
  <c r="AA58" i="18" s="1"/>
  <c r="AC58" i="18" s="1"/>
  <c r="AE58" i="18" s="1"/>
  <c r="AF58" i="18" s="1"/>
  <c r="BC58" i="18" s="1"/>
  <c r="X58" i="19"/>
  <c r="AA58" i="19" s="1"/>
  <c r="AB58" i="19" s="1"/>
  <c r="AD58" i="19" s="1"/>
  <c r="U48" i="10"/>
  <c r="BD37" i="3"/>
  <c r="BE35" i="3"/>
  <c r="BG35" i="3" s="1"/>
  <c r="BD36" i="3"/>
  <c r="BE36" i="3" s="1"/>
  <c r="BG36" i="3" s="1"/>
  <c r="AV226" i="7"/>
  <c r="A30" i="10"/>
  <c r="AC30" i="10" s="1"/>
  <c r="A42" i="18"/>
  <c r="AY38" i="3"/>
  <c r="AP45" i="10"/>
  <c r="AN46" i="10"/>
  <c r="X58" i="3"/>
  <c r="AK46" i="10"/>
  <c r="AO46" i="10"/>
  <c r="S47" i="10"/>
  <c r="L89" i="4"/>
  <c r="T47" i="10" s="1"/>
  <c r="J90" i="4"/>
  <c r="AL46" i="10"/>
  <c r="K55" i="10"/>
  <c r="P62" i="9"/>
  <c r="S62" i="9"/>
  <c r="Q62" i="9"/>
  <c r="F111" i="4"/>
  <c r="C119" i="7"/>
  <c r="G111" i="4"/>
  <c r="D119" i="7"/>
  <c r="W67" i="10"/>
  <c r="AA66" i="10"/>
  <c r="AD30" i="10"/>
  <c r="AH30" i="10"/>
  <c r="AE30" i="10"/>
  <c r="AF30" i="10"/>
  <c r="AG30" i="10"/>
  <c r="X51" i="10"/>
  <c r="AI29" i="10"/>
  <c r="R184" i="1"/>
  <c r="H184" i="1"/>
  <c r="C185" i="1"/>
  <c r="O80" i="3"/>
  <c r="AU80" i="3"/>
  <c r="AV80" i="3" s="1"/>
  <c r="L65" i="10"/>
  <c r="D76" i="3"/>
  <c r="V48" i="10"/>
  <c r="Y47" i="10"/>
  <c r="S99" i="4"/>
  <c r="J56" i="10"/>
  <c r="N99" i="4"/>
  <c r="E56" i="10"/>
  <c r="K73" i="4"/>
  <c r="B31" i="10"/>
  <c r="L67" i="3"/>
  <c r="P67" i="3"/>
  <c r="P99" i="4"/>
  <c r="G56" i="10"/>
  <c r="Q99" i="4"/>
  <c r="H56" i="10"/>
  <c r="H70" i="8" s="1"/>
  <c r="R99" i="4"/>
  <c r="I56" i="10"/>
  <c r="O99" i="4"/>
  <c r="F56" i="10"/>
  <c r="M99" i="4"/>
  <c r="D56" i="10"/>
  <c r="T98" i="4"/>
  <c r="T40" i="3"/>
  <c r="Q43" i="8"/>
  <c r="R43" i="8" s="1"/>
  <c r="S40" i="3"/>
  <c r="U40" i="3" s="1"/>
  <c r="V40" i="3" s="1"/>
  <c r="AC40" i="3"/>
  <c r="AE40" i="3" s="1"/>
  <c r="AF40" i="3" s="1"/>
  <c r="BC40" i="3" s="1"/>
  <c r="AB40" i="3"/>
  <c r="AD40" i="3" s="1"/>
  <c r="AZ38" i="3"/>
  <c r="BK38" i="3" s="1"/>
  <c r="BL38" i="3" s="1"/>
  <c r="BN38" i="3" s="1"/>
  <c r="AW39" i="3"/>
  <c r="AX38" i="3"/>
  <c r="AX39" i="3" s="1"/>
  <c r="Q41" i="3"/>
  <c r="R41" i="3" s="1"/>
  <c r="AA41" i="3"/>
  <c r="AG43" i="8"/>
  <c r="AH43" i="8" s="1"/>
  <c r="Y43" i="8"/>
  <c r="Z43" i="8" s="1"/>
  <c r="P44" i="8"/>
  <c r="S44" i="8"/>
  <c r="T44" i="8"/>
  <c r="AD44" i="8"/>
  <c r="X44" i="8"/>
  <c r="AB44" i="8"/>
  <c r="N44" i="8"/>
  <c r="C42" i="3"/>
  <c r="N42" i="3" s="1"/>
  <c r="AF44" i="8"/>
  <c r="O44" i="8"/>
  <c r="L44" i="8"/>
  <c r="M44" i="8"/>
  <c r="W44" i="8"/>
  <c r="V44" i="8"/>
  <c r="AC44" i="8"/>
  <c r="U44" i="8"/>
  <c r="AA44" i="8"/>
  <c r="K44" i="8"/>
  <c r="AE44" i="8"/>
  <c r="J36" i="9"/>
  <c r="G36" i="9"/>
  <c r="H36" i="9"/>
  <c r="A81" i="7"/>
  <c r="A73" i="4"/>
  <c r="A43" i="19" s="1"/>
  <c r="A44" i="8"/>
  <c r="A37" i="9"/>
  <c r="A42" i="3"/>
  <c r="AR45" i="10" l="1"/>
  <c r="AS45" i="10"/>
  <c r="AL58" i="3"/>
  <c r="AM58" i="3"/>
  <c r="AM58" i="19"/>
  <c r="AO58" i="19" s="1"/>
  <c r="AP58" i="19" s="1"/>
  <c r="BJ58" i="19" s="1"/>
  <c r="AL58" i="19"/>
  <c r="AN58" i="19" s="1"/>
  <c r="AM58" i="18"/>
  <c r="AO58" i="18" s="1"/>
  <c r="AP58" i="18" s="1"/>
  <c r="BJ58" i="18" s="1"/>
  <c r="AL58" i="18"/>
  <c r="AN58" i="18" s="1"/>
  <c r="AM47" i="10"/>
  <c r="AH59" i="18"/>
  <c r="AK59" i="18" s="1"/>
  <c r="AH59" i="19"/>
  <c r="AK59" i="19" s="1"/>
  <c r="AH59" i="3"/>
  <c r="AK59" i="3" s="1"/>
  <c r="AD208" i="11"/>
  <c r="AG208" i="11"/>
  <c r="AH208" i="11"/>
  <c r="AE208" i="11"/>
  <c r="AH118" i="3" s="1"/>
  <c r="AI208" i="11"/>
  <c r="AF208" i="11"/>
  <c r="BB40" i="3"/>
  <c r="BI40" i="3"/>
  <c r="BI41" i="18"/>
  <c r="BL41" i="18" s="1"/>
  <c r="BN41" i="18" s="1"/>
  <c r="BB41" i="18"/>
  <c r="BE41" i="18" s="1"/>
  <c r="BG41" i="18" s="1"/>
  <c r="BB41" i="19"/>
  <c r="BE41" i="19" s="1"/>
  <c r="BG41" i="19" s="1"/>
  <c r="BI41" i="19"/>
  <c r="BL41" i="19" s="1"/>
  <c r="BN41" i="19" s="1"/>
  <c r="J197" i="6"/>
  <c r="P197" i="6" s="1"/>
  <c r="T197" i="6" s="1"/>
  <c r="AY60" i="6" s="1"/>
  <c r="J231" i="6"/>
  <c r="P231" i="6" s="1"/>
  <c r="T231" i="6" s="1"/>
  <c r="BE60" i="6" s="1"/>
  <c r="AO52" i="3"/>
  <c r="AP52" i="3" s="1"/>
  <c r="BJ52" i="3" s="1"/>
  <c r="AN52" i="3"/>
  <c r="AB58" i="18"/>
  <c r="AD58" i="18" s="1"/>
  <c r="AF70" i="8"/>
  <c r="X70" i="8"/>
  <c r="P70" i="8"/>
  <c r="R42" i="19"/>
  <c r="T42" i="19" s="1"/>
  <c r="S42" i="19"/>
  <c r="U42" i="19" s="1"/>
  <c r="V42" i="19" s="1"/>
  <c r="J43" i="8"/>
  <c r="R42" i="18"/>
  <c r="T42" i="18" s="1"/>
  <c r="S42" i="18"/>
  <c r="U42" i="18" s="1"/>
  <c r="V42" i="18" s="1"/>
  <c r="C31" i="10"/>
  <c r="AE31" i="10" s="1"/>
  <c r="C43" i="19"/>
  <c r="N43" i="19" s="1"/>
  <c r="Q43" i="19" s="1"/>
  <c r="C43" i="18"/>
  <c r="N43" i="18" s="1"/>
  <c r="Q43" i="18" s="1"/>
  <c r="F44" i="8"/>
  <c r="C44" i="8"/>
  <c r="G44" i="8"/>
  <c r="I44" i="8"/>
  <c r="D44" i="8"/>
  <c r="E44" i="8"/>
  <c r="D77" i="3"/>
  <c r="D77" i="19"/>
  <c r="D77" i="18"/>
  <c r="P75" i="18"/>
  <c r="E76" i="18"/>
  <c r="L75" i="18"/>
  <c r="P75" i="19"/>
  <c r="L75" i="19"/>
  <c r="E76" i="19"/>
  <c r="AC58" i="19"/>
  <c r="AE58" i="19" s="1"/>
  <c r="AF58" i="19" s="1"/>
  <c r="BC58" i="19" s="1"/>
  <c r="X59" i="18"/>
  <c r="AA59" i="18" s="1"/>
  <c r="AC59" i="18" s="1"/>
  <c r="X59" i="19"/>
  <c r="AA59" i="19" s="1"/>
  <c r="AC59" i="19" s="1"/>
  <c r="AE59" i="19" s="1"/>
  <c r="AF59" i="19" s="1"/>
  <c r="BC59" i="19" s="1"/>
  <c r="U49" i="10"/>
  <c r="BE37" i="3"/>
  <c r="BG37" i="3" s="1"/>
  <c r="BD38" i="3"/>
  <c r="A31" i="10"/>
  <c r="AC31" i="10" s="1"/>
  <c r="A43" i="18"/>
  <c r="AP46" i="10"/>
  <c r="AL47" i="10"/>
  <c r="S48" i="10"/>
  <c r="L90" i="4"/>
  <c r="T48" i="10" s="1"/>
  <c r="J91" i="4"/>
  <c r="AN47" i="10"/>
  <c r="AK47" i="10"/>
  <c r="X59" i="3"/>
  <c r="AO47" i="10"/>
  <c r="AY39" i="3"/>
  <c r="G112" i="4"/>
  <c r="D120" i="7"/>
  <c r="K56" i="10"/>
  <c r="P63" i="9"/>
  <c r="F112" i="4"/>
  <c r="C120" i="7"/>
  <c r="AI30" i="10"/>
  <c r="X52" i="10"/>
  <c r="AA67" i="10"/>
  <c r="W68" i="10"/>
  <c r="H185" i="1"/>
  <c r="R185" i="1"/>
  <c r="C186" i="1"/>
  <c r="AU81" i="3"/>
  <c r="AV81" i="3" s="1"/>
  <c r="O81" i="3"/>
  <c r="V49" i="10"/>
  <c r="Y48" i="10"/>
  <c r="O100" i="4"/>
  <c r="F57" i="10"/>
  <c r="N100" i="4"/>
  <c r="E57" i="10"/>
  <c r="M100" i="4"/>
  <c r="D57" i="10"/>
  <c r="T99" i="4"/>
  <c r="P100" i="4"/>
  <c r="G57" i="10"/>
  <c r="Q100" i="4"/>
  <c r="H57" i="10"/>
  <c r="K74" i="4"/>
  <c r="B32" i="10"/>
  <c r="P68" i="3"/>
  <c r="L68" i="3"/>
  <c r="R100" i="4"/>
  <c r="I57" i="10"/>
  <c r="S100" i="4"/>
  <c r="J57" i="10"/>
  <c r="T41" i="3"/>
  <c r="S41" i="3"/>
  <c r="U41" i="3" s="1"/>
  <c r="V41" i="3" s="1"/>
  <c r="AB41" i="3"/>
  <c r="AD41" i="3" s="1"/>
  <c r="AC41" i="3"/>
  <c r="AE41" i="3" s="1"/>
  <c r="AF41" i="3" s="1"/>
  <c r="BC41" i="3" s="1"/>
  <c r="AG44" i="8"/>
  <c r="AH44" i="8" s="1"/>
  <c r="Y44" i="8"/>
  <c r="Z44" i="8" s="1"/>
  <c r="AZ39" i="3"/>
  <c r="BK39" i="3" s="1"/>
  <c r="BL39" i="3" s="1"/>
  <c r="BN39" i="3" s="1"/>
  <c r="AW40" i="3"/>
  <c r="AX40" i="3"/>
  <c r="Q42" i="3"/>
  <c r="S42" i="3" s="1"/>
  <c r="AA42" i="3"/>
  <c r="AG45" i="8"/>
  <c r="Q44" i="8"/>
  <c r="R44" i="8" s="1"/>
  <c r="N45" i="8"/>
  <c r="S45" i="8"/>
  <c r="W45" i="8"/>
  <c r="AA45" i="8"/>
  <c r="AE45" i="8"/>
  <c r="L45" i="8"/>
  <c r="P45" i="8"/>
  <c r="U45" i="8"/>
  <c r="AC45" i="8"/>
  <c r="K45" i="8"/>
  <c r="T45" i="8"/>
  <c r="AB45" i="8"/>
  <c r="M45" i="8"/>
  <c r="V45" i="8"/>
  <c r="AD45" i="8"/>
  <c r="X45" i="8"/>
  <c r="O45" i="8"/>
  <c r="AF45" i="8"/>
  <c r="C43" i="3"/>
  <c r="N43" i="3" s="1"/>
  <c r="J37" i="9"/>
  <c r="H37" i="9"/>
  <c r="G37" i="9"/>
  <c r="A82" i="7"/>
  <c r="A45" i="8"/>
  <c r="A74" i="4"/>
  <c r="A44" i="19" s="1"/>
  <c r="A38" i="9"/>
  <c r="A43" i="3"/>
  <c r="AM59" i="3" l="1"/>
  <c r="AL59" i="3"/>
  <c r="AL48" i="10"/>
  <c r="AH60" i="18"/>
  <c r="AK60" i="18" s="1"/>
  <c r="AH60" i="19"/>
  <c r="AK60" i="19" s="1"/>
  <c r="AH60" i="3"/>
  <c r="AK60" i="3" s="1"/>
  <c r="AR46" i="10"/>
  <c r="AS46" i="10"/>
  <c r="AM59" i="18"/>
  <c r="AO59" i="18" s="1"/>
  <c r="AP59" i="18" s="1"/>
  <c r="BJ59" i="18" s="1"/>
  <c r="AL59" i="18"/>
  <c r="AN59" i="18" s="1"/>
  <c r="AL59" i="19"/>
  <c r="AN59" i="19" s="1"/>
  <c r="AM59" i="19"/>
  <c r="AO59" i="19" s="1"/>
  <c r="AP59" i="19" s="1"/>
  <c r="BJ59" i="19" s="1"/>
  <c r="AK118" i="3"/>
  <c r="AJ208" i="11"/>
  <c r="BI42" i="18"/>
  <c r="BL42" i="18" s="1"/>
  <c r="BN42" i="18" s="1"/>
  <c r="BB42" i="18"/>
  <c r="BE42" i="18" s="1"/>
  <c r="BG42" i="18" s="1"/>
  <c r="BB41" i="3"/>
  <c r="BI41" i="3"/>
  <c r="BB42" i="19"/>
  <c r="BE42" i="19" s="1"/>
  <c r="BG42" i="19" s="1"/>
  <c r="BI42" i="19"/>
  <c r="BL42" i="19" s="1"/>
  <c r="BN42" i="19" s="1"/>
  <c r="AE59" i="18"/>
  <c r="AF59" i="18" s="1"/>
  <c r="BC59" i="18" s="1"/>
  <c r="AO53" i="3"/>
  <c r="AP53" i="3" s="1"/>
  <c r="BJ53" i="3" s="1"/>
  <c r="AN53" i="3"/>
  <c r="AH31" i="10"/>
  <c r="AD31" i="10"/>
  <c r="AF31" i="10"/>
  <c r="AI31" i="10" s="1"/>
  <c r="AG31" i="10"/>
  <c r="AB59" i="19"/>
  <c r="AD59" i="19" s="1"/>
  <c r="J44" i="8"/>
  <c r="R43" i="18"/>
  <c r="T43" i="18" s="1"/>
  <c r="S43" i="18"/>
  <c r="U43" i="18" s="1"/>
  <c r="V43" i="18" s="1"/>
  <c r="C32" i="10"/>
  <c r="C44" i="19"/>
  <c r="N44" i="19" s="1"/>
  <c r="Q44" i="19" s="1"/>
  <c r="C44" i="18"/>
  <c r="N44" i="18" s="1"/>
  <c r="Q44" i="18" s="1"/>
  <c r="H71" i="8"/>
  <c r="P76" i="19"/>
  <c r="L76" i="19"/>
  <c r="E77" i="19"/>
  <c r="E77" i="18"/>
  <c r="L76" i="18"/>
  <c r="P76" i="18"/>
  <c r="R43" i="19"/>
  <c r="T43" i="19" s="1"/>
  <c r="S43" i="19"/>
  <c r="U43" i="19" s="1"/>
  <c r="V43" i="19" s="1"/>
  <c r="C45" i="8"/>
  <c r="G45" i="8"/>
  <c r="D45" i="8"/>
  <c r="I45" i="8"/>
  <c r="E45" i="8"/>
  <c r="F45" i="8"/>
  <c r="AB59" i="18"/>
  <c r="AD59" i="18" s="1"/>
  <c r="X60" i="18"/>
  <c r="AA60" i="18" s="1"/>
  <c r="AC60" i="18" s="1"/>
  <c r="X60" i="19"/>
  <c r="AA60" i="19" s="1"/>
  <c r="AC60" i="19" s="1"/>
  <c r="U50" i="10"/>
  <c r="BE38" i="3"/>
  <c r="BG38" i="3" s="1"/>
  <c r="BD39" i="3"/>
  <c r="A32" i="10"/>
  <c r="AC32" i="10" s="1"/>
  <c r="A44" i="18"/>
  <c r="AM48" i="10"/>
  <c r="AP47" i="10"/>
  <c r="S49" i="10"/>
  <c r="J92" i="4"/>
  <c r="L91" i="4"/>
  <c r="T49" i="10" s="1"/>
  <c r="AN48" i="10"/>
  <c r="AK48" i="10"/>
  <c r="X60" i="3"/>
  <c r="AO48" i="10"/>
  <c r="AY40" i="3"/>
  <c r="AZ40" i="3" s="1"/>
  <c r="BK40" i="3" s="1"/>
  <c r="BL40" i="3" s="1"/>
  <c r="BN40" i="3" s="1"/>
  <c r="K57" i="10"/>
  <c r="P64" i="9"/>
  <c r="F113" i="4"/>
  <c r="C121" i="7"/>
  <c r="G113" i="4"/>
  <c r="D121" i="7"/>
  <c r="W69" i="10"/>
  <c r="X53" i="10"/>
  <c r="AA68" i="10"/>
  <c r="AF32" i="10"/>
  <c r="AG32" i="10"/>
  <c r="AD32" i="10"/>
  <c r="AH32" i="10"/>
  <c r="AE32" i="10"/>
  <c r="R186" i="1"/>
  <c r="C187" i="1"/>
  <c r="H186" i="1"/>
  <c r="AU82" i="3"/>
  <c r="AV82" i="3" s="1"/>
  <c r="O82" i="3"/>
  <c r="V50" i="10"/>
  <c r="Y49" i="10"/>
  <c r="S101" i="4"/>
  <c r="J58" i="10"/>
  <c r="N101" i="4"/>
  <c r="E58" i="10"/>
  <c r="P101" i="4"/>
  <c r="G58" i="10"/>
  <c r="M101" i="4"/>
  <c r="D58" i="10"/>
  <c r="T100" i="4"/>
  <c r="K75" i="4"/>
  <c r="B33" i="10"/>
  <c r="Q101" i="4"/>
  <c r="H58" i="10"/>
  <c r="H72" i="8" s="1"/>
  <c r="R101" i="4"/>
  <c r="I58" i="10"/>
  <c r="L69" i="3"/>
  <c r="P69" i="3"/>
  <c r="O101" i="4"/>
  <c r="F58" i="10"/>
  <c r="U42" i="3"/>
  <c r="V42" i="3" s="1"/>
  <c r="AC42" i="3"/>
  <c r="AE42" i="3" s="1"/>
  <c r="AF42" i="3" s="1"/>
  <c r="BC42" i="3" s="1"/>
  <c r="AB42" i="3"/>
  <c r="AD42" i="3" s="1"/>
  <c r="R42" i="3"/>
  <c r="T42" i="3" s="1"/>
  <c r="Y45" i="8"/>
  <c r="Z45" i="8" s="1"/>
  <c r="AW41" i="3"/>
  <c r="AX41" i="3"/>
  <c r="Q43" i="3"/>
  <c r="R43" i="3" s="1"/>
  <c r="AA43" i="3"/>
  <c r="Q45" i="8"/>
  <c r="R45" i="8" s="1"/>
  <c r="Q46" i="8"/>
  <c r="J38" i="9"/>
  <c r="G38" i="9"/>
  <c r="H38" i="9"/>
  <c r="P46" i="8"/>
  <c r="C44" i="3"/>
  <c r="N44" i="3" s="1"/>
  <c r="AE46" i="8"/>
  <c r="L46" i="8"/>
  <c r="U46" i="8"/>
  <c r="X46" i="8"/>
  <c r="W46" i="8"/>
  <c r="AF46" i="8"/>
  <c r="M46" i="8"/>
  <c r="AB46" i="8"/>
  <c r="O46" i="8"/>
  <c r="T46" i="8"/>
  <c r="K46" i="8"/>
  <c r="V46" i="8"/>
  <c r="AC46" i="8"/>
  <c r="AA46" i="8"/>
  <c r="AD46" i="8"/>
  <c r="N46" i="8"/>
  <c r="S46" i="8"/>
  <c r="AH45" i="8"/>
  <c r="A83" i="7"/>
  <c r="A75" i="4"/>
  <c r="A45" i="19" s="1"/>
  <c r="A39" i="9"/>
  <c r="A46" i="8"/>
  <c r="A44" i="3"/>
  <c r="AR47" i="10" l="1"/>
  <c r="AS47" i="10"/>
  <c r="AM60" i="3"/>
  <c r="AL60" i="3"/>
  <c r="AM60" i="19"/>
  <c r="AO60" i="19" s="1"/>
  <c r="AP60" i="19" s="1"/>
  <c r="BJ60" i="19" s="1"/>
  <c r="AL60" i="19"/>
  <c r="AN60" i="19" s="1"/>
  <c r="AL60" i="18"/>
  <c r="AN60" i="18" s="1"/>
  <c r="AM60" i="18"/>
  <c r="AO60" i="18" s="1"/>
  <c r="AP60" i="18" s="1"/>
  <c r="BJ60" i="18" s="1"/>
  <c r="AL49" i="10"/>
  <c r="AH61" i="19"/>
  <c r="AK61" i="19" s="1"/>
  <c r="AH61" i="18"/>
  <c r="AK61" i="18" s="1"/>
  <c r="AH61" i="3"/>
  <c r="AK61" i="3" s="1"/>
  <c r="AL118" i="3"/>
  <c r="AM118" i="3"/>
  <c r="BB42" i="3"/>
  <c r="BI42" i="3"/>
  <c r="BB43" i="18"/>
  <c r="BE43" i="18" s="1"/>
  <c r="BG43" i="18" s="1"/>
  <c r="BI43" i="18"/>
  <c r="BL43" i="18" s="1"/>
  <c r="BN43" i="18" s="1"/>
  <c r="BB43" i="19"/>
  <c r="BE43" i="19" s="1"/>
  <c r="BG43" i="19" s="1"/>
  <c r="BI43" i="19"/>
  <c r="BL43" i="19" s="1"/>
  <c r="BN43" i="19" s="1"/>
  <c r="AE60" i="19"/>
  <c r="AF60" i="19" s="1"/>
  <c r="BC60" i="19" s="1"/>
  <c r="AE60" i="18"/>
  <c r="AF60" i="18" s="1"/>
  <c r="BC60" i="18" s="1"/>
  <c r="AO54" i="3"/>
  <c r="AP54" i="3" s="1"/>
  <c r="BJ54" i="3" s="1"/>
  <c r="AN54" i="3"/>
  <c r="L77" i="19"/>
  <c r="P77" i="19"/>
  <c r="E78" i="19"/>
  <c r="AB60" i="18"/>
  <c r="AD60" i="18" s="1"/>
  <c r="S44" i="19"/>
  <c r="U44" i="19" s="1"/>
  <c r="V44" i="19" s="1"/>
  <c r="R44" i="19"/>
  <c r="T44" i="19" s="1"/>
  <c r="C33" i="10"/>
  <c r="C45" i="19"/>
  <c r="N45" i="19" s="1"/>
  <c r="Q45" i="19" s="1"/>
  <c r="C45" i="18"/>
  <c r="N45" i="18" s="1"/>
  <c r="Q45" i="18" s="1"/>
  <c r="D46" i="8"/>
  <c r="E46" i="8"/>
  <c r="I46" i="8"/>
  <c r="C46" i="8"/>
  <c r="F46" i="8"/>
  <c r="G46" i="8"/>
  <c r="P72" i="8"/>
  <c r="X72" i="8"/>
  <c r="AF72" i="8"/>
  <c r="R44" i="18"/>
  <c r="T44" i="18" s="1"/>
  <c r="S44" i="18"/>
  <c r="U44" i="18" s="1"/>
  <c r="V44" i="18" s="1"/>
  <c r="J45" i="8"/>
  <c r="L77" i="18"/>
  <c r="E78" i="18"/>
  <c r="P77" i="18"/>
  <c r="P71" i="8"/>
  <c r="AF71" i="8"/>
  <c r="X71" i="8"/>
  <c r="AB60" i="19"/>
  <c r="AD60" i="19" s="1"/>
  <c r="X61" i="18"/>
  <c r="AA61" i="18" s="1"/>
  <c r="AB61" i="18" s="1"/>
  <c r="X61" i="19"/>
  <c r="AA61" i="19" s="1"/>
  <c r="AC61" i="19" s="1"/>
  <c r="U51" i="10"/>
  <c r="BE39" i="3"/>
  <c r="BG39" i="3" s="1"/>
  <c r="BD40" i="3"/>
  <c r="A33" i="10"/>
  <c r="AC33" i="10" s="1"/>
  <c r="A45" i="18"/>
  <c r="AP48" i="10"/>
  <c r="AN49" i="10"/>
  <c r="X61" i="3"/>
  <c r="AK49" i="10"/>
  <c r="AO49" i="10"/>
  <c r="S50" i="10"/>
  <c r="L92" i="4"/>
  <c r="T50" i="10" s="1"/>
  <c r="J93" i="4"/>
  <c r="AM49" i="10"/>
  <c r="AY41" i="3"/>
  <c r="AZ41" i="3" s="1"/>
  <c r="BK41" i="3" s="1"/>
  <c r="BL41" i="3" s="1"/>
  <c r="BN41" i="3" s="1"/>
  <c r="F114" i="4"/>
  <c r="C122" i="7"/>
  <c r="K58" i="10"/>
  <c r="P65" i="9"/>
  <c r="G114" i="4"/>
  <c r="D122" i="7"/>
  <c r="AI32" i="10"/>
  <c r="W70" i="10"/>
  <c r="AE33" i="10"/>
  <c r="AF33" i="10"/>
  <c r="AG33" i="10"/>
  <c r="AD33" i="10"/>
  <c r="AH33" i="10"/>
  <c r="AA69" i="10"/>
  <c r="X54" i="10"/>
  <c r="H187" i="1"/>
  <c r="R187" i="1"/>
  <c r="C188" i="1"/>
  <c r="O83" i="3"/>
  <c r="AU83" i="3"/>
  <c r="AV83" i="3" s="1"/>
  <c r="V51" i="10"/>
  <c r="Y50" i="10"/>
  <c r="K76" i="4"/>
  <c r="B34" i="10"/>
  <c r="O102" i="4"/>
  <c r="F59" i="10"/>
  <c r="Q102" i="4"/>
  <c r="H59" i="10"/>
  <c r="L70" i="3"/>
  <c r="P70" i="3"/>
  <c r="N102" i="4"/>
  <c r="E59" i="10"/>
  <c r="R102" i="4"/>
  <c r="I59" i="10"/>
  <c r="P102" i="4"/>
  <c r="G59" i="10"/>
  <c r="M102" i="4"/>
  <c r="D59" i="10"/>
  <c r="T101" i="4"/>
  <c r="S102" i="4"/>
  <c r="J59" i="10"/>
  <c r="T43" i="3"/>
  <c r="AG46" i="8"/>
  <c r="AH46" i="8" s="1"/>
  <c r="S43" i="3"/>
  <c r="U43" i="3" s="1"/>
  <c r="V43" i="3" s="1"/>
  <c r="AB43" i="3"/>
  <c r="AD43" i="3" s="1"/>
  <c r="AC43" i="3"/>
  <c r="AE43" i="3" s="1"/>
  <c r="AF43" i="3" s="1"/>
  <c r="BC43" i="3" s="1"/>
  <c r="Y46" i="8"/>
  <c r="Z46" i="8" s="1"/>
  <c r="AW42" i="3"/>
  <c r="AX42" i="3"/>
  <c r="Q44" i="3"/>
  <c r="R44" i="3" s="1"/>
  <c r="AA44" i="3"/>
  <c r="J39" i="9"/>
  <c r="G39" i="9"/>
  <c r="H39" i="9"/>
  <c r="R46" i="8"/>
  <c r="M47" i="8"/>
  <c r="O47" i="8"/>
  <c r="AA47" i="8"/>
  <c r="AC47" i="8"/>
  <c r="N47" i="8"/>
  <c r="C45" i="3"/>
  <c r="N45" i="3" s="1"/>
  <c r="T47" i="8"/>
  <c r="V47" i="8"/>
  <c r="AF47" i="8"/>
  <c r="AB47" i="8"/>
  <c r="X47" i="8"/>
  <c r="K47" i="8"/>
  <c r="S47" i="8"/>
  <c r="U47" i="8"/>
  <c r="W47" i="8"/>
  <c r="L47" i="8"/>
  <c r="AD47" i="8"/>
  <c r="AE47" i="8"/>
  <c r="P47" i="8"/>
  <c r="A84" i="7"/>
  <c r="A76" i="4"/>
  <c r="A46" i="19" s="1"/>
  <c r="A40" i="9"/>
  <c r="A47" i="8"/>
  <c r="A45" i="3"/>
  <c r="AM61" i="3" l="1"/>
  <c r="AL61" i="3"/>
  <c r="AL61" i="19"/>
  <c r="AN61" i="19" s="1"/>
  <c r="AM61" i="19"/>
  <c r="AO61" i="19" s="1"/>
  <c r="AP61" i="19" s="1"/>
  <c r="BJ61" i="19" s="1"/>
  <c r="AR48" i="10"/>
  <c r="AS48" i="10"/>
  <c r="AM61" i="18"/>
  <c r="AO61" i="18" s="1"/>
  <c r="AP61" i="18" s="1"/>
  <c r="BJ61" i="18" s="1"/>
  <c r="AL61" i="18"/>
  <c r="AN61" i="18" s="1"/>
  <c r="AM50" i="10"/>
  <c r="AH62" i="19"/>
  <c r="AK62" i="19" s="1"/>
  <c r="AH62" i="18"/>
  <c r="AK62" i="18" s="1"/>
  <c r="AH62" i="3"/>
  <c r="AK62" i="3" s="1"/>
  <c r="AC61" i="18"/>
  <c r="BB43" i="3"/>
  <c r="BI43" i="3"/>
  <c r="BB44" i="19"/>
  <c r="BE44" i="19" s="1"/>
  <c r="BG44" i="19" s="1"/>
  <c r="BI44" i="19"/>
  <c r="BL44" i="19" s="1"/>
  <c r="BN44" i="19" s="1"/>
  <c r="BI44" i="18"/>
  <c r="BL44" i="18" s="1"/>
  <c r="BN44" i="18" s="1"/>
  <c r="BB44" i="18"/>
  <c r="BE44" i="18" s="1"/>
  <c r="BG44" i="18" s="1"/>
  <c r="AN55" i="3"/>
  <c r="AO55" i="3"/>
  <c r="AP55" i="3" s="1"/>
  <c r="BJ55" i="3" s="1"/>
  <c r="AD61" i="18"/>
  <c r="AE61" i="18"/>
  <c r="AF61" i="18" s="1"/>
  <c r="BC61" i="18" s="1"/>
  <c r="P78" i="18"/>
  <c r="L78" i="18"/>
  <c r="E79" i="18"/>
  <c r="S45" i="18"/>
  <c r="U45" i="18" s="1"/>
  <c r="V45" i="18" s="1"/>
  <c r="R45" i="18"/>
  <c r="T45" i="18" s="1"/>
  <c r="E79" i="19"/>
  <c r="P78" i="19"/>
  <c r="L78" i="19"/>
  <c r="H73" i="8"/>
  <c r="C34" i="10"/>
  <c r="AE34" i="10" s="1"/>
  <c r="C46" i="19"/>
  <c r="N46" i="19" s="1"/>
  <c r="Q46" i="19" s="1"/>
  <c r="C46" i="18"/>
  <c r="N46" i="18" s="1"/>
  <c r="Q46" i="18" s="1"/>
  <c r="AE61" i="19"/>
  <c r="AF61" i="19" s="1"/>
  <c r="BC61" i="19" s="1"/>
  <c r="J46" i="8"/>
  <c r="S45" i="19"/>
  <c r="U45" i="19" s="1"/>
  <c r="V45" i="19" s="1"/>
  <c r="R45" i="19"/>
  <c r="T45" i="19" s="1"/>
  <c r="E47" i="8"/>
  <c r="I47" i="8"/>
  <c r="F47" i="8"/>
  <c r="C47" i="8"/>
  <c r="D47" i="8"/>
  <c r="G47" i="8"/>
  <c r="AB61" i="19"/>
  <c r="AD61" i="19" s="1"/>
  <c r="X62" i="18"/>
  <c r="AA62" i="18" s="1"/>
  <c r="AB62" i="18" s="1"/>
  <c r="X62" i="19"/>
  <c r="AA62" i="19" s="1"/>
  <c r="AB62" i="19" s="1"/>
  <c r="U52" i="10"/>
  <c r="AP49" i="10"/>
  <c r="BE40" i="3"/>
  <c r="BG40" i="3" s="1"/>
  <c r="BD41" i="3"/>
  <c r="A34" i="10"/>
  <c r="AC34" i="10" s="1"/>
  <c r="A46" i="18"/>
  <c r="C223" i="1"/>
  <c r="H223" i="1" s="1"/>
  <c r="C35" i="11"/>
  <c r="C36" i="11" s="1"/>
  <c r="AL50" i="10"/>
  <c r="S51" i="10"/>
  <c r="L93" i="4"/>
  <c r="T51" i="10" s="1"/>
  <c r="J94" i="4"/>
  <c r="AN50" i="10"/>
  <c r="X62" i="3"/>
  <c r="AK50" i="10"/>
  <c r="AO50" i="10"/>
  <c r="AY42" i="3"/>
  <c r="AZ42" i="3" s="1"/>
  <c r="BK42" i="3" s="1"/>
  <c r="BL42" i="3" s="1"/>
  <c r="BN42" i="3" s="1"/>
  <c r="K59" i="10"/>
  <c r="P66" i="9"/>
  <c r="G115" i="4"/>
  <c r="D123" i="7"/>
  <c r="F115" i="4"/>
  <c r="C123" i="7"/>
  <c r="AH34" i="10"/>
  <c r="X55" i="10"/>
  <c r="AI33" i="10"/>
  <c r="W71" i="10"/>
  <c r="AA70" i="10"/>
  <c r="R188" i="1"/>
  <c r="H188" i="1"/>
  <c r="O84" i="3"/>
  <c r="AU84" i="3"/>
  <c r="AV84" i="3" s="1"/>
  <c r="V52" i="10"/>
  <c r="Y51" i="10"/>
  <c r="S103" i="4"/>
  <c r="J60" i="10"/>
  <c r="M103" i="4"/>
  <c r="D60" i="10"/>
  <c r="T102" i="4"/>
  <c r="K77" i="4"/>
  <c r="B35" i="10"/>
  <c r="N103" i="4"/>
  <c r="E60" i="10"/>
  <c r="O103" i="4"/>
  <c r="F60" i="10"/>
  <c r="P71" i="3"/>
  <c r="L71" i="3"/>
  <c r="R103" i="4"/>
  <c r="I60" i="10"/>
  <c r="Q103" i="4"/>
  <c r="H60" i="10"/>
  <c r="H74" i="8" s="1"/>
  <c r="P103" i="4"/>
  <c r="G60" i="10"/>
  <c r="T44" i="3"/>
  <c r="Y47" i="8"/>
  <c r="Z47" i="8" s="1"/>
  <c r="AC44" i="3"/>
  <c r="AE44" i="3" s="1"/>
  <c r="AF44" i="3" s="1"/>
  <c r="BC44" i="3" s="1"/>
  <c r="AB44" i="3"/>
  <c r="AD44" i="3" s="1"/>
  <c r="AX43" i="3"/>
  <c r="AW43" i="3"/>
  <c r="S44" i="3"/>
  <c r="U44" i="3" s="1"/>
  <c r="V44" i="3" s="1"/>
  <c r="Q45" i="3"/>
  <c r="R45" i="3" s="1"/>
  <c r="AA45" i="3"/>
  <c r="Q47" i="8"/>
  <c r="R47" i="8" s="1"/>
  <c r="AG47" i="8"/>
  <c r="AH47" i="8" s="1"/>
  <c r="J40" i="9"/>
  <c r="G40" i="9"/>
  <c r="H40" i="9"/>
  <c r="M48" i="8"/>
  <c r="T48" i="8"/>
  <c r="W48" i="8"/>
  <c r="AE48" i="8"/>
  <c r="L48" i="8"/>
  <c r="C46" i="3"/>
  <c r="N46" i="3" s="1"/>
  <c r="AD48" i="8"/>
  <c r="AF48" i="8"/>
  <c r="O48" i="8"/>
  <c r="N48" i="8"/>
  <c r="AC48" i="8"/>
  <c r="X48" i="8"/>
  <c r="U48" i="8"/>
  <c r="S48" i="8"/>
  <c r="P48" i="8"/>
  <c r="K48" i="8"/>
  <c r="AB48" i="8"/>
  <c r="V48" i="8"/>
  <c r="AA48" i="8"/>
  <c r="A85" i="7"/>
  <c r="A77" i="4"/>
  <c r="A47" i="19" s="1"/>
  <c r="A48" i="8"/>
  <c r="A41" i="9"/>
  <c r="A46" i="3"/>
  <c r="AL62" i="3" l="1"/>
  <c r="AM62" i="3"/>
  <c r="AM62" i="18"/>
  <c r="AO62" i="18" s="1"/>
  <c r="AP62" i="18" s="1"/>
  <c r="BJ62" i="18" s="1"/>
  <c r="AL62" i="18"/>
  <c r="AN62" i="18" s="1"/>
  <c r="AM62" i="19"/>
  <c r="AO62" i="19" s="1"/>
  <c r="AP62" i="19" s="1"/>
  <c r="BJ62" i="19" s="1"/>
  <c r="AL62" i="19"/>
  <c r="AN62" i="19" s="1"/>
  <c r="AL51" i="10"/>
  <c r="AH63" i="19"/>
  <c r="AK63" i="19" s="1"/>
  <c r="AH63" i="18"/>
  <c r="AK63" i="18" s="1"/>
  <c r="AH63" i="3"/>
  <c r="AK63" i="3" s="1"/>
  <c r="AS49" i="10"/>
  <c r="AR49" i="10"/>
  <c r="AC62" i="18"/>
  <c r="BI45" i="18"/>
  <c r="BL45" i="18" s="1"/>
  <c r="BN45" i="18" s="1"/>
  <c r="BB45" i="18"/>
  <c r="BE45" i="18" s="1"/>
  <c r="BG45" i="18" s="1"/>
  <c r="BB45" i="19"/>
  <c r="BE45" i="19" s="1"/>
  <c r="BG45" i="19" s="1"/>
  <c r="BI45" i="19"/>
  <c r="BL45" i="19" s="1"/>
  <c r="BN45" i="19" s="1"/>
  <c r="BB44" i="3"/>
  <c r="BI44" i="3"/>
  <c r="AD62" i="18"/>
  <c r="AE62" i="18"/>
  <c r="AF62" i="18" s="1"/>
  <c r="BC62" i="18" s="1"/>
  <c r="AO56" i="3"/>
  <c r="AP56" i="3" s="1"/>
  <c r="BJ56" i="3" s="1"/>
  <c r="AN56" i="3"/>
  <c r="AF34" i="10"/>
  <c r="AD34" i="10"/>
  <c r="AG34" i="10"/>
  <c r="AD62" i="19"/>
  <c r="J47" i="8"/>
  <c r="P79" i="18"/>
  <c r="E80" i="18"/>
  <c r="L79" i="18"/>
  <c r="X74" i="8"/>
  <c r="AF74" i="8"/>
  <c r="P74" i="8"/>
  <c r="AM51" i="10"/>
  <c r="S46" i="18"/>
  <c r="U46" i="18" s="1"/>
  <c r="V46" i="18" s="1"/>
  <c r="R46" i="18"/>
  <c r="T46" i="18" s="1"/>
  <c r="S46" i="19"/>
  <c r="U46" i="19" s="1"/>
  <c r="V46" i="19" s="1"/>
  <c r="R46" i="19"/>
  <c r="T46" i="19" s="1"/>
  <c r="AF73" i="8"/>
  <c r="P73" i="8"/>
  <c r="X73" i="8"/>
  <c r="C35" i="10"/>
  <c r="AG35" i="10" s="1"/>
  <c r="C47" i="19"/>
  <c r="N47" i="19" s="1"/>
  <c r="Q47" i="19" s="1"/>
  <c r="C47" i="18"/>
  <c r="N47" i="18" s="1"/>
  <c r="Q47" i="18" s="1"/>
  <c r="AC62" i="19"/>
  <c r="AE62" i="19" s="1"/>
  <c r="AF62" i="19" s="1"/>
  <c r="BC62" i="19" s="1"/>
  <c r="F48" i="8"/>
  <c r="C48" i="8"/>
  <c r="G48" i="8"/>
  <c r="D48" i="8"/>
  <c r="E48" i="8"/>
  <c r="I48" i="8"/>
  <c r="L79" i="19"/>
  <c r="E80" i="19"/>
  <c r="P79" i="19"/>
  <c r="X63" i="18"/>
  <c r="AA63" i="18" s="1"/>
  <c r="AC63" i="18" s="1"/>
  <c r="X63" i="19"/>
  <c r="AA63" i="19" s="1"/>
  <c r="AC63" i="19" s="1"/>
  <c r="U53" i="10"/>
  <c r="BE41" i="3"/>
  <c r="BG41" i="3" s="1"/>
  <c r="BD42" i="3"/>
  <c r="A35" i="10"/>
  <c r="AC35" i="10" s="1"/>
  <c r="A47" i="18"/>
  <c r="C201" i="1"/>
  <c r="C38" i="11"/>
  <c r="C37" i="11" s="1"/>
  <c r="C236" i="1"/>
  <c r="E95" i="17"/>
  <c r="E95" i="16"/>
  <c r="E95" i="11"/>
  <c r="F95" i="17"/>
  <c r="F95" i="16"/>
  <c r="F95" i="11"/>
  <c r="AP50" i="10"/>
  <c r="S52" i="10"/>
  <c r="L94" i="4"/>
  <c r="T52" i="10" s="1"/>
  <c r="J95" i="4"/>
  <c r="AN51" i="10"/>
  <c r="X63" i="3"/>
  <c r="AK51" i="10"/>
  <c r="AO51" i="10"/>
  <c r="D124" i="7"/>
  <c r="C124" i="7"/>
  <c r="AY43" i="3"/>
  <c r="AZ43" i="3" s="1"/>
  <c r="BK43" i="3" s="1"/>
  <c r="BL43" i="3" s="1"/>
  <c r="BN43" i="3" s="1"/>
  <c r="K60" i="10"/>
  <c r="P67" i="9"/>
  <c r="W72" i="10"/>
  <c r="X56" i="10"/>
  <c r="AF35" i="10"/>
  <c r="AA71" i="10"/>
  <c r="AI34" i="10"/>
  <c r="AU85" i="3"/>
  <c r="AV85" i="3" s="1"/>
  <c r="O85" i="3"/>
  <c r="V53" i="10"/>
  <c r="Y52" i="10"/>
  <c r="T45" i="3"/>
  <c r="P104" i="4"/>
  <c r="G61" i="10"/>
  <c r="M104" i="4"/>
  <c r="D61" i="10"/>
  <c r="T103" i="4"/>
  <c r="R104" i="4"/>
  <c r="I61" i="10"/>
  <c r="N104" i="4"/>
  <c r="E61" i="10"/>
  <c r="P72" i="3"/>
  <c r="L72" i="3"/>
  <c r="K78" i="4"/>
  <c r="B36" i="10"/>
  <c r="Q104" i="4"/>
  <c r="H61" i="10"/>
  <c r="H75" i="8" s="1"/>
  <c r="O104" i="4"/>
  <c r="F61" i="10"/>
  <c r="S104" i="4"/>
  <c r="J61" i="10"/>
  <c r="Y48" i="8"/>
  <c r="Z48" i="8" s="1"/>
  <c r="AB45" i="3"/>
  <c r="AD45" i="3" s="1"/>
  <c r="AC45" i="3"/>
  <c r="AE45" i="3" s="1"/>
  <c r="AF45" i="3" s="1"/>
  <c r="BC45" i="3" s="1"/>
  <c r="S45" i="3"/>
  <c r="U45" i="3" s="1"/>
  <c r="V45" i="3" s="1"/>
  <c r="Q46" i="3"/>
  <c r="S46" i="3" s="1"/>
  <c r="AA46" i="3"/>
  <c r="AG48" i="8"/>
  <c r="AH48" i="8" s="1"/>
  <c r="Q49" i="8"/>
  <c r="Q48" i="8"/>
  <c r="R48" i="8" s="1"/>
  <c r="J41" i="9"/>
  <c r="H41" i="9"/>
  <c r="G41" i="9"/>
  <c r="M49" i="8"/>
  <c r="V49" i="8"/>
  <c r="AD49" i="8"/>
  <c r="N49" i="8"/>
  <c r="S49" i="8"/>
  <c r="W49" i="8"/>
  <c r="AA49" i="8"/>
  <c r="AE49" i="8"/>
  <c r="P49" i="8"/>
  <c r="K49" i="8"/>
  <c r="T49" i="8"/>
  <c r="AB49" i="8"/>
  <c r="L49" i="8"/>
  <c r="U49" i="8"/>
  <c r="AC49" i="8"/>
  <c r="O49" i="8"/>
  <c r="X49" i="8"/>
  <c r="AF49" i="8"/>
  <c r="C47" i="3"/>
  <c r="N47" i="3" s="1"/>
  <c r="A86" i="7"/>
  <c r="A78" i="4"/>
  <c r="A48" i="19" s="1"/>
  <c r="A42" i="9"/>
  <c r="A47" i="3"/>
  <c r="A49" i="8"/>
  <c r="AM63" i="18" l="1"/>
  <c r="AO63" i="18" s="1"/>
  <c r="AP63" i="18" s="1"/>
  <c r="BJ63" i="18" s="1"/>
  <c r="AL63" i="18"/>
  <c r="AN63" i="18" s="1"/>
  <c r="AL63" i="19"/>
  <c r="AN63" i="19" s="1"/>
  <c r="AM63" i="19"/>
  <c r="AO63" i="19" s="1"/>
  <c r="AP63" i="19" s="1"/>
  <c r="BJ63" i="19" s="1"/>
  <c r="AR50" i="10"/>
  <c r="AS50" i="10"/>
  <c r="AL52" i="10"/>
  <c r="AH64" i="19"/>
  <c r="AK64" i="19" s="1"/>
  <c r="AH64" i="18"/>
  <c r="AK64" i="18" s="1"/>
  <c r="AH64" i="3"/>
  <c r="AK64" i="3" s="1"/>
  <c r="AM63" i="3"/>
  <c r="AL63" i="3"/>
  <c r="AE63" i="18"/>
  <c r="AF63" i="18" s="1"/>
  <c r="BC63" i="18" s="1"/>
  <c r="BB45" i="3"/>
  <c r="BI45" i="3"/>
  <c r="BB46" i="19"/>
  <c r="BE46" i="19" s="1"/>
  <c r="BG46" i="19" s="1"/>
  <c r="BI46" i="19"/>
  <c r="BL46" i="19" s="1"/>
  <c r="BN46" i="19" s="1"/>
  <c r="BI46" i="18"/>
  <c r="BL46" i="18" s="1"/>
  <c r="BN46" i="18" s="1"/>
  <c r="BB46" i="18"/>
  <c r="BE46" i="18" s="1"/>
  <c r="BG46" i="18" s="1"/>
  <c r="AE63" i="19"/>
  <c r="AF63" i="19" s="1"/>
  <c r="BC63" i="19" s="1"/>
  <c r="AB63" i="19"/>
  <c r="AD63" i="19" s="1"/>
  <c r="AB63" i="18"/>
  <c r="AD63" i="18" s="1"/>
  <c r="AO57" i="3"/>
  <c r="AP57" i="3" s="1"/>
  <c r="BJ57" i="3" s="1"/>
  <c r="AN57" i="3"/>
  <c r="AE35" i="10"/>
  <c r="AH35" i="10"/>
  <c r="AD35" i="10"/>
  <c r="P80" i="19"/>
  <c r="E81" i="19"/>
  <c r="L80" i="19"/>
  <c r="C49" i="8"/>
  <c r="G49" i="8"/>
  <c r="D49" i="8"/>
  <c r="E49" i="8"/>
  <c r="F49" i="8"/>
  <c r="I49" i="8"/>
  <c r="P80" i="18"/>
  <c r="E81" i="18"/>
  <c r="L80" i="18"/>
  <c r="S47" i="19"/>
  <c r="U47" i="19" s="1"/>
  <c r="V47" i="19" s="1"/>
  <c r="R47" i="19"/>
  <c r="T47" i="19" s="1"/>
  <c r="P75" i="8"/>
  <c r="X75" i="8"/>
  <c r="AF75" i="8"/>
  <c r="C36" i="10"/>
  <c r="AF36" i="10" s="1"/>
  <c r="C48" i="19"/>
  <c r="N48" i="19" s="1"/>
  <c r="Q48" i="19" s="1"/>
  <c r="C48" i="18"/>
  <c r="N48" i="18" s="1"/>
  <c r="Q48" i="18" s="1"/>
  <c r="J48" i="8"/>
  <c r="S47" i="18"/>
  <c r="U47" i="18" s="1"/>
  <c r="V47" i="18" s="1"/>
  <c r="R47" i="18"/>
  <c r="T47" i="18" s="1"/>
  <c r="AM52" i="10"/>
  <c r="X64" i="18"/>
  <c r="AA64" i="18" s="1"/>
  <c r="X64" i="19"/>
  <c r="AA64" i="19" s="1"/>
  <c r="U54" i="10"/>
  <c r="C221" i="1"/>
  <c r="R221" i="1" s="1"/>
  <c r="AS118" i="19" s="1"/>
  <c r="AU118" i="19" s="1"/>
  <c r="C39" i="11"/>
  <c r="H236" i="1"/>
  <c r="C237" i="1"/>
  <c r="R236" i="1"/>
  <c r="O98" i="18" s="1"/>
  <c r="BE42" i="3"/>
  <c r="BG42" i="3" s="1"/>
  <c r="BD43" i="3"/>
  <c r="A36" i="10"/>
  <c r="AC36" i="10" s="1"/>
  <c r="A48" i="18"/>
  <c r="H201" i="1"/>
  <c r="R201" i="1"/>
  <c r="O98" i="3" s="1"/>
  <c r="AP51" i="10"/>
  <c r="S53" i="10"/>
  <c r="J96" i="4"/>
  <c r="L95" i="4"/>
  <c r="T53" i="10" s="1"/>
  <c r="AN52" i="10"/>
  <c r="X64" i="3"/>
  <c r="AK52" i="10"/>
  <c r="AO52" i="10"/>
  <c r="K61" i="10"/>
  <c r="P68" i="9"/>
  <c r="X57" i="10"/>
  <c r="W73" i="10"/>
  <c r="AE36" i="10"/>
  <c r="AG36" i="10"/>
  <c r="AH36" i="10"/>
  <c r="AA72" i="10"/>
  <c r="AI35" i="10"/>
  <c r="V54" i="10"/>
  <c r="Y53" i="10"/>
  <c r="U46" i="3"/>
  <c r="V46" i="3" s="1"/>
  <c r="S105" i="4"/>
  <c r="J62" i="10"/>
  <c r="R105" i="4"/>
  <c r="I62" i="10"/>
  <c r="M105" i="4"/>
  <c r="D62" i="10"/>
  <c r="T104" i="4"/>
  <c r="N105" i="4"/>
  <c r="E62" i="10"/>
  <c r="Q105" i="4"/>
  <c r="H62" i="10"/>
  <c r="L73" i="3"/>
  <c r="P73" i="3"/>
  <c r="K79" i="4"/>
  <c r="B37" i="10"/>
  <c r="O105" i="4"/>
  <c r="F62" i="10"/>
  <c r="P105" i="4"/>
  <c r="G62" i="10"/>
  <c r="AG49" i="8"/>
  <c r="AH49" i="8" s="1"/>
  <c r="Y49" i="8"/>
  <c r="Z49" i="8" s="1"/>
  <c r="AC46" i="3"/>
  <c r="AE46" i="3" s="1"/>
  <c r="AF46" i="3" s="1"/>
  <c r="BC46" i="3" s="1"/>
  <c r="AB46" i="3"/>
  <c r="AD46" i="3" s="1"/>
  <c r="AW44" i="3"/>
  <c r="AX44" i="3"/>
  <c r="R46" i="3"/>
  <c r="T46" i="3" s="1"/>
  <c r="Q47" i="3"/>
  <c r="R47" i="3" s="1"/>
  <c r="AA47" i="3"/>
  <c r="Y50" i="8"/>
  <c r="O50" i="8"/>
  <c r="AE50" i="8"/>
  <c r="S50" i="8"/>
  <c r="AA50" i="8"/>
  <c r="AF50" i="8"/>
  <c r="V50" i="8"/>
  <c r="W50" i="8"/>
  <c r="L50" i="8"/>
  <c r="AB50" i="8"/>
  <c r="N50" i="8"/>
  <c r="AD50" i="8"/>
  <c r="C48" i="3"/>
  <c r="N48" i="3" s="1"/>
  <c r="X50" i="8"/>
  <c r="P50" i="8"/>
  <c r="M50" i="8"/>
  <c r="U50" i="8"/>
  <c r="AC50" i="8"/>
  <c r="T50" i="8"/>
  <c r="K50" i="8"/>
  <c r="G42" i="9"/>
  <c r="H42" i="9"/>
  <c r="J42" i="9"/>
  <c r="R49" i="8"/>
  <c r="A87" i="7"/>
  <c r="A43" i="9"/>
  <c r="A48" i="3"/>
  <c r="A50" i="8"/>
  <c r="A79" i="4"/>
  <c r="A49" i="19" s="1"/>
  <c r="AM64" i="3" l="1"/>
  <c r="AL64" i="3"/>
  <c r="AM53" i="10"/>
  <c r="AH65" i="19"/>
  <c r="AK65" i="19" s="1"/>
  <c r="AH65" i="18"/>
  <c r="AK65" i="18" s="1"/>
  <c r="AH65" i="3"/>
  <c r="AK65" i="3" s="1"/>
  <c r="AL64" i="18"/>
  <c r="AN64" i="18" s="1"/>
  <c r="AM64" i="18"/>
  <c r="AO64" i="18" s="1"/>
  <c r="AP64" i="18" s="1"/>
  <c r="BJ64" i="18" s="1"/>
  <c r="AM64" i="19"/>
  <c r="AO64" i="19" s="1"/>
  <c r="AP64" i="19" s="1"/>
  <c r="BJ64" i="19" s="1"/>
  <c r="AL64" i="19"/>
  <c r="AN64" i="19" s="1"/>
  <c r="AR51" i="10"/>
  <c r="AS51" i="10"/>
  <c r="H221" i="1"/>
  <c r="BI47" i="18"/>
  <c r="BL47" i="18" s="1"/>
  <c r="BN47" i="18" s="1"/>
  <c r="BB47" i="18"/>
  <c r="BE47" i="18" s="1"/>
  <c r="BG47" i="18" s="1"/>
  <c r="BB46" i="3"/>
  <c r="BI46" i="3"/>
  <c r="BB47" i="19"/>
  <c r="BE47" i="19" s="1"/>
  <c r="BG47" i="19" s="1"/>
  <c r="BI47" i="19"/>
  <c r="BL47" i="19" s="1"/>
  <c r="BN47" i="19" s="1"/>
  <c r="AO58" i="3"/>
  <c r="AP58" i="3" s="1"/>
  <c r="BJ58" i="3" s="1"/>
  <c r="AN58" i="3"/>
  <c r="AD36" i="10"/>
  <c r="C37" i="10"/>
  <c r="C49" i="19"/>
  <c r="N49" i="19" s="1"/>
  <c r="Q49" i="19" s="1"/>
  <c r="C49" i="18"/>
  <c r="N49" i="18" s="1"/>
  <c r="Q49" i="18" s="1"/>
  <c r="H76" i="8"/>
  <c r="S48" i="19"/>
  <c r="U48" i="19" s="1"/>
  <c r="V48" i="19" s="1"/>
  <c r="R48" i="19"/>
  <c r="T48" i="19" s="1"/>
  <c r="P81" i="19"/>
  <c r="E82" i="19"/>
  <c r="L81" i="19"/>
  <c r="R48" i="18"/>
  <c r="T48" i="18" s="1"/>
  <c r="S48" i="18"/>
  <c r="U48" i="18" s="1"/>
  <c r="V48" i="18" s="1"/>
  <c r="D50" i="8"/>
  <c r="E50" i="8"/>
  <c r="I50" i="8"/>
  <c r="F50" i="8"/>
  <c r="G50" i="8"/>
  <c r="C50" i="8"/>
  <c r="J49" i="8"/>
  <c r="E82" i="18"/>
  <c r="L81" i="18"/>
  <c r="P81" i="18"/>
  <c r="X65" i="19"/>
  <c r="X65" i="18"/>
  <c r="AA65" i="18" s="1"/>
  <c r="AB64" i="18"/>
  <c r="AD64" i="18" s="1"/>
  <c r="AC64" i="18"/>
  <c r="AE64" i="18" s="1"/>
  <c r="AF64" i="18" s="1"/>
  <c r="BC64" i="18" s="1"/>
  <c r="U55" i="10"/>
  <c r="AC64" i="19"/>
  <c r="AE64" i="19" s="1"/>
  <c r="AF64" i="19" s="1"/>
  <c r="BC64" i="19" s="1"/>
  <c r="AB64" i="19"/>
  <c r="AD64" i="19" s="1"/>
  <c r="AW118" i="19"/>
  <c r="AV118" i="19"/>
  <c r="R237" i="1"/>
  <c r="O99" i="18" s="1"/>
  <c r="C238" i="1"/>
  <c r="H237" i="1"/>
  <c r="AS118" i="18"/>
  <c r="O118" i="3"/>
  <c r="A37" i="10"/>
  <c r="AC37" i="10" s="1"/>
  <c r="A49" i="18"/>
  <c r="AS118" i="3"/>
  <c r="AP52" i="10"/>
  <c r="AL53" i="10"/>
  <c r="AN53" i="10"/>
  <c r="AK53" i="10"/>
  <c r="X65" i="3"/>
  <c r="AO53" i="10"/>
  <c r="S54" i="10"/>
  <c r="L96" i="4"/>
  <c r="T54" i="10" s="1"/>
  <c r="J97" i="4"/>
  <c r="AY44" i="3"/>
  <c r="AZ44" i="3" s="1"/>
  <c r="BK44" i="3" s="1"/>
  <c r="BL44" i="3" s="1"/>
  <c r="BN44" i="3" s="1"/>
  <c r="K62" i="10"/>
  <c r="P69" i="9"/>
  <c r="X58" i="10"/>
  <c r="AG37" i="10"/>
  <c r="AD37" i="10"/>
  <c r="AH37" i="10"/>
  <c r="AF37" i="10"/>
  <c r="AE37" i="10"/>
  <c r="AA73" i="10"/>
  <c r="AI36" i="10"/>
  <c r="V55" i="10"/>
  <c r="Y54" i="10"/>
  <c r="P106" i="4"/>
  <c r="G63" i="10"/>
  <c r="R106" i="4"/>
  <c r="I63" i="10"/>
  <c r="K80" i="4"/>
  <c r="B38" i="10"/>
  <c r="N106" i="4"/>
  <c r="E63" i="10"/>
  <c r="M106" i="4"/>
  <c r="D63" i="10"/>
  <c r="T105" i="4"/>
  <c r="Q106" i="4"/>
  <c r="H63" i="10"/>
  <c r="O106" i="4"/>
  <c r="F63" i="10"/>
  <c r="L74" i="3"/>
  <c r="P74" i="3"/>
  <c r="S106" i="4"/>
  <c r="J63" i="10"/>
  <c r="S47" i="3"/>
  <c r="U47" i="3" s="1"/>
  <c r="V47" i="3" s="1"/>
  <c r="AB47" i="3"/>
  <c r="AD47" i="3" s="1"/>
  <c r="AC47" i="3"/>
  <c r="AE47" i="3" s="1"/>
  <c r="AF47" i="3" s="1"/>
  <c r="BC47" i="3" s="1"/>
  <c r="T47" i="3"/>
  <c r="AW46" i="3"/>
  <c r="AX45" i="3"/>
  <c r="AW45" i="3"/>
  <c r="Q48" i="3"/>
  <c r="S48" i="3" s="1"/>
  <c r="AA48" i="3"/>
  <c r="AG50" i="8"/>
  <c r="AH50" i="8" s="1"/>
  <c r="AG51" i="8"/>
  <c r="Q50" i="8"/>
  <c r="R50" i="8" s="1"/>
  <c r="K51" i="8"/>
  <c r="O51" i="8"/>
  <c r="L51" i="8"/>
  <c r="P51" i="8"/>
  <c r="Q51" i="8"/>
  <c r="S51" i="8"/>
  <c r="AA51" i="8"/>
  <c r="M51" i="8"/>
  <c r="N51" i="8"/>
  <c r="C49" i="3"/>
  <c r="N49" i="3" s="1"/>
  <c r="V51" i="8"/>
  <c r="AB51" i="8"/>
  <c r="AC51" i="8"/>
  <c r="AF51" i="8"/>
  <c r="AE51" i="8"/>
  <c r="T51" i="8"/>
  <c r="U51" i="8"/>
  <c r="W51" i="8"/>
  <c r="AD51" i="8"/>
  <c r="X51" i="8"/>
  <c r="Z50" i="8"/>
  <c r="G43" i="9"/>
  <c r="J43" i="9"/>
  <c r="H43" i="9"/>
  <c r="A88" i="7"/>
  <c r="A80" i="4"/>
  <c r="A50" i="19" s="1"/>
  <c r="A44" i="9"/>
  <c r="A51" i="8"/>
  <c r="A49" i="3"/>
  <c r="AM65" i="3" l="1"/>
  <c r="AL65" i="3"/>
  <c r="AL65" i="18"/>
  <c r="AN65" i="18" s="1"/>
  <c r="AM65" i="18"/>
  <c r="AO65" i="18" s="1"/>
  <c r="AP65" i="18" s="1"/>
  <c r="BJ65" i="18" s="1"/>
  <c r="AM54" i="10"/>
  <c r="AH66" i="18"/>
  <c r="AK66" i="18" s="1"/>
  <c r="AH66" i="19"/>
  <c r="AK66" i="19" s="1"/>
  <c r="AH66" i="3"/>
  <c r="AK66" i="3" s="1"/>
  <c r="AL65" i="19"/>
  <c r="AN65" i="19" s="1"/>
  <c r="AM65" i="19"/>
  <c r="AO65" i="19" s="1"/>
  <c r="AP65" i="19" s="1"/>
  <c r="BJ65" i="19" s="1"/>
  <c r="AR52" i="10"/>
  <c r="AS52" i="10"/>
  <c r="BB48" i="19"/>
  <c r="BE48" i="19" s="1"/>
  <c r="BG48" i="19" s="1"/>
  <c r="BI48" i="19"/>
  <c r="BL48" i="19" s="1"/>
  <c r="BN48" i="19" s="1"/>
  <c r="BB48" i="18"/>
  <c r="BE48" i="18" s="1"/>
  <c r="BG48" i="18" s="1"/>
  <c r="BI48" i="18"/>
  <c r="BL48" i="18" s="1"/>
  <c r="BN48" i="18" s="1"/>
  <c r="BB47" i="3"/>
  <c r="BI47" i="3"/>
  <c r="AN59" i="3"/>
  <c r="AO59" i="3"/>
  <c r="AP59" i="3" s="1"/>
  <c r="BJ59" i="3" s="1"/>
  <c r="X76" i="8"/>
  <c r="AF76" i="8"/>
  <c r="P76" i="8"/>
  <c r="C38" i="10"/>
  <c r="AD38" i="10" s="1"/>
  <c r="C50" i="19"/>
  <c r="N50" i="19" s="1"/>
  <c r="Q50" i="19" s="1"/>
  <c r="C50" i="18"/>
  <c r="N50" i="18" s="1"/>
  <c r="Q50" i="18" s="1"/>
  <c r="L82" i="18"/>
  <c r="E83" i="18"/>
  <c r="P82" i="18"/>
  <c r="J50" i="8"/>
  <c r="R49" i="18"/>
  <c r="T49" i="18" s="1"/>
  <c r="S49" i="18"/>
  <c r="U49" i="18" s="1"/>
  <c r="V49" i="18" s="1"/>
  <c r="H77" i="8"/>
  <c r="P82" i="19"/>
  <c r="L82" i="19"/>
  <c r="E83" i="19"/>
  <c r="S49" i="19"/>
  <c r="U49" i="19" s="1"/>
  <c r="V49" i="19" s="1"/>
  <c r="R49" i="19"/>
  <c r="T49" i="19" s="1"/>
  <c r="AA65" i="19"/>
  <c r="AC65" i="19" s="1"/>
  <c r="AE65" i="19" s="1"/>
  <c r="AF65" i="19" s="1"/>
  <c r="BC65" i="19" s="1"/>
  <c r="E51" i="8"/>
  <c r="I51" i="8"/>
  <c r="F51" i="8"/>
  <c r="G51" i="8"/>
  <c r="C51" i="8"/>
  <c r="D51" i="8"/>
  <c r="X66" i="19"/>
  <c r="X66" i="18"/>
  <c r="AA66" i="18" s="1"/>
  <c r="U56" i="10"/>
  <c r="AC65" i="18"/>
  <c r="AE65" i="18" s="1"/>
  <c r="AF65" i="18" s="1"/>
  <c r="BC65" i="18" s="1"/>
  <c r="AB65" i="18"/>
  <c r="AD65" i="18" s="1"/>
  <c r="R238" i="1"/>
  <c r="O100" i="18" s="1"/>
  <c r="C239" i="1"/>
  <c r="H238" i="1"/>
  <c r="BE43" i="3"/>
  <c r="BG43" i="3" s="1"/>
  <c r="BD44" i="3"/>
  <c r="A38" i="10"/>
  <c r="AC38" i="10" s="1"/>
  <c r="A50" i="18"/>
  <c r="AY46" i="3"/>
  <c r="AP53" i="10"/>
  <c r="S55" i="10"/>
  <c r="L97" i="4"/>
  <c r="T55" i="10" s="1"/>
  <c r="J98" i="4"/>
  <c r="AN54" i="10"/>
  <c r="X66" i="3"/>
  <c r="AK54" i="10"/>
  <c r="AO54" i="10"/>
  <c r="AL54" i="10"/>
  <c r="AY45" i="3"/>
  <c r="AZ45" i="3" s="1"/>
  <c r="BK45" i="3" s="1"/>
  <c r="BL45" i="3" s="1"/>
  <c r="BN45" i="3" s="1"/>
  <c r="K63" i="10"/>
  <c r="P70" i="9"/>
  <c r="AI37" i="10"/>
  <c r="X59" i="10"/>
  <c r="AG38" i="10"/>
  <c r="V56" i="10"/>
  <c r="Y55" i="10"/>
  <c r="K81" i="4"/>
  <c r="B39" i="10"/>
  <c r="N107" i="4"/>
  <c r="E64" i="10"/>
  <c r="P107" i="4"/>
  <c r="G64" i="10"/>
  <c r="S107" i="4"/>
  <c r="J64" i="10"/>
  <c r="Q107" i="4"/>
  <c r="H64" i="10"/>
  <c r="M107" i="4"/>
  <c r="D64" i="10"/>
  <c r="T106" i="4"/>
  <c r="R107" i="4"/>
  <c r="I64" i="10"/>
  <c r="O107" i="4"/>
  <c r="F64" i="10"/>
  <c r="P75" i="3"/>
  <c r="L75" i="3"/>
  <c r="U48" i="3"/>
  <c r="V48" i="3" s="1"/>
  <c r="AC48" i="3"/>
  <c r="AE48" i="3" s="1"/>
  <c r="AF48" i="3" s="1"/>
  <c r="BC48" i="3" s="1"/>
  <c r="AB48" i="3"/>
  <c r="AD48" i="3" s="1"/>
  <c r="Y51" i="8"/>
  <c r="Z51" i="8" s="1"/>
  <c r="AX46" i="3"/>
  <c r="AZ46" i="3"/>
  <c r="BK46" i="3" s="1"/>
  <c r="BL46" i="3" s="1"/>
  <c r="BN46" i="3" s="1"/>
  <c r="R48" i="3"/>
  <c r="T48" i="3" s="1"/>
  <c r="Q49" i="3"/>
  <c r="R49" i="3" s="1"/>
  <c r="AA49" i="3"/>
  <c r="AH51" i="8"/>
  <c r="L52" i="8"/>
  <c r="C50" i="3"/>
  <c r="N50" i="3" s="1"/>
  <c r="AF52" i="8"/>
  <c r="AC52" i="8"/>
  <c r="W52" i="8"/>
  <c r="X52" i="8"/>
  <c r="P52" i="8"/>
  <c r="V52" i="8"/>
  <c r="S52" i="8"/>
  <c r="AE52" i="8"/>
  <c r="AD52" i="8"/>
  <c r="T52" i="8"/>
  <c r="AB52" i="8"/>
  <c r="N52" i="8"/>
  <c r="AA52" i="8"/>
  <c r="O52" i="8"/>
  <c r="K52" i="8"/>
  <c r="M52" i="8"/>
  <c r="U52" i="8"/>
  <c r="G44" i="9"/>
  <c r="J44" i="9"/>
  <c r="H44" i="9"/>
  <c r="R51" i="8"/>
  <c r="A89" i="7"/>
  <c r="A81" i="4"/>
  <c r="A51" i="19" s="1"/>
  <c r="A52" i="8"/>
  <c r="A45" i="9"/>
  <c r="A50" i="3"/>
  <c r="AL66" i="3" l="1"/>
  <c r="AM66" i="3"/>
  <c r="AM66" i="19"/>
  <c r="AO66" i="19" s="1"/>
  <c r="AP66" i="19" s="1"/>
  <c r="BJ66" i="19" s="1"/>
  <c r="AL66" i="19"/>
  <c r="AN66" i="19" s="1"/>
  <c r="AR53" i="10"/>
  <c r="AS53" i="10"/>
  <c r="AM66" i="18"/>
  <c r="AO66" i="18" s="1"/>
  <c r="AP66" i="18" s="1"/>
  <c r="BJ66" i="18" s="1"/>
  <c r="AL66" i="18"/>
  <c r="AN66" i="18" s="1"/>
  <c r="AL55" i="10"/>
  <c r="AH67" i="18"/>
  <c r="AK67" i="18" s="1"/>
  <c r="AH67" i="19"/>
  <c r="AK67" i="19" s="1"/>
  <c r="AH67" i="3"/>
  <c r="AK67" i="3" s="1"/>
  <c r="BB48" i="3"/>
  <c r="BI48" i="3"/>
  <c r="BI49" i="18"/>
  <c r="BL49" i="18" s="1"/>
  <c r="BN49" i="18" s="1"/>
  <c r="BB49" i="18"/>
  <c r="BE49" i="18" s="1"/>
  <c r="BG49" i="18" s="1"/>
  <c r="BB49" i="19"/>
  <c r="BE49" i="19" s="1"/>
  <c r="BG49" i="19" s="1"/>
  <c r="BI49" i="19"/>
  <c r="BL49" i="19" s="1"/>
  <c r="BN49" i="19" s="1"/>
  <c r="AO60" i="3"/>
  <c r="AP60" i="3" s="1"/>
  <c r="BJ60" i="3" s="1"/>
  <c r="AN60" i="3"/>
  <c r="AE38" i="10"/>
  <c r="AF38" i="10"/>
  <c r="AH38" i="10"/>
  <c r="AI38" i="10" s="1"/>
  <c r="AB65" i="19"/>
  <c r="AD65" i="19" s="1"/>
  <c r="P83" i="18"/>
  <c r="E84" i="18"/>
  <c r="L83" i="18"/>
  <c r="R50" i="18"/>
  <c r="T50" i="18" s="1"/>
  <c r="S50" i="18"/>
  <c r="U50" i="18" s="1"/>
  <c r="V50" i="18" s="1"/>
  <c r="H78" i="8"/>
  <c r="C39" i="10"/>
  <c r="C51" i="19"/>
  <c r="N51" i="19" s="1"/>
  <c r="Q51" i="19" s="1"/>
  <c r="C51" i="18"/>
  <c r="N51" i="18" s="1"/>
  <c r="Q51" i="18" s="1"/>
  <c r="P77" i="8"/>
  <c r="AF77" i="8"/>
  <c r="X77" i="8"/>
  <c r="S50" i="19"/>
  <c r="U50" i="19" s="1"/>
  <c r="V50" i="19" s="1"/>
  <c r="R50" i="19"/>
  <c r="T50" i="19" s="1"/>
  <c r="J51" i="8"/>
  <c r="E84" i="19"/>
  <c r="P83" i="19"/>
  <c r="L83" i="19"/>
  <c r="F52" i="8"/>
  <c r="C52" i="8"/>
  <c r="G52" i="8"/>
  <c r="I52" i="8"/>
  <c r="D52" i="8"/>
  <c r="E52" i="8"/>
  <c r="AA66" i="19"/>
  <c r="AC66" i="19" s="1"/>
  <c r="X67" i="18"/>
  <c r="X67" i="19"/>
  <c r="U57" i="10"/>
  <c r="AB66" i="18"/>
  <c r="AD66" i="18" s="1"/>
  <c r="AC66" i="18"/>
  <c r="AE66" i="18" s="1"/>
  <c r="AF66" i="18" s="1"/>
  <c r="BC66" i="18" s="1"/>
  <c r="R239" i="1"/>
  <c r="O101" i="18" s="1"/>
  <c r="C240" i="1"/>
  <c r="H239" i="1"/>
  <c r="BE44" i="3"/>
  <c r="BG44" i="3" s="1"/>
  <c r="BD45" i="3"/>
  <c r="BE45" i="3"/>
  <c r="BG45" i="3" s="1"/>
  <c r="BD46" i="3"/>
  <c r="A39" i="10"/>
  <c r="AC39" i="10" s="1"/>
  <c r="A51" i="18"/>
  <c r="AP54" i="10"/>
  <c r="AM55" i="10"/>
  <c r="S56" i="10"/>
  <c r="L98" i="4"/>
  <c r="T56" i="10" s="1"/>
  <c r="J99" i="4"/>
  <c r="AN55" i="10"/>
  <c r="X67" i="3"/>
  <c r="AK55" i="10"/>
  <c r="AO55" i="10"/>
  <c r="K64" i="10"/>
  <c r="P71" i="9"/>
  <c r="AD39" i="10"/>
  <c r="AH39" i="10"/>
  <c r="AE39" i="10"/>
  <c r="AF39" i="10"/>
  <c r="AG39" i="10"/>
  <c r="X60" i="10"/>
  <c r="V57" i="10"/>
  <c r="Y56" i="10"/>
  <c r="Q108" i="4"/>
  <c r="H65" i="10"/>
  <c r="H79" i="8" s="1"/>
  <c r="R108" i="4"/>
  <c r="I65" i="10"/>
  <c r="M108" i="4"/>
  <c r="D65" i="10"/>
  <c r="T107" i="4"/>
  <c r="N108" i="4"/>
  <c r="E65" i="10"/>
  <c r="K82" i="4"/>
  <c r="B40" i="10"/>
  <c r="O108" i="4"/>
  <c r="F65" i="10"/>
  <c r="P108" i="4"/>
  <c r="G65" i="10"/>
  <c r="L76" i="3"/>
  <c r="P76" i="3"/>
  <c r="S108" i="4"/>
  <c r="J65" i="10"/>
  <c r="T49" i="3"/>
  <c r="AB49" i="3"/>
  <c r="AD49" i="3" s="1"/>
  <c r="AC49" i="3"/>
  <c r="AE49" i="3" s="1"/>
  <c r="AF49" i="3" s="1"/>
  <c r="BC49" i="3" s="1"/>
  <c r="AG52" i="8"/>
  <c r="AH52" i="8" s="1"/>
  <c r="AW48" i="3"/>
  <c r="AX47" i="3"/>
  <c r="AX48" i="3" s="1"/>
  <c r="AX49" i="3" s="1"/>
  <c r="AW47" i="3"/>
  <c r="S49" i="3"/>
  <c r="U49" i="3" s="1"/>
  <c r="V49" i="3" s="1"/>
  <c r="Q50" i="3"/>
  <c r="S50" i="3" s="1"/>
  <c r="AA50" i="3"/>
  <c r="Y52" i="8"/>
  <c r="Z52" i="8" s="1"/>
  <c r="Q52" i="8"/>
  <c r="R52" i="8" s="1"/>
  <c r="AG53" i="8"/>
  <c r="J45" i="9"/>
  <c r="G45" i="9"/>
  <c r="H45" i="9"/>
  <c r="C51" i="3"/>
  <c r="N51" i="3" s="1"/>
  <c r="AC53" i="8"/>
  <c r="L53" i="8"/>
  <c r="AD53" i="8"/>
  <c r="M53" i="8"/>
  <c r="U53" i="8"/>
  <c r="P53" i="8"/>
  <c r="N53" i="8"/>
  <c r="K53" i="8"/>
  <c r="T53" i="8"/>
  <c r="AA53" i="8"/>
  <c r="S53" i="8"/>
  <c r="X53" i="8"/>
  <c r="AF53" i="8"/>
  <c r="V53" i="8"/>
  <c r="W53" i="8"/>
  <c r="AB53" i="8"/>
  <c r="AE53" i="8"/>
  <c r="O53" i="8"/>
  <c r="A90" i="7"/>
  <c r="A82" i="4"/>
  <c r="A52" i="19" s="1"/>
  <c r="A46" i="9"/>
  <c r="A53" i="8"/>
  <c r="A51" i="3"/>
  <c r="AL67" i="19" l="1"/>
  <c r="AN67" i="19" s="1"/>
  <c r="AM67" i="19"/>
  <c r="AO67" i="19" s="1"/>
  <c r="AP67" i="19" s="1"/>
  <c r="BJ67" i="19" s="1"/>
  <c r="AL56" i="10"/>
  <c r="AH68" i="18"/>
  <c r="AK68" i="18" s="1"/>
  <c r="AH68" i="19"/>
  <c r="AK68" i="19" s="1"/>
  <c r="AH68" i="3"/>
  <c r="AK68" i="3" s="1"/>
  <c r="AM67" i="3"/>
  <c r="AL67" i="3"/>
  <c r="AR54" i="10"/>
  <c r="AS54" i="10"/>
  <c r="AL67" i="18"/>
  <c r="AN67" i="18" s="1"/>
  <c r="AM67" i="18"/>
  <c r="AO67" i="18" s="1"/>
  <c r="AP67" i="18" s="1"/>
  <c r="BJ67" i="18" s="1"/>
  <c r="BB49" i="3"/>
  <c r="BI49" i="3"/>
  <c r="BB50" i="19"/>
  <c r="BE50" i="19" s="1"/>
  <c r="BG50" i="19" s="1"/>
  <c r="BI50" i="19"/>
  <c r="BL50" i="19" s="1"/>
  <c r="BN50" i="19" s="1"/>
  <c r="BB50" i="18"/>
  <c r="BE50" i="18" s="1"/>
  <c r="BG50" i="18" s="1"/>
  <c r="BI50" i="18"/>
  <c r="BL50" i="18" s="1"/>
  <c r="BN50" i="18" s="1"/>
  <c r="AE66" i="19"/>
  <c r="AF66" i="19" s="1"/>
  <c r="BC66" i="19" s="1"/>
  <c r="AN61" i="3"/>
  <c r="AO61" i="3"/>
  <c r="AP61" i="3" s="1"/>
  <c r="BJ61" i="3" s="1"/>
  <c r="S51" i="19"/>
  <c r="U51" i="19" s="1"/>
  <c r="V51" i="19" s="1"/>
  <c r="R51" i="19"/>
  <c r="T51" i="19" s="1"/>
  <c r="S51" i="18"/>
  <c r="U51" i="18" s="1"/>
  <c r="V51" i="18" s="1"/>
  <c r="R51" i="18"/>
  <c r="T51" i="18" s="1"/>
  <c r="AB66" i="19"/>
  <c r="AD66" i="19" s="1"/>
  <c r="J52" i="8"/>
  <c r="E85" i="19"/>
  <c r="L84" i="19"/>
  <c r="P84" i="19"/>
  <c r="C53" i="8"/>
  <c r="G53" i="8"/>
  <c r="D53" i="8"/>
  <c r="I53" i="8"/>
  <c r="E53" i="8"/>
  <c r="F53" i="8"/>
  <c r="P79" i="8"/>
  <c r="AF79" i="8"/>
  <c r="X79" i="8"/>
  <c r="C40" i="10"/>
  <c r="C52" i="19"/>
  <c r="N52" i="19" s="1"/>
  <c r="Q52" i="19" s="1"/>
  <c r="C52" i="18"/>
  <c r="N52" i="18" s="1"/>
  <c r="Q52" i="18" s="1"/>
  <c r="AA67" i="18"/>
  <c r="AB67" i="18" s="1"/>
  <c r="AD67" i="18" s="1"/>
  <c r="AF78" i="8"/>
  <c r="P78" i="8"/>
  <c r="X78" i="8"/>
  <c r="E85" i="18"/>
  <c r="P84" i="18"/>
  <c r="L84" i="18"/>
  <c r="AA67" i="19"/>
  <c r="AC67" i="19" s="1"/>
  <c r="AE67" i="19" s="1"/>
  <c r="AF67" i="19" s="1"/>
  <c r="BC67" i="19" s="1"/>
  <c r="X68" i="19"/>
  <c r="AA68" i="19" s="1"/>
  <c r="AC68" i="19" s="1"/>
  <c r="AM56" i="10"/>
  <c r="X68" i="18"/>
  <c r="AA68" i="18" s="1"/>
  <c r="AC68" i="18" s="1"/>
  <c r="U58" i="10"/>
  <c r="C241" i="1"/>
  <c r="R240" i="1"/>
  <c r="O102" i="18" s="1"/>
  <c r="H240" i="1"/>
  <c r="A40" i="10"/>
  <c r="AC40" i="10" s="1"/>
  <c r="A52" i="18"/>
  <c r="K63" i="9"/>
  <c r="Q63" i="9" s="1"/>
  <c r="AP55" i="10"/>
  <c r="S57" i="10"/>
  <c r="L99" i="4"/>
  <c r="T57" i="10" s="1"/>
  <c r="J100" i="4"/>
  <c r="AN56" i="10"/>
  <c r="X68" i="3"/>
  <c r="AK56" i="10"/>
  <c r="AO56" i="10"/>
  <c r="AY47" i="3"/>
  <c r="AZ47" i="3" s="1"/>
  <c r="BK47" i="3" s="1"/>
  <c r="BL47" i="3" s="1"/>
  <c r="BN47" i="3" s="1"/>
  <c r="AX50" i="3"/>
  <c r="AX51" i="3" s="1"/>
  <c r="AX52" i="3" s="1"/>
  <c r="AX53" i="3" s="1"/>
  <c r="AX54" i="3" s="1"/>
  <c r="AX55" i="3" s="1"/>
  <c r="AX56" i="3" s="1"/>
  <c r="AX57" i="3" s="1"/>
  <c r="AX58" i="3" s="1"/>
  <c r="AX59" i="3" s="1"/>
  <c r="AX60" i="3" s="1"/>
  <c r="AX61" i="3" s="1"/>
  <c r="AX62" i="3" s="1"/>
  <c r="AX63" i="3" s="1"/>
  <c r="AY48" i="3"/>
  <c r="K65" i="10"/>
  <c r="P72" i="9"/>
  <c r="AI39" i="10"/>
  <c r="AG40" i="10"/>
  <c r="AD40" i="10"/>
  <c r="AH40" i="10"/>
  <c r="AE40" i="10"/>
  <c r="AF40" i="10"/>
  <c r="X61" i="10"/>
  <c r="V58" i="10"/>
  <c r="Y57" i="10"/>
  <c r="S109" i="4"/>
  <c r="J66" i="10"/>
  <c r="R109" i="4"/>
  <c r="I66" i="10"/>
  <c r="P109" i="4"/>
  <c r="G66" i="10"/>
  <c r="N109" i="4"/>
  <c r="E66" i="10"/>
  <c r="M109" i="4"/>
  <c r="D66" i="10"/>
  <c r="T108" i="4"/>
  <c r="O109" i="4"/>
  <c r="F66" i="10"/>
  <c r="K83" i="4"/>
  <c r="B41" i="10"/>
  <c r="L77" i="3"/>
  <c r="P77" i="3"/>
  <c r="Q109" i="4"/>
  <c r="H66" i="10"/>
  <c r="H80" i="8" s="1"/>
  <c r="U50" i="3"/>
  <c r="V50" i="3" s="1"/>
  <c r="R50" i="3"/>
  <c r="T50" i="3" s="1"/>
  <c r="Q53" i="8"/>
  <c r="R53" i="8" s="1"/>
  <c r="AC50" i="3"/>
  <c r="AE50" i="3" s="1"/>
  <c r="AF50" i="3" s="1"/>
  <c r="BC50" i="3" s="1"/>
  <c r="AB50" i="3"/>
  <c r="AD50" i="3" s="1"/>
  <c r="Y53" i="8"/>
  <c r="Z53" i="8" s="1"/>
  <c r="AZ48" i="3"/>
  <c r="BK48" i="3" s="1"/>
  <c r="BL48" i="3" s="1"/>
  <c r="BN48" i="3" s="1"/>
  <c r="Q51" i="3"/>
  <c r="S51" i="3" s="1"/>
  <c r="AA51" i="3"/>
  <c r="Q54" i="8"/>
  <c r="T54" i="8"/>
  <c r="AB54" i="8"/>
  <c r="W54" i="8"/>
  <c r="AD54" i="8"/>
  <c r="P54" i="8"/>
  <c r="X54" i="8"/>
  <c r="AA54" i="8"/>
  <c r="N54" i="8"/>
  <c r="C52" i="3"/>
  <c r="N52" i="3" s="1"/>
  <c r="M54" i="8"/>
  <c r="AF54" i="8"/>
  <c r="V54" i="8"/>
  <c r="S54" i="8"/>
  <c r="K54" i="8"/>
  <c r="AG54" i="8"/>
  <c r="AE54" i="8"/>
  <c r="L54" i="8"/>
  <c r="U54" i="8"/>
  <c r="Y54" i="8"/>
  <c r="O54" i="8"/>
  <c r="AC54" i="8"/>
  <c r="H46" i="9"/>
  <c r="G46" i="9"/>
  <c r="J46" i="9"/>
  <c r="AH53" i="8"/>
  <c r="A91" i="7"/>
  <c r="A47" i="9"/>
  <c r="A83" i="4"/>
  <c r="A53" i="19" s="1"/>
  <c r="A54" i="8"/>
  <c r="A52" i="3"/>
  <c r="AM68" i="3" l="1"/>
  <c r="AL68" i="3"/>
  <c r="AM68" i="19"/>
  <c r="AO68" i="19" s="1"/>
  <c r="AP68" i="19" s="1"/>
  <c r="BJ68" i="19" s="1"/>
  <c r="AL68" i="19"/>
  <c r="AN68" i="19" s="1"/>
  <c r="AM68" i="18"/>
  <c r="AO68" i="18" s="1"/>
  <c r="AP68" i="18" s="1"/>
  <c r="BJ68" i="18" s="1"/>
  <c r="AL68" i="18"/>
  <c r="AN68" i="18" s="1"/>
  <c r="AM57" i="10"/>
  <c r="AH69" i="18"/>
  <c r="AK69" i="18" s="1"/>
  <c r="AH69" i="19"/>
  <c r="AK69" i="19" s="1"/>
  <c r="AH69" i="3"/>
  <c r="AK69" i="3" s="1"/>
  <c r="AS55" i="10"/>
  <c r="AR55" i="10"/>
  <c r="BB51" i="18"/>
  <c r="BE51" i="18" s="1"/>
  <c r="BG51" i="18" s="1"/>
  <c r="BI51" i="18"/>
  <c r="BL51" i="18" s="1"/>
  <c r="BN51" i="18" s="1"/>
  <c r="BB50" i="3"/>
  <c r="BI50" i="3"/>
  <c r="BB51" i="19"/>
  <c r="BE51" i="19" s="1"/>
  <c r="BG51" i="19" s="1"/>
  <c r="BI51" i="19"/>
  <c r="BL51" i="19" s="1"/>
  <c r="BN51" i="19" s="1"/>
  <c r="AN62" i="3"/>
  <c r="AO62" i="3"/>
  <c r="AP62" i="3" s="1"/>
  <c r="BJ62" i="3" s="1"/>
  <c r="AB67" i="19"/>
  <c r="AD67" i="19" s="1"/>
  <c r="J53" i="8"/>
  <c r="P85" i="18"/>
  <c r="L85" i="18"/>
  <c r="AC67" i="18"/>
  <c r="AE67" i="18" s="1"/>
  <c r="AF67" i="18" s="1"/>
  <c r="BC67" i="18" s="1"/>
  <c r="R52" i="18"/>
  <c r="T52" i="18" s="1"/>
  <c r="S52" i="18"/>
  <c r="U52" i="18" s="1"/>
  <c r="V52" i="18" s="1"/>
  <c r="C41" i="10"/>
  <c r="AE41" i="10" s="1"/>
  <c r="C53" i="19"/>
  <c r="N53" i="19" s="1"/>
  <c r="Q53" i="19" s="1"/>
  <c r="C53" i="18"/>
  <c r="N53" i="18" s="1"/>
  <c r="Q53" i="18" s="1"/>
  <c r="R52" i="19"/>
  <c r="T52" i="19" s="1"/>
  <c r="S52" i="19"/>
  <c r="U52" i="19" s="1"/>
  <c r="V52" i="19" s="1"/>
  <c r="AB68" i="18"/>
  <c r="AD68" i="18" s="1"/>
  <c r="D54" i="8"/>
  <c r="E54" i="8"/>
  <c r="I54" i="8"/>
  <c r="C54" i="8"/>
  <c r="F54" i="8"/>
  <c r="G54" i="8"/>
  <c r="L85" i="19"/>
  <c r="P85" i="19"/>
  <c r="AB68" i="19"/>
  <c r="X69" i="18"/>
  <c r="AA69" i="18" s="1"/>
  <c r="AB69" i="18" s="1"/>
  <c r="X69" i="19"/>
  <c r="AA69" i="19" s="1"/>
  <c r="AC69" i="19" s="1"/>
  <c r="S63" i="9"/>
  <c r="AE68" i="18"/>
  <c r="AF68" i="18" s="1"/>
  <c r="BC68" i="18" s="1"/>
  <c r="AE68" i="19"/>
  <c r="AF68" i="19" s="1"/>
  <c r="BC68" i="19" s="1"/>
  <c r="U59" i="10"/>
  <c r="C242" i="1"/>
  <c r="R241" i="1"/>
  <c r="O103" i="18" s="1"/>
  <c r="H241" i="1"/>
  <c r="BE46" i="3"/>
  <c r="BG46" i="3" s="1"/>
  <c r="BD47" i="3"/>
  <c r="BE47" i="3" s="1"/>
  <c r="BG47" i="3" s="1"/>
  <c r="BD48" i="3"/>
  <c r="A41" i="10"/>
  <c r="AC41" i="10" s="1"/>
  <c r="A53" i="18"/>
  <c r="K64" i="9"/>
  <c r="Q64" i="9" s="1"/>
  <c r="AP56" i="10"/>
  <c r="S58" i="10"/>
  <c r="L100" i="4"/>
  <c r="T58" i="10" s="1"/>
  <c r="J101" i="4"/>
  <c r="AN57" i="10"/>
  <c r="AK57" i="10"/>
  <c r="X69" i="3"/>
  <c r="AO57" i="10"/>
  <c r="AL57" i="10"/>
  <c r="K66" i="10"/>
  <c r="P73" i="9"/>
  <c r="X62" i="10"/>
  <c r="AI40" i="10"/>
  <c r="V59" i="10"/>
  <c r="Y58" i="10"/>
  <c r="K84" i="4"/>
  <c r="B42" i="10"/>
  <c r="Q110" i="4"/>
  <c r="H67" i="10"/>
  <c r="R110" i="4"/>
  <c r="I67" i="10"/>
  <c r="L78" i="3"/>
  <c r="P78" i="3"/>
  <c r="P110" i="4"/>
  <c r="G67" i="10"/>
  <c r="N110" i="4"/>
  <c r="E67" i="10"/>
  <c r="O110" i="4"/>
  <c r="F67" i="10"/>
  <c r="M110" i="4"/>
  <c r="D67" i="10"/>
  <c r="T109" i="4"/>
  <c r="K67" i="10" s="1"/>
  <c r="S110" i="4"/>
  <c r="J67" i="10"/>
  <c r="S73" i="10"/>
  <c r="U51" i="3"/>
  <c r="V51" i="3" s="1"/>
  <c r="AB51" i="3"/>
  <c r="AD51" i="3" s="1"/>
  <c r="AC51" i="3"/>
  <c r="AE51" i="3" s="1"/>
  <c r="AF51" i="3" s="1"/>
  <c r="BC51" i="3" s="1"/>
  <c r="AW50" i="3"/>
  <c r="AY50" i="3" s="1"/>
  <c r="AW49" i="3"/>
  <c r="Q52" i="3"/>
  <c r="S52" i="3" s="1"/>
  <c r="AA52" i="3"/>
  <c r="R51" i="3"/>
  <c r="T51" i="3" s="1"/>
  <c r="Y55" i="8"/>
  <c r="AH54" i="8"/>
  <c r="J47" i="9"/>
  <c r="G47" i="9"/>
  <c r="H47" i="9"/>
  <c r="R54" i="8"/>
  <c r="K55" i="8"/>
  <c r="O55" i="8"/>
  <c r="L55" i="8"/>
  <c r="P55" i="8"/>
  <c r="S55" i="8"/>
  <c r="AB55" i="8"/>
  <c r="M55" i="8"/>
  <c r="AE55" i="8"/>
  <c r="N55" i="8"/>
  <c r="C53" i="3"/>
  <c r="N53" i="3" s="1"/>
  <c r="AA55" i="8"/>
  <c r="AF55" i="8"/>
  <c r="T55" i="8"/>
  <c r="U55" i="8"/>
  <c r="W55" i="8"/>
  <c r="X55" i="8"/>
  <c r="V55" i="8"/>
  <c r="AC55" i="8"/>
  <c r="AD55" i="8"/>
  <c r="Z54" i="8"/>
  <c r="A92" i="7"/>
  <c r="A48" i="9"/>
  <c r="A55" i="8"/>
  <c r="A84" i="4"/>
  <c r="A54" i="19" s="1"/>
  <c r="A53" i="3"/>
  <c r="AL69" i="18" l="1"/>
  <c r="AN69" i="18" s="1"/>
  <c r="AM69" i="18"/>
  <c r="AO69" i="18" s="1"/>
  <c r="AP69" i="18" s="1"/>
  <c r="BJ69" i="18" s="1"/>
  <c r="AR56" i="10"/>
  <c r="AS56" i="10"/>
  <c r="AM69" i="3"/>
  <c r="AL69" i="3"/>
  <c r="AM69" i="19"/>
  <c r="AO69" i="19" s="1"/>
  <c r="AP69" i="19" s="1"/>
  <c r="BJ69" i="19" s="1"/>
  <c r="AL69" i="19"/>
  <c r="AN69" i="19" s="1"/>
  <c r="AL58" i="10"/>
  <c r="AH70" i="18"/>
  <c r="AK70" i="18" s="1"/>
  <c r="AH70" i="19"/>
  <c r="AK70" i="19" s="1"/>
  <c r="AH70" i="3"/>
  <c r="AK70" i="3" s="1"/>
  <c r="BI52" i="18"/>
  <c r="BL52" i="18" s="1"/>
  <c r="BN52" i="18" s="1"/>
  <c r="BB52" i="18"/>
  <c r="BE52" i="18" s="1"/>
  <c r="BG52" i="18" s="1"/>
  <c r="BB51" i="3"/>
  <c r="BI51" i="3"/>
  <c r="BB52" i="19"/>
  <c r="BE52" i="19" s="1"/>
  <c r="BG52" i="19" s="1"/>
  <c r="BI52" i="19"/>
  <c r="BL52" i="19" s="1"/>
  <c r="BN52" i="19" s="1"/>
  <c r="AD68" i="19"/>
  <c r="AB69" i="19"/>
  <c r="AC69" i="18"/>
  <c r="AN63" i="3"/>
  <c r="AO63" i="3"/>
  <c r="AP63" i="3" s="1"/>
  <c r="BJ63" i="3" s="1"/>
  <c r="AG41" i="10"/>
  <c r="H81" i="8"/>
  <c r="AH41" i="10"/>
  <c r="AF41" i="10"/>
  <c r="J54" i="8"/>
  <c r="S53" i="18"/>
  <c r="U53" i="18" s="1"/>
  <c r="V53" i="18" s="1"/>
  <c r="R53" i="18"/>
  <c r="T53" i="18" s="1"/>
  <c r="E55" i="8"/>
  <c r="I55" i="8"/>
  <c r="F55" i="8"/>
  <c r="C55" i="8"/>
  <c r="D55" i="8"/>
  <c r="G55" i="8"/>
  <c r="C42" i="10"/>
  <c r="AG42" i="10" s="1"/>
  <c r="C54" i="19"/>
  <c r="N54" i="19" s="1"/>
  <c r="Q54" i="19" s="1"/>
  <c r="C54" i="18"/>
  <c r="N54" i="18" s="1"/>
  <c r="Q54" i="18" s="1"/>
  <c r="AD41" i="10"/>
  <c r="S53" i="19"/>
  <c r="U53" i="19" s="1"/>
  <c r="V53" i="19" s="1"/>
  <c r="R53" i="19"/>
  <c r="T53" i="19" s="1"/>
  <c r="X70" i="18"/>
  <c r="AA70" i="18" s="1"/>
  <c r="AB70" i="18" s="1"/>
  <c r="AD69" i="18"/>
  <c r="X70" i="19"/>
  <c r="AA70" i="19" s="1"/>
  <c r="AC70" i="19" s="1"/>
  <c r="AE69" i="18"/>
  <c r="AF69" i="18" s="1"/>
  <c r="BC69" i="18" s="1"/>
  <c r="U60" i="10"/>
  <c r="C243" i="1"/>
  <c r="R242" i="1"/>
  <c r="O104" i="18" s="1"/>
  <c r="H242" i="1"/>
  <c r="A42" i="10"/>
  <c r="AC42" i="10" s="1"/>
  <c r="A54" i="18"/>
  <c r="S64" i="9"/>
  <c r="AM58" i="10"/>
  <c r="AP57" i="10"/>
  <c r="K65" i="9"/>
  <c r="Q65" i="9" s="1"/>
  <c r="S59" i="10"/>
  <c r="L101" i="4"/>
  <c r="T59" i="10" s="1"/>
  <c r="J102" i="4"/>
  <c r="AN58" i="10"/>
  <c r="X70" i="3"/>
  <c r="AK58" i="10"/>
  <c r="AO58" i="10"/>
  <c r="AY49" i="3"/>
  <c r="AZ49" i="3" s="1"/>
  <c r="BK49" i="3" s="1"/>
  <c r="BL49" i="3" s="1"/>
  <c r="BN49" i="3" s="1"/>
  <c r="AE42" i="10"/>
  <c r="AF42" i="10"/>
  <c r="AD42" i="10"/>
  <c r="AH42" i="10"/>
  <c r="X63" i="10"/>
  <c r="V60" i="10"/>
  <c r="Y59" i="10"/>
  <c r="S111" i="4"/>
  <c r="J68" i="10"/>
  <c r="M111" i="4"/>
  <c r="D68" i="10"/>
  <c r="T110" i="4"/>
  <c r="K68" i="10" s="1"/>
  <c r="K85" i="4"/>
  <c r="B43" i="10"/>
  <c r="P111" i="4"/>
  <c r="G68" i="10"/>
  <c r="Q111" i="4"/>
  <c r="H68" i="10"/>
  <c r="L79" i="3"/>
  <c r="P79" i="3"/>
  <c r="N111" i="4"/>
  <c r="E68" i="10"/>
  <c r="R111" i="4"/>
  <c r="I68" i="10"/>
  <c r="O111" i="4"/>
  <c r="F68" i="10"/>
  <c r="Q55" i="8"/>
  <c r="R55" i="8" s="1"/>
  <c r="AC52" i="3"/>
  <c r="AE52" i="3" s="1"/>
  <c r="AF52" i="3" s="1"/>
  <c r="BC52" i="3" s="1"/>
  <c r="AB52" i="3"/>
  <c r="AD52" i="3" s="1"/>
  <c r="U52" i="3"/>
  <c r="V52" i="3" s="1"/>
  <c r="AZ50" i="3"/>
  <c r="BK50" i="3" s="1"/>
  <c r="BL50" i="3" s="1"/>
  <c r="BN50" i="3" s="1"/>
  <c r="AW51" i="3"/>
  <c r="AY51" i="3" s="1"/>
  <c r="R52" i="3"/>
  <c r="T52" i="3" s="1"/>
  <c r="Q53" i="3"/>
  <c r="R53" i="3" s="1"/>
  <c r="AA53" i="3"/>
  <c r="AG56" i="8"/>
  <c r="AG55" i="8"/>
  <c r="AH55" i="8" s="1"/>
  <c r="Z55" i="8"/>
  <c r="L56" i="8"/>
  <c r="O56" i="8"/>
  <c r="K56" i="8"/>
  <c r="AC56" i="8"/>
  <c r="P56" i="8"/>
  <c r="C54" i="3"/>
  <c r="N54" i="3" s="1"/>
  <c r="U56" i="8"/>
  <c r="S56" i="8"/>
  <c r="AD56" i="8"/>
  <c r="V56" i="8"/>
  <c r="AF56" i="8"/>
  <c r="T56" i="8"/>
  <c r="N56" i="8"/>
  <c r="M56" i="8"/>
  <c r="AA56" i="8"/>
  <c r="AB56" i="8"/>
  <c r="W56" i="8"/>
  <c r="Q56" i="8"/>
  <c r="X56" i="8"/>
  <c r="AE56" i="8"/>
  <c r="J48" i="9"/>
  <c r="H48" i="9"/>
  <c r="G48" i="9"/>
  <c r="A93" i="7"/>
  <c r="A85" i="4"/>
  <c r="A55" i="19" s="1"/>
  <c r="A56" i="8"/>
  <c r="A49" i="9"/>
  <c r="A54" i="3"/>
  <c r="AL70" i="3" l="1"/>
  <c r="AM70" i="3"/>
  <c r="AM70" i="19"/>
  <c r="AO70" i="19" s="1"/>
  <c r="AP70" i="19" s="1"/>
  <c r="BJ70" i="19" s="1"/>
  <c r="AL70" i="19"/>
  <c r="AN70" i="19" s="1"/>
  <c r="AL59" i="10"/>
  <c r="AH71" i="18"/>
  <c r="AK71" i="18" s="1"/>
  <c r="AH71" i="19"/>
  <c r="AK71" i="19" s="1"/>
  <c r="AH71" i="3"/>
  <c r="AK71" i="3" s="1"/>
  <c r="AR57" i="10"/>
  <c r="AS57" i="10"/>
  <c r="AM70" i="18"/>
  <c r="AO70" i="18" s="1"/>
  <c r="AP70" i="18" s="1"/>
  <c r="BJ70" i="18" s="1"/>
  <c r="AL70" i="18"/>
  <c r="AN70" i="18" s="1"/>
  <c r="AD69" i="19"/>
  <c r="AE69" i="19"/>
  <c r="AF69" i="19" s="1"/>
  <c r="BC69" i="19" s="1"/>
  <c r="BB52" i="3"/>
  <c r="BI52" i="3"/>
  <c r="BB53" i="18"/>
  <c r="BE53" i="18" s="1"/>
  <c r="BG53" i="18" s="1"/>
  <c r="BI53" i="18"/>
  <c r="BL53" i="18" s="1"/>
  <c r="BN53" i="18" s="1"/>
  <c r="BB53" i="19"/>
  <c r="BE53" i="19" s="1"/>
  <c r="BG53" i="19" s="1"/>
  <c r="BI53" i="19"/>
  <c r="BL53" i="19" s="1"/>
  <c r="BN53" i="19" s="1"/>
  <c r="AN64" i="3"/>
  <c r="AO64" i="3"/>
  <c r="AP64" i="3" s="1"/>
  <c r="BJ64" i="3" s="1"/>
  <c r="AI41" i="10"/>
  <c r="J55" i="8"/>
  <c r="AD70" i="18"/>
  <c r="F56" i="8"/>
  <c r="C56" i="8"/>
  <c r="G56" i="8"/>
  <c r="D56" i="8"/>
  <c r="E56" i="8"/>
  <c r="I56" i="8"/>
  <c r="R54" i="19"/>
  <c r="T54" i="19" s="1"/>
  <c r="S54" i="19"/>
  <c r="U54" i="19" s="1"/>
  <c r="V54" i="19" s="1"/>
  <c r="H82" i="8"/>
  <c r="C43" i="10"/>
  <c r="AE43" i="10" s="1"/>
  <c r="C55" i="19"/>
  <c r="N55" i="19" s="1"/>
  <c r="Q55" i="19" s="1"/>
  <c r="C55" i="18"/>
  <c r="N55" i="18" s="1"/>
  <c r="Q55" i="18" s="1"/>
  <c r="AE70" i="19"/>
  <c r="AF70" i="19" s="1"/>
  <c r="BC70" i="19" s="1"/>
  <c r="R54" i="18"/>
  <c r="T54" i="18" s="1"/>
  <c r="S54" i="18"/>
  <c r="U54" i="18" s="1"/>
  <c r="V54" i="18" s="1"/>
  <c r="AC70" i="18"/>
  <c r="AE70" i="18" s="1"/>
  <c r="AF70" i="18" s="1"/>
  <c r="BC70" i="18" s="1"/>
  <c r="X71" i="18"/>
  <c r="AA71" i="18" s="1"/>
  <c r="AC71" i="18" s="1"/>
  <c r="AE71" i="18" s="1"/>
  <c r="AF71" i="18" s="1"/>
  <c r="BC71" i="18" s="1"/>
  <c r="X71" i="19"/>
  <c r="AA71" i="19" s="1"/>
  <c r="AC71" i="19" s="1"/>
  <c r="AB70" i="19"/>
  <c r="AD70" i="19" s="1"/>
  <c r="U61" i="10"/>
  <c r="C244" i="1"/>
  <c r="R243" i="1"/>
  <c r="O105" i="18" s="1"/>
  <c r="H243" i="1"/>
  <c r="BE48" i="3"/>
  <c r="BG48" i="3" s="1"/>
  <c r="BD49" i="3"/>
  <c r="BE49" i="3" s="1"/>
  <c r="BG49" i="3" s="1"/>
  <c r="BD50" i="3"/>
  <c r="A43" i="10"/>
  <c r="AC43" i="10" s="1"/>
  <c r="A55" i="18"/>
  <c r="AM59" i="10"/>
  <c r="S65" i="9"/>
  <c r="K66" i="9"/>
  <c r="Q66" i="9" s="1"/>
  <c r="AP58" i="10"/>
  <c r="S60" i="10"/>
  <c r="L102" i="4"/>
  <c r="T60" i="10" s="1"/>
  <c r="J103" i="4"/>
  <c r="AN59" i="10"/>
  <c r="X71" i="3"/>
  <c r="AK59" i="10"/>
  <c r="AO59" i="10"/>
  <c r="T73" i="10"/>
  <c r="AI42" i="10"/>
  <c r="X64" i="10"/>
  <c r="AD43" i="10"/>
  <c r="AH43" i="10"/>
  <c r="AF43" i="10"/>
  <c r="V61" i="10"/>
  <c r="Y60" i="10"/>
  <c r="O112" i="4"/>
  <c r="F69" i="10"/>
  <c r="M112" i="4"/>
  <c r="D69" i="10"/>
  <c r="T111" i="4"/>
  <c r="K69" i="10" s="1"/>
  <c r="K86" i="4"/>
  <c r="B44" i="10"/>
  <c r="N112" i="4"/>
  <c r="E69" i="10"/>
  <c r="P112" i="4"/>
  <c r="G69" i="10"/>
  <c r="L80" i="3"/>
  <c r="P80" i="3"/>
  <c r="R112" i="4"/>
  <c r="I69" i="10"/>
  <c r="Q112" i="4"/>
  <c r="H69" i="10"/>
  <c r="S112" i="4"/>
  <c r="J69" i="10"/>
  <c r="Y56" i="8"/>
  <c r="Z56" i="8" s="1"/>
  <c r="AB53" i="3"/>
  <c r="AD53" i="3" s="1"/>
  <c r="AC53" i="3"/>
  <c r="AE53" i="3" s="1"/>
  <c r="AF53" i="3" s="1"/>
  <c r="BC53" i="3" s="1"/>
  <c r="AZ51" i="3"/>
  <c r="BK51" i="3" s="1"/>
  <c r="BL51" i="3" s="1"/>
  <c r="BN51" i="3" s="1"/>
  <c r="AW52" i="3"/>
  <c r="T53" i="3"/>
  <c r="S53" i="3"/>
  <c r="U53" i="3" s="1"/>
  <c r="V53" i="3" s="1"/>
  <c r="Q54" i="3"/>
  <c r="S54" i="3" s="1"/>
  <c r="AA54" i="3"/>
  <c r="J49" i="9"/>
  <c r="G49" i="9"/>
  <c r="H49" i="9"/>
  <c r="AH56" i="8"/>
  <c r="M57" i="8"/>
  <c r="AC57" i="8"/>
  <c r="C55" i="3"/>
  <c r="N55" i="3" s="1"/>
  <c r="AF57" i="8"/>
  <c r="X57" i="8"/>
  <c r="P57" i="8"/>
  <c r="K57" i="8"/>
  <c r="V57" i="8"/>
  <c r="T57" i="8"/>
  <c r="W57" i="8"/>
  <c r="U57" i="8"/>
  <c r="AD57" i="8"/>
  <c r="AB57" i="8"/>
  <c r="Q57" i="8"/>
  <c r="O57" i="8"/>
  <c r="AA57" i="8"/>
  <c r="N57" i="8"/>
  <c r="L57" i="8"/>
  <c r="AE57" i="8"/>
  <c r="S57" i="8"/>
  <c r="R56" i="8"/>
  <c r="A94" i="7"/>
  <c r="A86" i="4"/>
  <c r="A56" i="19" s="1"/>
  <c r="A50" i="9"/>
  <c r="A55" i="3"/>
  <c r="A57" i="8"/>
  <c r="AM60" i="10" l="1"/>
  <c r="AH72" i="18"/>
  <c r="AK72" i="18" s="1"/>
  <c r="AH72" i="19"/>
  <c r="AK72" i="19" s="1"/>
  <c r="AH72" i="3"/>
  <c r="AK72" i="3" s="1"/>
  <c r="BX10" i="6"/>
  <c r="BR10" i="6"/>
  <c r="BL10" i="6"/>
  <c r="AM71" i="3"/>
  <c r="AL71" i="3"/>
  <c r="AL71" i="19"/>
  <c r="AN71" i="19" s="1"/>
  <c r="AM71" i="19"/>
  <c r="AO71" i="19" s="1"/>
  <c r="AP71" i="19" s="1"/>
  <c r="BJ71" i="19" s="1"/>
  <c r="AM71" i="18"/>
  <c r="AO71" i="18" s="1"/>
  <c r="AP71" i="18" s="1"/>
  <c r="BJ71" i="18" s="1"/>
  <c r="AL71" i="18"/>
  <c r="AN71" i="18" s="1"/>
  <c r="AR58" i="10"/>
  <c r="AS58" i="10"/>
  <c r="BY10" i="6"/>
  <c r="BS10" i="6"/>
  <c r="BM10" i="6"/>
  <c r="AN73" i="10"/>
  <c r="AH85" i="19"/>
  <c r="AK85" i="19" s="1"/>
  <c r="AH85" i="18"/>
  <c r="AK85" i="18" s="1"/>
  <c r="AH85" i="3"/>
  <c r="AK85" i="3" s="1"/>
  <c r="BB53" i="3"/>
  <c r="BI53" i="3"/>
  <c r="BB54" i="19"/>
  <c r="BE54" i="19" s="1"/>
  <c r="BG54" i="19" s="1"/>
  <c r="BI54" i="19"/>
  <c r="BL54" i="19" s="1"/>
  <c r="BN54" i="19" s="1"/>
  <c r="BI54" i="18"/>
  <c r="BL54" i="18" s="1"/>
  <c r="BN54" i="18" s="1"/>
  <c r="BB54" i="18"/>
  <c r="BE54" i="18" s="1"/>
  <c r="BG54" i="18" s="1"/>
  <c r="AB71" i="18"/>
  <c r="AD71" i="18" s="1"/>
  <c r="AN65" i="3"/>
  <c r="AO65" i="3"/>
  <c r="AP65" i="3" s="1"/>
  <c r="BJ65" i="3" s="1"/>
  <c r="AG43" i="10"/>
  <c r="AE71" i="19"/>
  <c r="AF71" i="19" s="1"/>
  <c r="BC71" i="19" s="1"/>
  <c r="C44" i="10"/>
  <c r="C56" i="19"/>
  <c r="N56" i="19" s="1"/>
  <c r="Q56" i="19" s="1"/>
  <c r="C56" i="18"/>
  <c r="N56" i="18" s="1"/>
  <c r="Q56" i="18" s="1"/>
  <c r="C57" i="8"/>
  <c r="G57" i="8"/>
  <c r="D57" i="8"/>
  <c r="E57" i="8"/>
  <c r="F57" i="8"/>
  <c r="I57" i="8"/>
  <c r="H83" i="8"/>
  <c r="R55" i="19"/>
  <c r="T55" i="19" s="1"/>
  <c r="S55" i="19"/>
  <c r="U55" i="19" s="1"/>
  <c r="V55" i="19" s="1"/>
  <c r="S55" i="18"/>
  <c r="U55" i="18" s="1"/>
  <c r="V55" i="18" s="1"/>
  <c r="R55" i="18"/>
  <c r="T55" i="18" s="1"/>
  <c r="J56" i="8"/>
  <c r="AB71" i="19"/>
  <c r="AD71" i="19" s="1"/>
  <c r="S66" i="9"/>
  <c r="X72" i="18"/>
  <c r="AA72" i="18" s="1"/>
  <c r="AB72" i="18" s="1"/>
  <c r="X72" i="19"/>
  <c r="AA72" i="19" s="1"/>
  <c r="AC72" i="19" s="1"/>
  <c r="U62" i="10"/>
  <c r="R244" i="1"/>
  <c r="O106" i="18" s="1"/>
  <c r="H244" i="1"/>
  <c r="C245" i="1"/>
  <c r="BE50" i="3"/>
  <c r="BG50" i="3" s="1"/>
  <c r="BD51" i="3"/>
  <c r="A44" i="10"/>
  <c r="AC44" i="10" s="1"/>
  <c r="A56" i="18"/>
  <c r="AL60" i="10"/>
  <c r="K67" i="9"/>
  <c r="Q67" i="9" s="1"/>
  <c r="AP59" i="10"/>
  <c r="S61" i="10"/>
  <c r="L103" i="4"/>
  <c r="T61" i="10" s="1"/>
  <c r="J104" i="4"/>
  <c r="AN60" i="10"/>
  <c r="X72" i="3"/>
  <c r="AK60" i="10"/>
  <c r="AO60" i="10"/>
  <c r="AZ52" i="3"/>
  <c r="BK52" i="3" s="1"/>
  <c r="BL52" i="3" s="1"/>
  <c r="BN52" i="3" s="1"/>
  <c r="AY52" i="3"/>
  <c r="AF44" i="10"/>
  <c r="AG44" i="10"/>
  <c r="AD44" i="10"/>
  <c r="AE44" i="10"/>
  <c r="AH44" i="10"/>
  <c r="X65" i="10"/>
  <c r="AI43" i="10"/>
  <c r="V62" i="10"/>
  <c r="Y61" i="10"/>
  <c r="Q113" i="4"/>
  <c r="H70" i="10"/>
  <c r="H84" i="8" s="1"/>
  <c r="P113" i="4"/>
  <c r="G70" i="10"/>
  <c r="O113" i="4"/>
  <c r="F70" i="10"/>
  <c r="S113" i="4"/>
  <c r="J70" i="10"/>
  <c r="M113" i="4"/>
  <c r="D70" i="10"/>
  <c r="T112" i="4"/>
  <c r="K70" i="10" s="1"/>
  <c r="K87" i="4"/>
  <c r="B45" i="10"/>
  <c r="R113" i="4"/>
  <c r="I70" i="10"/>
  <c r="N113" i="4"/>
  <c r="E70" i="10"/>
  <c r="P81" i="3"/>
  <c r="L81" i="3"/>
  <c r="R54" i="3"/>
  <c r="T54" i="3" s="1"/>
  <c r="AG57" i="8"/>
  <c r="AH57" i="8" s="1"/>
  <c r="AC54" i="3"/>
  <c r="AE54" i="3" s="1"/>
  <c r="AF54" i="3" s="1"/>
  <c r="BC54" i="3" s="1"/>
  <c r="AB54" i="3"/>
  <c r="AD54" i="3" s="1"/>
  <c r="U54" i="3"/>
  <c r="V54" i="3" s="1"/>
  <c r="Q55" i="3"/>
  <c r="S55" i="3" s="1"/>
  <c r="AA55" i="3"/>
  <c r="Y57" i="8"/>
  <c r="Z57" i="8" s="1"/>
  <c r="Q58" i="8"/>
  <c r="C56" i="3"/>
  <c r="N56" i="3" s="1"/>
  <c r="W58" i="8"/>
  <c r="AD58" i="8"/>
  <c r="AC58" i="8"/>
  <c r="X58" i="8"/>
  <c r="AE58" i="8"/>
  <c r="P58" i="8"/>
  <c r="K58" i="8"/>
  <c r="AB58" i="8"/>
  <c r="M58" i="8"/>
  <c r="U58" i="8"/>
  <c r="O58" i="8"/>
  <c r="N58" i="8"/>
  <c r="L58" i="8"/>
  <c r="T58" i="8"/>
  <c r="AA58" i="8"/>
  <c r="V58" i="8"/>
  <c r="S58" i="8"/>
  <c r="AF58" i="8"/>
  <c r="G50" i="9"/>
  <c r="H50" i="9"/>
  <c r="J50" i="9"/>
  <c r="R57" i="8"/>
  <c r="A95" i="7"/>
  <c r="A51" i="9"/>
  <c r="A87" i="4"/>
  <c r="A57" i="19" s="1"/>
  <c r="A56" i="3"/>
  <c r="A58" i="8"/>
  <c r="AD72" i="18" l="1"/>
  <c r="AL61" i="10"/>
  <c r="AH73" i="19"/>
  <c r="AK73" i="19" s="1"/>
  <c r="AH73" i="18"/>
  <c r="AK73" i="18" s="1"/>
  <c r="AH73" i="3"/>
  <c r="AK73" i="3" s="1"/>
  <c r="AM72" i="3"/>
  <c r="AL72" i="3"/>
  <c r="AR59" i="10"/>
  <c r="AS59" i="10"/>
  <c r="BY11" i="6"/>
  <c r="BS11" i="6"/>
  <c r="BM11" i="6"/>
  <c r="AM72" i="19"/>
  <c r="AO72" i="19" s="1"/>
  <c r="AP72" i="19" s="1"/>
  <c r="BJ72" i="19" s="1"/>
  <c r="AL72" i="19"/>
  <c r="AN72" i="19" s="1"/>
  <c r="BX11" i="6"/>
  <c r="BR11" i="6"/>
  <c r="BL11" i="6"/>
  <c r="AL72" i="18"/>
  <c r="AN72" i="18" s="1"/>
  <c r="AM72" i="18"/>
  <c r="AO72" i="18" s="1"/>
  <c r="AP72" i="18" s="1"/>
  <c r="BJ72" i="18" s="1"/>
  <c r="AM85" i="3"/>
  <c r="AL85" i="3"/>
  <c r="AM85" i="18"/>
  <c r="AL85" i="18"/>
  <c r="AM85" i="19"/>
  <c r="AL85" i="19"/>
  <c r="BI55" i="18"/>
  <c r="BL55" i="18" s="1"/>
  <c r="BN55" i="18" s="1"/>
  <c r="BB55" i="18"/>
  <c r="BE55" i="18" s="1"/>
  <c r="BG55" i="18" s="1"/>
  <c r="BB54" i="3"/>
  <c r="BI54" i="3"/>
  <c r="BB55" i="19"/>
  <c r="BE55" i="19" s="1"/>
  <c r="BG55" i="19" s="1"/>
  <c r="BI55" i="19"/>
  <c r="BL55" i="19" s="1"/>
  <c r="BN55" i="19" s="1"/>
  <c r="AO66" i="3"/>
  <c r="AP66" i="3" s="1"/>
  <c r="BJ66" i="3" s="1"/>
  <c r="AN66" i="3"/>
  <c r="J57" i="8"/>
  <c r="AE72" i="19"/>
  <c r="AF72" i="19" s="1"/>
  <c r="BC72" i="19" s="1"/>
  <c r="R56" i="18"/>
  <c r="T56" i="18" s="1"/>
  <c r="S56" i="18"/>
  <c r="U56" i="18" s="1"/>
  <c r="V56" i="18" s="1"/>
  <c r="S56" i="19"/>
  <c r="U56" i="19" s="1"/>
  <c r="V56" i="19" s="1"/>
  <c r="R56" i="19"/>
  <c r="T56" i="19" s="1"/>
  <c r="C45" i="10"/>
  <c r="C57" i="19"/>
  <c r="N57" i="19" s="1"/>
  <c r="Q57" i="19" s="1"/>
  <c r="C57" i="18"/>
  <c r="N57" i="18" s="1"/>
  <c r="Q57" i="18" s="1"/>
  <c r="D58" i="8"/>
  <c r="E58" i="8"/>
  <c r="I58" i="8"/>
  <c r="F58" i="8"/>
  <c r="G58" i="8"/>
  <c r="C58" i="8"/>
  <c r="AC72" i="18"/>
  <c r="AE72" i="18" s="1"/>
  <c r="AF72" i="18" s="1"/>
  <c r="BC72" i="18" s="1"/>
  <c r="AB72" i="19"/>
  <c r="AD72" i="19" s="1"/>
  <c r="X73" i="18"/>
  <c r="AA73" i="18" s="1"/>
  <c r="AC73" i="18" s="1"/>
  <c r="AE73" i="18" s="1"/>
  <c r="AF73" i="18" s="1"/>
  <c r="BC73" i="18" s="1"/>
  <c r="X73" i="19"/>
  <c r="AA73" i="19" s="1"/>
  <c r="AC73" i="19" s="1"/>
  <c r="U63" i="10"/>
  <c r="C246" i="1"/>
  <c r="R245" i="1"/>
  <c r="O107" i="18" s="1"/>
  <c r="H245" i="1"/>
  <c r="BE51" i="3"/>
  <c r="BG51" i="3" s="1"/>
  <c r="BD52" i="3"/>
  <c r="S67" i="9"/>
  <c r="A45" i="10"/>
  <c r="AC45" i="10" s="1"/>
  <c r="A57" i="18"/>
  <c r="K68" i="9"/>
  <c r="Q68" i="9" s="1"/>
  <c r="AM61" i="10"/>
  <c r="AP60" i="10"/>
  <c r="S62" i="10"/>
  <c r="L104" i="4"/>
  <c r="T62" i="10" s="1"/>
  <c r="J105" i="4"/>
  <c r="AN61" i="10"/>
  <c r="X73" i="3"/>
  <c r="AK61" i="10"/>
  <c r="AO61" i="10"/>
  <c r="AI44" i="10"/>
  <c r="X66" i="10"/>
  <c r="AE45" i="10"/>
  <c r="AF45" i="10"/>
  <c r="AG45" i="10"/>
  <c r="AD45" i="10"/>
  <c r="AH45" i="10"/>
  <c r="V63" i="10"/>
  <c r="Y62" i="10"/>
  <c r="P114" i="4"/>
  <c r="G71" i="10"/>
  <c r="R114" i="4"/>
  <c r="I71" i="10"/>
  <c r="L82" i="3"/>
  <c r="P82" i="3"/>
  <c r="O114" i="4"/>
  <c r="F71" i="10"/>
  <c r="K88" i="4"/>
  <c r="B46" i="10"/>
  <c r="N114" i="4"/>
  <c r="E71" i="10"/>
  <c r="S114" i="4"/>
  <c r="J71" i="10"/>
  <c r="M114" i="4"/>
  <c r="D71" i="10"/>
  <c r="T113" i="4"/>
  <c r="K71" i="10" s="1"/>
  <c r="Q114" i="4"/>
  <c r="H71" i="10"/>
  <c r="AG58" i="8"/>
  <c r="AH58" i="8" s="1"/>
  <c r="AB55" i="3"/>
  <c r="AD55" i="3" s="1"/>
  <c r="AC55" i="3"/>
  <c r="AE55" i="3" s="1"/>
  <c r="AF55" i="3" s="1"/>
  <c r="BC55" i="3" s="1"/>
  <c r="Y58" i="8"/>
  <c r="Z58" i="8" s="1"/>
  <c r="U55" i="3"/>
  <c r="V55" i="3" s="1"/>
  <c r="AW53" i="3"/>
  <c r="Q56" i="3"/>
  <c r="S56" i="3" s="1"/>
  <c r="AA56" i="3"/>
  <c r="R55" i="3"/>
  <c r="T55" i="3" s="1"/>
  <c r="Q59" i="8"/>
  <c r="K59" i="8"/>
  <c r="O59" i="8"/>
  <c r="L59" i="8"/>
  <c r="P59" i="8"/>
  <c r="S59" i="8"/>
  <c r="AB59" i="8"/>
  <c r="M59" i="8"/>
  <c r="V59" i="8"/>
  <c r="AE59" i="8"/>
  <c r="N59" i="8"/>
  <c r="C57" i="3"/>
  <c r="N57" i="3" s="1"/>
  <c r="AC59" i="8"/>
  <c r="AD59" i="8"/>
  <c r="AF59" i="8"/>
  <c r="W59" i="8"/>
  <c r="T59" i="8"/>
  <c r="U59" i="8"/>
  <c r="AA59" i="8"/>
  <c r="X59" i="8"/>
  <c r="R58" i="8"/>
  <c r="G51" i="9"/>
  <c r="J51" i="9"/>
  <c r="H51" i="9"/>
  <c r="A96" i="7"/>
  <c r="A52" i="9"/>
  <c r="A59" i="8"/>
  <c r="A88" i="4"/>
  <c r="A58" i="19" s="1"/>
  <c r="A57" i="3"/>
  <c r="BY12" i="6" l="1"/>
  <c r="BS12" i="6"/>
  <c r="BM12" i="6"/>
  <c r="BX12" i="6"/>
  <c r="BR12" i="6"/>
  <c r="BL12" i="6"/>
  <c r="K69" i="9"/>
  <c r="AH74" i="19"/>
  <c r="AK74" i="19" s="1"/>
  <c r="AH74" i="18"/>
  <c r="AK74" i="18" s="1"/>
  <c r="AH74" i="3"/>
  <c r="AK74" i="3" s="1"/>
  <c r="AM73" i="3"/>
  <c r="AL73" i="3"/>
  <c r="AR60" i="10"/>
  <c r="AS60" i="10"/>
  <c r="AL73" i="18"/>
  <c r="AN73" i="18" s="1"/>
  <c r="AM73" i="18"/>
  <c r="AO73" i="18" s="1"/>
  <c r="AP73" i="18" s="1"/>
  <c r="BJ73" i="18" s="1"/>
  <c r="AM73" i="19"/>
  <c r="AO73" i="19" s="1"/>
  <c r="AP73" i="19" s="1"/>
  <c r="BJ73" i="19" s="1"/>
  <c r="AL73" i="19"/>
  <c r="AN73" i="19" s="1"/>
  <c r="BB55" i="3"/>
  <c r="BI55" i="3"/>
  <c r="BI56" i="18"/>
  <c r="BL56" i="18" s="1"/>
  <c r="BN56" i="18" s="1"/>
  <c r="BB56" i="18"/>
  <c r="BE56" i="18" s="1"/>
  <c r="BG56" i="18" s="1"/>
  <c r="BB56" i="19"/>
  <c r="BE56" i="19" s="1"/>
  <c r="BG56" i="19" s="1"/>
  <c r="BI56" i="19"/>
  <c r="BL56" i="19" s="1"/>
  <c r="BN56" i="19" s="1"/>
  <c r="AB73" i="18"/>
  <c r="AD73" i="18" s="1"/>
  <c r="AN67" i="3"/>
  <c r="AO67" i="3"/>
  <c r="AP67" i="3" s="1"/>
  <c r="BJ67" i="3" s="1"/>
  <c r="AE73" i="19"/>
  <c r="AF73" i="19" s="1"/>
  <c r="BC73" i="19" s="1"/>
  <c r="H85" i="8"/>
  <c r="J58" i="8"/>
  <c r="E59" i="8"/>
  <c r="I59" i="8"/>
  <c r="F59" i="8"/>
  <c r="G59" i="8"/>
  <c r="C59" i="8"/>
  <c r="D59" i="8"/>
  <c r="S57" i="19"/>
  <c r="U57" i="19" s="1"/>
  <c r="V57" i="19" s="1"/>
  <c r="R57" i="19"/>
  <c r="T57" i="19" s="1"/>
  <c r="C46" i="10"/>
  <c r="AE46" i="10" s="1"/>
  <c r="C58" i="19"/>
  <c r="N58" i="19" s="1"/>
  <c r="Q58" i="19" s="1"/>
  <c r="C58" i="18"/>
  <c r="N58" i="18" s="1"/>
  <c r="Q58" i="18" s="1"/>
  <c r="R57" i="18"/>
  <c r="T57" i="18" s="1"/>
  <c r="S57" i="18"/>
  <c r="U57" i="18" s="1"/>
  <c r="V57" i="18" s="1"/>
  <c r="AM62" i="10"/>
  <c r="AB73" i="19"/>
  <c r="AD73" i="19" s="1"/>
  <c r="X74" i="18"/>
  <c r="AA74" i="18" s="1"/>
  <c r="AB74" i="18" s="1"/>
  <c r="AD74" i="18" s="1"/>
  <c r="X74" i="19"/>
  <c r="AA74" i="19" s="1"/>
  <c r="AB74" i="19" s="1"/>
  <c r="U64" i="10"/>
  <c r="C247" i="1"/>
  <c r="R246" i="1"/>
  <c r="O108" i="18" s="1"/>
  <c r="H246" i="1"/>
  <c r="S68" i="9"/>
  <c r="A46" i="10"/>
  <c r="AC46" i="10" s="1"/>
  <c r="A58" i="18"/>
  <c r="AL62" i="10"/>
  <c r="AP61" i="10"/>
  <c r="S63" i="10"/>
  <c r="L105" i="4"/>
  <c r="T63" i="10" s="1"/>
  <c r="J106" i="4"/>
  <c r="AN62" i="10"/>
  <c r="X74" i="3"/>
  <c r="AK62" i="10"/>
  <c r="AO62" i="10"/>
  <c r="AY53" i="3"/>
  <c r="AZ53" i="3" s="1"/>
  <c r="BK53" i="3" s="1"/>
  <c r="BL53" i="3" s="1"/>
  <c r="BN53" i="3" s="1"/>
  <c r="AI45" i="10"/>
  <c r="S69" i="9"/>
  <c r="Q69" i="9"/>
  <c r="X67" i="10"/>
  <c r="V64" i="10"/>
  <c r="Y63" i="10"/>
  <c r="K89" i="4"/>
  <c r="B47" i="10"/>
  <c r="Q115" i="4"/>
  <c r="H72" i="10"/>
  <c r="M115" i="4"/>
  <c r="D72" i="10"/>
  <c r="T114" i="4"/>
  <c r="K72" i="10" s="1"/>
  <c r="R115" i="4"/>
  <c r="I72" i="10"/>
  <c r="P83" i="3"/>
  <c r="L83" i="3"/>
  <c r="N115" i="4"/>
  <c r="E72" i="10"/>
  <c r="S115" i="4"/>
  <c r="J72" i="10"/>
  <c r="O115" i="4"/>
  <c r="F72" i="10"/>
  <c r="P115" i="4"/>
  <c r="G72" i="10"/>
  <c r="R56" i="3"/>
  <c r="T56" i="3" s="1"/>
  <c r="AC56" i="3"/>
  <c r="AE56" i="3" s="1"/>
  <c r="AF56" i="3" s="1"/>
  <c r="BC56" i="3" s="1"/>
  <c r="AB56" i="3"/>
  <c r="AD56" i="3" s="1"/>
  <c r="AG59" i="8"/>
  <c r="AH59" i="8" s="1"/>
  <c r="AW55" i="3"/>
  <c r="AY55" i="3" s="1"/>
  <c r="AW54" i="3"/>
  <c r="Q57" i="3"/>
  <c r="S57" i="3" s="1"/>
  <c r="AA57" i="3"/>
  <c r="U56" i="3"/>
  <c r="V56" i="3" s="1"/>
  <c r="Y59" i="8"/>
  <c r="Z59" i="8" s="1"/>
  <c r="R59" i="8"/>
  <c r="G52" i="9"/>
  <c r="J52" i="9"/>
  <c r="H52" i="9"/>
  <c r="L60" i="8"/>
  <c r="AC60" i="8"/>
  <c r="C58" i="3"/>
  <c r="N58" i="3" s="1"/>
  <c r="AF60" i="8"/>
  <c r="W60" i="8"/>
  <c r="Y60" i="8"/>
  <c r="X60" i="8"/>
  <c r="P60" i="8"/>
  <c r="V60" i="8"/>
  <c r="S60" i="8"/>
  <c r="M60" i="8"/>
  <c r="AE60" i="8"/>
  <c r="AD60" i="8"/>
  <c r="K60" i="8"/>
  <c r="U60" i="8"/>
  <c r="T60" i="8"/>
  <c r="AB60" i="8"/>
  <c r="AA60" i="8"/>
  <c r="O60" i="8"/>
  <c r="N60" i="8"/>
  <c r="A97" i="7"/>
  <c r="A89" i="4"/>
  <c r="A59" i="19" s="1"/>
  <c r="A60" i="8"/>
  <c r="A53" i="9"/>
  <c r="A58" i="3"/>
  <c r="AM74" i="18" l="1"/>
  <c r="AO74" i="18" s="1"/>
  <c r="AP74" i="18" s="1"/>
  <c r="BJ74" i="18" s="1"/>
  <c r="AL74" i="18"/>
  <c r="AN74" i="18" s="1"/>
  <c r="AL74" i="19"/>
  <c r="AN74" i="19" s="1"/>
  <c r="AM74" i="19"/>
  <c r="AO74" i="19" s="1"/>
  <c r="AP74" i="19" s="1"/>
  <c r="BJ74" i="19" s="1"/>
  <c r="AL63" i="10"/>
  <c r="AH75" i="19"/>
  <c r="AK75" i="19" s="1"/>
  <c r="AH75" i="18"/>
  <c r="AK75" i="18" s="1"/>
  <c r="AH75" i="3"/>
  <c r="AK75" i="3" s="1"/>
  <c r="AL74" i="3"/>
  <c r="AM74" i="3"/>
  <c r="AS61" i="10"/>
  <c r="AR61" i="10"/>
  <c r="BY13" i="6"/>
  <c r="BS13" i="6"/>
  <c r="BM13" i="6"/>
  <c r="BX13" i="6"/>
  <c r="BR13" i="6"/>
  <c r="BL13" i="6"/>
  <c r="BB56" i="3"/>
  <c r="BI56" i="3"/>
  <c r="BI57" i="18"/>
  <c r="BL57" i="18" s="1"/>
  <c r="BN57" i="18" s="1"/>
  <c r="BB57" i="18"/>
  <c r="BE57" i="18" s="1"/>
  <c r="BG57" i="18" s="1"/>
  <c r="BB57" i="19"/>
  <c r="BE57" i="19" s="1"/>
  <c r="BG57" i="19" s="1"/>
  <c r="BI57" i="19"/>
  <c r="BL57" i="19" s="1"/>
  <c r="BN57" i="19" s="1"/>
  <c r="AD74" i="19"/>
  <c r="AO68" i="3"/>
  <c r="AP68" i="3" s="1"/>
  <c r="BJ68" i="3" s="1"/>
  <c r="AN68" i="3"/>
  <c r="AH46" i="10"/>
  <c r="AG46" i="10"/>
  <c r="AD46" i="10"/>
  <c r="AF46" i="10"/>
  <c r="AI46" i="10" s="1"/>
  <c r="BO95" i="17"/>
  <c r="BO96" i="17" s="1"/>
  <c r="BO95" i="16"/>
  <c r="BO96" i="16" s="1"/>
  <c r="BO95" i="11"/>
  <c r="BO96" i="11" s="1"/>
  <c r="BO97" i="11" s="1"/>
  <c r="BO98" i="11" s="1"/>
  <c r="BO99" i="11" s="1"/>
  <c r="BO100" i="11" s="1"/>
  <c r="BO101" i="11" s="1"/>
  <c r="BO102" i="11" s="1"/>
  <c r="BO103" i="11" s="1"/>
  <c r="BO104" i="11" s="1"/>
  <c r="BO105" i="11" s="1"/>
  <c r="BO106" i="11" s="1"/>
  <c r="BO107" i="11" s="1"/>
  <c r="BO108" i="11" s="1"/>
  <c r="BO109" i="11" s="1"/>
  <c r="BO110" i="11" s="1"/>
  <c r="BO111" i="11" s="1"/>
  <c r="BO112" i="11" s="1"/>
  <c r="BO113" i="11" s="1"/>
  <c r="BO114" i="11" s="1"/>
  <c r="BO115" i="11" s="1"/>
  <c r="BO116" i="11" s="1"/>
  <c r="BO117" i="11" s="1"/>
  <c r="BO118" i="11" s="1"/>
  <c r="BO119" i="11" s="1"/>
  <c r="BO120" i="11" s="1"/>
  <c r="BO121" i="11" s="1"/>
  <c r="BO122" i="11" s="1"/>
  <c r="BO123" i="11" s="1"/>
  <c r="BO124" i="11" s="1"/>
  <c r="BO125" i="11" s="1"/>
  <c r="BO126" i="11" s="1"/>
  <c r="BO127" i="11" s="1"/>
  <c r="BO128" i="11" s="1"/>
  <c r="BN95" i="17"/>
  <c r="BN96" i="17" s="1"/>
  <c r="BN95" i="16"/>
  <c r="BN96" i="16" s="1"/>
  <c r="BN95" i="11"/>
  <c r="BR95" i="17"/>
  <c r="BR96" i="17" s="1"/>
  <c r="BR95" i="16"/>
  <c r="BR96" i="16" s="1"/>
  <c r="BR95" i="11"/>
  <c r="BR96" i="11" s="1"/>
  <c r="BR97" i="11" s="1"/>
  <c r="BR98" i="11" s="1"/>
  <c r="BR99" i="11" s="1"/>
  <c r="BR100" i="11" s="1"/>
  <c r="BR101" i="11" s="1"/>
  <c r="BR102" i="11" s="1"/>
  <c r="BR103" i="11" s="1"/>
  <c r="BR104" i="11" s="1"/>
  <c r="BR105" i="11" s="1"/>
  <c r="BR106" i="11" s="1"/>
  <c r="BR107" i="11" s="1"/>
  <c r="BR108" i="11" s="1"/>
  <c r="BR109" i="11" s="1"/>
  <c r="BR110" i="11" s="1"/>
  <c r="BR111" i="11" s="1"/>
  <c r="BR112" i="11" s="1"/>
  <c r="BR113" i="11" s="1"/>
  <c r="BR114" i="11" s="1"/>
  <c r="BR115" i="11" s="1"/>
  <c r="BR116" i="11" s="1"/>
  <c r="BR117" i="11" s="1"/>
  <c r="BR118" i="11" s="1"/>
  <c r="BR119" i="11" s="1"/>
  <c r="BR120" i="11" s="1"/>
  <c r="BR121" i="11" s="1"/>
  <c r="BR122" i="11" s="1"/>
  <c r="BR123" i="11" s="1"/>
  <c r="BR124" i="11" s="1"/>
  <c r="BR125" i="11" s="1"/>
  <c r="BR126" i="11" s="1"/>
  <c r="BR127" i="11" s="1"/>
  <c r="BR128" i="11" s="1"/>
  <c r="H86" i="8"/>
  <c r="R58" i="18"/>
  <c r="T58" i="18" s="1"/>
  <c r="S58" i="18"/>
  <c r="U58" i="18" s="1"/>
  <c r="V58" i="18" s="1"/>
  <c r="BM95" i="17"/>
  <c r="BM95" i="11"/>
  <c r="BM96" i="11" s="1"/>
  <c r="BM95" i="16"/>
  <c r="BQ95" i="17"/>
  <c r="BQ96" i="17" s="1"/>
  <c r="BQ95" i="16"/>
  <c r="BQ96" i="16" s="1"/>
  <c r="BQ95" i="11"/>
  <c r="BQ96" i="11" s="1"/>
  <c r="BQ97" i="11" s="1"/>
  <c r="BQ98" i="11" s="1"/>
  <c r="BQ99" i="11" s="1"/>
  <c r="BQ100" i="11" s="1"/>
  <c r="BQ101" i="11" s="1"/>
  <c r="BQ102" i="11" s="1"/>
  <c r="BQ103" i="11" s="1"/>
  <c r="BQ104" i="11" s="1"/>
  <c r="BQ105" i="11" s="1"/>
  <c r="BQ106" i="11" s="1"/>
  <c r="BQ107" i="11" s="1"/>
  <c r="BQ108" i="11" s="1"/>
  <c r="BQ109" i="11" s="1"/>
  <c r="BQ110" i="11" s="1"/>
  <c r="BQ111" i="11" s="1"/>
  <c r="BQ112" i="11" s="1"/>
  <c r="BQ113" i="11" s="1"/>
  <c r="BQ114" i="11" s="1"/>
  <c r="BQ115" i="11" s="1"/>
  <c r="BQ116" i="11" s="1"/>
  <c r="BQ117" i="11" s="1"/>
  <c r="BQ118" i="11" s="1"/>
  <c r="BQ119" i="11" s="1"/>
  <c r="BQ120" i="11" s="1"/>
  <c r="BQ121" i="11" s="1"/>
  <c r="BQ122" i="11" s="1"/>
  <c r="BQ123" i="11" s="1"/>
  <c r="BQ124" i="11" s="1"/>
  <c r="BQ125" i="11" s="1"/>
  <c r="BQ126" i="11" s="1"/>
  <c r="BQ127" i="11" s="1"/>
  <c r="BQ128" i="11" s="1"/>
  <c r="R58" i="19"/>
  <c r="T58" i="19" s="1"/>
  <c r="S58" i="19"/>
  <c r="U58" i="19" s="1"/>
  <c r="V58" i="19" s="1"/>
  <c r="J59" i="8"/>
  <c r="BP95" i="17"/>
  <c r="BP96" i="17" s="1"/>
  <c r="BP95" i="11"/>
  <c r="BP96" i="11" s="1"/>
  <c r="BP97" i="11" s="1"/>
  <c r="BP98" i="11" s="1"/>
  <c r="BP99" i="11" s="1"/>
  <c r="BP100" i="11" s="1"/>
  <c r="BP101" i="11" s="1"/>
  <c r="BP102" i="11" s="1"/>
  <c r="BP103" i="11" s="1"/>
  <c r="BP104" i="11" s="1"/>
  <c r="BP105" i="11" s="1"/>
  <c r="BP106" i="11" s="1"/>
  <c r="BP107" i="11" s="1"/>
  <c r="BP108" i="11" s="1"/>
  <c r="BP109" i="11" s="1"/>
  <c r="BP110" i="11" s="1"/>
  <c r="BP111" i="11" s="1"/>
  <c r="BP112" i="11" s="1"/>
  <c r="BP113" i="11" s="1"/>
  <c r="BP114" i="11" s="1"/>
  <c r="BP115" i="11" s="1"/>
  <c r="BP116" i="11" s="1"/>
  <c r="BP117" i="11" s="1"/>
  <c r="BP118" i="11" s="1"/>
  <c r="BP119" i="11" s="1"/>
  <c r="BP120" i="11" s="1"/>
  <c r="BP121" i="11" s="1"/>
  <c r="BP122" i="11" s="1"/>
  <c r="BP123" i="11" s="1"/>
  <c r="BP124" i="11" s="1"/>
  <c r="BP125" i="11" s="1"/>
  <c r="BP126" i="11" s="1"/>
  <c r="BP127" i="11" s="1"/>
  <c r="BP128" i="11" s="1"/>
  <c r="BP95" i="16"/>
  <c r="BP96" i="16" s="1"/>
  <c r="BS95" i="17"/>
  <c r="BS96" i="17" s="1"/>
  <c r="BS95" i="16"/>
  <c r="BS96" i="16" s="1"/>
  <c r="BS95" i="11"/>
  <c r="BS96" i="11" s="1"/>
  <c r="BS97" i="11" s="1"/>
  <c r="BS98" i="11" s="1"/>
  <c r="BS99" i="11" s="1"/>
  <c r="BS100" i="11" s="1"/>
  <c r="BS101" i="11" s="1"/>
  <c r="BS102" i="11" s="1"/>
  <c r="BS103" i="11" s="1"/>
  <c r="BS104" i="11" s="1"/>
  <c r="BS105" i="11" s="1"/>
  <c r="BS106" i="11" s="1"/>
  <c r="BS107" i="11" s="1"/>
  <c r="BS108" i="11" s="1"/>
  <c r="BS109" i="11" s="1"/>
  <c r="BS110" i="11" s="1"/>
  <c r="BS111" i="11" s="1"/>
  <c r="BS112" i="11" s="1"/>
  <c r="BS113" i="11" s="1"/>
  <c r="BS114" i="11" s="1"/>
  <c r="BS115" i="11" s="1"/>
  <c r="BS116" i="11" s="1"/>
  <c r="BS117" i="11" s="1"/>
  <c r="BS118" i="11" s="1"/>
  <c r="BS119" i="11" s="1"/>
  <c r="BS120" i="11" s="1"/>
  <c r="BS121" i="11" s="1"/>
  <c r="BS122" i="11" s="1"/>
  <c r="BS123" i="11" s="1"/>
  <c r="BS124" i="11" s="1"/>
  <c r="BS125" i="11" s="1"/>
  <c r="BS126" i="11" s="1"/>
  <c r="BS127" i="11" s="1"/>
  <c r="BS128" i="11" s="1"/>
  <c r="C47" i="10"/>
  <c r="AD47" i="10" s="1"/>
  <c r="C59" i="19"/>
  <c r="N59" i="19" s="1"/>
  <c r="Q59" i="19" s="1"/>
  <c r="C59" i="18"/>
  <c r="N59" i="18" s="1"/>
  <c r="Q59" i="18" s="1"/>
  <c r="F60" i="8"/>
  <c r="C60" i="8"/>
  <c r="G60" i="8"/>
  <c r="I60" i="8"/>
  <c r="D60" i="8"/>
  <c r="E60" i="8"/>
  <c r="AC74" i="18"/>
  <c r="AE74" i="18" s="1"/>
  <c r="AF74" i="18" s="1"/>
  <c r="BC74" i="18" s="1"/>
  <c r="AC74" i="19"/>
  <c r="AE74" i="19" s="1"/>
  <c r="AF74" i="19" s="1"/>
  <c r="BC74" i="19" s="1"/>
  <c r="X75" i="18"/>
  <c r="AA75" i="18" s="1"/>
  <c r="AC75" i="18" s="1"/>
  <c r="AE75" i="18" s="1"/>
  <c r="AF75" i="18" s="1"/>
  <c r="BC75" i="18" s="1"/>
  <c r="X75" i="19"/>
  <c r="AA75" i="19" s="1"/>
  <c r="AB75" i="19" s="1"/>
  <c r="AD75" i="19" s="1"/>
  <c r="U65" i="10"/>
  <c r="C248" i="1"/>
  <c r="R247" i="1"/>
  <c r="O109" i="18" s="1"/>
  <c r="H247" i="1"/>
  <c r="BE52" i="3"/>
  <c r="BG52" i="3" s="1"/>
  <c r="BD53" i="3"/>
  <c r="A47" i="10"/>
  <c r="AC47" i="10" s="1"/>
  <c r="A59" i="18"/>
  <c r="AM63" i="10"/>
  <c r="K70" i="9"/>
  <c r="Q70" i="9" s="1"/>
  <c r="AP62" i="10"/>
  <c r="S64" i="10"/>
  <c r="L106" i="4"/>
  <c r="T64" i="10" s="1"/>
  <c r="J107" i="4"/>
  <c r="AN63" i="10"/>
  <c r="X75" i="3"/>
  <c r="AK63" i="10"/>
  <c r="AO63" i="10"/>
  <c r="AY54" i="3"/>
  <c r="AZ54" i="3" s="1"/>
  <c r="BK54" i="3" s="1"/>
  <c r="BL54" i="3" s="1"/>
  <c r="BN54" i="3" s="1"/>
  <c r="X68" i="10"/>
  <c r="AG47" i="10"/>
  <c r="V65" i="10"/>
  <c r="Y64" i="10"/>
  <c r="K90" i="4"/>
  <c r="B48" i="10"/>
  <c r="P116" i="4"/>
  <c r="G73" i="10"/>
  <c r="L84" i="3"/>
  <c r="P84" i="3"/>
  <c r="N116" i="4"/>
  <c r="E73" i="10"/>
  <c r="Q116" i="4"/>
  <c r="H73" i="10"/>
  <c r="S116" i="4"/>
  <c r="J73" i="10"/>
  <c r="R116" i="4"/>
  <c r="I73" i="10"/>
  <c r="M116" i="4"/>
  <c r="D73" i="10"/>
  <c r="T115" i="4"/>
  <c r="K73" i="10" s="1"/>
  <c r="O116" i="4"/>
  <c r="F73" i="10"/>
  <c r="R57" i="3"/>
  <c r="T57" i="3" s="1"/>
  <c r="U57" i="3"/>
  <c r="V57" i="3" s="1"/>
  <c r="AB57" i="3"/>
  <c r="AD57" i="3" s="1"/>
  <c r="AC57" i="3"/>
  <c r="AE57" i="3" s="1"/>
  <c r="AF57" i="3" s="1"/>
  <c r="BC57" i="3" s="1"/>
  <c r="Q60" i="8"/>
  <c r="R60" i="8" s="1"/>
  <c r="AZ55" i="3"/>
  <c r="BK55" i="3" s="1"/>
  <c r="BL55" i="3" s="1"/>
  <c r="BN55" i="3" s="1"/>
  <c r="Q58" i="3"/>
  <c r="S58" i="3" s="1"/>
  <c r="AA58" i="3"/>
  <c r="AG60" i="8"/>
  <c r="AH60" i="8" s="1"/>
  <c r="V61" i="8"/>
  <c r="C59" i="3"/>
  <c r="N59" i="3" s="1"/>
  <c r="P61" i="8"/>
  <c r="N61" i="8"/>
  <c r="K61" i="8"/>
  <c r="T61" i="8"/>
  <c r="AA61" i="8"/>
  <c r="S61" i="8"/>
  <c r="X61" i="8"/>
  <c r="AF61" i="8"/>
  <c r="W61" i="8"/>
  <c r="AB61" i="8"/>
  <c r="AE61" i="8"/>
  <c r="O61" i="8"/>
  <c r="AC61" i="8"/>
  <c r="L61" i="8"/>
  <c r="AD61" i="8"/>
  <c r="M61" i="8"/>
  <c r="U61" i="8"/>
  <c r="Z60" i="8"/>
  <c r="J53" i="9"/>
  <c r="G53" i="9"/>
  <c r="H53" i="9"/>
  <c r="A98" i="7"/>
  <c r="A90" i="4"/>
  <c r="A60" i="19" s="1"/>
  <c r="A61" i="8"/>
  <c r="A54" i="9"/>
  <c r="A59" i="3"/>
  <c r="BX14" i="6" l="1"/>
  <c r="BR14" i="6"/>
  <c r="BL14" i="6"/>
  <c r="BY14" i="6"/>
  <c r="BS14" i="6"/>
  <c r="BM14" i="6"/>
  <c r="AR62" i="10"/>
  <c r="AS62" i="10"/>
  <c r="AM75" i="3"/>
  <c r="AL75" i="3"/>
  <c r="AM75" i="18"/>
  <c r="AO75" i="18" s="1"/>
  <c r="AP75" i="18" s="1"/>
  <c r="BJ75" i="18" s="1"/>
  <c r="AL75" i="18"/>
  <c r="AN75" i="18" s="1"/>
  <c r="AL75" i="19"/>
  <c r="AN75" i="19" s="1"/>
  <c r="AM75" i="19"/>
  <c r="AO75" i="19" s="1"/>
  <c r="AP75" i="19" s="1"/>
  <c r="BJ75" i="19" s="1"/>
  <c r="AM64" i="10"/>
  <c r="AH76" i="19"/>
  <c r="AK76" i="19" s="1"/>
  <c r="AH76" i="18"/>
  <c r="AK76" i="18" s="1"/>
  <c r="AH76" i="3"/>
  <c r="AK76" i="3" s="1"/>
  <c r="BR97" i="17"/>
  <c r="BS97" i="17"/>
  <c r="BO97" i="17"/>
  <c r="BP97" i="17"/>
  <c r="BQ97" i="17"/>
  <c r="BN97" i="17"/>
  <c r="BS97" i="16"/>
  <c r="BO97" i="16"/>
  <c r="BQ97" i="16"/>
  <c r="BN97" i="16"/>
  <c r="BP97" i="16"/>
  <c r="BR97" i="16"/>
  <c r="BB58" i="19"/>
  <c r="BE58" i="19" s="1"/>
  <c r="BG58" i="19" s="1"/>
  <c r="BI58" i="19"/>
  <c r="BL58" i="19" s="1"/>
  <c r="BN58" i="19" s="1"/>
  <c r="BI58" i="18"/>
  <c r="BL58" i="18" s="1"/>
  <c r="BN58" i="18" s="1"/>
  <c r="BB58" i="18"/>
  <c r="BE58" i="18" s="1"/>
  <c r="BG58" i="18" s="1"/>
  <c r="BB57" i="3"/>
  <c r="BI57" i="3"/>
  <c r="AN69" i="3"/>
  <c r="AO69" i="3"/>
  <c r="AP69" i="3" s="1"/>
  <c r="BJ69" i="3" s="1"/>
  <c r="AF47" i="10"/>
  <c r="AE47" i="10"/>
  <c r="AH47" i="10"/>
  <c r="AB75" i="18"/>
  <c r="AD75" i="18" s="1"/>
  <c r="J60" i="8"/>
  <c r="R59" i="18"/>
  <c r="T59" i="18" s="1"/>
  <c r="S59" i="18"/>
  <c r="U59" i="18" s="1"/>
  <c r="V59" i="18" s="1"/>
  <c r="S70" i="9"/>
  <c r="R59" i="19"/>
  <c r="T59" i="19" s="1"/>
  <c r="S59" i="19"/>
  <c r="U59" i="19" s="1"/>
  <c r="V59" i="19" s="1"/>
  <c r="BM96" i="16"/>
  <c r="BT95" i="16"/>
  <c r="C61" i="8"/>
  <c r="G61" i="8"/>
  <c r="D61" i="8"/>
  <c r="I61" i="8"/>
  <c r="E61" i="8"/>
  <c r="F61" i="8"/>
  <c r="BM97" i="11"/>
  <c r="BT95" i="11"/>
  <c r="BN96" i="11"/>
  <c r="BN97" i="11" s="1"/>
  <c r="BN98" i="11" s="1"/>
  <c r="BN99" i="11" s="1"/>
  <c r="BN100" i="11" s="1"/>
  <c r="BN101" i="11" s="1"/>
  <c r="BN102" i="11" s="1"/>
  <c r="BN103" i="11" s="1"/>
  <c r="BN104" i="11" s="1"/>
  <c r="BN105" i="11" s="1"/>
  <c r="BN106" i="11" s="1"/>
  <c r="BN107" i="11" s="1"/>
  <c r="BN108" i="11" s="1"/>
  <c r="BN109" i="11" s="1"/>
  <c r="BN110" i="11" s="1"/>
  <c r="BN111" i="11" s="1"/>
  <c r="BN112" i="11" s="1"/>
  <c r="BN113" i="11" s="1"/>
  <c r="BN114" i="11" s="1"/>
  <c r="BN115" i="11" s="1"/>
  <c r="BN116" i="11" s="1"/>
  <c r="BN117" i="11" s="1"/>
  <c r="BN118" i="11" s="1"/>
  <c r="BN119" i="11" s="1"/>
  <c r="BN120" i="11" s="1"/>
  <c r="BN121" i="11" s="1"/>
  <c r="BN122" i="11" s="1"/>
  <c r="BN123" i="11" s="1"/>
  <c r="BN124" i="11" s="1"/>
  <c r="BN125" i="11" s="1"/>
  <c r="BN126" i="11" s="1"/>
  <c r="BN127" i="11" s="1"/>
  <c r="BN128" i="11" s="1"/>
  <c r="H87" i="8"/>
  <c r="C48" i="10"/>
  <c r="C60" i="19"/>
  <c r="N60" i="19" s="1"/>
  <c r="Q60" i="19" s="1"/>
  <c r="C60" i="18"/>
  <c r="N60" i="18" s="1"/>
  <c r="Q60" i="18" s="1"/>
  <c r="BT95" i="17"/>
  <c r="BM96" i="17"/>
  <c r="AC75" i="19"/>
  <c r="AE75" i="19" s="1"/>
  <c r="AF75" i="19" s="1"/>
  <c r="BC75" i="19" s="1"/>
  <c r="X76" i="18"/>
  <c r="AA76" i="18" s="1"/>
  <c r="AC76" i="18" s="1"/>
  <c r="X76" i="19"/>
  <c r="AA76" i="19" s="1"/>
  <c r="AB76" i="19" s="1"/>
  <c r="AD76" i="19" s="1"/>
  <c r="U66" i="10"/>
  <c r="C249" i="1"/>
  <c r="R248" i="1"/>
  <c r="O110" i="18" s="1"/>
  <c r="H248" i="1"/>
  <c r="BD55" i="3"/>
  <c r="BE53" i="3"/>
  <c r="BG53" i="3" s="1"/>
  <c r="BD54" i="3"/>
  <c r="BE54" i="3" s="1"/>
  <c r="BG54" i="3" s="1"/>
  <c r="A48" i="10"/>
  <c r="AC48" i="10" s="1"/>
  <c r="A60" i="18"/>
  <c r="AH135" i="11"/>
  <c r="AF135" i="11"/>
  <c r="AE135" i="11"/>
  <c r="AG135" i="11"/>
  <c r="AI135" i="11"/>
  <c r="AL64" i="10"/>
  <c r="AP63" i="10"/>
  <c r="K71" i="9"/>
  <c r="S71" i="9" s="1"/>
  <c r="S65" i="10"/>
  <c r="L107" i="4"/>
  <c r="T65" i="10" s="1"/>
  <c r="J108" i="4"/>
  <c r="AN64" i="10"/>
  <c r="X76" i="3"/>
  <c r="AK64" i="10"/>
  <c r="AO64" i="10"/>
  <c r="AF48" i="10"/>
  <c r="AG48" i="10"/>
  <c r="AH48" i="10"/>
  <c r="AE48" i="10"/>
  <c r="AD48" i="10"/>
  <c r="AI47" i="10"/>
  <c r="X69" i="10"/>
  <c r="V66" i="10"/>
  <c r="Y65" i="10"/>
  <c r="O117" i="4"/>
  <c r="M117" i="4"/>
  <c r="T116" i="4"/>
  <c r="P81" i="9" s="1"/>
  <c r="T81" i="9" s="1"/>
  <c r="N117" i="4"/>
  <c r="K91" i="4"/>
  <c r="B49" i="10"/>
  <c r="P85" i="3"/>
  <c r="L85" i="3"/>
  <c r="Q117" i="4"/>
  <c r="P117" i="4"/>
  <c r="S117" i="4"/>
  <c r="R117" i="4"/>
  <c r="U58" i="3"/>
  <c r="V58" i="3" s="1"/>
  <c r="R58" i="3"/>
  <c r="T58" i="3" s="1"/>
  <c r="Y61" i="8"/>
  <c r="Z61" i="8" s="1"/>
  <c r="AC58" i="3"/>
  <c r="AE58" i="3" s="1"/>
  <c r="AF58" i="3" s="1"/>
  <c r="BC58" i="3" s="1"/>
  <c r="AB58" i="3"/>
  <c r="AD58" i="3" s="1"/>
  <c r="AW57" i="3"/>
  <c r="AY57" i="3" s="1"/>
  <c r="AW56" i="3"/>
  <c r="Q59" i="3"/>
  <c r="R59" i="3" s="1"/>
  <c r="AA59" i="3"/>
  <c r="AG61" i="8"/>
  <c r="AH61" i="8" s="1"/>
  <c r="Q61" i="8"/>
  <c r="R61" i="8" s="1"/>
  <c r="AG62" i="8"/>
  <c r="T62" i="8"/>
  <c r="AB62" i="8"/>
  <c r="W62" i="8"/>
  <c r="AD62" i="8"/>
  <c r="P62" i="8"/>
  <c r="X62" i="8"/>
  <c r="AA62" i="8"/>
  <c r="N62" i="8"/>
  <c r="C60" i="3"/>
  <c r="N60" i="3" s="1"/>
  <c r="M62" i="8"/>
  <c r="AF62" i="8"/>
  <c r="V62" i="8"/>
  <c r="S62" i="8"/>
  <c r="K62" i="8"/>
  <c r="AE62" i="8"/>
  <c r="AC62" i="8"/>
  <c r="L62" i="8"/>
  <c r="U62" i="8"/>
  <c r="O62" i="8"/>
  <c r="J54" i="9"/>
  <c r="G54" i="9"/>
  <c r="H54" i="9"/>
  <c r="A99" i="7"/>
  <c r="A91" i="4"/>
  <c r="A61" i="19" s="1"/>
  <c r="A55" i="9"/>
  <c r="A62" i="8"/>
  <c r="A60" i="3"/>
  <c r="AR63" i="10" l="1"/>
  <c r="AS63" i="10"/>
  <c r="BY15" i="6"/>
  <c r="BS15" i="6"/>
  <c r="BM15" i="6"/>
  <c r="BX15" i="6"/>
  <c r="BR15" i="6"/>
  <c r="BL15" i="6"/>
  <c r="AM76" i="3"/>
  <c r="AL76" i="3"/>
  <c r="AM76" i="18"/>
  <c r="AO76" i="18" s="1"/>
  <c r="AP76" i="18" s="1"/>
  <c r="BJ76" i="18" s="1"/>
  <c r="AL76" i="18"/>
  <c r="AN76" i="18" s="1"/>
  <c r="AL76" i="19"/>
  <c r="AN76" i="19" s="1"/>
  <c r="AM76" i="19"/>
  <c r="AO76" i="19" s="1"/>
  <c r="AP76" i="19" s="1"/>
  <c r="BJ76" i="19" s="1"/>
  <c r="AL65" i="10"/>
  <c r="AH77" i="19"/>
  <c r="AK77" i="19" s="1"/>
  <c r="AH77" i="18"/>
  <c r="AK77" i="18" s="1"/>
  <c r="AH77" i="3"/>
  <c r="AK77" i="3" s="1"/>
  <c r="BN98" i="17"/>
  <c r="BP98" i="17"/>
  <c r="BS98" i="17"/>
  <c r="BQ98" i="17"/>
  <c r="BO98" i="17"/>
  <c r="BR98" i="17"/>
  <c r="BR98" i="16"/>
  <c r="BN98" i="16"/>
  <c r="BO98" i="16"/>
  <c r="BP98" i="16"/>
  <c r="BQ98" i="16"/>
  <c r="BS98" i="16"/>
  <c r="BW95" i="11"/>
  <c r="BJ27" i="6" s="1"/>
  <c r="AE76" i="18"/>
  <c r="AF76" i="18" s="1"/>
  <c r="BC76" i="18" s="1"/>
  <c r="BB58" i="3"/>
  <c r="BI58" i="3"/>
  <c r="BB59" i="19"/>
  <c r="BE59" i="19" s="1"/>
  <c r="BG59" i="19" s="1"/>
  <c r="BI59" i="19"/>
  <c r="BL59" i="19" s="1"/>
  <c r="BN59" i="19" s="1"/>
  <c r="BB59" i="18"/>
  <c r="BE59" i="18" s="1"/>
  <c r="BG59" i="18" s="1"/>
  <c r="BI59" i="18"/>
  <c r="BL59" i="18" s="1"/>
  <c r="BN59" i="18" s="1"/>
  <c r="AO70" i="3"/>
  <c r="AP70" i="3" s="1"/>
  <c r="BJ70" i="3" s="1"/>
  <c r="AN70" i="3"/>
  <c r="AB76" i="18"/>
  <c r="AD76" i="18" s="1"/>
  <c r="BT96" i="11"/>
  <c r="AC76" i="19"/>
  <c r="AE76" i="19" s="1"/>
  <c r="AF76" i="19" s="1"/>
  <c r="BC76" i="19" s="1"/>
  <c r="D62" i="8"/>
  <c r="E62" i="8"/>
  <c r="I62" i="8"/>
  <c r="C62" i="8"/>
  <c r="F62" i="8"/>
  <c r="G62" i="8"/>
  <c r="J61" i="8"/>
  <c r="BM97" i="16"/>
  <c r="BT96" i="16"/>
  <c r="AF87" i="8"/>
  <c r="X87" i="8"/>
  <c r="P87" i="8"/>
  <c r="BT97" i="11"/>
  <c r="BM98" i="11"/>
  <c r="S60" i="19"/>
  <c r="U60" i="19" s="1"/>
  <c r="V60" i="19" s="1"/>
  <c r="R60" i="19"/>
  <c r="T60" i="19" s="1"/>
  <c r="C49" i="10"/>
  <c r="AE49" i="10" s="1"/>
  <c r="C61" i="19"/>
  <c r="N61" i="19" s="1"/>
  <c r="Q61" i="19" s="1"/>
  <c r="C61" i="18"/>
  <c r="N61" i="18" s="1"/>
  <c r="Q61" i="18" s="1"/>
  <c r="BT96" i="17"/>
  <c r="BM97" i="17"/>
  <c r="S60" i="18"/>
  <c r="U60" i="18" s="1"/>
  <c r="V60" i="18" s="1"/>
  <c r="R60" i="18"/>
  <c r="T60" i="18" s="1"/>
  <c r="AM65" i="10"/>
  <c r="X77" i="18"/>
  <c r="AA77" i="18" s="1"/>
  <c r="AB77" i="18" s="1"/>
  <c r="AD77" i="18" s="1"/>
  <c r="X77" i="19"/>
  <c r="AA77" i="19" s="1"/>
  <c r="AB77" i="19" s="1"/>
  <c r="AD77" i="19" s="1"/>
  <c r="U67" i="10"/>
  <c r="C250" i="1"/>
  <c r="R249" i="1"/>
  <c r="O111" i="18" s="1"/>
  <c r="H249" i="1"/>
  <c r="A49" i="10"/>
  <c r="AC49" i="10" s="1"/>
  <c r="A61" i="18"/>
  <c r="Q71" i="9"/>
  <c r="AJ135" i="11"/>
  <c r="K72" i="9"/>
  <c r="Q72" i="9" s="1"/>
  <c r="AP64" i="10"/>
  <c r="S66" i="10"/>
  <c r="J109" i="4"/>
  <c r="L108" i="4"/>
  <c r="T66" i="10" s="1"/>
  <c r="AN65" i="10"/>
  <c r="X77" i="3"/>
  <c r="AK65" i="10"/>
  <c r="AO65" i="10"/>
  <c r="AY56" i="3"/>
  <c r="AZ56" i="3" s="1"/>
  <c r="BK56" i="3" s="1"/>
  <c r="BL56" i="3" s="1"/>
  <c r="BN56" i="3" s="1"/>
  <c r="X70" i="10"/>
  <c r="AD49" i="10"/>
  <c r="AH49" i="10"/>
  <c r="AF49" i="10"/>
  <c r="AG49" i="10"/>
  <c r="AI48" i="10"/>
  <c r="V67" i="10"/>
  <c r="Y66" i="10"/>
  <c r="S118" i="4"/>
  <c r="O118" i="4"/>
  <c r="R118" i="4"/>
  <c r="Q118" i="4"/>
  <c r="M118" i="4"/>
  <c r="T117" i="4"/>
  <c r="K92" i="4"/>
  <c r="B50" i="10"/>
  <c r="P118" i="4"/>
  <c r="N118" i="4"/>
  <c r="Y62" i="8"/>
  <c r="Z62" i="8" s="1"/>
  <c r="T59" i="3"/>
  <c r="AB59" i="3"/>
  <c r="AD59" i="3" s="1"/>
  <c r="AC59" i="3"/>
  <c r="AE59" i="3" s="1"/>
  <c r="AF59" i="3" s="1"/>
  <c r="BC59" i="3" s="1"/>
  <c r="Q62" i="8"/>
  <c r="R62" i="8" s="1"/>
  <c r="AW58" i="3"/>
  <c r="AY58" i="3" s="1"/>
  <c r="AZ57" i="3"/>
  <c r="BK57" i="3" s="1"/>
  <c r="BL57" i="3" s="1"/>
  <c r="BN57" i="3" s="1"/>
  <c r="S59" i="3"/>
  <c r="U59" i="3" s="1"/>
  <c r="V59" i="3" s="1"/>
  <c r="Q60" i="3"/>
  <c r="S60" i="3" s="1"/>
  <c r="AA60" i="3"/>
  <c r="Q63" i="8"/>
  <c r="AH62" i="8"/>
  <c r="J55" i="9"/>
  <c r="H55" i="9"/>
  <c r="G55" i="9"/>
  <c r="K63" i="8"/>
  <c r="O63" i="8"/>
  <c r="L63" i="8"/>
  <c r="P63" i="8"/>
  <c r="S63" i="8"/>
  <c r="AB63" i="8"/>
  <c r="M63" i="8"/>
  <c r="V63" i="8"/>
  <c r="AE63" i="8"/>
  <c r="N63" i="8"/>
  <c r="C61" i="3"/>
  <c r="N61" i="3" s="1"/>
  <c r="AA63" i="8"/>
  <c r="X63" i="8"/>
  <c r="W63" i="8"/>
  <c r="AC63" i="8"/>
  <c r="AD63" i="8"/>
  <c r="AF63" i="8"/>
  <c r="T63" i="8"/>
  <c r="U63" i="8"/>
  <c r="A100" i="7"/>
  <c r="A92" i="4"/>
  <c r="A62" i="19" s="1"/>
  <c r="A56" i="9"/>
  <c r="A63" i="8"/>
  <c r="A61" i="3"/>
  <c r="AL77" i="3" l="1"/>
  <c r="AM77" i="3"/>
  <c r="AM77" i="18"/>
  <c r="AO77" i="18" s="1"/>
  <c r="AP77" i="18" s="1"/>
  <c r="BJ77" i="18" s="1"/>
  <c r="AL77" i="18"/>
  <c r="AN77" i="18" s="1"/>
  <c r="AM77" i="19"/>
  <c r="AO77" i="19" s="1"/>
  <c r="AP77" i="19" s="1"/>
  <c r="BJ77" i="19" s="1"/>
  <c r="AL77" i="19"/>
  <c r="AN77" i="19" s="1"/>
  <c r="BY16" i="6"/>
  <c r="BM16" i="6"/>
  <c r="BS16" i="6"/>
  <c r="K73" i="9"/>
  <c r="Q73" i="9" s="1"/>
  <c r="AH78" i="18"/>
  <c r="AK78" i="18" s="1"/>
  <c r="AH78" i="19"/>
  <c r="AK78" i="19" s="1"/>
  <c r="AH78" i="3"/>
  <c r="AK78" i="3" s="1"/>
  <c r="AR64" i="10"/>
  <c r="AS64" i="10"/>
  <c r="BR16" i="6"/>
  <c r="BX16" i="6"/>
  <c r="BL16" i="6"/>
  <c r="BP99" i="17"/>
  <c r="BQ99" i="17"/>
  <c r="BO99" i="17"/>
  <c r="BR99" i="17"/>
  <c r="BS99" i="17"/>
  <c r="BN99" i="17"/>
  <c r="BP99" i="16"/>
  <c r="BS99" i="16"/>
  <c r="BN99" i="16"/>
  <c r="BQ99" i="16"/>
  <c r="BO99" i="16"/>
  <c r="BR99" i="16"/>
  <c r="BB60" i="19"/>
  <c r="BE60" i="19" s="1"/>
  <c r="BG60" i="19" s="1"/>
  <c r="BI60" i="19"/>
  <c r="BL60" i="19" s="1"/>
  <c r="BN60" i="19" s="1"/>
  <c r="BB59" i="3"/>
  <c r="BI59" i="3"/>
  <c r="BI60" i="18"/>
  <c r="BL60" i="18" s="1"/>
  <c r="BN60" i="18" s="1"/>
  <c r="BB60" i="18"/>
  <c r="BE60" i="18" s="1"/>
  <c r="BG60" i="18" s="1"/>
  <c r="AO71" i="3"/>
  <c r="AP71" i="3" s="1"/>
  <c r="BJ71" i="3" s="1"/>
  <c r="AN71" i="3"/>
  <c r="R61" i="18"/>
  <c r="T61" i="18" s="1"/>
  <c r="S61" i="18"/>
  <c r="U61" i="18" s="1"/>
  <c r="V61" i="18" s="1"/>
  <c r="S61" i="19"/>
  <c r="U61" i="19" s="1"/>
  <c r="V61" i="19" s="1"/>
  <c r="R61" i="19"/>
  <c r="T61" i="19" s="1"/>
  <c r="BT97" i="17"/>
  <c r="BM98" i="17"/>
  <c r="E63" i="8"/>
  <c r="I63" i="8"/>
  <c r="F63" i="8"/>
  <c r="C63" i="8"/>
  <c r="D63" i="8"/>
  <c r="G63" i="8"/>
  <c r="C50" i="10"/>
  <c r="C62" i="19"/>
  <c r="N62" i="19" s="1"/>
  <c r="Q62" i="19" s="1"/>
  <c r="C62" i="18"/>
  <c r="N62" i="18" s="1"/>
  <c r="Q62" i="18" s="1"/>
  <c r="AC77" i="18"/>
  <c r="AE77" i="18" s="1"/>
  <c r="AF77" i="18" s="1"/>
  <c r="BC77" i="18" s="1"/>
  <c r="BT98" i="11"/>
  <c r="BM99" i="11"/>
  <c r="BM98" i="16"/>
  <c r="BT97" i="16"/>
  <c r="J62" i="8"/>
  <c r="X78" i="19"/>
  <c r="AA78" i="19" s="1"/>
  <c r="AB78" i="19" s="1"/>
  <c r="AD78" i="19" s="1"/>
  <c r="AC77" i="19"/>
  <c r="AE77" i="19" s="1"/>
  <c r="AF77" i="19" s="1"/>
  <c r="BC77" i="19" s="1"/>
  <c r="X78" i="18"/>
  <c r="AA78" i="18" s="1"/>
  <c r="AC78" i="18" s="1"/>
  <c r="AE78" i="18" s="1"/>
  <c r="AF78" i="18" s="1"/>
  <c r="BC78" i="18" s="1"/>
  <c r="AM66" i="10"/>
  <c r="U68" i="10"/>
  <c r="C251" i="1"/>
  <c r="R250" i="1"/>
  <c r="O112" i="18" s="1"/>
  <c r="H250" i="1"/>
  <c r="BE55" i="3"/>
  <c r="BG55" i="3" s="1"/>
  <c r="BD56" i="3"/>
  <c r="BE56" i="3" s="1"/>
  <c r="BG56" i="3" s="1"/>
  <c r="BD57" i="3"/>
  <c r="A50" i="10"/>
  <c r="AC50" i="10" s="1"/>
  <c r="A62" i="18"/>
  <c r="S72" i="9"/>
  <c r="AP65" i="10"/>
  <c r="AN66" i="10"/>
  <c r="X78" i="3"/>
  <c r="AK66" i="10"/>
  <c r="AO66" i="10"/>
  <c r="AL66" i="10"/>
  <c r="S67" i="10"/>
  <c r="L109" i="4"/>
  <c r="T67" i="10" s="1"/>
  <c r="J110" i="4"/>
  <c r="AI49" i="10"/>
  <c r="AG50" i="10"/>
  <c r="AD50" i="10"/>
  <c r="AE50" i="10"/>
  <c r="AF50" i="10"/>
  <c r="AH50" i="10"/>
  <c r="X71" i="10"/>
  <c r="V68" i="10"/>
  <c r="Y67" i="10"/>
  <c r="R119" i="4"/>
  <c r="Q119" i="4"/>
  <c r="K93" i="4"/>
  <c r="B51" i="10"/>
  <c r="P119" i="4"/>
  <c r="O119" i="4"/>
  <c r="N119" i="4"/>
  <c r="M119" i="4"/>
  <c r="T118" i="4"/>
  <c r="S119" i="4"/>
  <c r="U60" i="3"/>
  <c r="V60" i="3" s="1"/>
  <c r="Y63" i="8"/>
  <c r="Z63" i="8" s="1"/>
  <c r="AG63" i="8"/>
  <c r="AH63" i="8" s="1"/>
  <c r="AC60" i="3"/>
  <c r="AE60" i="3" s="1"/>
  <c r="AF60" i="3" s="1"/>
  <c r="BC60" i="3" s="1"/>
  <c r="AB60" i="3"/>
  <c r="AD60" i="3" s="1"/>
  <c r="AZ58" i="3"/>
  <c r="BK58" i="3" s="1"/>
  <c r="BL58" i="3" s="1"/>
  <c r="BN58" i="3" s="1"/>
  <c r="Q61" i="3"/>
  <c r="R61" i="3" s="1"/>
  <c r="AA61" i="3"/>
  <c r="R60" i="3"/>
  <c r="T60" i="3" s="1"/>
  <c r="R63" i="8"/>
  <c r="G56" i="9"/>
  <c r="J56" i="9"/>
  <c r="H56" i="9"/>
  <c r="L64" i="8"/>
  <c r="O64" i="8"/>
  <c r="K64" i="8"/>
  <c r="AC64" i="8"/>
  <c r="P64" i="8"/>
  <c r="Y64" i="8"/>
  <c r="C62" i="3"/>
  <c r="N62" i="3" s="1"/>
  <c r="U64" i="8"/>
  <c r="AD64" i="8"/>
  <c r="V64" i="8"/>
  <c r="S64" i="8"/>
  <c r="AF64" i="8"/>
  <c r="T64" i="8"/>
  <c r="N64" i="8"/>
  <c r="M64" i="8"/>
  <c r="AA64" i="8"/>
  <c r="AB64" i="8"/>
  <c r="Q64" i="8"/>
  <c r="AG64" i="8"/>
  <c r="X64" i="8"/>
  <c r="AE64" i="8"/>
  <c r="W64" i="8"/>
  <c r="A101" i="7"/>
  <c r="A93" i="4"/>
  <c r="A63" i="19" s="1"/>
  <c r="A64" i="8"/>
  <c r="A57" i="9"/>
  <c r="A62" i="3"/>
  <c r="AL78" i="19" l="1"/>
  <c r="AN78" i="19" s="1"/>
  <c r="AM78" i="19"/>
  <c r="AO78" i="19" s="1"/>
  <c r="AP78" i="19" s="1"/>
  <c r="BJ78" i="19" s="1"/>
  <c r="S73" i="9"/>
  <c r="BS17" i="6"/>
  <c r="BY17" i="6"/>
  <c r="BM17" i="6"/>
  <c r="AL78" i="18"/>
  <c r="AN78" i="18" s="1"/>
  <c r="AM78" i="18"/>
  <c r="AO78" i="18" s="1"/>
  <c r="AP78" i="18" s="1"/>
  <c r="BJ78" i="18" s="1"/>
  <c r="AR65" i="10"/>
  <c r="AS65" i="10"/>
  <c r="BR17" i="6"/>
  <c r="BX17" i="6"/>
  <c r="BL17" i="6"/>
  <c r="K74" i="9"/>
  <c r="AH79" i="18"/>
  <c r="AK79" i="18" s="1"/>
  <c r="AH79" i="19"/>
  <c r="AK79" i="19" s="1"/>
  <c r="AH79" i="3"/>
  <c r="AK79" i="3" s="1"/>
  <c r="AL78" i="3"/>
  <c r="AM78" i="3"/>
  <c r="BR100" i="17"/>
  <c r="BQ100" i="17"/>
  <c r="BS100" i="17"/>
  <c r="BN100" i="17"/>
  <c r="BO100" i="17"/>
  <c r="BP100" i="17"/>
  <c r="BQ100" i="16"/>
  <c r="BS100" i="16"/>
  <c r="BR100" i="16"/>
  <c r="BO100" i="16"/>
  <c r="BN100" i="16"/>
  <c r="BP100" i="16"/>
  <c r="BB61" i="19"/>
  <c r="BE61" i="19" s="1"/>
  <c r="BG61" i="19" s="1"/>
  <c r="BI61" i="19"/>
  <c r="BL61" i="19" s="1"/>
  <c r="BN61" i="19" s="1"/>
  <c r="BI61" i="18"/>
  <c r="BL61" i="18" s="1"/>
  <c r="BN61" i="18" s="1"/>
  <c r="BB61" i="18"/>
  <c r="BE61" i="18" s="1"/>
  <c r="BG61" i="18" s="1"/>
  <c r="BB60" i="3"/>
  <c r="BI60" i="3"/>
  <c r="AC78" i="19"/>
  <c r="AE78" i="19" s="1"/>
  <c r="AF78" i="19" s="1"/>
  <c r="BC78" i="19" s="1"/>
  <c r="AO72" i="3"/>
  <c r="AP72" i="3" s="1"/>
  <c r="BJ72" i="3" s="1"/>
  <c r="AN72" i="3"/>
  <c r="BM99" i="16"/>
  <c r="BT98" i="16"/>
  <c r="S62" i="18"/>
  <c r="U62" i="18" s="1"/>
  <c r="V62" i="18" s="1"/>
  <c r="R62" i="18"/>
  <c r="T62" i="18" s="1"/>
  <c r="C51" i="10"/>
  <c r="C63" i="19"/>
  <c r="N63" i="19" s="1"/>
  <c r="Q63" i="19" s="1"/>
  <c r="C63" i="18"/>
  <c r="N63" i="18" s="1"/>
  <c r="Q63" i="18" s="1"/>
  <c r="BM100" i="11"/>
  <c r="BT99" i="11"/>
  <c r="S62" i="19"/>
  <c r="U62" i="19" s="1"/>
  <c r="V62" i="19" s="1"/>
  <c r="R62" i="19"/>
  <c r="T62" i="19" s="1"/>
  <c r="J63" i="8"/>
  <c r="BT98" i="17"/>
  <c r="BM99" i="17"/>
  <c r="AB78" i="18"/>
  <c r="AD78" i="18" s="1"/>
  <c r="F64" i="8"/>
  <c r="C64" i="8"/>
  <c r="G64" i="8"/>
  <c r="D64" i="8"/>
  <c r="E64" i="8"/>
  <c r="I64" i="8"/>
  <c r="X79" i="18"/>
  <c r="AA79" i="18" s="1"/>
  <c r="AC79" i="18" s="1"/>
  <c r="X79" i="19"/>
  <c r="AA79" i="19" s="1"/>
  <c r="AC79" i="19" s="1"/>
  <c r="AE79" i="19" s="1"/>
  <c r="AF79" i="19" s="1"/>
  <c r="BC79" i="19" s="1"/>
  <c r="U69" i="10"/>
  <c r="C252" i="1"/>
  <c r="R251" i="1"/>
  <c r="O113" i="18" s="1"/>
  <c r="H251" i="1"/>
  <c r="BE57" i="3"/>
  <c r="BG57" i="3" s="1"/>
  <c r="BD58" i="3"/>
  <c r="A51" i="10"/>
  <c r="AC51" i="10" s="1"/>
  <c r="A63" i="18"/>
  <c r="AP66" i="10"/>
  <c r="S68" i="10"/>
  <c r="L110" i="4"/>
  <c r="T68" i="10" s="1"/>
  <c r="J111" i="4"/>
  <c r="AN67" i="10"/>
  <c r="X79" i="3"/>
  <c r="AK67" i="10"/>
  <c r="AO67" i="10"/>
  <c r="AL67" i="10"/>
  <c r="AM67" i="10"/>
  <c r="AI50" i="10"/>
  <c r="AF51" i="10"/>
  <c r="AE51" i="10"/>
  <c r="AH51" i="10"/>
  <c r="AG51" i="10"/>
  <c r="AD51" i="10"/>
  <c r="Q74" i="9"/>
  <c r="P74" i="9"/>
  <c r="S74" i="9"/>
  <c r="X72" i="10"/>
  <c r="V69" i="10"/>
  <c r="Y68" i="10"/>
  <c r="Q120" i="4"/>
  <c r="K94" i="4"/>
  <c r="B52" i="10"/>
  <c r="N120" i="4"/>
  <c r="P120" i="4"/>
  <c r="S120" i="4"/>
  <c r="M120" i="4"/>
  <c r="T119" i="4"/>
  <c r="O120" i="4"/>
  <c r="R120" i="4"/>
  <c r="AB61" i="3"/>
  <c r="AD61" i="3" s="1"/>
  <c r="AC61" i="3"/>
  <c r="AE61" i="3" s="1"/>
  <c r="AF61" i="3" s="1"/>
  <c r="BC61" i="3" s="1"/>
  <c r="S61" i="3"/>
  <c r="U61" i="3" s="1"/>
  <c r="V61" i="3" s="1"/>
  <c r="AW59" i="3"/>
  <c r="AW60" i="3"/>
  <c r="AY60" i="3" s="1"/>
  <c r="T61" i="3"/>
  <c r="Q62" i="3"/>
  <c r="S62" i="3" s="1"/>
  <c r="AA62" i="3"/>
  <c r="Y65" i="8"/>
  <c r="R64" i="8"/>
  <c r="Z64" i="8"/>
  <c r="J57" i="9"/>
  <c r="H57" i="9"/>
  <c r="G57" i="9"/>
  <c r="AH64" i="8"/>
  <c r="M65" i="8"/>
  <c r="AC65" i="8"/>
  <c r="C63" i="3"/>
  <c r="N63" i="3" s="1"/>
  <c r="AF65" i="8"/>
  <c r="X65" i="8"/>
  <c r="L65" i="8"/>
  <c r="AD65" i="8"/>
  <c r="AE65" i="8"/>
  <c r="P65" i="8"/>
  <c r="K65" i="8"/>
  <c r="V65" i="8"/>
  <c r="T65" i="8"/>
  <c r="S65" i="8"/>
  <c r="Q65" i="8"/>
  <c r="W65" i="8"/>
  <c r="U65" i="8"/>
  <c r="AG65" i="8"/>
  <c r="AA65" i="8"/>
  <c r="N65" i="8"/>
  <c r="AB65" i="8"/>
  <c r="O65" i="8"/>
  <c r="A102" i="7"/>
  <c r="A94" i="4"/>
  <c r="A64" i="19" s="1"/>
  <c r="A58" i="9"/>
  <c r="A65" i="8"/>
  <c r="A63" i="3"/>
  <c r="BX18" i="6" l="1"/>
  <c r="BR18" i="6"/>
  <c r="BL18" i="6"/>
  <c r="BY18" i="6"/>
  <c r="BS18" i="6"/>
  <c r="BM18" i="6"/>
  <c r="AM79" i="3"/>
  <c r="AL79" i="3"/>
  <c r="AL79" i="19"/>
  <c r="AN79" i="19" s="1"/>
  <c r="AM79" i="19"/>
  <c r="AO79" i="19" s="1"/>
  <c r="AP79" i="19" s="1"/>
  <c r="BJ79" i="19" s="1"/>
  <c r="AM79" i="18"/>
  <c r="AO79" i="18" s="1"/>
  <c r="AP79" i="18" s="1"/>
  <c r="BJ79" i="18" s="1"/>
  <c r="AL79" i="18"/>
  <c r="AN79" i="18" s="1"/>
  <c r="K75" i="9"/>
  <c r="AH80" i="19"/>
  <c r="AK80" i="19" s="1"/>
  <c r="AH80" i="18"/>
  <c r="AK80" i="18" s="1"/>
  <c r="AH80" i="3"/>
  <c r="AK80" i="3" s="1"/>
  <c r="BN101" i="17"/>
  <c r="BQ101" i="17"/>
  <c r="BP101" i="17"/>
  <c r="BO101" i="17"/>
  <c r="BS101" i="17"/>
  <c r="BR101" i="17"/>
  <c r="BS101" i="16"/>
  <c r="BP101" i="16"/>
  <c r="BN101" i="16"/>
  <c r="BR101" i="16"/>
  <c r="BO101" i="16"/>
  <c r="BQ101" i="16"/>
  <c r="BB61" i="3"/>
  <c r="BI61" i="3"/>
  <c r="BI62" i="18"/>
  <c r="BL62" i="18" s="1"/>
  <c r="BN62" i="18" s="1"/>
  <c r="BB62" i="18"/>
  <c r="BE62" i="18" s="1"/>
  <c r="BG62" i="18" s="1"/>
  <c r="BB62" i="19"/>
  <c r="BE62" i="19" s="1"/>
  <c r="BG62" i="19" s="1"/>
  <c r="BI62" i="19"/>
  <c r="BL62" i="19" s="1"/>
  <c r="BN62" i="19" s="1"/>
  <c r="AE79" i="18"/>
  <c r="AF79" i="18" s="1"/>
  <c r="BC79" i="18" s="1"/>
  <c r="AB79" i="18"/>
  <c r="AD79" i="18" s="1"/>
  <c r="AO73" i="3"/>
  <c r="AP73" i="3" s="1"/>
  <c r="BJ73" i="3" s="1"/>
  <c r="AN73" i="3"/>
  <c r="C52" i="10"/>
  <c r="C64" i="19"/>
  <c r="N64" i="19" s="1"/>
  <c r="Q64" i="19" s="1"/>
  <c r="C64" i="18"/>
  <c r="N64" i="18" s="1"/>
  <c r="Q64" i="18" s="1"/>
  <c r="C65" i="8"/>
  <c r="G65" i="8"/>
  <c r="D65" i="8"/>
  <c r="E65" i="8"/>
  <c r="F65" i="8"/>
  <c r="I65" i="8"/>
  <c r="BM100" i="16"/>
  <c r="BT99" i="16"/>
  <c r="BM100" i="17"/>
  <c r="BT99" i="17"/>
  <c r="BT100" i="11"/>
  <c r="BM101" i="11"/>
  <c r="R63" i="19"/>
  <c r="T63" i="19" s="1"/>
  <c r="S63" i="19"/>
  <c r="U63" i="19" s="1"/>
  <c r="V63" i="19" s="1"/>
  <c r="J64" i="8"/>
  <c r="R63" i="18"/>
  <c r="T63" i="18" s="1"/>
  <c r="S63" i="18"/>
  <c r="U63" i="18" s="1"/>
  <c r="V63" i="18" s="1"/>
  <c r="AB79" i="19"/>
  <c r="AD79" i="19" s="1"/>
  <c r="X80" i="18"/>
  <c r="AA80" i="18" s="1"/>
  <c r="AC80" i="18" s="1"/>
  <c r="X80" i="19"/>
  <c r="AA80" i="19" s="1"/>
  <c r="AB80" i="19" s="1"/>
  <c r="AM68" i="10"/>
  <c r="U70" i="10"/>
  <c r="C253" i="1"/>
  <c r="R252" i="1"/>
  <c r="O114" i="18" s="1"/>
  <c r="H252" i="1"/>
  <c r="A52" i="10"/>
  <c r="AC52" i="10" s="1"/>
  <c r="A64" i="18"/>
  <c r="AL68" i="10"/>
  <c r="AP67" i="10"/>
  <c r="S69" i="10"/>
  <c r="J112" i="4"/>
  <c r="L111" i="4"/>
  <c r="T69" i="10" s="1"/>
  <c r="AN68" i="10"/>
  <c r="X80" i="3"/>
  <c r="AK68" i="10"/>
  <c r="AO68" i="10"/>
  <c r="AY59" i="3"/>
  <c r="AZ59" i="3" s="1"/>
  <c r="BK59" i="3" s="1"/>
  <c r="BL59" i="3" s="1"/>
  <c r="BN59" i="3" s="1"/>
  <c r="P75" i="9"/>
  <c r="S75" i="9"/>
  <c r="Q75" i="9"/>
  <c r="AE52" i="10"/>
  <c r="AF52" i="10"/>
  <c r="AD52" i="10"/>
  <c r="AG52" i="10"/>
  <c r="AH52" i="10"/>
  <c r="X73" i="10"/>
  <c r="AI51" i="10"/>
  <c r="V70" i="10"/>
  <c r="Y69" i="10"/>
  <c r="K95" i="4"/>
  <c r="B53" i="10"/>
  <c r="M121" i="4"/>
  <c r="T120" i="4"/>
  <c r="N121" i="4"/>
  <c r="O121" i="4"/>
  <c r="R121" i="4"/>
  <c r="S121" i="4"/>
  <c r="P121" i="4"/>
  <c r="Q121" i="4"/>
  <c r="AC62" i="3"/>
  <c r="AE62" i="3" s="1"/>
  <c r="AF62" i="3" s="1"/>
  <c r="BC62" i="3" s="1"/>
  <c r="AB62" i="3"/>
  <c r="AD62" i="3" s="1"/>
  <c r="AZ60" i="3"/>
  <c r="BK60" i="3" s="1"/>
  <c r="BL60" i="3" s="1"/>
  <c r="BN60" i="3" s="1"/>
  <c r="R62" i="3"/>
  <c r="T62" i="3" s="1"/>
  <c r="U62" i="3"/>
  <c r="V62" i="3" s="1"/>
  <c r="Q63" i="3"/>
  <c r="S63" i="3" s="1"/>
  <c r="AA63" i="3"/>
  <c r="AG66" i="8"/>
  <c r="C64" i="3"/>
  <c r="N64" i="3" s="1"/>
  <c r="O66" i="8"/>
  <c r="AC66" i="8"/>
  <c r="T66" i="8"/>
  <c r="K66" i="8"/>
  <c r="L66" i="8"/>
  <c r="W66" i="8"/>
  <c r="S66" i="8"/>
  <c r="X66" i="8"/>
  <c r="P66" i="8"/>
  <c r="V66" i="8"/>
  <c r="AB66" i="8"/>
  <c r="M66" i="8"/>
  <c r="AA66" i="8"/>
  <c r="U66" i="8"/>
  <c r="AF66" i="8"/>
  <c r="Q66" i="8"/>
  <c r="AE66" i="8"/>
  <c r="AD66" i="8"/>
  <c r="N66" i="8"/>
  <c r="AH65" i="8"/>
  <c r="R65" i="8"/>
  <c r="H58" i="9"/>
  <c r="G58" i="9"/>
  <c r="J58" i="9"/>
  <c r="Z65" i="8"/>
  <c r="A103" i="7"/>
  <c r="A59" i="9"/>
  <c r="A64" i="3"/>
  <c r="A95" i="4"/>
  <c r="A65" i="19" s="1"/>
  <c r="A66" i="8"/>
  <c r="K76" i="9" l="1"/>
  <c r="AH81" i="18"/>
  <c r="AK81" i="18" s="1"/>
  <c r="AH81" i="19"/>
  <c r="AK81" i="19" s="1"/>
  <c r="AH81" i="3"/>
  <c r="AK81" i="3" s="1"/>
  <c r="AB80" i="18"/>
  <c r="AM80" i="3"/>
  <c r="AL80" i="3"/>
  <c r="AM80" i="18"/>
  <c r="AO80" i="18" s="1"/>
  <c r="AP80" i="18" s="1"/>
  <c r="BJ80" i="18" s="1"/>
  <c r="AL80" i="18"/>
  <c r="AN80" i="18" s="1"/>
  <c r="AM80" i="19"/>
  <c r="AO80" i="19" s="1"/>
  <c r="AP80" i="19" s="1"/>
  <c r="BJ80" i="19" s="1"/>
  <c r="AL80" i="19"/>
  <c r="AN80" i="19" s="1"/>
  <c r="BQ102" i="17"/>
  <c r="BO102" i="17"/>
  <c r="BS102" i="17"/>
  <c r="BR102" i="17"/>
  <c r="BP102" i="17"/>
  <c r="BN102" i="17"/>
  <c r="BR102" i="16"/>
  <c r="BP102" i="16"/>
  <c r="BO102" i="16"/>
  <c r="BN102" i="16"/>
  <c r="BQ102" i="16"/>
  <c r="BS102" i="16"/>
  <c r="BB63" i="19"/>
  <c r="BE63" i="19" s="1"/>
  <c r="BG63" i="19" s="1"/>
  <c r="BI63" i="19"/>
  <c r="BL63" i="19" s="1"/>
  <c r="BN63" i="19" s="1"/>
  <c r="BB62" i="3"/>
  <c r="BI62" i="3"/>
  <c r="BI63" i="18"/>
  <c r="BL63" i="18" s="1"/>
  <c r="BN63" i="18" s="1"/>
  <c r="BB63" i="18"/>
  <c r="BE63" i="18" s="1"/>
  <c r="BG63" i="18" s="1"/>
  <c r="AD80" i="18"/>
  <c r="AE80" i="18"/>
  <c r="AF80" i="18" s="1"/>
  <c r="BC80" i="18" s="1"/>
  <c r="AO74" i="3"/>
  <c r="AP74" i="3" s="1"/>
  <c r="BJ74" i="3" s="1"/>
  <c r="AN74" i="3"/>
  <c r="AD80" i="19"/>
  <c r="BM102" i="11"/>
  <c r="BT101" i="11"/>
  <c r="S64" i="18"/>
  <c r="U64" i="18" s="1"/>
  <c r="V64" i="18" s="1"/>
  <c r="R64" i="18"/>
  <c r="T64" i="18" s="1"/>
  <c r="BM101" i="16"/>
  <c r="BT100" i="16"/>
  <c r="C53" i="10"/>
  <c r="C65" i="19"/>
  <c r="N65" i="19" s="1"/>
  <c r="Q65" i="19" s="1"/>
  <c r="C65" i="18"/>
  <c r="N65" i="18" s="1"/>
  <c r="Q65" i="18" s="1"/>
  <c r="BT100" i="17"/>
  <c r="BM101" i="17"/>
  <c r="J65" i="8"/>
  <c r="S64" i="19"/>
  <c r="U64" i="19" s="1"/>
  <c r="V64" i="19" s="1"/>
  <c r="R64" i="19"/>
  <c r="T64" i="19" s="1"/>
  <c r="D66" i="8"/>
  <c r="E66" i="8"/>
  <c r="I66" i="8"/>
  <c r="F66" i="8"/>
  <c r="G66" i="8"/>
  <c r="C66" i="8"/>
  <c r="AC80" i="19"/>
  <c r="AE80" i="19" s="1"/>
  <c r="AF80" i="19" s="1"/>
  <c r="BC80" i="19" s="1"/>
  <c r="X81" i="19"/>
  <c r="AA81" i="19" s="1"/>
  <c r="AB81" i="19" s="1"/>
  <c r="X81" i="18"/>
  <c r="AA81" i="18" s="1"/>
  <c r="AC81" i="18" s="1"/>
  <c r="AE81" i="18" s="1"/>
  <c r="AF81" i="18" s="1"/>
  <c r="BC81" i="18" s="1"/>
  <c r="U71" i="10"/>
  <c r="C254" i="1"/>
  <c r="R253" i="1"/>
  <c r="O115" i="18" s="1"/>
  <c r="H253" i="1"/>
  <c r="BE58" i="3"/>
  <c r="BG58" i="3" s="1"/>
  <c r="BD59" i="3"/>
  <c r="BE59" i="3" s="1"/>
  <c r="BG59" i="3" s="1"/>
  <c r="BD60" i="3"/>
  <c r="A53" i="10"/>
  <c r="AC53" i="10" s="1"/>
  <c r="A65" i="18"/>
  <c r="AM69" i="10"/>
  <c r="AP68" i="10"/>
  <c r="AN69" i="10"/>
  <c r="AK69" i="10"/>
  <c r="X81" i="3"/>
  <c r="AO69" i="10"/>
  <c r="S70" i="10"/>
  <c r="L112" i="4"/>
  <c r="T70" i="10" s="1"/>
  <c r="J113" i="4"/>
  <c r="AL69" i="10"/>
  <c r="AO73" i="10"/>
  <c r="AG53" i="10"/>
  <c r="AE53" i="10"/>
  <c r="AH53" i="10"/>
  <c r="AD53" i="10"/>
  <c r="AF53" i="10"/>
  <c r="AI52" i="10"/>
  <c r="P76" i="9"/>
  <c r="S76" i="9"/>
  <c r="Q76" i="9"/>
  <c r="V71" i="10"/>
  <c r="Y70" i="10"/>
  <c r="K96" i="4"/>
  <c r="B54" i="10"/>
  <c r="P122" i="4"/>
  <c r="R122" i="4"/>
  <c r="N122" i="4"/>
  <c r="O122" i="4"/>
  <c r="M122" i="4"/>
  <c r="T121" i="4"/>
  <c r="Q122" i="4"/>
  <c r="S122" i="4"/>
  <c r="AB63" i="3"/>
  <c r="AD63" i="3" s="1"/>
  <c r="AC63" i="3"/>
  <c r="AE63" i="3" s="1"/>
  <c r="AF63" i="3" s="1"/>
  <c r="BC63" i="3" s="1"/>
  <c r="U63" i="3"/>
  <c r="V63" i="3" s="1"/>
  <c r="Y66" i="8"/>
  <c r="Z66" i="8" s="1"/>
  <c r="AW61" i="3"/>
  <c r="Q64" i="3"/>
  <c r="S64" i="3" s="1"/>
  <c r="AA64" i="3"/>
  <c r="R63" i="3"/>
  <c r="T63" i="3" s="1"/>
  <c r="Y67" i="8"/>
  <c r="J59" i="9"/>
  <c r="G59" i="9"/>
  <c r="H59" i="9"/>
  <c r="AH66" i="8"/>
  <c r="M67" i="8"/>
  <c r="O67" i="8"/>
  <c r="K67" i="8"/>
  <c r="AA67" i="8"/>
  <c r="AF67" i="8"/>
  <c r="C65" i="3"/>
  <c r="N65" i="3" s="1"/>
  <c r="U67" i="8"/>
  <c r="AC67" i="8"/>
  <c r="V67" i="8"/>
  <c r="AE67" i="8"/>
  <c r="T67" i="8"/>
  <c r="S67" i="8"/>
  <c r="X67" i="8"/>
  <c r="L67" i="8"/>
  <c r="AD67" i="8"/>
  <c r="P67" i="8"/>
  <c r="W67" i="8"/>
  <c r="AB67" i="8"/>
  <c r="N67" i="8"/>
  <c r="R66" i="8"/>
  <c r="A104" i="7"/>
  <c r="A96" i="4"/>
  <c r="A66" i="19" s="1"/>
  <c r="A60" i="9"/>
  <c r="A67" i="8"/>
  <c r="A65" i="3"/>
  <c r="AM81" i="3" l="1"/>
  <c r="AL81" i="3"/>
  <c r="AM81" i="19"/>
  <c r="AL81" i="19"/>
  <c r="AM70" i="10"/>
  <c r="AH82" i="18"/>
  <c r="AK82" i="18" s="1"/>
  <c r="AH82" i="19"/>
  <c r="AK82" i="19" s="1"/>
  <c r="AH82" i="3"/>
  <c r="AK82" i="3" s="1"/>
  <c r="AM81" i="18"/>
  <c r="AO81" i="18" s="1"/>
  <c r="AP81" i="18" s="1"/>
  <c r="BJ81" i="18" s="1"/>
  <c r="AL81" i="18"/>
  <c r="AN81" i="18" s="1"/>
  <c r="AN81" i="19"/>
  <c r="AO81" i="19"/>
  <c r="AP81" i="19" s="1"/>
  <c r="BJ81" i="19" s="1"/>
  <c r="BN103" i="17"/>
  <c r="BO103" i="17"/>
  <c r="BP103" i="17"/>
  <c r="BR103" i="17"/>
  <c r="BS103" i="17"/>
  <c r="BQ103" i="17"/>
  <c r="BN103" i="16"/>
  <c r="BP103" i="16"/>
  <c r="BS103" i="16"/>
  <c r="BQ103" i="16"/>
  <c r="BO103" i="16"/>
  <c r="BR103" i="16"/>
  <c r="BB64" i="19"/>
  <c r="BI64" i="19"/>
  <c r="BB64" i="18"/>
  <c r="BI64" i="18"/>
  <c r="BB63" i="3"/>
  <c r="BI63" i="3"/>
  <c r="AD81" i="19"/>
  <c r="AN75" i="3"/>
  <c r="AO75" i="3"/>
  <c r="AP75" i="3" s="1"/>
  <c r="BJ75" i="3" s="1"/>
  <c r="J66" i="8"/>
  <c r="R65" i="18"/>
  <c r="T65" i="18" s="1"/>
  <c r="S65" i="18"/>
  <c r="U65" i="18" s="1"/>
  <c r="V65" i="18" s="1"/>
  <c r="AR64" i="18"/>
  <c r="AU64" i="18" s="1"/>
  <c r="S65" i="19"/>
  <c r="U65" i="19" s="1"/>
  <c r="V65" i="19" s="1"/>
  <c r="R65" i="19"/>
  <c r="T65" i="19" s="1"/>
  <c r="BT101" i="17"/>
  <c r="BM102" i="17"/>
  <c r="BM102" i="16"/>
  <c r="BT101" i="16"/>
  <c r="C54" i="10"/>
  <c r="AD54" i="10" s="1"/>
  <c r="C66" i="19"/>
  <c r="N66" i="19" s="1"/>
  <c r="Q66" i="19" s="1"/>
  <c r="C66" i="18"/>
  <c r="N66" i="18" s="1"/>
  <c r="Q66" i="18" s="1"/>
  <c r="AR64" i="19"/>
  <c r="AU64" i="19" s="1"/>
  <c r="E67" i="8"/>
  <c r="I67" i="8"/>
  <c r="F67" i="8"/>
  <c r="G67" i="8"/>
  <c r="C67" i="8"/>
  <c r="D67" i="8"/>
  <c r="BM103" i="11"/>
  <c r="BT102" i="11"/>
  <c r="AB81" i="18"/>
  <c r="AD81" i="18" s="1"/>
  <c r="AC81" i="19"/>
  <c r="AE81" i="19" s="1"/>
  <c r="AF81" i="19" s="1"/>
  <c r="BC81" i="19" s="1"/>
  <c r="X82" i="19"/>
  <c r="AA82" i="19" s="1"/>
  <c r="AC82" i="19" s="1"/>
  <c r="X82" i="18"/>
  <c r="AA82" i="18" s="1"/>
  <c r="AB82" i="18" s="1"/>
  <c r="U72" i="10"/>
  <c r="C255" i="1"/>
  <c r="R254" i="1"/>
  <c r="O116" i="18" s="1"/>
  <c r="H254" i="1"/>
  <c r="A54" i="10"/>
  <c r="AC54" i="10" s="1"/>
  <c r="A66" i="18"/>
  <c r="AP69" i="10"/>
  <c r="K77" i="9"/>
  <c r="S77" i="9" s="1"/>
  <c r="S71" i="10"/>
  <c r="J114" i="4"/>
  <c r="L113" i="4"/>
  <c r="T71" i="10" s="1"/>
  <c r="AN70" i="10"/>
  <c r="AK70" i="10"/>
  <c r="X82" i="3"/>
  <c r="AO70" i="10"/>
  <c r="AL70" i="10"/>
  <c r="AY61" i="3"/>
  <c r="AZ61" i="3" s="1"/>
  <c r="BK61" i="3" s="1"/>
  <c r="BL61" i="3" s="1"/>
  <c r="BN61" i="3" s="1"/>
  <c r="AI53" i="10"/>
  <c r="AF54" i="10"/>
  <c r="V72" i="10"/>
  <c r="Y71" i="10"/>
  <c r="M123" i="4"/>
  <c r="T122" i="4"/>
  <c r="N123" i="4"/>
  <c r="Q123" i="4"/>
  <c r="K97" i="4"/>
  <c r="B55" i="10"/>
  <c r="O123" i="4"/>
  <c r="P123" i="4"/>
  <c r="S123" i="4"/>
  <c r="R123" i="4"/>
  <c r="AG67" i="8"/>
  <c r="AH67" i="8" s="1"/>
  <c r="R64" i="3"/>
  <c r="T64" i="3" s="1"/>
  <c r="AB64" i="3"/>
  <c r="AD64" i="3" s="1"/>
  <c r="AC64" i="3"/>
  <c r="AE64" i="3" s="1"/>
  <c r="AF64" i="3" s="1"/>
  <c r="BC64" i="3" s="1"/>
  <c r="Q67" i="8"/>
  <c r="R67" i="8" s="1"/>
  <c r="AW63" i="3"/>
  <c r="AY63" i="3" s="1"/>
  <c r="AW62" i="3"/>
  <c r="U64" i="3"/>
  <c r="V64" i="3" s="1"/>
  <c r="Q65" i="3"/>
  <c r="S65" i="3" s="1"/>
  <c r="AA65" i="3"/>
  <c r="Y68" i="8"/>
  <c r="Z67" i="8"/>
  <c r="AD68" i="8"/>
  <c r="P68" i="8"/>
  <c r="T68" i="8"/>
  <c r="C66" i="3"/>
  <c r="N66" i="3" s="1"/>
  <c r="K68" i="8"/>
  <c r="AE68" i="8"/>
  <c r="AF68" i="8"/>
  <c r="AB68" i="8"/>
  <c r="O68" i="8"/>
  <c r="L68" i="8"/>
  <c r="M68" i="8"/>
  <c r="N68" i="8"/>
  <c r="V68" i="8"/>
  <c r="W68" i="8"/>
  <c r="S68" i="8"/>
  <c r="AC68" i="8"/>
  <c r="U68" i="8"/>
  <c r="AA68" i="8"/>
  <c r="X68" i="8"/>
  <c r="G60" i="9"/>
  <c r="J60" i="9"/>
  <c r="H60" i="9"/>
  <c r="A105" i="7"/>
  <c r="A97" i="4"/>
  <c r="A67" i="19" s="1"/>
  <c r="A68" i="8"/>
  <c r="A61" i="9"/>
  <c r="A66" i="3"/>
  <c r="AL71" i="10" l="1"/>
  <c r="AH83" i="18"/>
  <c r="AK83" i="18" s="1"/>
  <c r="AH83" i="19"/>
  <c r="AK83" i="19" s="1"/>
  <c r="AH83" i="3"/>
  <c r="AK83" i="3" s="1"/>
  <c r="AL82" i="3"/>
  <c r="AM82" i="3"/>
  <c r="AL82" i="19"/>
  <c r="AN82" i="19" s="1"/>
  <c r="AM82" i="19"/>
  <c r="AO82" i="19" s="1"/>
  <c r="AP82" i="19" s="1"/>
  <c r="BJ82" i="19" s="1"/>
  <c r="AL82" i="18"/>
  <c r="AM82" i="18"/>
  <c r="AO82" i="18" s="1"/>
  <c r="AP82" i="18" s="1"/>
  <c r="BJ82" i="18" s="1"/>
  <c r="AN82" i="18"/>
  <c r="AE82" i="19"/>
  <c r="AF82" i="19" s="1"/>
  <c r="BC82" i="19" s="1"/>
  <c r="BQ104" i="17"/>
  <c r="BO104" i="17"/>
  <c r="BS104" i="17"/>
  <c r="BR104" i="17"/>
  <c r="BP104" i="17"/>
  <c r="BN104" i="17"/>
  <c r="BP104" i="16"/>
  <c r="BR104" i="16"/>
  <c r="BO104" i="16"/>
  <c r="BQ104" i="16"/>
  <c r="BS104" i="16"/>
  <c r="BN104" i="16"/>
  <c r="BB65" i="19"/>
  <c r="BI65" i="19"/>
  <c r="BI65" i="18"/>
  <c r="BB65" i="18"/>
  <c r="BB64" i="3"/>
  <c r="BI64" i="3"/>
  <c r="AO76" i="3"/>
  <c r="AP76" i="3" s="1"/>
  <c r="BJ76" i="3" s="1"/>
  <c r="AN76" i="3"/>
  <c r="AG54" i="10"/>
  <c r="AE54" i="10"/>
  <c r="J67" i="8"/>
  <c r="AW64" i="18"/>
  <c r="AY64" i="18" s="1"/>
  <c r="AZ64" i="18" s="1"/>
  <c r="AV64" i="18"/>
  <c r="AX64" i="18" s="1"/>
  <c r="BM104" i="11"/>
  <c r="BT103" i="11"/>
  <c r="AR65" i="18"/>
  <c r="AU65" i="18" s="1"/>
  <c r="R66" i="19"/>
  <c r="T66" i="19" s="1"/>
  <c r="S66" i="19"/>
  <c r="U66" i="19" s="1"/>
  <c r="V66" i="19" s="1"/>
  <c r="BM103" i="17"/>
  <c r="BT102" i="17"/>
  <c r="C55" i="10"/>
  <c r="AD55" i="10" s="1"/>
  <c r="C67" i="19"/>
  <c r="N67" i="19" s="1"/>
  <c r="Q67" i="19" s="1"/>
  <c r="C67" i="18"/>
  <c r="N67" i="18" s="1"/>
  <c r="Q67" i="18" s="1"/>
  <c r="AD82" i="18"/>
  <c r="AW64" i="19"/>
  <c r="AY64" i="19" s="1"/>
  <c r="AZ64" i="19" s="1"/>
  <c r="AV64" i="19"/>
  <c r="AX64" i="19" s="1"/>
  <c r="F68" i="8"/>
  <c r="C68" i="8"/>
  <c r="G68" i="8"/>
  <c r="I68" i="8"/>
  <c r="D68" i="8"/>
  <c r="E68" i="8"/>
  <c r="AR65" i="19"/>
  <c r="AU65" i="19" s="1"/>
  <c r="AH54" i="10"/>
  <c r="R66" i="18"/>
  <c r="T66" i="18" s="1"/>
  <c r="S66" i="18"/>
  <c r="U66" i="18" s="1"/>
  <c r="V66" i="18" s="1"/>
  <c r="BM103" i="16"/>
  <c r="BT102" i="16"/>
  <c r="AB82" i="19"/>
  <c r="AD82" i="19" s="1"/>
  <c r="AC82" i="18"/>
  <c r="AE82" i="18" s="1"/>
  <c r="AF82" i="18" s="1"/>
  <c r="BC82" i="18" s="1"/>
  <c r="X83" i="18"/>
  <c r="AA83" i="18" s="1"/>
  <c r="AB83" i="18" s="1"/>
  <c r="AD83" i="18" s="1"/>
  <c r="X83" i="19"/>
  <c r="AA83" i="19" s="1"/>
  <c r="AC83" i="19" s="1"/>
  <c r="U73" i="10"/>
  <c r="C256" i="1"/>
  <c r="R255" i="1"/>
  <c r="O117" i="18" s="1"/>
  <c r="H255" i="1"/>
  <c r="BE60" i="3"/>
  <c r="BG60" i="3" s="1"/>
  <c r="BD61" i="3"/>
  <c r="A55" i="10"/>
  <c r="AC55" i="10" s="1"/>
  <c r="A67" i="18"/>
  <c r="Q77" i="9"/>
  <c r="P77" i="9"/>
  <c r="AP70" i="10"/>
  <c r="AN71" i="10"/>
  <c r="X83" i="3"/>
  <c r="AK71" i="10"/>
  <c r="AO71" i="10"/>
  <c r="AM71" i="10"/>
  <c r="S72" i="10"/>
  <c r="L114" i="4"/>
  <c r="T72" i="10" s="1"/>
  <c r="K78" i="9"/>
  <c r="P78" i="9" s="1"/>
  <c r="AY62" i="3"/>
  <c r="AZ62" i="3" s="1"/>
  <c r="BK62" i="3" s="1"/>
  <c r="BL62" i="3" s="1"/>
  <c r="BN62" i="3" s="1"/>
  <c r="AI54" i="10"/>
  <c r="V73" i="10"/>
  <c r="Y72" i="10"/>
  <c r="K98" i="4"/>
  <c r="G63" i="9" s="1"/>
  <c r="T63" i="9" s="1"/>
  <c r="B56" i="10"/>
  <c r="M124" i="4"/>
  <c r="T123" i="4"/>
  <c r="R124" i="4"/>
  <c r="P124" i="4"/>
  <c r="N124" i="4"/>
  <c r="S124" i="4"/>
  <c r="O124" i="4"/>
  <c r="Q124" i="4"/>
  <c r="Q68" i="8"/>
  <c r="R68" i="8" s="1"/>
  <c r="AG68" i="8"/>
  <c r="AH68" i="8" s="1"/>
  <c r="U65" i="3"/>
  <c r="V65" i="3" s="1"/>
  <c r="AB65" i="3"/>
  <c r="AD65" i="3" s="1"/>
  <c r="AC65" i="3"/>
  <c r="AE65" i="3" s="1"/>
  <c r="AF65" i="3" s="1"/>
  <c r="BC65" i="3" s="1"/>
  <c r="AZ63" i="3"/>
  <c r="BK63" i="3" s="1"/>
  <c r="BL63" i="3" s="1"/>
  <c r="BN63" i="3" s="1"/>
  <c r="AR64" i="3"/>
  <c r="AU64" i="3" s="1"/>
  <c r="AV64" i="3" s="1"/>
  <c r="AX64" i="3" s="1"/>
  <c r="R65" i="3"/>
  <c r="T65" i="3" s="1"/>
  <c r="Q66" i="3"/>
  <c r="S66" i="3" s="1"/>
  <c r="AA66" i="3"/>
  <c r="AG69" i="8"/>
  <c r="Z68" i="8"/>
  <c r="L69" i="8"/>
  <c r="P69" i="8"/>
  <c r="M69" i="8"/>
  <c r="N69" i="8"/>
  <c r="T69" i="8"/>
  <c r="X69" i="8"/>
  <c r="AC69" i="8"/>
  <c r="O69" i="8"/>
  <c r="U69" i="8"/>
  <c r="AD69" i="8"/>
  <c r="Q69" i="8"/>
  <c r="V69" i="8"/>
  <c r="AA69" i="8"/>
  <c r="AE69" i="8"/>
  <c r="K69" i="8"/>
  <c r="S69" i="8"/>
  <c r="W69" i="8"/>
  <c r="AB69" i="8"/>
  <c r="AF69" i="8"/>
  <c r="C67" i="3"/>
  <c r="N67" i="3" s="1"/>
  <c r="J61" i="9"/>
  <c r="H61" i="9"/>
  <c r="G61" i="9"/>
  <c r="A106" i="7"/>
  <c r="A98" i="4"/>
  <c r="A68" i="19" s="1"/>
  <c r="A62" i="9"/>
  <c r="A69" i="8"/>
  <c r="A67" i="3"/>
  <c r="AM83" i="3" l="1"/>
  <c r="AL83" i="3"/>
  <c r="K79" i="9"/>
  <c r="AH84" i="18"/>
  <c r="AK84" i="18" s="1"/>
  <c r="AH84" i="19"/>
  <c r="AK84" i="19" s="1"/>
  <c r="AH84" i="3"/>
  <c r="AK84" i="3" s="1"/>
  <c r="AL83" i="19"/>
  <c r="AM83" i="19"/>
  <c r="AM83" i="18"/>
  <c r="AO83" i="18" s="1"/>
  <c r="AP83" i="18" s="1"/>
  <c r="BJ83" i="18" s="1"/>
  <c r="AL83" i="18"/>
  <c r="AN83" i="18" s="1"/>
  <c r="AO83" i="19"/>
  <c r="AP83" i="19" s="1"/>
  <c r="BJ83" i="19" s="1"/>
  <c r="AN83" i="19"/>
  <c r="BR105" i="17"/>
  <c r="BP105" i="17"/>
  <c r="BS105" i="17"/>
  <c r="BN105" i="17"/>
  <c r="BO105" i="17"/>
  <c r="BQ105" i="17"/>
  <c r="BN105" i="16"/>
  <c r="BQ105" i="16"/>
  <c r="BS105" i="16"/>
  <c r="BO105" i="16"/>
  <c r="BP105" i="16"/>
  <c r="BR105" i="16"/>
  <c r="BB65" i="3"/>
  <c r="BI65" i="3"/>
  <c r="BB66" i="19"/>
  <c r="BI66" i="19"/>
  <c r="BK64" i="18"/>
  <c r="BL64" i="18" s="1"/>
  <c r="BN64" i="18" s="1"/>
  <c r="BD64" i="18"/>
  <c r="BE64" i="18" s="1"/>
  <c r="BG64" i="18" s="1"/>
  <c r="BD64" i="19"/>
  <c r="BE64" i="19" s="1"/>
  <c r="BG64" i="19" s="1"/>
  <c r="BK64" i="19"/>
  <c r="BL64" i="19" s="1"/>
  <c r="BN64" i="19" s="1"/>
  <c r="BB66" i="18"/>
  <c r="BI66" i="18"/>
  <c r="AB83" i="19"/>
  <c r="AD83" i="19" s="1"/>
  <c r="AN77" i="3"/>
  <c r="AO77" i="3"/>
  <c r="AP77" i="3" s="1"/>
  <c r="BJ77" i="3" s="1"/>
  <c r="AF55" i="10"/>
  <c r="AE55" i="10"/>
  <c r="AH55" i="10"/>
  <c r="AG55" i="10"/>
  <c r="AI55" i="10" s="1"/>
  <c r="AC83" i="18"/>
  <c r="AE83" i="18" s="1"/>
  <c r="AF83" i="18" s="1"/>
  <c r="BC83" i="18" s="1"/>
  <c r="J68" i="8"/>
  <c r="AV65" i="18"/>
  <c r="AX65" i="18" s="1"/>
  <c r="AW65" i="18"/>
  <c r="AY65" i="18" s="1"/>
  <c r="AZ65" i="18" s="1"/>
  <c r="AE83" i="19"/>
  <c r="AF83" i="19" s="1"/>
  <c r="BC83" i="19" s="1"/>
  <c r="R67" i="18"/>
  <c r="T67" i="18" s="1"/>
  <c r="S67" i="18"/>
  <c r="U67" i="18" s="1"/>
  <c r="V67" i="18" s="1"/>
  <c r="S67" i="19"/>
  <c r="U67" i="19" s="1"/>
  <c r="V67" i="19" s="1"/>
  <c r="R67" i="19"/>
  <c r="T67" i="19" s="1"/>
  <c r="AR66" i="19"/>
  <c r="AU66" i="19" s="1"/>
  <c r="C68" i="19"/>
  <c r="N68" i="19" s="1"/>
  <c r="Q68" i="19" s="1"/>
  <c r="C68" i="18"/>
  <c r="N68" i="18" s="1"/>
  <c r="Q68" i="18" s="1"/>
  <c r="C56" i="10"/>
  <c r="AH56" i="10" s="1"/>
  <c r="BM105" i="11"/>
  <c r="BT104" i="11"/>
  <c r="BT103" i="17"/>
  <c r="BM104" i="17"/>
  <c r="BM104" i="16"/>
  <c r="BT103" i="16"/>
  <c r="AV65" i="19"/>
  <c r="AX65" i="19" s="1"/>
  <c r="AW65" i="19"/>
  <c r="AY65" i="19" s="1"/>
  <c r="AZ65" i="19" s="1"/>
  <c r="AR66" i="18"/>
  <c r="AU66" i="18" s="1"/>
  <c r="C69" i="8"/>
  <c r="G69" i="8"/>
  <c r="D69" i="8"/>
  <c r="I69" i="8"/>
  <c r="E69" i="8"/>
  <c r="F69" i="8"/>
  <c r="X84" i="18"/>
  <c r="AA84" i="18" s="1"/>
  <c r="AB84" i="18" s="1"/>
  <c r="AD84" i="18" s="1"/>
  <c r="X84" i="19"/>
  <c r="AA84" i="19" s="1"/>
  <c r="AB84" i="19" s="1"/>
  <c r="X85" i="19"/>
  <c r="AA85" i="19" s="1"/>
  <c r="X85" i="18"/>
  <c r="AA85" i="18" s="1"/>
  <c r="X85" i="3"/>
  <c r="AK73" i="10"/>
  <c r="R256" i="1"/>
  <c r="O118" i="18" s="1"/>
  <c r="H256" i="1"/>
  <c r="BE61" i="3"/>
  <c r="BG61" i="3" s="1"/>
  <c r="BD62" i="3"/>
  <c r="BE62" i="3" s="1"/>
  <c r="BG62" i="3" s="1"/>
  <c r="BD63" i="3"/>
  <c r="A56" i="10"/>
  <c r="AC56" i="10" s="1"/>
  <c r="A68" i="18"/>
  <c r="Q78" i="9"/>
  <c r="AP71" i="10"/>
  <c r="S78" i="9"/>
  <c r="AN72" i="10"/>
  <c r="AK72" i="10"/>
  <c r="X84" i="3"/>
  <c r="AO72" i="10"/>
  <c r="AL72" i="10"/>
  <c r="AM72" i="10"/>
  <c r="AG56" i="10"/>
  <c r="AD56" i="10"/>
  <c r="AF56" i="10"/>
  <c r="Y73" i="10"/>
  <c r="AM73" i="10"/>
  <c r="K80" i="9"/>
  <c r="AL73" i="10"/>
  <c r="P79" i="9"/>
  <c r="Q79" i="9"/>
  <c r="S79" i="9"/>
  <c r="B63" i="9"/>
  <c r="J63" i="9" s="1"/>
  <c r="W63" i="9" s="1"/>
  <c r="F10" i="6" s="1"/>
  <c r="K99" i="4"/>
  <c r="B57" i="10"/>
  <c r="Q125" i="4"/>
  <c r="P125" i="4"/>
  <c r="N125" i="4"/>
  <c r="O125" i="4"/>
  <c r="M125" i="4"/>
  <c r="T124" i="4"/>
  <c r="S125" i="4"/>
  <c r="R125" i="4"/>
  <c r="AR65" i="3"/>
  <c r="AU65" i="3" s="1"/>
  <c r="AV65" i="3" s="1"/>
  <c r="AX65" i="3" s="1"/>
  <c r="U66" i="3"/>
  <c r="V66" i="3" s="1"/>
  <c r="AB66" i="3"/>
  <c r="AD66" i="3" s="1"/>
  <c r="AC66" i="3"/>
  <c r="AE66" i="3" s="1"/>
  <c r="AF66" i="3" s="1"/>
  <c r="BC66" i="3" s="1"/>
  <c r="Y69" i="8"/>
  <c r="Z69" i="8" s="1"/>
  <c r="AW64" i="3"/>
  <c r="R66" i="3"/>
  <c r="T66" i="3" s="1"/>
  <c r="Q67" i="3"/>
  <c r="S67" i="3" s="1"/>
  <c r="AA67" i="3"/>
  <c r="G62" i="9"/>
  <c r="H62" i="9"/>
  <c r="J62" i="9"/>
  <c r="C68" i="3"/>
  <c r="N68" i="3" s="1"/>
  <c r="R69" i="8"/>
  <c r="AH69" i="8"/>
  <c r="A107" i="7"/>
  <c r="A63" i="9"/>
  <c r="A10" i="6"/>
  <c r="W10" i="6" s="1"/>
  <c r="BH10" i="6" s="1"/>
  <c r="A99" i="4"/>
  <c r="A69" i="19" s="1"/>
  <c r="A70" i="8"/>
  <c r="A68" i="3"/>
  <c r="AM84" i="3" l="1"/>
  <c r="AL84" i="3"/>
  <c r="AM84" i="19"/>
  <c r="AL84" i="19"/>
  <c r="AM84" i="18"/>
  <c r="AL84" i="18"/>
  <c r="AN84" i="18" s="1"/>
  <c r="AO84" i="18"/>
  <c r="AP84" i="18" s="1"/>
  <c r="BJ84" i="18" s="1"/>
  <c r="AN84" i="19"/>
  <c r="AO84" i="19"/>
  <c r="AP84" i="19" s="1"/>
  <c r="BJ84" i="19" s="1"/>
  <c r="BQ106" i="17"/>
  <c r="BP106" i="17"/>
  <c r="BO106" i="17"/>
  <c r="BS106" i="17"/>
  <c r="BN106" i="17"/>
  <c r="BR106" i="17"/>
  <c r="BQ106" i="16"/>
  <c r="BO106" i="16"/>
  <c r="BP106" i="16"/>
  <c r="BS106" i="16"/>
  <c r="BR106" i="16"/>
  <c r="BN106" i="16"/>
  <c r="AC84" i="18"/>
  <c r="AE84" i="18" s="1"/>
  <c r="AF84" i="18" s="1"/>
  <c r="BC84" i="18" s="1"/>
  <c r="BB67" i="19"/>
  <c r="BI67" i="19"/>
  <c r="BD65" i="19"/>
  <c r="BE65" i="19" s="1"/>
  <c r="BG65" i="19" s="1"/>
  <c r="BK65" i="19"/>
  <c r="BL65" i="19" s="1"/>
  <c r="BN65" i="19" s="1"/>
  <c r="BB67" i="18"/>
  <c r="BI67" i="18"/>
  <c r="BK65" i="18"/>
  <c r="BL65" i="18" s="1"/>
  <c r="BN65" i="18" s="1"/>
  <c r="BD65" i="18"/>
  <c r="BE65" i="18" s="1"/>
  <c r="BG65" i="18" s="1"/>
  <c r="BB66" i="3"/>
  <c r="BI66" i="3"/>
  <c r="AN78" i="3"/>
  <c r="AO78" i="3"/>
  <c r="AP78" i="3" s="1"/>
  <c r="BJ78" i="3" s="1"/>
  <c r="AC84" i="19"/>
  <c r="AE84" i="19" s="1"/>
  <c r="AF84" i="19" s="1"/>
  <c r="BC84" i="19" s="1"/>
  <c r="S68" i="19"/>
  <c r="U68" i="19" s="1"/>
  <c r="V68" i="19" s="1"/>
  <c r="R68" i="19"/>
  <c r="T68" i="19" s="1"/>
  <c r="AR67" i="19"/>
  <c r="AU67" i="19" s="1"/>
  <c r="J69" i="8"/>
  <c r="BT105" i="11"/>
  <c r="BM106" i="11"/>
  <c r="AW66" i="19"/>
  <c r="AY66" i="19" s="1"/>
  <c r="AZ66" i="19" s="1"/>
  <c r="AV66" i="19"/>
  <c r="AX66" i="19" s="1"/>
  <c r="C57" i="10"/>
  <c r="C69" i="19"/>
  <c r="N69" i="19" s="1"/>
  <c r="Q69" i="19" s="1"/>
  <c r="C69" i="18"/>
  <c r="N69" i="18" s="1"/>
  <c r="Q69" i="18" s="1"/>
  <c r="AD84" i="19"/>
  <c r="BM105" i="16"/>
  <c r="BT104" i="16"/>
  <c r="D70" i="8"/>
  <c r="E70" i="8"/>
  <c r="I70" i="8"/>
  <c r="C70" i="8"/>
  <c r="F70" i="8"/>
  <c r="G70" i="8"/>
  <c r="AR67" i="18"/>
  <c r="AU67" i="18" s="1"/>
  <c r="AE56" i="10"/>
  <c r="AI56" i="10" s="1"/>
  <c r="AV66" i="18"/>
  <c r="AX66" i="18" s="1"/>
  <c r="AW66" i="18"/>
  <c r="AY66" i="18" s="1"/>
  <c r="AZ66" i="18" s="1"/>
  <c r="BT104" i="17"/>
  <c r="BM105" i="17"/>
  <c r="S68" i="18"/>
  <c r="U68" i="18" s="1"/>
  <c r="V68" i="18" s="1"/>
  <c r="R68" i="18"/>
  <c r="T68" i="18" s="1"/>
  <c r="AC85" i="19"/>
  <c r="AB85" i="19"/>
  <c r="AB85" i="18"/>
  <c r="AD85" i="18" s="1"/>
  <c r="AC85" i="18"/>
  <c r="AE85" i="18" s="1"/>
  <c r="AF85" i="18" s="1"/>
  <c r="BC85" i="18" s="1"/>
  <c r="A57" i="10"/>
  <c r="AC57" i="10" s="1"/>
  <c r="A69" i="18"/>
  <c r="AP72" i="10"/>
  <c r="H63" i="9"/>
  <c r="U63" i="9" s="1"/>
  <c r="E10" i="6" s="1"/>
  <c r="AY64" i="3"/>
  <c r="AZ64" i="3" s="1"/>
  <c r="BK64" i="3" s="1"/>
  <c r="BL64" i="3" s="1"/>
  <c r="BN64" i="3" s="1"/>
  <c r="P80" i="9"/>
  <c r="S80" i="9"/>
  <c r="Q80" i="9"/>
  <c r="AE57" i="10"/>
  <c r="AD57" i="10"/>
  <c r="AG57" i="10"/>
  <c r="AP73" i="10"/>
  <c r="B64" i="9"/>
  <c r="H64" i="9" s="1"/>
  <c r="U64" i="9" s="1"/>
  <c r="E11" i="6" s="1"/>
  <c r="AW65" i="3"/>
  <c r="R126" i="4"/>
  <c r="O126" i="4"/>
  <c r="K100" i="4"/>
  <c r="B58" i="10"/>
  <c r="Q126" i="4"/>
  <c r="M126" i="4"/>
  <c r="T125" i="4"/>
  <c r="N126" i="4"/>
  <c r="S126" i="4"/>
  <c r="P126" i="4"/>
  <c r="AR66" i="3"/>
  <c r="AU66" i="3" s="1"/>
  <c r="AV66" i="3" s="1"/>
  <c r="AX66" i="3" s="1"/>
  <c r="U67" i="3"/>
  <c r="V67" i="3" s="1"/>
  <c r="AB67" i="3"/>
  <c r="AD67" i="3" s="1"/>
  <c r="AC67" i="3"/>
  <c r="AE67" i="3" s="1"/>
  <c r="AF67" i="3" s="1"/>
  <c r="BC67" i="3" s="1"/>
  <c r="P57" i="10"/>
  <c r="Q68" i="3"/>
  <c r="S68" i="3" s="1"/>
  <c r="AA68" i="3"/>
  <c r="R67" i="3"/>
  <c r="T67" i="3" s="1"/>
  <c r="M10" i="6"/>
  <c r="C69" i="3"/>
  <c r="N69" i="3" s="1"/>
  <c r="A108" i="7"/>
  <c r="A64" i="9"/>
  <c r="A71" i="8"/>
  <c r="A11" i="6"/>
  <c r="W11" i="6" s="1"/>
  <c r="BH11" i="6" s="1"/>
  <c r="A69" i="3"/>
  <c r="A100" i="4"/>
  <c r="A70" i="19" s="1"/>
  <c r="AE85" i="19" l="1"/>
  <c r="AF85" i="19" s="1"/>
  <c r="BC85" i="19" s="1"/>
  <c r="AD85" i="19"/>
  <c r="AN85" i="19"/>
  <c r="AO85" i="19"/>
  <c r="AP85" i="19" s="1"/>
  <c r="BJ85" i="19" s="1"/>
  <c r="AN85" i="18"/>
  <c r="AO85" i="18"/>
  <c r="AP85" i="18" s="1"/>
  <c r="BJ85" i="18" s="1"/>
  <c r="BS107" i="17"/>
  <c r="BP107" i="17"/>
  <c r="BN107" i="17"/>
  <c r="BO107" i="17"/>
  <c r="BR107" i="17"/>
  <c r="BQ107" i="17"/>
  <c r="BS107" i="16"/>
  <c r="BO107" i="16"/>
  <c r="BN107" i="16"/>
  <c r="BR107" i="16"/>
  <c r="BP107" i="16"/>
  <c r="BQ107" i="16"/>
  <c r="BD66" i="19"/>
  <c r="BE66" i="19" s="1"/>
  <c r="BG66" i="19" s="1"/>
  <c r="BK66" i="19"/>
  <c r="BL66" i="19" s="1"/>
  <c r="BN66" i="19" s="1"/>
  <c r="BB68" i="19"/>
  <c r="BI68" i="19"/>
  <c r="BB67" i="3"/>
  <c r="BI67" i="3"/>
  <c r="BI68" i="18"/>
  <c r="BB68" i="18"/>
  <c r="BD66" i="18"/>
  <c r="BE66" i="18" s="1"/>
  <c r="BG66" i="18" s="1"/>
  <c r="BK66" i="18"/>
  <c r="BL66" i="18" s="1"/>
  <c r="BN66" i="18" s="1"/>
  <c r="AN79" i="3"/>
  <c r="AO79" i="3"/>
  <c r="AP79" i="3" s="1"/>
  <c r="BJ79" i="3" s="1"/>
  <c r="BJ10" i="6"/>
  <c r="BI10" i="6"/>
  <c r="AA70" i="8"/>
  <c r="K70" i="8"/>
  <c r="S70" i="8"/>
  <c r="S69" i="19"/>
  <c r="U69" i="19" s="1"/>
  <c r="V69" i="19" s="1"/>
  <c r="R69" i="19"/>
  <c r="T69" i="19" s="1"/>
  <c r="BT106" i="11"/>
  <c r="BM107" i="11"/>
  <c r="J70" i="8"/>
  <c r="Y70" i="8"/>
  <c r="AG70" i="8"/>
  <c r="Q70" i="8"/>
  <c r="BM106" i="16"/>
  <c r="BT105" i="16"/>
  <c r="F71" i="8"/>
  <c r="C71" i="8"/>
  <c r="G71" i="8"/>
  <c r="D71" i="8"/>
  <c r="E71" i="8"/>
  <c r="I71" i="8"/>
  <c r="C58" i="10"/>
  <c r="C70" i="19"/>
  <c r="N70" i="19" s="1"/>
  <c r="Q70" i="19" s="1"/>
  <c r="C70" i="18"/>
  <c r="N70" i="18" s="1"/>
  <c r="Q70" i="18" s="1"/>
  <c r="AH57" i="10"/>
  <c r="AF57" i="10"/>
  <c r="BM106" i="17"/>
  <c r="BT105" i="17"/>
  <c r="AE70" i="8"/>
  <c r="O70" i="8"/>
  <c r="W70" i="8"/>
  <c r="U70" i="8"/>
  <c r="AC70" i="8"/>
  <c r="M70" i="8"/>
  <c r="AV67" i="18"/>
  <c r="AX67" i="18" s="1"/>
  <c r="AW67" i="18"/>
  <c r="AY67" i="18" s="1"/>
  <c r="AZ67" i="18" s="1"/>
  <c r="AD70" i="8"/>
  <c r="N70" i="8"/>
  <c r="V70" i="8"/>
  <c r="L70" i="8"/>
  <c r="T70" i="8"/>
  <c r="AB70" i="8"/>
  <c r="S69" i="18"/>
  <c r="U69" i="18" s="1"/>
  <c r="V69" i="18" s="1"/>
  <c r="R69" i="18"/>
  <c r="T69" i="18" s="1"/>
  <c r="AW67" i="19"/>
  <c r="AY67" i="19" s="1"/>
  <c r="AZ67" i="19" s="1"/>
  <c r="AV67" i="19"/>
  <c r="AX67" i="19" s="1"/>
  <c r="BE63" i="3"/>
  <c r="BG63" i="3" s="1"/>
  <c r="BD64" i="3"/>
  <c r="A58" i="10"/>
  <c r="AC58" i="10" s="1"/>
  <c r="A70" i="18"/>
  <c r="N10" i="6"/>
  <c r="R10" i="6" s="1"/>
  <c r="BC10" i="6" s="1"/>
  <c r="AY65" i="3"/>
  <c r="AZ65" i="3" s="1"/>
  <c r="BK65" i="3" s="1"/>
  <c r="BL65" i="3" s="1"/>
  <c r="BN65" i="3" s="1"/>
  <c r="AI57" i="10"/>
  <c r="AE58" i="10"/>
  <c r="AD58" i="10"/>
  <c r="AG58" i="10"/>
  <c r="J64" i="9"/>
  <c r="W64" i="9" s="1"/>
  <c r="F11" i="6" s="1"/>
  <c r="N11" i="6" s="1"/>
  <c r="B65" i="9"/>
  <c r="J65" i="9" s="1"/>
  <c r="W65" i="9" s="1"/>
  <c r="F12" i="6" s="1"/>
  <c r="N127" i="4"/>
  <c r="Q127" i="4"/>
  <c r="O127" i="4"/>
  <c r="P127" i="4"/>
  <c r="M127" i="4"/>
  <c r="T126" i="4"/>
  <c r="K101" i="4"/>
  <c r="B59" i="10"/>
  <c r="S127" i="4"/>
  <c r="R127" i="4"/>
  <c r="AR67" i="3"/>
  <c r="AU67" i="3" s="1"/>
  <c r="AV67" i="3" s="1"/>
  <c r="AX67" i="3" s="1"/>
  <c r="AW66" i="3"/>
  <c r="U68" i="3"/>
  <c r="V68" i="3" s="1"/>
  <c r="R68" i="3"/>
  <c r="T68" i="3" s="1"/>
  <c r="AB68" i="3"/>
  <c r="AD68" i="3" s="1"/>
  <c r="AC68" i="3"/>
  <c r="AE68" i="3" s="1"/>
  <c r="AF68" i="3" s="1"/>
  <c r="BC68" i="3" s="1"/>
  <c r="P58" i="10"/>
  <c r="AW68" i="3"/>
  <c r="Q69" i="3"/>
  <c r="R69" i="3" s="1"/>
  <c r="AA69" i="3"/>
  <c r="G64" i="9"/>
  <c r="C70" i="3"/>
  <c r="N70" i="3" s="1"/>
  <c r="A109" i="7"/>
  <c r="A101" i="4"/>
  <c r="A71" i="19" s="1"/>
  <c r="A72" i="8"/>
  <c r="A65" i="9"/>
  <c r="A12" i="6"/>
  <c r="W12" i="6" s="1"/>
  <c r="BH12" i="6" s="1"/>
  <c r="A70" i="3"/>
  <c r="BQ108" i="17" l="1"/>
  <c r="BO108" i="17"/>
  <c r="BR108" i="17"/>
  <c r="BN108" i="17"/>
  <c r="BP108" i="17"/>
  <c r="BS108" i="17"/>
  <c r="BO108" i="16"/>
  <c r="BQ108" i="16"/>
  <c r="BR108" i="16"/>
  <c r="BP108" i="16"/>
  <c r="BN108" i="16"/>
  <c r="BS108" i="16"/>
  <c r="BD67" i="19"/>
  <c r="BE67" i="19" s="1"/>
  <c r="BG67" i="19" s="1"/>
  <c r="BK67" i="19"/>
  <c r="BL67" i="19" s="1"/>
  <c r="BN67" i="19" s="1"/>
  <c r="BK67" i="18"/>
  <c r="BL67" i="18" s="1"/>
  <c r="BN67" i="18" s="1"/>
  <c r="BD67" i="18"/>
  <c r="BE67" i="18" s="1"/>
  <c r="BG67" i="18" s="1"/>
  <c r="BB68" i="3"/>
  <c r="BI68" i="3"/>
  <c r="BB69" i="18"/>
  <c r="BI69" i="18"/>
  <c r="BB69" i="19"/>
  <c r="BI69" i="19"/>
  <c r="AQ10" i="6"/>
  <c r="AK10" i="6"/>
  <c r="Y10" i="6"/>
  <c r="AW10" i="6" s="1"/>
  <c r="AE10" i="6"/>
  <c r="AO80" i="3"/>
  <c r="AP80" i="3" s="1"/>
  <c r="BJ80" i="3" s="1"/>
  <c r="AN80" i="3"/>
  <c r="AX68" i="19"/>
  <c r="AY68" i="19"/>
  <c r="AZ68" i="19" s="1"/>
  <c r="BT106" i="17"/>
  <c r="BM107" i="17"/>
  <c r="S70" i="19"/>
  <c r="U70" i="19" s="1"/>
  <c r="V70" i="19" s="1"/>
  <c r="R70" i="19"/>
  <c r="T70" i="19" s="1"/>
  <c r="T71" i="8"/>
  <c r="L71" i="8"/>
  <c r="AB71" i="8"/>
  <c r="AH70" i="8"/>
  <c r="I10" i="6" s="1"/>
  <c r="C59" i="10"/>
  <c r="AH59" i="10" s="1"/>
  <c r="C71" i="19"/>
  <c r="N71" i="19" s="1"/>
  <c r="Q71" i="19" s="1"/>
  <c r="C71" i="18"/>
  <c r="N71" i="18" s="1"/>
  <c r="Q71" i="18" s="1"/>
  <c r="BI11" i="6"/>
  <c r="BJ11" i="6"/>
  <c r="C72" i="8"/>
  <c r="G72" i="8"/>
  <c r="D72" i="8"/>
  <c r="E72" i="8"/>
  <c r="F72" i="8"/>
  <c r="I72" i="8"/>
  <c r="O71" i="8"/>
  <c r="W71" i="8"/>
  <c r="AE71" i="8"/>
  <c r="BM107" i="16"/>
  <c r="BT106" i="16"/>
  <c r="AH58" i="10"/>
  <c r="AG71" i="8"/>
  <c r="Y71" i="8"/>
  <c r="Q71" i="8"/>
  <c r="J71" i="8"/>
  <c r="AA71" i="8"/>
  <c r="K71" i="8"/>
  <c r="S71" i="8"/>
  <c r="BT107" i="11"/>
  <c r="BM108" i="11"/>
  <c r="Z70" i="8"/>
  <c r="H10" i="6" s="1"/>
  <c r="BO10" i="6"/>
  <c r="BU10" i="6"/>
  <c r="AF58" i="10"/>
  <c r="AI58" i="10" s="1"/>
  <c r="AY68" i="18"/>
  <c r="AZ68" i="18" s="1"/>
  <c r="AX68" i="18"/>
  <c r="S70" i="18"/>
  <c r="U70" i="18" s="1"/>
  <c r="V70" i="18" s="1"/>
  <c r="R70" i="18"/>
  <c r="T70" i="18" s="1"/>
  <c r="U71" i="8"/>
  <c r="AC71" i="8"/>
  <c r="M71" i="8"/>
  <c r="AD71" i="8"/>
  <c r="N71" i="8"/>
  <c r="V71" i="8"/>
  <c r="R70" i="8"/>
  <c r="G10" i="6" s="1"/>
  <c r="BP10" i="6"/>
  <c r="BV10" i="6"/>
  <c r="BE64" i="3"/>
  <c r="BG64" i="3" s="1"/>
  <c r="BD65" i="3"/>
  <c r="A59" i="10"/>
  <c r="AC59" i="10" s="1"/>
  <c r="A71" i="18"/>
  <c r="AY66" i="3"/>
  <c r="AZ66" i="3" s="1"/>
  <c r="BK66" i="3" s="1"/>
  <c r="BL66" i="3" s="1"/>
  <c r="BN66" i="3" s="1"/>
  <c r="AY68" i="3"/>
  <c r="AZ68" i="3" s="1"/>
  <c r="AX68" i="3"/>
  <c r="AG59" i="10"/>
  <c r="AF59" i="10"/>
  <c r="H65" i="9"/>
  <c r="U65" i="9" s="1"/>
  <c r="E12" i="6" s="1"/>
  <c r="M11" i="6"/>
  <c r="R11" i="6" s="1"/>
  <c r="T64" i="9"/>
  <c r="R128" i="4"/>
  <c r="S128" i="4"/>
  <c r="P128" i="4"/>
  <c r="Q128" i="4"/>
  <c r="K102" i="4"/>
  <c r="B60" i="10"/>
  <c r="M128" i="4"/>
  <c r="T127" i="4"/>
  <c r="O128" i="4"/>
  <c r="N128" i="4"/>
  <c r="AW67" i="3"/>
  <c r="T69" i="3"/>
  <c r="P59" i="10"/>
  <c r="S69" i="3"/>
  <c r="U69" i="3" s="1"/>
  <c r="V69" i="3" s="1"/>
  <c r="AB69" i="3"/>
  <c r="AD69" i="3" s="1"/>
  <c r="AC69" i="3"/>
  <c r="AE69" i="3" s="1"/>
  <c r="AF69" i="3" s="1"/>
  <c r="BC69" i="3" s="1"/>
  <c r="Q70" i="3"/>
  <c r="R70" i="3" s="1"/>
  <c r="AA70" i="3"/>
  <c r="C71" i="3"/>
  <c r="N71" i="3" s="1"/>
  <c r="G65" i="9"/>
  <c r="A110" i="7"/>
  <c r="A102" i="4"/>
  <c r="A72" i="19" s="1"/>
  <c r="A13" i="6"/>
  <c r="W13" i="6" s="1"/>
  <c r="BH13" i="6" s="1"/>
  <c r="A66" i="9"/>
  <c r="A71" i="3"/>
  <c r="A73" i="8"/>
  <c r="BO109" i="17" l="1"/>
  <c r="BN109" i="17"/>
  <c r="BP109" i="17"/>
  <c r="BR109" i="17"/>
  <c r="BS109" i="17"/>
  <c r="BQ109" i="17"/>
  <c r="BQ109" i="16"/>
  <c r="BS109" i="16"/>
  <c r="BN109" i="16"/>
  <c r="BP109" i="16"/>
  <c r="BR109" i="16"/>
  <c r="BO109" i="16"/>
  <c r="BD68" i="3"/>
  <c r="BK68" i="3"/>
  <c r="BL68" i="3" s="1"/>
  <c r="BN68" i="3" s="1"/>
  <c r="BI70" i="18"/>
  <c r="BB70" i="18"/>
  <c r="BB69" i="3"/>
  <c r="BI69" i="3"/>
  <c r="BD68" i="19"/>
  <c r="BE68" i="19" s="1"/>
  <c r="BG68" i="19" s="1"/>
  <c r="BK68" i="19"/>
  <c r="BL68" i="19" s="1"/>
  <c r="BN68" i="19" s="1"/>
  <c r="BK68" i="18"/>
  <c r="BL68" i="18" s="1"/>
  <c r="BN68" i="18" s="1"/>
  <c r="BD68" i="18"/>
  <c r="BE68" i="18" s="1"/>
  <c r="BG68" i="18" s="1"/>
  <c r="BB70" i="19"/>
  <c r="BI70" i="19"/>
  <c r="AQ11" i="6"/>
  <c r="BC11" i="6"/>
  <c r="Y11" i="6"/>
  <c r="AW11" i="6" s="1"/>
  <c r="AE11" i="6"/>
  <c r="O10" i="6"/>
  <c r="S10" i="6" s="1"/>
  <c r="BD10" i="6" s="1"/>
  <c r="AO81" i="3"/>
  <c r="AP81" i="3" s="1"/>
  <c r="BJ81" i="3" s="1"/>
  <c r="AN81" i="3"/>
  <c r="N12" i="6"/>
  <c r="AD59" i="10"/>
  <c r="C60" i="10"/>
  <c r="AF60" i="10" s="1"/>
  <c r="C72" i="19"/>
  <c r="N72" i="19" s="1"/>
  <c r="Q72" i="19" s="1"/>
  <c r="C72" i="18"/>
  <c r="N72" i="18" s="1"/>
  <c r="Q72" i="18" s="1"/>
  <c r="BI12" i="6"/>
  <c r="BJ12" i="6"/>
  <c r="BM109" i="11"/>
  <c r="BT108" i="11"/>
  <c r="AH71" i="8"/>
  <c r="I11" i="6" s="1"/>
  <c r="AD72" i="8"/>
  <c r="V72" i="8"/>
  <c r="N72" i="8"/>
  <c r="J72" i="8"/>
  <c r="K72" i="8"/>
  <c r="AA72" i="8"/>
  <c r="S72" i="8"/>
  <c r="R71" i="19"/>
  <c r="T71" i="19" s="1"/>
  <c r="S71" i="19"/>
  <c r="U71" i="19" s="1"/>
  <c r="V71" i="19" s="1"/>
  <c r="BM108" i="17"/>
  <c r="BT107" i="17"/>
  <c r="AX69" i="18"/>
  <c r="AY69" i="18"/>
  <c r="AZ69" i="18" s="1"/>
  <c r="U72" i="8"/>
  <c r="AC72" i="8"/>
  <c r="M72" i="8"/>
  <c r="BV11" i="6"/>
  <c r="BP11" i="6"/>
  <c r="D73" i="8"/>
  <c r="E73" i="8"/>
  <c r="I73" i="8"/>
  <c r="F73" i="8"/>
  <c r="G73" i="8"/>
  <c r="C73" i="8"/>
  <c r="B66" i="9"/>
  <c r="J66" i="9" s="1"/>
  <c r="W66" i="9" s="1"/>
  <c r="F13" i="6" s="1"/>
  <c r="AE59" i="10"/>
  <c r="AI59" i="10" s="1"/>
  <c r="Z71" i="8"/>
  <c r="H11" i="6" s="1"/>
  <c r="L72" i="8"/>
  <c r="AB72" i="8"/>
  <c r="T72" i="8"/>
  <c r="BO11" i="6"/>
  <c r="BU11" i="6"/>
  <c r="BM108" i="16"/>
  <c r="BT107" i="16"/>
  <c r="AG72" i="8"/>
  <c r="Q72" i="8"/>
  <c r="Y72" i="8"/>
  <c r="AE72" i="8"/>
  <c r="O72" i="8"/>
  <c r="W72" i="8"/>
  <c r="S71" i="18"/>
  <c r="U71" i="18" s="1"/>
  <c r="V71" i="18" s="1"/>
  <c r="R71" i="18"/>
  <c r="T71" i="18" s="1"/>
  <c r="AX69" i="19"/>
  <c r="AY69" i="19"/>
  <c r="AZ69" i="19" s="1"/>
  <c r="BE65" i="3"/>
  <c r="BG65" i="3" s="1"/>
  <c r="BD66" i="3"/>
  <c r="A60" i="10"/>
  <c r="AC60" i="10" s="1"/>
  <c r="A72" i="18"/>
  <c r="AX69" i="3"/>
  <c r="AY67" i="3"/>
  <c r="AZ67" i="3" s="1"/>
  <c r="BK67" i="3" s="1"/>
  <c r="BL67" i="3" s="1"/>
  <c r="BN67" i="3" s="1"/>
  <c r="AD60" i="10"/>
  <c r="AG60" i="10"/>
  <c r="H66" i="9"/>
  <c r="U66" i="9" s="1"/>
  <c r="E13" i="6" s="1"/>
  <c r="M12" i="6"/>
  <c r="T65" i="9"/>
  <c r="O129" i="4"/>
  <c r="P129" i="4"/>
  <c r="M129" i="4"/>
  <c r="T128" i="4"/>
  <c r="Q129" i="4"/>
  <c r="S129" i="4"/>
  <c r="K103" i="4"/>
  <c r="B61" i="10"/>
  <c r="N129" i="4"/>
  <c r="R129" i="4"/>
  <c r="R71" i="8"/>
  <c r="G11" i="6" s="1"/>
  <c r="T70" i="3"/>
  <c r="AC70" i="3"/>
  <c r="AE70" i="3" s="1"/>
  <c r="AF70" i="3" s="1"/>
  <c r="BC70" i="3" s="1"/>
  <c r="AB70" i="3"/>
  <c r="AD70" i="3" s="1"/>
  <c r="P60" i="10"/>
  <c r="S70" i="3"/>
  <c r="U70" i="3" s="1"/>
  <c r="V70" i="3" s="1"/>
  <c r="AW70" i="3"/>
  <c r="AW69" i="3"/>
  <c r="Q71" i="3"/>
  <c r="S71" i="3" s="1"/>
  <c r="AA71" i="3"/>
  <c r="G66" i="9"/>
  <c r="C72" i="3"/>
  <c r="N72" i="3" s="1"/>
  <c r="A111" i="7"/>
  <c r="A67" i="9"/>
  <c r="A14" i="6"/>
  <c r="W14" i="6" s="1"/>
  <c r="BH14" i="6" s="1"/>
  <c r="A103" i="4"/>
  <c r="A73" i="19" s="1"/>
  <c r="A72" i="3"/>
  <c r="A74" i="8"/>
  <c r="BQ110" i="17" l="1"/>
  <c r="BN110" i="17"/>
  <c r="BS110" i="17"/>
  <c r="BP110" i="17"/>
  <c r="BR110" i="17"/>
  <c r="BO110" i="17"/>
  <c r="BS110" i="16"/>
  <c r="BR110" i="16"/>
  <c r="BN110" i="16"/>
  <c r="BO110" i="16"/>
  <c r="BP110" i="16"/>
  <c r="BQ110" i="16"/>
  <c r="AK11" i="6"/>
  <c r="BI71" i="18"/>
  <c r="BB71" i="18"/>
  <c r="BB71" i="19"/>
  <c r="BI71" i="19"/>
  <c r="BB70" i="3"/>
  <c r="BI70" i="3"/>
  <c r="BD69" i="19"/>
  <c r="BE69" i="19" s="1"/>
  <c r="BG69" i="19" s="1"/>
  <c r="BK69" i="19"/>
  <c r="BL69" i="19" s="1"/>
  <c r="BN69" i="19" s="1"/>
  <c r="BD69" i="18"/>
  <c r="BE69" i="18" s="1"/>
  <c r="BG69" i="18" s="1"/>
  <c r="BK69" i="18"/>
  <c r="BL69" i="18" s="1"/>
  <c r="BN69" i="18" s="1"/>
  <c r="AL10" i="6"/>
  <c r="AR10" i="6"/>
  <c r="Z10" i="6"/>
  <c r="AF10" i="6"/>
  <c r="R12" i="6"/>
  <c r="AN82" i="3"/>
  <c r="AO82" i="3"/>
  <c r="AP82" i="3" s="1"/>
  <c r="BJ82" i="3" s="1"/>
  <c r="B67" i="9"/>
  <c r="J67" i="9" s="1"/>
  <c r="W67" i="9" s="1"/>
  <c r="F14" i="6" s="1"/>
  <c r="AE60" i="10"/>
  <c r="AH60" i="10"/>
  <c r="O11" i="6"/>
  <c r="S11" i="6" s="1"/>
  <c r="S72" i="18"/>
  <c r="U72" i="18" s="1"/>
  <c r="V72" i="18" s="1"/>
  <c r="R72" i="18"/>
  <c r="T72" i="18" s="1"/>
  <c r="AX70" i="18"/>
  <c r="AY70" i="18"/>
  <c r="AZ70" i="18" s="1"/>
  <c r="BO12" i="6"/>
  <c r="BU12" i="6"/>
  <c r="AX70" i="19"/>
  <c r="AY70" i="19"/>
  <c r="AZ70" i="19" s="1"/>
  <c r="W73" i="8"/>
  <c r="O73" i="8"/>
  <c r="AE73" i="8"/>
  <c r="AB73" i="8"/>
  <c r="T73" i="8"/>
  <c r="L73" i="8"/>
  <c r="Z72" i="8"/>
  <c r="H12" i="6" s="1"/>
  <c r="AD73" i="8"/>
  <c r="N73" i="8"/>
  <c r="V73" i="8"/>
  <c r="BM109" i="17"/>
  <c r="BT108" i="17"/>
  <c r="AH72" i="8"/>
  <c r="I12" i="6" s="1"/>
  <c r="BT109" i="11"/>
  <c r="BM110" i="11"/>
  <c r="R72" i="19"/>
  <c r="T72" i="19" s="1"/>
  <c r="S72" i="19"/>
  <c r="U72" i="19" s="1"/>
  <c r="V72" i="19" s="1"/>
  <c r="BI13" i="6"/>
  <c r="BJ13" i="6"/>
  <c r="J73" i="8"/>
  <c r="S73" i="8"/>
  <c r="AA73" i="8"/>
  <c r="K73" i="8"/>
  <c r="M73" i="8"/>
  <c r="AC73" i="8"/>
  <c r="U73" i="8"/>
  <c r="C61" i="10"/>
  <c r="AE61" i="10" s="1"/>
  <c r="C73" i="19"/>
  <c r="N73" i="19" s="1"/>
  <c r="Q73" i="19" s="1"/>
  <c r="C73" i="18"/>
  <c r="N73" i="18" s="1"/>
  <c r="Q73" i="18" s="1"/>
  <c r="BM109" i="16"/>
  <c r="BT108" i="16"/>
  <c r="AG73" i="8"/>
  <c r="Q73" i="8"/>
  <c r="Y73" i="8"/>
  <c r="BP12" i="6"/>
  <c r="BV12" i="6"/>
  <c r="E74" i="8"/>
  <c r="I74" i="8"/>
  <c r="F74" i="8"/>
  <c r="G74" i="8"/>
  <c r="C74" i="8"/>
  <c r="D74" i="8"/>
  <c r="BE66" i="3"/>
  <c r="BG66" i="3" s="1"/>
  <c r="BD67" i="3"/>
  <c r="BE67" i="3" s="1"/>
  <c r="BG67" i="3" s="1"/>
  <c r="A61" i="10"/>
  <c r="AC61" i="10" s="1"/>
  <c r="A73" i="18"/>
  <c r="AY69" i="3"/>
  <c r="AZ69" i="3" s="1"/>
  <c r="BK69" i="3" s="1"/>
  <c r="BL69" i="3" s="1"/>
  <c r="BN69" i="3" s="1"/>
  <c r="AY70" i="3"/>
  <c r="AZ70" i="3" s="1"/>
  <c r="BK70" i="3" s="1"/>
  <c r="AX70" i="3"/>
  <c r="N13" i="6"/>
  <c r="AG61" i="10"/>
  <c r="AI60" i="10"/>
  <c r="M13" i="6"/>
  <c r="T66" i="9"/>
  <c r="B68" i="9"/>
  <c r="H68" i="9" s="1"/>
  <c r="U68" i="9" s="1"/>
  <c r="E15" i="6" s="1"/>
  <c r="U71" i="3"/>
  <c r="V71" i="3" s="1"/>
  <c r="P130" i="4"/>
  <c r="R130" i="4"/>
  <c r="N130" i="4"/>
  <c r="M130" i="4"/>
  <c r="T129" i="4"/>
  <c r="K104" i="4"/>
  <c r="B62" i="10"/>
  <c r="S130" i="4"/>
  <c r="Q130" i="4"/>
  <c r="O130" i="4"/>
  <c r="R72" i="8"/>
  <c r="G12" i="6" s="1"/>
  <c r="P61" i="10"/>
  <c r="R71" i="3"/>
  <c r="T71" i="3" s="1"/>
  <c r="AC71" i="3"/>
  <c r="AE71" i="3" s="1"/>
  <c r="AF71" i="3" s="1"/>
  <c r="BC71" i="3" s="1"/>
  <c r="AB71" i="3"/>
  <c r="AD71" i="3" s="1"/>
  <c r="AW71" i="3"/>
  <c r="Q72" i="3"/>
  <c r="S72" i="3" s="1"/>
  <c r="AA72" i="3"/>
  <c r="G67" i="9"/>
  <c r="C73" i="3"/>
  <c r="N73" i="3" s="1"/>
  <c r="A112" i="7"/>
  <c r="A68" i="9"/>
  <c r="A75" i="8"/>
  <c r="A15" i="6"/>
  <c r="W15" i="6" s="1"/>
  <c r="BH15" i="6" s="1"/>
  <c r="A104" i="4"/>
  <c r="A74" i="19" s="1"/>
  <c r="A73" i="3"/>
  <c r="BO111" i="17" l="1"/>
  <c r="BP111" i="17"/>
  <c r="BN111" i="17"/>
  <c r="BR111" i="17"/>
  <c r="BS111" i="17"/>
  <c r="BQ111" i="17"/>
  <c r="BO111" i="16"/>
  <c r="BR111" i="16"/>
  <c r="BQ111" i="16"/>
  <c r="BP111" i="16"/>
  <c r="BN111" i="16"/>
  <c r="BS111" i="16"/>
  <c r="H67" i="9"/>
  <c r="U67" i="9" s="1"/>
  <c r="E14" i="6" s="1"/>
  <c r="BB71" i="3"/>
  <c r="BI71" i="3"/>
  <c r="BB72" i="19"/>
  <c r="BI72" i="19"/>
  <c r="BI72" i="18"/>
  <c r="BB72" i="18"/>
  <c r="BL70" i="3"/>
  <c r="BN70" i="3" s="1"/>
  <c r="BD70" i="19"/>
  <c r="BE70" i="19" s="1"/>
  <c r="BG70" i="19" s="1"/>
  <c r="BK70" i="19"/>
  <c r="BL70" i="19" s="1"/>
  <c r="BN70" i="19" s="1"/>
  <c r="BK70" i="18"/>
  <c r="BL70" i="18" s="1"/>
  <c r="BN70" i="18" s="1"/>
  <c r="BD70" i="18"/>
  <c r="BE70" i="18" s="1"/>
  <c r="BG70" i="18" s="1"/>
  <c r="AR11" i="6"/>
  <c r="BD11" i="6"/>
  <c r="AQ12" i="6"/>
  <c r="BC12" i="6"/>
  <c r="Z11" i="6"/>
  <c r="AL11" i="6" s="1"/>
  <c r="AF11" i="6"/>
  <c r="Y12" i="6"/>
  <c r="AE12" i="6"/>
  <c r="AX10" i="6"/>
  <c r="AN83" i="3"/>
  <c r="AO83" i="3"/>
  <c r="AP83" i="3" s="1"/>
  <c r="BJ83" i="3" s="1"/>
  <c r="AX11" i="6"/>
  <c r="AD61" i="10"/>
  <c r="AF61" i="10"/>
  <c r="Z73" i="8"/>
  <c r="H13" i="6" s="1"/>
  <c r="O74" i="8"/>
  <c r="W74" i="8"/>
  <c r="AE74" i="8"/>
  <c r="S73" i="19"/>
  <c r="U73" i="19" s="1"/>
  <c r="V73" i="19" s="1"/>
  <c r="R73" i="19"/>
  <c r="T73" i="19" s="1"/>
  <c r="AD74" i="8"/>
  <c r="N74" i="8"/>
  <c r="V74" i="8"/>
  <c r="F75" i="8"/>
  <c r="C75" i="8"/>
  <c r="G75" i="8"/>
  <c r="I75" i="8"/>
  <c r="D75" i="8"/>
  <c r="E75" i="8"/>
  <c r="BP13" i="6"/>
  <c r="BV13" i="6"/>
  <c r="BM111" i="11"/>
  <c r="BT110" i="11"/>
  <c r="BT109" i="17"/>
  <c r="BM110" i="17"/>
  <c r="AY71" i="19"/>
  <c r="AZ71" i="19" s="1"/>
  <c r="AX71" i="19"/>
  <c r="AY71" i="18"/>
  <c r="AZ71" i="18" s="1"/>
  <c r="AX71" i="18"/>
  <c r="AH61" i="10"/>
  <c r="AI61" i="10" s="1"/>
  <c r="AB74" i="8"/>
  <c r="L74" i="8"/>
  <c r="T74" i="8"/>
  <c r="Q74" i="8"/>
  <c r="Y74" i="8"/>
  <c r="AG74" i="8"/>
  <c r="BM110" i="16"/>
  <c r="BT109" i="16"/>
  <c r="AH73" i="8"/>
  <c r="I13" i="6" s="1"/>
  <c r="BO13" i="6"/>
  <c r="BU13" i="6"/>
  <c r="C62" i="10"/>
  <c r="AF62" i="10" s="1"/>
  <c r="C74" i="19"/>
  <c r="N74" i="19" s="1"/>
  <c r="Q74" i="19" s="1"/>
  <c r="C74" i="18"/>
  <c r="N74" i="18" s="1"/>
  <c r="Q74" i="18" s="1"/>
  <c r="BJ14" i="6"/>
  <c r="BI14" i="6"/>
  <c r="J74" i="8"/>
  <c r="AA74" i="8"/>
  <c r="S74" i="8"/>
  <c r="K74" i="8"/>
  <c r="AC74" i="8"/>
  <c r="U74" i="8"/>
  <c r="M74" i="8"/>
  <c r="S73" i="18"/>
  <c r="U73" i="18" s="1"/>
  <c r="V73" i="18" s="1"/>
  <c r="R73" i="18"/>
  <c r="T73" i="18" s="1"/>
  <c r="BD70" i="3"/>
  <c r="BE68" i="3"/>
  <c r="BG68" i="3" s="1"/>
  <c r="C10" i="6" s="1"/>
  <c r="L10" i="6" s="1"/>
  <c r="Q10" i="6" s="1"/>
  <c r="BB10" i="6" s="1"/>
  <c r="BD69" i="3"/>
  <c r="BE69" i="3" s="1"/>
  <c r="BG69" i="3" s="1"/>
  <c r="C11" i="6" s="1"/>
  <c r="L11" i="6" s="1"/>
  <c r="Q11" i="6" s="1"/>
  <c r="BB11" i="6" s="1"/>
  <c r="BF11" i="6" s="1"/>
  <c r="A62" i="10"/>
  <c r="AC62" i="10" s="1"/>
  <c r="A74" i="18"/>
  <c r="R13" i="6"/>
  <c r="AY71" i="3"/>
  <c r="AZ71" i="3" s="1"/>
  <c r="BK71" i="3" s="1"/>
  <c r="AX71" i="3"/>
  <c r="N14" i="6"/>
  <c r="O12" i="6"/>
  <c r="S12" i="6" s="1"/>
  <c r="M14" i="6"/>
  <c r="T67" i="9"/>
  <c r="J68" i="9"/>
  <c r="W68" i="9" s="1"/>
  <c r="F15" i="6" s="1"/>
  <c r="N15" i="6" s="1"/>
  <c r="R131" i="4"/>
  <c r="Q131" i="4"/>
  <c r="M131" i="4"/>
  <c r="T130" i="4"/>
  <c r="P131" i="4"/>
  <c r="O131" i="4"/>
  <c r="N131" i="4"/>
  <c r="K105" i="4"/>
  <c r="B63" i="10"/>
  <c r="R73" i="8"/>
  <c r="G13" i="6" s="1"/>
  <c r="S131" i="4"/>
  <c r="U72" i="3"/>
  <c r="V72" i="3" s="1"/>
  <c r="P62" i="10"/>
  <c r="AC72" i="3"/>
  <c r="AE72" i="3" s="1"/>
  <c r="AF72" i="3" s="1"/>
  <c r="BC72" i="3" s="1"/>
  <c r="AB72" i="3"/>
  <c r="AD72" i="3" s="1"/>
  <c r="Q73" i="3"/>
  <c r="R73" i="3" s="1"/>
  <c r="AA73" i="3"/>
  <c r="R72" i="3"/>
  <c r="T72" i="3" s="1"/>
  <c r="C74" i="3"/>
  <c r="N74" i="3" s="1"/>
  <c r="G68" i="9"/>
  <c r="A113" i="7"/>
  <c r="A76" i="8"/>
  <c r="A69" i="9"/>
  <c r="A105" i="4"/>
  <c r="A75" i="19" s="1"/>
  <c r="A16" i="6"/>
  <c r="W16" i="6" s="1"/>
  <c r="BH16" i="6" s="1"/>
  <c r="A74" i="3"/>
  <c r="BP112" i="17" l="1"/>
  <c r="BR112" i="17"/>
  <c r="BQ112" i="17"/>
  <c r="BS112" i="17"/>
  <c r="BN112" i="17"/>
  <c r="BO112" i="17"/>
  <c r="BP112" i="16"/>
  <c r="BR112" i="16"/>
  <c r="BN112" i="16"/>
  <c r="BS112" i="16"/>
  <c r="BQ112" i="16"/>
  <c r="BO112" i="16"/>
  <c r="BB73" i="19"/>
  <c r="BI73" i="19"/>
  <c r="BI73" i="18"/>
  <c r="BB73" i="18"/>
  <c r="BB72" i="3"/>
  <c r="BI72" i="3"/>
  <c r="BD71" i="18"/>
  <c r="BE71" i="18" s="1"/>
  <c r="BG71" i="18" s="1"/>
  <c r="BK71" i="18"/>
  <c r="BL71" i="18" s="1"/>
  <c r="BN71" i="18" s="1"/>
  <c r="BL71" i="3"/>
  <c r="BN71" i="3" s="1"/>
  <c r="BD71" i="19"/>
  <c r="BE71" i="19" s="1"/>
  <c r="BG71" i="19" s="1"/>
  <c r="BK71" i="19"/>
  <c r="BL71" i="19" s="1"/>
  <c r="BN71" i="19" s="1"/>
  <c r="AR12" i="6"/>
  <c r="BD12" i="6"/>
  <c r="AQ13" i="6"/>
  <c r="BC13" i="6"/>
  <c r="AD10" i="6"/>
  <c r="BF10" i="6" s="1"/>
  <c r="AP10" i="6"/>
  <c r="AT10" i="6" s="1"/>
  <c r="AJ10" i="6"/>
  <c r="AN10" i="6" s="1"/>
  <c r="AD11" i="6"/>
  <c r="AP11" i="6"/>
  <c r="AT11" i="6" s="1"/>
  <c r="AW12" i="6"/>
  <c r="AK12" i="6"/>
  <c r="AH11" i="6"/>
  <c r="Z12" i="6"/>
  <c r="AL12" i="6" s="1"/>
  <c r="AF12" i="6"/>
  <c r="Y13" i="6"/>
  <c r="AK13" i="6" s="1"/>
  <c r="AE13" i="6"/>
  <c r="AN84" i="3"/>
  <c r="AO84" i="3"/>
  <c r="AP84" i="3" s="1"/>
  <c r="BJ84" i="3" s="1"/>
  <c r="O13" i="6"/>
  <c r="S13" i="6" s="1"/>
  <c r="AH62" i="10"/>
  <c r="AD62" i="10"/>
  <c r="AE62" i="10"/>
  <c r="AH74" i="8"/>
  <c r="I14" i="6" s="1"/>
  <c r="Z74" i="8"/>
  <c r="C63" i="10"/>
  <c r="C75" i="19"/>
  <c r="N75" i="19" s="1"/>
  <c r="Q75" i="19" s="1"/>
  <c r="C75" i="18"/>
  <c r="N75" i="18" s="1"/>
  <c r="Q75" i="18" s="1"/>
  <c r="BP14" i="6"/>
  <c r="BV14" i="6"/>
  <c r="BM111" i="16"/>
  <c r="BT110" i="16"/>
  <c r="AX72" i="18"/>
  <c r="AY72" i="18"/>
  <c r="AZ72" i="18" s="1"/>
  <c r="BT110" i="17"/>
  <c r="BM111" i="17"/>
  <c r="Y75" i="8"/>
  <c r="AG75" i="8"/>
  <c r="Q75" i="8"/>
  <c r="B69" i="9"/>
  <c r="J69" i="9" s="1"/>
  <c r="W69" i="9" s="1"/>
  <c r="F16" i="6" s="1"/>
  <c r="AG62" i="10"/>
  <c r="R74" i="18"/>
  <c r="T74" i="18" s="1"/>
  <c r="S74" i="18"/>
  <c r="U74" i="18" s="1"/>
  <c r="V74" i="18" s="1"/>
  <c r="O75" i="8"/>
  <c r="W75" i="8"/>
  <c r="AE75" i="8"/>
  <c r="BI15" i="6"/>
  <c r="BJ15" i="6"/>
  <c r="R74" i="19"/>
  <c r="T74" i="19" s="1"/>
  <c r="S74" i="19"/>
  <c r="U74" i="19" s="1"/>
  <c r="V74" i="19" s="1"/>
  <c r="AY72" i="19"/>
  <c r="AZ72" i="19" s="1"/>
  <c r="AX72" i="19"/>
  <c r="AC75" i="8"/>
  <c r="M75" i="8"/>
  <c r="U75" i="8"/>
  <c r="J75" i="8"/>
  <c r="AA75" i="8"/>
  <c r="K75" i="8"/>
  <c r="S75" i="8"/>
  <c r="BU14" i="6"/>
  <c r="BO14" i="6"/>
  <c r="C76" i="8"/>
  <c r="G76" i="8"/>
  <c r="D76" i="8"/>
  <c r="I76" i="8"/>
  <c r="E76" i="8"/>
  <c r="F76" i="8"/>
  <c r="BM112" i="11"/>
  <c r="BT111" i="11"/>
  <c r="AB75" i="8"/>
  <c r="L75" i="8"/>
  <c r="T75" i="8"/>
  <c r="N75" i="8"/>
  <c r="AD75" i="8"/>
  <c r="V75" i="8"/>
  <c r="U10" i="6"/>
  <c r="X10" i="6"/>
  <c r="AB10" i="6" s="1"/>
  <c r="U11" i="6"/>
  <c r="X11" i="6"/>
  <c r="AB11" i="6" s="1"/>
  <c r="BE70" i="3"/>
  <c r="BG70" i="3" s="1"/>
  <c r="C12" i="6" s="1"/>
  <c r="L12" i="6" s="1"/>
  <c r="Q12" i="6" s="1"/>
  <c r="BD71" i="3"/>
  <c r="A63" i="10"/>
  <c r="AC63" i="10" s="1"/>
  <c r="A75" i="18"/>
  <c r="R14" i="6"/>
  <c r="AX72" i="3"/>
  <c r="AF63" i="10"/>
  <c r="AE63" i="10"/>
  <c r="AH63" i="10"/>
  <c r="AG63" i="10"/>
  <c r="AD63" i="10"/>
  <c r="M15" i="6"/>
  <c r="R15" i="6" s="1"/>
  <c r="T68" i="9"/>
  <c r="B70" i="9"/>
  <c r="J70" i="9" s="1"/>
  <c r="W70" i="9" s="1"/>
  <c r="F17" i="6" s="1"/>
  <c r="O132" i="4"/>
  <c r="Q132" i="4"/>
  <c r="N132" i="4"/>
  <c r="M132" i="4"/>
  <c r="T131" i="4"/>
  <c r="K106" i="4"/>
  <c r="B64" i="10"/>
  <c r="S132" i="4"/>
  <c r="P132" i="4"/>
  <c r="R132" i="4"/>
  <c r="R74" i="8"/>
  <c r="G14" i="6" s="1"/>
  <c r="H14" i="6"/>
  <c r="AB73" i="3"/>
  <c r="AD73" i="3" s="1"/>
  <c r="AC73" i="3"/>
  <c r="AE73" i="3" s="1"/>
  <c r="AF73" i="3" s="1"/>
  <c r="BC73" i="3" s="1"/>
  <c r="P63" i="10"/>
  <c r="AW72" i="3"/>
  <c r="T73" i="3"/>
  <c r="S73" i="3"/>
  <c r="U73" i="3" s="1"/>
  <c r="V73" i="3" s="1"/>
  <c r="Q74" i="3"/>
  <c r="S74" i="3" s="1"/>
  <c r="AA74" i="3"/>
  <c r="G69" i="9"/>
  <c r="C75" i="3"/>
  <c r="N75" i="3" s="1"/>
  <c r="A114" i="7"/>
  <c r="A106" i="4"/>
  <c r="A76" i="19" s="1"/>
  <c r="A77" i="8"/>
  <c r="A17" i="6"/>
  <c r="W17" i="6" s="1"/>
  <c r="BH17" i="6" s="1"/>
  <c r="A75" i="3"/>
  <c r="A70" i="9"/>
  <c r="AH10" i="6" l="1"/>
  <c r="BO113" i="17"/>
  <c r="BS113" i="17"/>
  <c r="BR113" i="17"/>
  <c r="BN113" i="17"/>
  <c r="BQ113" i="17"/>
  <c r="BP113" i="17"/>
  <c r="BR113" i="16"/>
  <c r="BO113" i="16"/>
  <c r="BQ113" i="16"/>
  <c r="BS113" i="16"/>
  <c r="BN113" i="16"/>
  <c r="BP113" i="16"/>
  <c r="H69" i="9"/>
  <c r="U69" i="9" s="1"/>
  <c r="E16" i="6" s="1"/>
  <c r="AX12" i="6"/>
  <c r="BD72" i="19"/>
  <c r="BE72" i="19" s="1"/>
  <c r="BG72" i="19" s="1"/>
  <c r="BK72" i="19"/>
  <c r="BL72" i="19" s="1"/>
  <c r="BN72" i="19" s="1"/>
  <c r="BI74" i="18"/>
  <c r="BB74" i="18"/>
  <c r="BB73" i="3"/>
  <c r="BI73" i="3"/>
  <c r="BB74" i="19"/>
  <c r="BI74" i="19"/>
  <c r="BK72" i="18"/>
  <c r="BL72" i="18" s="1"/>
  <c r="BN72" i="18" s="1"/>
  <c r="BD72" i="18"/>
  <c r="BE72" i="18" s="1"/>
  <c r="BG72" i="18" s="1"/>
  <c r="AR13" i="6"/>
  <c r="BD13" i="6"/>
  <c r="AQ15" i="6"/>
  <c r="BC15" i="6"/>
  <c r="AQ14" i="6"/>
  <c r="BC14" i="6"/>
  <c r="AP12" i="6"/>
  <c r="AT12" i="6" s="1"/>
  <c r="BB12" i="6"/>
  <c r="BF12" i="6" s="1"/>
  <c r="AW13" i="6"/>
  <c r="Y15" i="6"/>
  <c r="AK15" i="6" s="1"/>
  <c r="AE15" i="6"/>
  <c r="Y14" i="6"/>
  <c r="AW14" i="6" s="1"/>
  <c r="AE14" i="6"/>
  <c r="X12" i="6"/>
  <c r="AB12" i="6" s="1"/>
  <c r="AD12" i="6"/>
  <c r="Z13" i="6"/>
  <c r="AX13" i="6" s="1"/>
  <c r="AF13" i="6"/>
  <c r="AN85" i="3"/>
  <c r="AO85" i="3"/>
  <c r="AP85" i="3" s="1"/>
  <c r="BJ85" i="3" s="1"/>
  <c r="AI62" i="10"/>
  <c r="AH75" i="8"/>
  <c r="I15" i="6" s="1"/>
  <c r="C64" i="10"/>
  <c r="C76" i="19"/>
  <c r="N76" i="19" s="1"/>
  <c r="Q76" i="19" s="1"/>
  <c r="C76" i="18"/>
  <c r="N76" i="18" s="1"/>
  <c r="Q76" i="18" s="1"/>
  <c r="L76" i="8"/>
  <c r="AB76" i="8"/>
  <c r="T76" i="8"/>
  <c r="BV15" i="6"/>
  <c r="BP15" i="6"/>
  <c r="BM112" i="17"/>
  <c r="BT111" i="17"/>
  <c r="AX73" i="18"/>
  <c r="AY73" i="18"/>
  <c r="AZ73" i="18" s="1"/>
  <c r="AD76" i="8"/>
  <c r="N76" i="8"/>
  <c r="V76" i="8"/>
  <c r="W76" i="8"/>
  <c r="O76" i="8"/>
  <c r="AE76" i="8"/>
  <c r="Z75" i="8"/>
  <c r="H15" i="6" s="1"/>
  <c r="BO15" i="6"/>
  <c r="BU15" i="6"/>
  <c r="S75" i="18"/>
  <c r="U75" i="18" s="1"/>
  <c r="V75" i="18" s="1"/>
  <c r="R75" i="18"/>
  <c r="T75" i="18" s="1"/>
  <c r="BM113" i="11"/>
  <c r="BT112" i="11"/>
  <c r="AX73" i="19"/>
  <c r="AY73" i="19"/>
  <c r="AZ73" i="19" s="1"/>
  <c r="BI16" i="6"/>
  <c r="BJ16" i="6"/>
  <c r="AC76" i="8"/>
  <c r="M76" i="8"/>
  <c r="U76" i="8"/>
  <c r="J76" i="8"/>
  <c r="S76" i="8"/>
  <c r="AA76" i="8"/>
  <c r="K76" i="8"/>
  <c r="BM112" i="16"/>
  <c r="BT111" i="16"/>
  <c r="R75" i="19"/>
  <c r="T75" i="19" s="1"/>
  <c r="S75" i="19"/>
  <c r="U75" i="19" s="1"/>
  <c r="V75" i="19" s="1"/>
  <c r="AG76" i="8"/>
  <c r="Y76" i="8"/>
  <c r="Q76" i="8"/>
  <c r="D77" i="8"/>
  <c r="E77" i="8"/>
  <c r="I77" i="8"/>
  <c r="C77" i="8"/>
  <c r="F77" i="8"/>
  <c r="G77" i="8"/>
  <c r="AW15" i="6"/>
  <c r="U12" i="6"/>
  <c r="AZ11" i="6"/>
  <c r="AN11" i="6"/>
  <c r="AV10" i="6"/>
  <c r="AZ10" i="6" s="1"/>
  <c r="AV11" i="6"/>
  <c r="AJ11" i="6"/>
  <c r="AV12" i="6"/>
  <c r="AJ12" i="6"/>
  <c r="A64" i="10"/>
  <c r="AC64" i="10" s="1"/>
  <c r="A76" i="18"/>
  <c r="N16" i="6"/>
  <c r="AY72" i="3"/>
  <c r="AZ72" i="3" s="1"/>
  <c r="BK72" i="3" s="1"/>
  <c r="BL72" i="3" s="1"/>
  <c r="BN72" i="3" s="1"/>
  <c r="AX73" i="3"/>
  <c r="AE64" i="10"/>
  <c r="AF64" i="10"/>
  <c r="AH64" i="10"/>
  <c r="AG64" i="10"/>
  <c r="AD64" i="10"/>
  <c r="AI63" i="10"/>
  <c r="O14" i="6"/>
  <c r="S14" i="6" s="1"/>
  <c r="H70" i="9"/>
  <c r="U70" i="9" s="1"/>
  <c r="E17" i="6" s="1"/>
  <c r="M16" i="6"/>
  <c r="T69" i="9"/>
  <c r="B71" i="9"/>
  <c r="J71" i="9" s="1"/>
  <c r="W71" i="9" s="1"/>
  <c r="F18" i="6" s="1"/>
  <c r="R133" i="4"/>
  <c r="M133" i="4"/>
  <c r="T132" i="4"/>
  <c r="Q133" i="4"/>
  <c r="S133" i="4"/>
  <c r="K107" i="4"/>
  <c r="B65" i="10"/>
  <c r="P133" i="4"/>
  <c r="N133" i="4"/>
  <c r="O133" i="4"/>
  <c r="R75" i="8"/>
  <c r="G15" i="6" s="1"/>
  <c r="P64" i="10"/>
  <c r="AB74" i="3"/>
  <c r="AD74" i="3" s="1"/>
  <c r="AC74" i="3"/>
  <c r="AE74" i="3" s="1"/>
  <c r="AF74" i="3" s="1"/>
  <c r="BC74" i="3" s="1"/>
  <c r="U74" i="3"/>
  <c r="V74" i="3" s="1"/>
  <c r="Q75" i="3"/>
  <c r="S75" i="3" s="1"/>
  <c r="AA75" i="3"/>
  <c r="R74" i="3"/>
  <c r="T74" i="3" s="1"/>
  <c r="G70" i="9"/>
  <c r="C76" i="3"/>
  <c r="N76" i="3" s="1"/>
  <c r="A115" i="7"/>
  <c r="A71" i="9"/>
  <c r="A18" i="6"/>
  <c r="W18" i="6" s="1"/>
  <c r="BH18" i="6" s="1"/>
  <c r="A107" i="4"/>
  <c r="A77" i="19" s="1"/>
  <c r="A78" i="8"/>
  <c r="A76" i="3"/>
  <c r="BN114" i="17" l="1"/>
  <c r="BQ114" i="17"/>
  <c r="BP114" i="17"/>
  <c r="BS114" i="17"/>
  <c r="BR114" i="17"/>
  <c r="BO114" i="17"/>
  <c r="BS114" i="16"/>
  <c r="BO114" i="16"/>
  <c r="BN114" i="16"/>
  <c r="BP114" i="16"/>
  <c r="BQ114" i="16"/>
  <c r="BR114" i="16"/>
  <c r="AN12" i="6"/>
  <c r="BB75" i="19"/>
  <c r="BI75" i="19"/>
  <c r="BD73" i="19"/>
  <c r="BE73" i="19" s="1"/>
  <c r="BG73" i="19" s="1"/>
  <c r="BK73" i="19"/>
  <c r="BL73" i="19" s="1"/>
  <c r="BN73" i="19" s="1"/>
  <c r="BK73" i="18"/>
  <c r="BL73" i="18" s="1"/>
  <c r="BN73" i="18" s="1"/>
  <c r="BD73" i="18"/>
  <c r="BE73" i="18" s="1"/>
  <c r="BG73" i="18" s="1"/>
  <c r="BB74" i="3"/>
  <c r="BI74" i="3"/>
  <c r="BB75" i="18"/>
  <c r="BI75" i="18"/>
  <c r="AR14" i="6"/>
  <c r="BD14" i="6"/>
  <c r="AK14" i="6"/>
  <c r="AL13" i="6"/>
  <c r="Z14" i="6"/>
  <c r="AL14" i="6" s="1"/>
  <c r="AF14" i="6"/>
  <c r="AH12" i="6"/>
  <c r="AZ12" i="6"/>
  <c r="AH76" i="8"/>
  <c r="I16" i="6" s="1"/>
  <c r="L77" i="8"/>
  <c r="AB77" i="8"/>
  <c r="T77" i="8"/>
  <c r="J77" i="8"/>
  <c r="AA77" i="8"/>
  <c r="S77" i="8"/>
  <c r="K77" i="8"/>
  <c r="AY74" i="18"/>
  <c r="AZ74" i="18" s="1"/>
  <c r="AX74" i="18"/>
  <c r="Q77" i="8"/>
  <c r="Y77" i="8"/>
  <c r="AG77" i="8"/>
  <c r="Z76" i="8"/>
  <c r="AX74" i="19"/>
  <c r="AY74" i="19"/>
  <c r="AZ74" i="19" s="1"/>
  <c r="S76" i="18"/>
  <c r="U76" i="18" s="1"/>
  <c r="V76" i="18" s="1"/>
  <c r="R76" i="18"/>
  <c r="T76" i="18" s="1"/>
  <c r="C65" i="10"/>
  <c r="AH65" i="10" s="1"/>
  <c r="C77" i="19"/>
  <c r="N77" i="19" s="1"/>
  <c r="Q77" i="19" s="1"/>
  <c r="C77" i="18"/>
  <c r="N77" i="18" s="1"/>
  <c r="Q77" i="18" s="1"/>
  <c r="BI17" i="6"/>
  <c r="BJ17" i="6"/>
  <c r="AE77" i="8"/>
  <c r="W77" i="8"/>
  <c r="O77" i="8"/>
  <c r="AC77" i="8"/>
  <c r="M77" i="8"/>
  <c r="U77" i="8"/>
  <c r="BM113" i="16"/>
  <c r="BT112" i="16"/>
  <c r="BP16" i="6"/>
  <c r="BV16" i="6"/>
  <c r="BT112" i="17"/>
  <c r="BM113" i="17"/>
  <c r="R76" i="19"/>
  <c r="T76" i="19" s="1"/>
  <c r="S76" i="19"/>
  <c r="U76" i="19" s="1"/>
  <c r="V76" i="19" s="1"/>
  <c r="AD77" i="8"/>
  <c r="V77" i="8"/>
  <c r="N77" i="8"/>
  <c r="BO16" i="6"/>
  <c r="BU16" i="6"/>
  <c r="BT113" i="11"/>
  <c r="BM114" i="11"/>
  <c r="E78" i="8"/>
  <c r="I78" i="8"/>
  <c r="F78" i="8"/>
  <c r="C78" i="8"/>
  <c r="D78" i="8"/>
  <c r="G78" i="8"/>
  <c r="BE71" i="3"/>
  <c r="BG71" i="3" s="1"/>
  <c r="C13" i="6" s="1"/>
  <c r="L13" i="6" s="1"/>
  <c r="Q13" i="6" s="1"/>
  <c r="BB13" i="6" s="1"/>
  <c r="BF13" i="6" s="1"/>
  <c r="BD72" i="3"/>
  <c r="A65" i="10"/>
  <c r="AC65" i="10" s="1"/>
  <c r="A77" i="18"/>
  <c r="R16" i="6"/>
  <c r="AX74" i="3"/>
  <c r="AD65" i="10"/>
  <c r="N17" i="6"/>
  <c r="AI64" i="10"/>
  <c r="O15" i="6"/>
  <c r="S15" i="6" s="1"/>
  <c r="M17" i="6"/>
  <c r="T70" i="9"/>
  <c r="H71" i="9"/>
  <c r="U71" i="9" s="1"/>
  <c r="E18" i="6" s="1"/>
  <c r="M134" i="4"/>
  <c r="T133" i="4"/>
  <c r="N134" i="4"/>
  <c r="Q134" i="4"/>
  <c r="P134" i="4"/>
  <c r="O134" i="4"/>
  <c r="S134" i="4"/>
  <c r="R134" i="4"/>
  <c r="R76" i="8"/>
  <c r="G16" i="6" s="1"/>
  <c r="H16" i="6"/>
  <c r="AB75" i="3"/>
  <c r="AD75" i="3" s="1"/>
  <c r="AC75" i="3"/>
  <c r="AE75" i="3" s="1"/>
  <c r="AF75" i="3" s="1"/>
  <c r="BC75" i="3" s="1"/>
  <c r="P65" i="10"/>
  <c r="U75" i="3"/>
  <c r="V75" i="3" s="1"/>
  <c r="AW73" i="3"/>
  <c r="Q76" i="3"/>
  <c r="R76" i="3" s="1"/>
  <c r="AA76" i="3"/>
  <c r="R75" i="3"/>
  <c r="T75" i="3" s="1"/>
  <c r="G71" i="9"/>
  <c r="C77" i="3"/>
  <c r="N77" i="3" s="1"/>
  <c r="A116" i="7"/>
  <c r="A72" i="9"/>
  <c r="A79" i="8"/>
  <c r="A19" i="6"/>
  <c r="W19" i="6" s="1"/>
  <c r="BH19" i="6" s="1"/>
  <c r="A108" i="4"/>
  <c r="A78" i="19" s="1"/>
  <c r="A77" i="3"/>
  <c r="BO115" i="17" l="1"/>
  <c r="BS115" i="17"/>
  <c r="BR115" i="17"/>
  <c r="BQ115" i="17"/>
  <c r="BP115" i="17"/>
  <c r="BN115" i="17"/>
  <c r="BP115" i="16"/>
  <c r="BO115" i="16"/>
  <c r="BQ115" i="16"/>
  <c r="BN115" i="16"/>
  <c r="BR115" i="16"/>
  <c r="BS115" i="16"/>
  <c r="BI76" i="18"/>
  <c r="BB76" i="18"/>
  <c r="BD74" i="19"/>
  <c r="BE74" i="19" s="1"/>
  <c r="BG74" i="19" s="1"/>
  <c r="BK74" i="19"/>
  <c r="BL74" i="19" s="1"/>
  <c r="BN74" i="19" s="1"/>
  <c r="BB76" i="19"/>
  <c r="BI76" i="19"/>
  <c r="BB75" i="3"/>
  <c r="BI75" i="3"/>
  <c r="BD74" i="18"/>
  <c r="BE74" i="18" s="1"/>
  <c r="BG74" i="18" s="1"/>
  <c r="BK74" i="18"/>
  <c r="BL74" i="18" s="1"/>
  <c r="BN74" i="18" s="1"/>
  <c r="AQ16" i="6"/>
  <c r="BC16" i="6"/>
  <c r="AR15" i="6"/>
  <c r="BD15" i="6"/>
  <c r="AX14" i="6"/>
  <c r="AD13" i="6"/>
  <c r="AH13" i="6" s="1"/>
  <c r="AP13" i="6"/>
  <c r="AT13" i="6" s="1"/>
  <c r="Y16" i="6"/>
  <c r="AW16" i="6" s="1"/>
  <c r="AE16" i="6"/>
  <c r="Z15" i="6"/>
  <c r="AX15" i="6" s="1"/>
  <c r="AF15" i="6"/>
  <c r="AE65" i="10"/>
  <c r="B72" i="9"/>
  <c r="H72" i="9" s="1"/>
  <c r="U72" i="9" s="1"/>
  <c r="E19" i="6" s="1"/>
  <c r="AG65" i="10"/>
  <c r="AF65" i="10"/>
  <c r="AI65" i="10" s="1"/>
  <c r="R77" i="8"/>
  <c r="G17" i="6" s="1"/>
  <c r="BM114" i="16"/>
  <c r="BT113" i="16"/>
  <c r="J78" i="8"/>
  <c r="S78" i="8"/>
  <c r="AA78" i="8"/>
  <c r="K78" i="8"/>
  <c r="R77" i="18"/>
  <c r="T77" i="18" s="1"/>
  <c r="S77" i="18"/>
  <c r="U77" i="18" s="1"/>
  <c r="V77" i="18" s="1"/>
  <c r="AD78" i="8"/>
  <c r="N78" i="8"/>
  <c r="V78" i="8"/>
  <c r="BT113" i="17"/>
  <c r="BM114" i="17"/>
  <c r="S77" i="19"/>
  <c r="U77" i="19" s="1"/>
  <c r="V77" i="19" s="1"/>
  <c r="R77" i="19"/>
  <c r="T77" i="19" s="1"/>
  <c r="BJ18" i="6"/>
  <c r="BI18" i="6"/>
  <c r="M78" i="8"/>
  <c r="AC78" i="8"/>
  <c r="U78" i="8"/>
  <c r="BM115" i="11"/>
  <c r="BT114" i="11"/>
  <c r="AE78" i="8"/>
  <c r="O78" i="8"/>
  <c r="W78" i="8"/>
  <c r="Q78" i="8"/>
  <c r="Y78" i="8"/>
  <c r="AG78" i="8"/>
  <c r="BP17" i="6"/>
  <c r="BV17" i="6"/>
  <c r="F79" i="8"/>
  <c r="C79" i="8"/>
  <c r="G79" i="8"/>
  <c r="D79" i="8"/>
  <c r="E79" i="8"/>
  <c r="I79" i="8"/>
  <c r="AY75" i="19"/>
  <c r="AZ75" i="19" s="1"/>
  <c r="AX75" i="19"/>
  <c r="Z77" i="8"/>
  <c r="H17" i="6" s="1"/>
  <c r="AB78" i="8"/>
  <c r="T78" i="8"/>
  <c r="L78" i="8"/>
  <c r="BO17" i="6"/>
  <c r="BU17" i="6"/>
  <c r="AX75" i="18"/>
  <c r="AY75" i="18"/>
  <c r="AZ75" i="18" s="1"/>
  <c r="AH77" i="8"/>
  <c r="I17" i="6" s="1"/>
  <c r="U13" i="6"/>
  <c r="X13" i="6"/>
  <c r="AB13" i="6" s="1"/>
  <c r="A66" i="10"/>
  <c r="AC66" i="10" s="1"/>
  <c r="A78" i="18"/>
  <c r="R17" i="6"/>
  <c r="AY73" i="3"/>
  <c r="AZ73" i="3" s="1"/>
  <c r="BK73" i="3" s="1"/>
  <c r="BL73" i="3" s="1"/>
  <c r="BN73" i="3" s="1"/>
  <c r="AX75" i="3"/>
  <c r="O16" i="6"/>
  <c r="S16" i="6" s="1"/>
  <c r="M18" i="6"/>
  <c r="T71" i="9"/>
  <c r="N18" i="6"/>
  <c r="R135" i="4"/>
  <c r="P135" i="4"/>
  <c r="O135" i="4"/>
  <c r="N135" i="4"/>
  <c r="Q135" i="4"/>
  <c r="S135" i="4"/>
  <c r="M135" i="4"/>
  <c r="T134" i="4"/>
  <c r="S76" i="3"/>
  <c r="U76" i="3" s="1"/>
  <c r="V76" i="3" s="1"/>
  <c r="AB76" i="3"/>
  <c r="AD76" i="3" s="1"/>
  <c r="AC76" i="3"/>
  <c r="AE76" i="3" s="1"/>
  <c r="AF76" i="3" s="1"/>
  <c r="BC76" i="3" s="1"/>
  <c r="AW74" i="3"/>
  <c r="T76" i="3"/>
  <c r="Q77" i="3"/>
  <c r="S77" i="3" s="1"/>
  <c r="AA77" i="3"/>
  <c r="G72" i="9"/>
  <c r="A117" i="7"/>
  <c r="A80" i="8"/>
  <c r="A73" i="9"/>
  <c r="A109" i="4"/>
  <c r="A79" i="19" s="1"/>
  <c r="A20" i="6"/>
  <c r="W20" i="6" s="1"/>
  <c r="BH20" i="6" s="1"/>
  <c r="A78" i="3"/>
  <c r="BQ116" i="17" l="1"/>
  <c r="BP116" i="17"/>
  <c r="BN116" i="17"/>
  <c r="BS116" i="17"/>
  <c r="BR116" i="17"/>
  <c r="BO116" i="17"/>
  <c r="BO116" i="16"/>
  <c r="BS116" i="16"/>
  <c r="BN116" i="16"/>
  <c r="BR116" i="16"/>
  <c r="BQ116" i="16"/>
  <c r="BP116" i="16"/>
  <c r="J72" i="9"/>
  <c r="W72" i="9" s="1"/>
  <c r="F19" i="6" s="1"/>
  <c r="N19" i="6" s="1"/>
  <c r="BI77" i="18"/>
  <c r="BB77" i="18"/>
  <c r="BB76" i="3"/>
  <c r="BI76" i="3"/>
  <c r="BK75" i="18"/>
  <c r="BL75" i="18" s="1"/>
  <c r="BN75" i="18" s="1"/>
  <c r="BD75" i="18"/>
  <c r="BE75" i="18" s="1"/>
  <c r="BG75" i="18" s="1"/>
  <c r="BB77" i="19"/>
  <c r="BI77" i="19"/>
  <c r="BD75" i="19"/>
  <c r="BE75" i="19" s="1"/>
  <c r="BG75" i="19" s="1"/>
  <c r="BK75" i="19"/>
  <c r="BL75" i="19" s="1"/>
  <c r="BN75" i="19" s="1"/>
  <c r="AR16" i="6"/>
  <c r="BD16" i="6"/>
  <c r="AQ17" i="6"/>
  <c r="BC17" i="6"/>
  <c r="AL15" i="6"/>
  <c r="AK16" i="6"/>
  <c r="Z16" i="6"/>
  <c r="AX16" i="6" s="1"/>
  <c r="AF16" i="6"/>
  <c r="Y17" i="6"/>
  <c r="AW17" i="6" s="1"/>
  <c r="AE17" i="6"/>
  <c r="O17" i="6"/>
  <c r="S17" i="6" s="1"/>
  <c r="Z78" i="8"/>
  <c r="H18" i="6" s="1"/>
  <c r="L79" i="8"/>
  <c r="AB79" i="8"/>
  <c r="T79" i="8"/>
  <c r="AD79" i="8"/>
  <c r="N79" i="8"/>
  <c r="V79" i="8"/>
  <c r="AX76" i="19"/>
  <c r="AY76" i="19"/>
  <c r="AZ76" i="19" s="1"/>
  <c r="AY76" i="18"/>
  <c r="AZ76" i="18" s="1"/>
  <c r="AX76" i="18"/>
  <c r="AE79" i="8"/>
  <c r="W79" i="8"/>
  <c r="O79" i="8"/>
  <c r="BT115" i="11"/>
  <c r="BM116" i="11"/>
  <c r="BU18" i="6"/>
  <c r="BO18" i="6"/>
  <c r="BM115" i="17"/>
  <c r="BT114" i="17"/>
  <c r="U79" i="8"/>
  <c r="M79" i="8"/>
  <c r="AC79" i="8"/>
  <c r="AG79" i="8"/>
  <c r="Q79" i="8"/>
  <c r="Y79" i="8"/>
  <c r="J79" i="8"/>
  <c r="AA79" i="8"/>
  <c r="K79" i="8"/>
  <c r="S79" i="8"/>
  <c r="BP18" i="6"/>
  <c r="BV18" i="6"/>
  <c r="AH78" i="8"/>
  <c r="I18" i="6" s="1"/>
  <c r="BM115" i="16"/>
  <c r="BT114" i="16"/>
  <c r="AK17" i="6"/>
  <c r="AJ13" i="6"/>
  <c r="AV13" i="6"/>
  <c r="AN13" i="6"/>
  <c r="AZ13" i="6"/>
  <c r="BE72" i="3"/>
  <c r="BG72" i="3" s="1"/>
  <c r="C14" i="6" s="1"/>
  <c r="L14" i="6" s="1"/>
  <c r="Q14" i="6" s="1"/>
  <c r="BB14" i="6" s="1"/>
  <c r="BF14" i="6" s="1"/>
  <c r="BD73" i="3"/>
  <c r="A67" i="10"/>
  <c r="AC67" i="10" s="1"/>
  <c r="A79" i="18"/>
  <c r="AY74" i="3"/>
  <c r="AZ74" i="3" s="1"/>
  <c r="BK74" i="3" s="1"/>
  <c r="BL74" i="3" s="1"/>
  <c r="BN74" i="3" s="1"/>
  <c r="AX76" i="3"/>
  <c r="R18" i="6"/>
  <c r="M19" i="6"/>
  <c r="T72" i="9"/>
  <c r="Q136" i="4"/>
  <c r="O136" i="4"/>
  <c r="M136" i="4"/>
  <c r="T135" i="4"/>
  <c r="P136" i="4"/>
  <c r="S136" i="4"/>
  <c r="N136" i="4"/>
  <c r="R136" i="4"/>
  <c r="R78" i="8"/>
  <c r="G18" i="6" s="1"/>
  <c r="U77" i="3"/>
  <c r="V77" i="3" s="1"/>
  <c r="AB77" i="3"/>
  <c r="AD77" i="3" s="1"/>
  <c r="AC77" i="3"/>
  <c r="AE77" i="3" s="1"/>
  <c r="AF77" i="3" s="1"/>
  <c r="BC77" i="3" s="1"/>
  <c r="AW75" i="3"/>
  <c r="R77" i="3"/>
  <c r="T77" i="3" s="1"/>
  <c r="A118" i="7"/>
  <c r="A110" i="4"/>
  <c r="A80" i="19" s="1"/>
  <c r="A74" i="9"/>
  <c r="A21" i="6"/>
  <c r="W21" i="6" s="1"/>
  <c r="BH21" i="6" s="1"/>
  <c r="A79" i="3"/>
  <c r="A81" i="8"/>
  <c r="BP117" i="17" l="1"/>
  <c r="BO117" i="17"/>
  <c r="BS117" i="17"/>
  <c r="BR117" i="17"/>
  <c r="BN117" i="17"/>
  <c r="BQ117" i="17"/>
  <c r="BP117" i="16"/>
  <c r="BS117" i="16"/>
  <c r="BQ117" i="16"/>
  <c r="BN117" i="16"/>
  <c r="BR117" i="16"/>
  <c r="BO117" i="16"/>
  <c r="R19" i="6"/>
  <c r="BB77" i="3"/>
  <c r="BI77" i="3"/>
  <c r="BK76" i="18"/>
  <c r="BL76" i="18" s="1"/>
  <c r="BN76" i="18" s="1"/>
  <c r="BD76" i="18"/>
  <c r="BE76" i="18" s="1"/>
  <c r="BG76" i="18" s="1"/>
  <c r="BD76" i="19"/>
  <c r="BE76" i="19" s="1"/>
  <c r="BG76" i="19" s="1"/>
  <c r="BK76" i="19"/>
  <c r="BL76" i="19" s="1"/>
  <c r="BN76" i="19" s="1"/>
  <c r="AQ18" i="6"/>
  <c r="BC18" i="6"/>
  <c r="AR17" i="6"/>
  <c r="BD17" i="6"/>
  <c r="AQ19" i="6"/>
  <c r="BC19" i="6"/>
  <c r="AD14" i="6"/>
  <c r="AP14" i="6"/>
  <c r="AT14" i="6" s="1"/>
  <c r="AL16" i="6"/>
  <c r="Y18" i="6"/>
  <c r="AW18" i="6" s="1"/>
  <c r="AE18" i="6"/>
  <c r="Z17" i="6"/>
  <c r="AX17" i="6" s="1"/>
  <c r="AF17" i="6"/>
  <c r="Y19" i="6"/>
  <c r="AW19" i="6" s="1"/>
  <c r="AE19" i="6"/>
  <c r="AH79" i="8"/>
  <c r="I19" i="6" s="1"/>
  <c r="O18" i="6"/>
  <c r="S18" i="6" s="1"/>
  <c r="BM116" i="17"/>
  <c r="BT115" i="17"/>
  <c r="BT116" i="11"/>
  <c r="BM117" i="11"/>
  <c r="AY77" i="19"/>
  <c r="AZ77" i="19" s="1"/>
  <c r="AX77" i="19"/>
  <c r="BM116" i="16"/>
  <c r="BT115" i="16"/>
  <c r="Z79" i="8"/>
  <c r="H19" i="6" s="1"/>
  <c r="AX77" i="18"/>
  <c r="AY77" i="18"/>
  <c r="AZ77" i="18" s="1"/>
  <c r="U14" i="6"/>
  <c r="X14" i="6"/>
  <c r="AB14" i="6" s="1"/>
  <c r="BE73" i="3"/>
  <c r="BG73" i="3" s="1"/>
  <c r="C15" i="6" s="1"/>
  <c r="L15" i="6" s="1"/>
  <c r="Q15" i="6" s="1"/>
  <c r="BB15" i="6" s="1"/>
  <c r="BF15" i="6" s="1"/>
  <c r="BD74" i="3"/>
  <c r="A68" i="10"/>
  <c r="AC68" i="10" s="1"/>
  <c r="A80" i="18"/>
  <c r="AY75" i="3"/>
  <c r="AZ75" i="3" s="1"/>
  <c r="BK75" i="3" s="1"/>
  <c r="BL75" i="3" s="1"/>
  <c r="BN75" i="3" s="1"/>
  <c r="AX77" i="3"/>
  <c r="S137" i="4"/>
  <c r="O137" i="4"/>
  <c r="R137" i="4"/>
  <c r="P137" i="4"/>
  <c r="N137" i="4"/>
  <c r="M137" i="4"/>
  <c r="T136" i="4"/>
  <c r="Q137" i="4"/>
  <c r="R79" i="8"/>
  <c r="G19" i="6" s="1"/>
  <c r="AW76" i="3"/>
  <c r="AW77" i="3"/>
  <c r="AY77" i="3" s="1"/>
  <c r="AZ77" i="3" s="1"/>
  <c r="A119" i="7"/>
  <c r="A75" i="9"/>
  <c r="A22" i="6"/>
  <c r="W22" i="6" s="1"/>
  <c r="BH22" i="6" s="1"/>
  <c r="A111" i="4"/>
  <c r="A81" i="19" s="1"/>
  <c r="A80" i="3"/>
  <c r="A82" i="8"/>
  <c r="BP118" i="17" l="1"/>
  <c r="BQ118" i="17"/>
  <c r="BR118" i="17"/>
  <c r="BO118" i="17"/>
  <c r="BN118" i="17"/>
  <c r="BS118" i="17"/>
  <c r="BS118" i="16"/>
  <c r="BO118" i="16"/>
  <c r="BN118" i="16"/>
  <c r="BR118" i="16"/>
  <c r="BQ118" i="16"/>
  <c r="BP118" i="16"/>
  <c r="AK19" i="6"/>
  <c r="BD77" i="19"/>
  <c r="BE77" i="19" s="1"/>
  <c r="BG77" i="19" s="1"/>
  <c r="BK77" i="19"/>
  <c r="BL77" i="19" s="1"/>
  <c r="BN77" i="19" s="1"/>
  <c r="BD77" i="3"/>
  <c r="BK77" i="3"/>
  <c r="BL77" i="3" s="1"/>
  <c r="BN77" i="3" s="1"/>
  <c r="BD77" i="18"/>
  <c r="BE77" i="18" s="1"/>
  <c r="BG77" i="18" s="1"/>
  <c r="BK77" i="18"/>
  <c r="BL77" i="18" s="1"/>
  <c r="BN77" i="18" s="1"/>
  <c r="AR18" i="6"/>
  <c r="BD18" i="6"/>
  <c r="AH14" i="6"/>
  <c r="AK18" i="6"/>
  <c r="AD15" i="6"/>
  <c r="AP15" i="6"/>
  <c r="AT15" i="6" s="1"/>
  <c r="AL17" i="6"/>
  <c r="Z18" i="6"/>
  <c r="AX18" i="6" s="1"/>
  <c r="AF18" i="6"/>
  <c r="BT117" i="11"/>
  <c r="BM118" i="11"/>
  <c r="BM117" i="16"/>
  <c r="BT116" i="16"/>
  <c r="AY78" i="18"/>
  <c r="AZ78" i="18" s="1"/>
  <c r="AX78" i="18"/>
  <c r="AX78" i="19"/>
  <c r="AY78" i="19"/>
  <c r="AZ78" i="19" s="1"/>
  <c r="BT116" i="17"/>
  <c r="BM117" i="17"/>
  <c r="U15" i="6"/>
  <c r="X15" i="6"/>
  <c r="AB15" i="6" s="1"/>
  <c r="AJ14" i="6"/>
  <c r="AV14" i="6"/>
  <c r="AZ14" i="6"/>
  <c r="AN14" i="6"/>
  <c r="BE74" i="3"/>
  <c r="BG74" i="3" s="1"/>
  <c r="C16" i="6" s="1"/>
  <c r="L16" i="6" s="1"/>
  <c r="Q16" i="6" s="1"/>
  <c r="BB16" i="6" s="1"/>
  <c r="BF16" i="6" s="1"/>
  <c r="BD75" i="3"/>
  <c r="A69" i="10"/>
  <c r="AC69" i="10" s="1"/>
  <c r="A81" i="18"/>
  <c r="AY76" i="3"/>
  <c r="AZ76" i="3" s="1"/>
  <c r="BK76" i="3" s="1"/>
  <c r="BL76" i="3" s="1"/>
  <c r="BN76" i="3" s="1"/>
  <c r="AX78" i="3"/>
  <c r="O19" i="6"/>
  <c r="S19" i="6" s="1"/>
  <c r="N138" i="4"/>
  <c r="S138" i="4"/>
  <c r="O138" i="4"/>
  <c r="M138" i="4"/>
  <c r="T137" i="4"/>
  <c r="R138" i="4"/>
  <c r="Q138" i="4"/>
  <c r="P138" i="4"/>
  <c r="AW78" i="3"/>
  <c r="AY78" i="3" s="1"/>
  <c r="AZ78" i="3" s="1"/>
  <c r="A120" i="7"/>
  <c r="A76" i="9"/>
  <c r="A83" i="8"/>
  <c r="A23" i="6"/>
  <c r="W23" i="6" s="1"/>
  <c r="BH23" i="6" s="1"/>
  <c r="A112" i="4"/>
  <c r="A82" i="19" s="1"/>
  <c r="A81" i="3"/>
  <c r="BS119" i="17" l="1"/>
  <c r="BP119" i="17"/>
  <c r="BO119" i="17"/>
  <c r="BQ119" i="17"/>
  <c r="BN119" i="17"/>
  <c r="BR119" i="17"/>
  <c r="BP119" i="16"/>
  <c r="BR119" i="16"/>
  <c r="BO119" i="16"/>
  <c r="BQ119" i="16"/>
  <c r="BN119" i="16"/>
  <c r="BS119" i="16"/>
  <c r="BD78" i="3"/>
  <c r="BK78" i="3"/>
  <c r="BD78" i="19"/>
  <c r="BK78" i="19"/>
  <c r="BK78" i="18"/>
  <c r="BD78" i="18"/>
  <c r="AR19" i="6"/>
  <c r="BD19" i="6"/>
  <c r="AH15" i="6"/>
  <c r="AD16" i="6"/>
  <c r="AH16" i="6" s="1"/>
  <c r="AP16" i="6"/>
  <c r="AT16" i="6" s="1"/>
  <c r="AL18" i="6"/>
  <c r="Z19" i="6"/>
  <c r="AL19" i="6" s="1"/>
  <c r="AF19" i="6"/>
  <c r="BT117" i="17"/>
  <c r="BM118" i="17"/>
  <c r="AX79" i="19"/>
  <c r="AY79" i="19"/>
  <c r="AZ79" i="19" s="1"/>
  <c r="BM118" i="16"/>
  <c r="BT117" i="16"/>
  <c r="AX79" i="18"/>
  <c r="AY79" i="18"/>
  <c r="AZ79" i="18" s="1"/>
  <c r="BT118" i="11"/>
  <c r="BM119" i="11"/>
  <c r="AX19" i="6"/>
  <c r="AV15" i="6"/>
  <c r="AJ15" i="6"/>
  <c r="U16" i="6"/>
  <c r="X16" i="6"/>
  <c r="AB16" i="6" s="1"/>
  <c r="AZ15" i="6"/>
  <c r="AN15" i="6"/>
  <c r="BE75" i="3"/>
  <c r="BG75" i="3" s="1"/>
  <c r="C17" i="6" s="1"/>
  <c r="L17" i="6" s="1"/>
  <c r="Q17" i="6" s="1"/>
  <c r="BB17" i="6" s="1"/>
  <c r="BF17" i="6" s="1"/>
  <c r="BD76" i="3"/>
  <c r="BE76" i="3" s="1"/>
  <c r="BG76" i="3" s="1"/>
  <c r="C18" i="6" s="1"/>
  <c r="L18" i="6" s="1"/>
  <c r="Q18" i="6" s="1"/>
  <c r="BB18" i="6" s="1"/>
  <c r="BF18" i="6" s="1"/>
  <c r="A70" i="10"/>
  <c r="AC70" i="10" s="1"/>
  <c r="A82" i="18"/>
  <c r="AX79" i="3"/>
  <c r="P139" i="4"/>
  <c r="S139" i="4"/>
  <c r="Q139" i="4"/>
  <c r="M139" i="4"/>
  <c r="T138" i="4"/>
  <c r="O139" i="4"/>
  <c r="R139" i="4"/>
  <c r="N139" i="4"/>
  <c r="A121" i="7"/>
  <c r="A84" i="8"/>
  <c r="A77" i="9"/>
  <c r="A24" i="6"/>
  <c r="W24" i="6" s="1"/>
  <c r="BH24" i="6" s="1"/>
  <c r="A113" i="4"/>
  <c r="A83" i="19" s="1"/>
  <c r="A82" i="3"/>
  <c r="BR120" i="17" l="1"/>
  <c r="BQ120" i="17"/>
  <c r="BP120" i="17"/>
  <c r="BN120" i="17"/>
  <c r="BO120" i="17"/>
  <c r="BS120" i="17"/>
  <c r="BQ120" i="16"/>
  <c r="BS120" i="16"/>
  <c r="BR120" i="16"/>
  <c r="BN120" i="16"/>
  <c r="BO120" i="16"/>
  <c r="BP120" i="16"/>
  <c r="BD79" i="18"/>
  <c r="BK79" i="18"/>
  <c r="BD79" i="19"/>
  <c r="BK79" i="19"/>
  <c r="AD18" i="6"/>
  <c r="AP18" i="6"/>
  <c r="AT18" i="6" s="1"/>
  <c r="AD17" i="6"/>
  <c r="AP17" i="6"/>
  <c r="AT17" i="6" s="1"/>
  <c r="AH18" i="6"/>
  <c r="AX80" i="18"/>
  <c r="AY80" i="18"/>
  <c r="AZ80" i="18" s="1"/>
  <c r="BT118" i="17"/>
  <c r="BM119" i="17"/>
  <c r="BM119" i="16"/>
  <c r="BT118" i="16"/>
  <c r="AY80" i="19"/>
  <c r="AZ80" i="19" s="1"/>
  <c r="AX80" i="19"/>
  <c r="BM120" i="11"/>
  <c r="BT119" i="11"/>
  <c r="U17" i="6"/>
  <c r="X17" i="6"/>
  <c r="AB17" i="6" s="1"/>
  <c r="U18" i="6"/>
  <c r="X18" i="6"/>
  <c r="AB18" i="6" s="1"/>
  <c r="AJ16" i="6"/>
  <c r="AV16" i="6"/>
  <c r="AZ16" i="6"/>
  <c r="AN16" i="6"/>
  <c r="A71" i="10"/>
  <c r="AC71" i="10" s="1"/>
  <c r="A83" i="18"/>
  <c r="AX80" i="3"/>
  <c r="O140" i="4"/>
  <c r="Q140" i="4"/>
  <c r="R140" i="4"/>
  <c r="S140" i="4"/>
  <c r="N140" i="4"/>
  <c r="M140" i="4"/>
  <c r="T139" i="4"/>
  <c r="P140" i="4"/>
  <c r="AW79" i="3"/>
  <c r="AW80" i="3"/>
  <c r="AY80" i="3" s="1"/>
  <c r="AZ80" i="3" s="1"/>
  <c r="AW81" i="3"/>
  <c r="B73" i="10"/>
  <c r="A122" i="7"/>
  <c r="A114" i="4"/>
  <c r="A84" i="19" s="1"/>
  <c r="A78" i="9"/>
  <c r="A85" i="8"/>
  <c r="A25" i="6"/>
  <c r="W25" i="6" s="1"/>
  <c r="BH25" i="6" s="1"/>
  <c r="A83" i="3"/>
  <c r="BQ121" i="17" l="1"/>
  <c r="BO121" i="17"/>
  <c r="BS121" i="17"/>
  <c r="BN121" i="17"/>
  <c r="BP121" i="17"/>
  <c r="BR121" i="17"/>
  <c r="BN121" i="16"/>
  <c r="BP121" i="16"/>
  <c r="BS121" i="16"/>
  <c r="BO121" i="16"/>
  <c r="BR121" i="16"/>
  <c r="BQ121" i="16"/>
  <c r="BK80" i="18"/>
  <c r="BD80" i="18"/>
  <c r="BD80" i="3"/>
  <c r="BK80" i="3"/>
  <c r="BD80" i="19"/>
  <c r="BK80" i="19"/>
  <c r="AH17" i="6"/>
  <c r="C73" i="10"/>
  <c r="AD73" i="10" s="1"/>
  <c r="C85" i="19"/>
  <c r="N85" i="19" s="1"/>
  <c r="Q85" i="19" s="1"/>
  <c r="C85" i="18"/>
  <c r="N85" i="18" s="1"/>
  <c r="Q85" i="18" s="1"/>
  <c r="BM121" i="11"/>
  <c r="BT120" i="11"/>
  <c r="BM120" i="16"/>
  <c r="BT119" i="16"/>
  <c r="AX81" i="19"/>
  <c r="AY81" i="19"/>
  <c r="AZ81" i="19" s="1"/>
  <c r="BM120" i="17"/>
  <c r="BT119" i="17"/>
  <c r="AY81" i="18"/>
  <c r="AZ81" i="18" s="1"/>
  <c r="AX81" i="18"/>
  <c r="AJ18" i="6"/>
  <c r="AV18" i="6"/>
  <c r="AN18" i="6"/>
  <c r="AZ18" i="6"/>
  <c r="AJ17" i="6"/>
  <c r="AV17" i="6"/>
  <c r="AN17" i="6"/>
  <c r="AZ17" i="6"/>
  <c r="A72" i="10"/>
  <c r="AC72" i="10" s="1"/>
  <c r="A84" i="18"/>
  <c r="AY79" i="3"/>
  <c r="AZ79" i="3" s="1"/>
  <c r="AY81" i="3"/>
  <c r="AZ81" i="3" s="1"/>
  <c r="AX81" i="3"/>
  <c r="AF73" i="10"/>
  <c r="AG73" i="10"/>
  <c r="AH73" i="10"/>
  <c r="S141" i="4"/>
  <c r="N141" i="4"/>
  <c r="P141" i="4"/>
  <c r="M141" i="4"/>
  <c r="T140" i="4"/>
  <c r="R141" i="4"/>
  <c r="Q141" i="4"/>
  <c r="O141" i="4"/>
  <c r="I95" i="11"/>
  <c r="A123" i="7"/>
  <c r="A79" i="9"/>
  <c r="A26" i="6"/>
  <c r="W26" i="6" s="1"/>
  <c r="BH26" i="6" s="1"/>
  <c r="A115" i="4"/>
  <c r="A175" i="17" s="1"/>
  <c r="A86" i="8"/>
  <c r="A84" i="3"/>
  <c r="B80" i="9" l="1"/>
  <c r="J80" i="9" s="1"/>
  <c r="W80" i="9" s="1"/>
  <c r="F27" i="6" s="1"/>
  <c r="I21" i="23" s="1"/>
  <c r="AE73" i="10"/>
  <c r="BN122" i="17"/>
  <c r="BP122" i="17"/>
  <c r="BR122" i="17"/>
  <c r="BO122" i="17"/>
  <c r="BS122" i="17"/>
  <c r="BQ122" i="17"/>
  <c r="BQ122" i="16"/>
  <c r="BO122" i="16"/>
  <c r="BP122" i="16"/>
  <c r="BR122" i="16"/>
  <c r="BS122" i="16"/>
  <c r="BN122" i="16"/>
  <c r="BD81" i="3"/>
  <c r="BK81" i="3"/>
  <c r="BD81" i="18"/>
  <c r="BK81" i="18"/>
  <c r="BD81" i="19"/>
  <c r="BK81" i="19"/>
  <c r="BD79" i="3"/>
  <c r="BK79" i="3"/>
  <c r="A175" i="16"/>
  <c r="A175" i="11"/>
  <c r="H96" i="17"/>
  <c r="H96" i="16"/>
  <c r="AX82" i="19"/>
  <c r="AY82" i="19"/>
  <c r="AZ82" i="19" s="1"/>
  <c r="BT121" i="11"/>
  <c r="BM122" i="11"/>
  <c r="S85" i="18"/>
  <c r="R85" i="18"/>
  <c r="AY82" i="18"/>
  <c r="AZ82" i="18" s="1"/>
  <c r="AX82" i="18"/>
  <c r="BM121" i="16"/>
  <c r="BT120" i="16"/>
  <c r="R85" i="19"/>
  <c r="S85" i="19"/>
  <c r="BT120" i="17"/>
  <c r="BM121" i="17"/>
  <c r="F87" i="8"/>
  <c r="C87" i="8"/>
  <c r="G87" i="8"/>
  <c r="D87" i="8"/>
  <c r="E87" i="8"/>
  <c r="I87" i="8"/>
  <c r="A85" i="18"/>
  <c r="A85" i="19"/>
  <c r="G80" i="9"/>
  <c r="T80" i="9" s="1"/>
  <c r="D27" i="6" s="1"/>
  <c r="I18" i="23" s="1"/>
  <c r="H80" i="9"/>
  <c r="U80" i="9" s="1"/>
  <c r="E27" i="6" s="1"/>
  <c r="A135" i="17"/>
  <c r="A95" i="17"/>
  <c r="A135" i="16"/>
  <c r="A95" i="16"/>
  <c r="A95" i="11"/>
  <c r="A135" i="11"/>
  <c r="H96" i="11"/>
  <c r="K116" i="4"/>
  <c r="AX82" i="3"/>
  <c r="AI73" i="10"/>
  <c r="I108" i="4"/>
  <c r="O142" i="4"/>
  <c r="M142" i="4"/>
  <c r="T141" i="4"/>
  <c r="R142" i="4"/>
  <c r="N142" i="4"/>
  <c r="P142" i="4"/>
  <c r="Q142" i="4"/>
  <c r="S142" i="4"/>
  <c r="A73" i="10"/>
  <c r="AC73" i="10" s="1"/>
  <c r="AW82" i="3"/>
  <c r="AY82" i="3" s="1"/>
  <c r="AZ82" i="3" s="1"/>
  <c r="C85" i="3"/>
  <c r="N85" i="3" s="1"/>
  <c r="A124" i="7"/>
  <c r="A80" i="9"/>
  <c r="A87" i="8"/>
  <c r="A27" i="6"/>
  <c r="W27" i="6" s="1"/>
  <c r="BH27" i="6" s="1"/>
  <c r="A116" i="4"/>
  <c r="A85" i="3"/>
  <c r="AS73" i="10" l="1"/>
  <c r="AR73" i="10"/>
  <c r="BN123" i="17"/>
  <c r="BQ123" i="17"/>
  <c r="BO123" i="17"/>
  <c r="BP123" i="17"/>
  <c r="BS123" i="17"/>
  <c r="BR123" i="17"/>
  <c r="BR123" i="16"/>
  <c r="BS123" i="16"/>
  <c r="BN123" i="16"/>
  <c r="BO123" i="16"/>
  <c r="BP123" i="16"/>
  <c r="BQ123" i="16"/>
  <c r="A184" i="9"/>
  <c r="A218" i="9"/>
  <c r="A150" i="9"/>
  <c r="A116" i="9"/>
  <c r="A252" i="9"/>
  <c r="A176" i="17"/>
  <c r="A199" i="6"/>
  <c r="A63" i="6"/>
  <c r="A131" i="6"/>
  <c r="BD82" i="18"/>
  <c r="BK82" i="18"/>
  <c r="BD82" i="19"/>
  <c r="BK82" i="19"/>
  <c r="BD82" i="3"/>
  <c r="BK82" i="3"/>
  <c r="A86" i="19"/>
  <c r="A176" i="11"/>
  <c r="A176" i="16"/>
  <c r="J87" i="8"/>
  <c r="K87" i="8"/>
  <c r="S87" i="8"/>
  <c r="AA87" i="8"/>
  <c r="BM122" i="16"/>
  <c r="BT121" i="16"/>
  <c r="AY83" i="19"/>
  <c r="AZ83" i="19" s="1"/>
  <c r="AX83" i="19"/>
  <c r="AC87" i="8"/>
  <c r="M87" i="8"/>
  <c r="U87" i="8"/>
  <c r="AD87" i="8"/>
  <c r="V87" i="8"/>
  <c r="N87" i="8"/>
  <c r="AX83" i="18"/>
  <c r="AY83" i="18"/>
  <c r="AZ83" i="18" s="1"/>
  <c r="BM123" i="11"/>
  <c r="BT122" i="11"/>
  <c r="AE87" i="8"/>
  <c r="O87" i="8"/>
  <c r="W87" i="8"/>
  <c r="H97" i="17"/>
  <c r="H97" i="16"/>
  <c r="I96" i="11"/>
  <c r="I96" i="17"/>
  <c r="I96" i="16"/>
  <c r="Q87" i="8"/>
  <c r="AG87" i="8"/>
  <c r="Y87" i="8"/>
  <c r="T87" i="8"/>
  <c r="L87" i="8"/>
  <c r="AB87" i="8"/>
  <c r="BM122" i="17"/>
  <c r="BT121" i="17"/>
  <c r="A123" i="8"/>
  <c r="A194" i="7"/>
  <c r="A97" i="6"/>
  <c r="A165" i="6"/>
  <c r="A160" i="7"/>
  <c r="A157" i="8"/>
  <c r="A89" i="8"/>
  <c r="A86" i="18"/>
  <c r="A136" i="17"/>
  <c r="A96" i="17"/>
  <c r="A136" i="16"/>
  <c r="A96" i="16"/>
  <c r="A96" i="11"/>
  <c r="A136" i="11"/>
  <c r="K117" i="4"/>
  <c r="H97" i="11"/>
  <c r="AX83" i="3"/>
  <c r="K108" i="4"/>
  <c r="B66" i="10"/>
  <c r="L66" i="10"/>
  <c r="D78" i="19" s="1"/>
  <c r="N66" i="10"/>
  <c r="M66" i="10"/>
  <c r="M67" i="10" s="1"/>
  <c r="M68" i="10" s="1"/>
  <c r="M69" i="10" s="1"/>
  <c r="M70" i="10" s="1"/>
  <c r="M71" i="10" s="1"/>
  <c r="M72" i="10" s="1"/>
  <c r="I109" i="4"/>
  <c r="K109" i="4"/>
  <c r="P143" i="4"/>
  <c r="M143" i="4"/>
  <c r="T142" i="4"/>
  <c r="S143" i="4"/>
  <c r="Q143" i="4"/>
  <c r="R143" i="4"/>
  <c r="N143" i="4"/>
  <c r="O143" i="4"/>
  <c r="Q85" i="3"/>
  <c r="S85" i="3" s="1"/>
  <c r="AA85" i="3"/>
  <c r="M27" i="6"/>
  <c r="N27" i="6"/>
  <c r="A126" i="7"/>
  <c r="A82" i="9"/>
  <c r="A117" i="4"/>
  <c r="A29" i="6"/>
  <c r="W28" i="6" s="1"/>
  <c r="BH28" i="6" s="1"/>
  <c r="A86" i="3"/>
  <c r="BR26" i="6" l="1"/>
  <c r="BX26" i="6"/>
  <c r="BS26" i="6"/>
  <c r="BY26" i="6"/>
  <c r="BP124" i="17"/>
  <c r="BR124" i="17"/>
  <c r="BQ124" i="17"/>
  <c r="BS124" i="17"/>
  <c r="BO124" i="17"/>
  <c r="BN124" i="17"/>
  <c r="BO124" i="16"/>
  <c r="BP124" i="16"/>
  <c r="BQ124" i="16"/>
  <c r="BS124" i="16"/>
  <c r="BN124" i="16"/>
  <c r="BR124" i="16"/>
  <c r="A185" i="9"/>
  <c r="A219" i="9"/>
  <c r="A151" i="9"/>
  <c r="A117" i="9"/>
  <c r="A253" i="9"/>
  <c r="BK83" i="18"/>
  <c r="BD83" i="18"/>
  <c r="A177" i="17"/>
  <c r="A64" i="6"/>
  <c r="A200" i="6"/>
  <c r="A132" i="6"/>
  <c r="BD83" i="19"/>
  <c r="BK83" i="19"/>
  <c r="AH87" i="8"/>
  <c r="I27" i="6" s="1"/>
  <c r="I22" i="23" s="1"/>
  <c r="A87" i="19"/>
  <c r="A177" i="16"/>
  <c r="A177" i="11"/>
  <c r="I97" i="11"/>
  <c r="I97" i="17"/>
  <c r="I97" i="16"/>
  <c r="AY84" i="19"/>
  <c r="AZ84" i="19" s="1"/>
  <c r="AX84" i="19"/>
  <c r="Z87" i="8"/>
  <c r="BM123" i="17"/>
  <c r="BT122" i="17"/>
  <c r="AY84" i="18"/>
  <c r="AZ84" i="18" s="1"/>
  <c r="AX84" i="18"/>
  <c r="H98" i="17"/>
  <c r="H98" i="16"/>
  <c r="BM124" i="11"/>
  <c r="BT123" i="11"/>
  <c r="BM123" i="16"/>
  <c r="BT122" i="16"/>
  <c r="C78" i="18"/>
  <c r="C78" i="19"/>
  <c r="N78" i="19" s="1"/>
  <c r="Q78" i="19" s="1"/>
  <c r="A195" i="7"/>
  <c r="A158" i="8"/>
  <c r="A166" i="6"/>
  <c r="A90" i="8"/>
  <c r="A124" i="8"/>
  <c r="D78" i="3"/>
  <c r="D78" i="18"/>
  <c r="A87" i="18"/>
  <c r="A161" i="7"/>
  <c r="A137" i="17"/>
  <c r="A98" i="6"/>
  <c r="A97" i="17"/>
  <c r="A137" i="16"/>
  <c r="A97" i="16"/>
  <c r="A97" i="11"/>
  <c r="A137" i="11"/>
  <c r="K118" i="4"/>
  <c r="H98" i="11"/>
  <c r="AX84" i="3"/>
  <c r="R27" i="6"/>
  <c r="N67" i="10"/>
  <c r="B80" i="8"/>
  <c r="P66" i="10"/>
  <c r="L67" i="10"/>
  <c r="C66" i="10"/>
  <c r="C78" i="3"/>
  <c r="B67" i="10"/>
  <c r="C79" i="19" s="1"/>
  <c r="I110" i="4"/>
  <c r="I111" i="4" s="1"/>
  <c r="I112" i="4" s="1"/>
  <c r="I113" i="4" s="1"/>
  <c r="I114" i="4" s="1"/>
  <c r="G73" i="9"/>
  <c r="Q144" i="4"/>
  <c r="O144" i="4"/>
  <c r="P144" i="4"/>
  <c r="R144" i="4"/>
  <c r="M144" i="4"/>
  <c r="T143" i="4"/>
  <c r="N144" i="4"/>
  <c r="S144" i="4"/>
  <c r="AB85" i="3"/>
  <c r="AC85" i="3"/>
  <c r="AW83" i="3"/>
  <c r="AW84" i="3"/>
  <c r="AY84" i="3" s="1"/>
  <c r="AZ84" i="3" s="1"/>
  <c r="R85" i="3"/>
  <c r="A127" i="7"/>
  <c r="A118" i="4"/>
  <c r="A30" i="6"/>
  <c r="W29" i="6" s="1"/>
  <c r="BH29" i="6" s="1"/>
  <c r="A83" i="9"/>
  <c r="A87" i="3"/>
  <c r="N78" i="18" l="1"/>
  <c r="Q78" i="18" s="1"/>
  <c r="BS125" i="17"/>
  <c r="BO125" i="17"/>
  <c r="BN125" i="17"/>
  <c r="BR125" i="17"/>
  <c r="BQ125" i="17"/>
  <c r="BP125" i="17"/>
  <c r="BS125" i="16"/>
  <c r="BN125" i="16"/>
  <c r="BQ125" i="16"/>
  <c r="BR125" i="16"/>
  <c r="BP125" i="16"/>
  <c r="BO125" i="16"/>
  <c r="A254" i="9"/>
  <c r="A186" i="9"/>
  <c r="A220" i="9"/>
  <c r="A152" i="9"/>
  <c r="A118" i="9"/>
  <c r="A178" i="17"/>
  <c r="A65" i="6"/>
  <c r="A201" i="6"/>
  <c r="A133" i="6"/>
  <c r="BD84" i="19"/>
  <c r="BK84" i="19"/>
  <c r="BD84" i="3"/>
  <c r="BK84" i="3"/>
  <c r="BD84" i="18"/>
  <c r="BK84" i="18"/>
  <c r="AQ27" i="6"/>
  <c r="BC27" i="6"/>
  <c r="Y27" i="6"/>
  <c r="AK27" i="6" s="1"/>
  <c r="AE27" i="6"/>
  <c r="A88" i="19"/>
  <c r="A178" i="16"/>
  <c r="A178" i="11"/>
  <c r="H99" i="17"/>
  <c r="H99" i="16"/>
  <c r="BM124" i="17"/>
  <c r="BT123" i="17"/>
  <c r="AX85" i="18"/>
  <c r="AY85" i="18"/>
  <c r="AZ85" i="18" s="1"/>
  <c r="BM124" i="16"/>
  <c r="BT123" i="16"/>
  <c r="I98" i="11"/>
  <c r="I98" i="17"/>
  <c r="I98" i="16"/>
  <c r="BT124" i="11"/>
  <c r="BM125" i="11"/>
  <c r="AX85" i="19"/>
  <c r="AY85" i="19"/>
  <c r="AZ85" i="19" s="1"/>
  <c r="N78" i="3"/>
  <c r="R78" i="19"/>
  <c r="T78" i="19" s="1"/>
  <c r="S78" i="19"/>
  <c r="U78" i="19" s="1"/>
  <c r="V78" i="19" s="1"/>
  <c r="D79" i="18"/>
  <c r="D79" i="19"/>
  <c r="N79" i="19" s="1"/>
  <c r="Q79" i="19" s="1"/>
  <c r="A196" i="7"/>
  <c r="A159" i="8"/>
  <c r="A167" i="6"/>
  <c r="A91" i="8"/>
  <c r="A125" i="8"/>
  <c r="I80" i="8"/>
  <c r="Y80" i="8" s="1"/>
  <c r="D80" i="8"/>
  <c r="L80" i="8" s="1"/>
  <c r="G80" i="8"/>
  <c r="AE80" i="8" s="1"/>
  <c r="F80" i="8"/>
  <c r="N80" i="8" s="1"/>
  <c r="E80" i="8"/>
  <c r="AC80" i="8" s="1"/>
  <c r="C80" i="8"/>
  <c r="AA80" i="8" s="1"/>
  <c r="AF80" i="8"/>
  <c r="X80" i="8"/>
  <c r="P80" i="8"/>
  <c r="S78" i="18"/>
  <c r="U78" i="18" s="1"/>
  <c r="V78" i="18" s="1"/>
  <c r="R78" i="18"/>
  <c r="T78" i="18" s="1"/>
  <c r="A88" i="18"/>
  <c r="C67" i="10"/>
  <c r="AG67" i="10" s="1"/>
  <c r="C79" i="18"/>
  <c r="A162" i="7"/>
  <c r="A138" i="17"/>
  <c r="A98" i="17"/>
  <c r="A99" i="6"/>
  <c r="A138" i="16"/>
  <c r="A98" i="16"/>
  <c r="A98" i="11"/>
  <c r="A138" i="11"/>
  <c r="H99" i="11"/>
  <c r="K119" i="4"/>
  <c r="AY83" i="3"/>
  <c r="AZ83" i="3" s="1"/>
  <c r="AX85" i="3"/>
  <c r="AG66" i="10"/>
  <c r="AF66" i="10"/>
  <c r="AD66" i="10"/>
  <c r="AH66" i="10"/>
  <c r="AE66" i="10"/>
  <c r="T73" i="9"/>
  <c r="D20" i="6" s="1"/>
  <c r="M20" i="6" s="1"/>
  <c r="B73" i="9"/>
  <c r="H73" i="9" s="1"/>
  <c r="L68" i="10"/>
  <c r="D79" i="3"/>
  <c r="K110" i="4"/>
  <c r="N68" i="10"/>
  <c r="B81" i="8"/>
  <c r="C79" i="3"/>
  <c r="B68" i="10"/>
  <c r="C80" i="19" s="1"/>
  <c r="P67" i="10"/>
  <c r="Q78" i="3"/>
  <c r="AA78" i="3"/>
  <c r="K111" i="4"/>
  <c r="B69" i="10"/>
  <c r="O145" i="4"/>
  <c r="N145" i="4"/>
  <c r="S145" i="4"/>
  <c r="R145" i="4"/>
  <c r="M145" i="4"/>
  <c r="T144" i="4"/>
  <c r="P145" i="4"/>
  <c r="Q145" i="4"/>
  <c r="R87" i="8"/>
  <c r="G27" i="6" s="1"/>
  <c r="I16" i="23" s="1"/>
  <c r="H27" i="6"/>
  <c r="I19" i="23" s="1"/>
  <c r="AW85" i="3"/>
  <c r="AY85" i="3" s="1"/>
  <c r="AZ85" i="3" s="1"/>
  <c r="A128" i="7"/>
  <c r="A84" i="9"/>
  <c r="A31" i="6"/>
  <c r="W30" i="6" s="1"/>
  <c r="BH30" i="6" s="1"/>
  <c r="A119" i="4"/>
  <c r="A88" i="3"/>
  <c r="BR126" i="17" l="1"/>
  <c r="BQ126" i="17"/>
  <c r="BP126" i="17"/>
  <c r="BO126" i="17"/>
  <c r="BN126" i="17"/>
  <c r="BS126" i="17"/>
  <c r="BO126" i="16"/>
  <c r="BR126" i="16"/>
  <c r="BN126" i="16"/>
  <c r="BP126" i="16"/>
  <c r="BQ126" i="16"/>
  <c r="BS126" i="16"/>
  <c r="O80" i="8"/>
  <c r="A255" i="9"/>
  <c r="A187" i="9"/>
  <c r="A221" i="9"/>
  <c r="A153" i="9"/>
  <c r="A119" i="9"/>
  <c r="W80" i="8"/>
  <c r="AW27" i="6"/>
  <c r="BD85" i="19"/>
  <c r="BK85" i="19"/>
  <c r="BK85" i="18"/>
  <c r="BD85" i="18"/>
  <c r="BI78" i="18"/>
  <c r="BL78" i="18" s="1"/>
  <c r="BN78" i="18" s="1"/>
  <c r="BB78" i="18"/>
  <c r="BE78" i="18" s="1"/>
  <c r="BG78" i="18" s="1"/>
  <c r="A179" i="17"/>
  <c r="A202" i="6"/>
  <c r="A66" i="6"/>
  <c r="A134" i="6"/>
  <c r="BD85" i="3"/>
  <c r="BK85" i="3"/>
  <c r="BD83" i="3"/>
  <c r="BK83" i="3"/>
  <c r="BB78" i="19"/>
  <c r="BE78" i="19" s="1"/>
  <c r="BG78" i="19" s="1"/>
  <c r="BI78" i="19"/>
  <c r="BL78" i="19" s="1"/>
  <c r="BN78" i="19" s="1"/>
  <c r="A89" i="19"/>
  <c r="A179" i="11"/>
  <c r="A179" i="16"/>
  <c r="AD80" i="8"/>
  <c r="BM125" i="16"/>
  <c r="BT124" i="16"/>
  <c r="I99" i="11"/>
  <c r="I99" i="17"/>
  <c r="I99" i="16"/>
  <c r="BM126" i="11"/>
  <c r="BT125" i="11"/>
  <c r="BT124" i="17"/>
  <c r="BM125" i="17"/>
  <c r="H100" i="17"/>
  <c r="X100" i="17" s="1"/>
  <c r="H100" i="16"/>
  <c r="X100" i="16" s="1"/>
  <c r="V80" i="8"/>
  <c r="AH67" i="10"/>
  <c r="K80" i="8"/>
  <c r="U80" i="8"/>
  <c r="N79" i="18"/>
  <c r="Q79" i="18" s="1"/>
  <c r="S79" i="18" s="1"/>
  <c r="U79" i="18" s="1"/>
  <c r="V79" i="18" s="1"/>
  <c r="AB80" i="8"/>
  <c r="T80" i="8"/>
  <c r="S80" i="8"/>
  <c r="R79" i="19"/>
  <c r="T79" i="19" s="1"/>
  <c r="S79" i="19"/>
  <c r="U79" i="19" s="1"/>
  <c r="V79" i="19" s="1"/>
  <c r="D80" i="18"/>
  <c r="D80" i="19"/>
  <c r="N80" i="19" s="1"/>
  <c r="Q80" i="19" s="1"/>
  <c r="C81" i="18"/>
  <c r="C81" i="19"/>
  <c r="Q80" i="8"/>
  <c r="AG80" i="8"/>
  <c r="AF67" i="10"/>
  <c r="M80" i="8"/>
  <c r="J80" i="8"/>
  <c r="D81" i="8"/>
  <c r="T81" i="8" s="1"/>
  <c r="E81" i="8"/>
  <c r="U81" i="8" s="1"/>
  <c r="I81" i="8"/>
  <c r="AG81" i="8" s="1"/>
  <c r="F81" i="8"/>
  <c r="N81" i="8" s="1"/>
  <c r="C81" i="8"/>
  <c r="K81" i="8" s="1"/>
  <c r="G81" i="8"/>
  <c r="W81" i="8" s="1"/>
  <c r="A197" i="7"/>
  <c r="A160" i="8"/>
  <c r="A168" i="6"/>
  <c r="A92" i="8"/>
  <c r="A126" i="8"/>
  <c r="B74" i="9"/>
  <c r="J74" i="9" s="1"/>
  <c r="W74" i="9" s="1"/>
  <c r="F21" i="6" s="1"/>
  <c r="AD67" i="10"/>
  <c r="AE67" i="10"/>
  <c r="X81" i="8"/>
  <c r="P81" i="8"/>
  <c r="AF81" i="8"/>
  <c r="A89" i="18"/>
  <c r="C68" i="10"/>
  <c r="AH68" i="10" s="1"/>
  <c r="C80" i="18"/>
  <c r="N80" i="18" s="1"/>
  <c r="Q80" i="18" s="1"/>
  <c r="A163" i="7"/>
  <c r="A139" i="17"/>
  <c r="A99" i="17"/>
  <c r="A100" i="6"/>
  <c r="A139" i="16"/>
  <c r="A99" i="16"/>
  <c r="A99" i="11"/>
  <c r="A139" i="11"/>
  <c r="H100" i="11"/>
  <c r="K120" i="4"/>
  <c r="C80" i="3"/>
  <c r="AI66" i="10"/>
  <c r="O27" i="6"/>
  <c r="S27" i="6" s="1"/>
  <c r="U73" i="9"/>
  <c r="E20" i="6" s="1"/>
  <c r="J73" i="9"/>
  <c r="W73" i="9" s="1"/>
  <c r="F20" i="6" s="1"/>
  <c r="N79" i="3"/>
  <c r="AA79" i="3" s="1"/>
  <c r="AB79" i="3" s="1"/>
  <c r="N69" i="10"/>
  <c r="B82" i="8"/>
  <c r="P68" i="10"/>
  <c r="L69" i="10"/>
  <c r="D80" i="3"/>
  <c r="AB78" i="3"/>
  <c r="AD78" i="3" s="1"/>
  <c r="AC78" i="3"/>
  <c r="AE78" i="3" s="1"/>
  <c r="AF78" i="3" s="1"/>
  <c r="S78" i="3"/>
  <c r="U78" i="3" s="1"/>
  <c r="V78" i="3" s="1"/>
  <c r="R78" i="3"/>
  <c r="T78" i="3" s="1"/>
  <c r="C69" i="10"/>
  <c r="C81" i="3"/>
  <c r="B70" i="10"/>
  <c r="K112" i="4"/>
  <c r="P146" i="4"/>
  <c r="Q146" i="4"/>
  <c r="S146" i="4"/>
  <c r="O146" i="4"/>
  <c r="R146" i="4"/>
  <c r="M146" i="4"/>
  <c r="T145" i="4"/>
  <c r="N146" i="4"/>
  <c r="A129" i="7"/>
  <c r="A85" i="9"/>
  <c r="A32" i="6"/>
  <c r="W31" i="6" s="1"/>
  <c r="BH31" i="6" s="1"/>
  <c r="A120" i="4"/>
  <c r="A89" i="3"/>
  <c r="N20" i="6" l="1"/>
  <c r="R20" i="6" s="1"/>
  <c r="BO127" i="17"/>
  <c r="BQ127" i="17"/>
  <c r="BN127" i="17"/>
  <c r="BP127" i="17"/>
  <c r="BS127" i="17"/>
  <c r="BR127" i="17"/>
  <c r="BP127" i="16"/>
  <c r="BQ127" i="16"/>
  <c r="BS127" i="16"/>
  <c r="BR127" i="16"/>
  <c r="BN127" i="16"/>
  <c r="BO127" i="16"/>
  <c r="A256" i="9"/>
  <c r="A188" i="9"/>
  <c r="A222" i="9"/>
  <c r="A154" i="9"/>
  <c r="A120" i="9"/>
  <c r="AS66" i="10"/>
  <c r="AR66" i="10"/>
  <c r="BI79" i="18"/>
  <c r="BL79" i="18" s="1"/>
  <c r="BN79" i="18" s="1"/>
  <c r="BB79" i="18"/>
  <c r="BE79" i="18" s="1"/>
  <c r="BG79" i="18" s="1"/>
  <c r="A180" i="17"/>
  <c r="A203" i="6"/>
  <c r="A135" i="6"/>
  <c r="A67" i="6"/>
  <c r="BB78" i="3"/>
  <c r="BI78" i="3"/>
  <c r="BL78" i="3" s="1"/>
  <c r="BN78" i="3" s="1"/>
  <c r="BB79" i="19"/>
  <c r="BE79" i="19" s="1"/>
  <c r="BG79" i="19" s="1"/>
  <c r="BI79" i="19"/>
  <c r="BL79" i="19" s="1"/>
  <c r="BN79" i="19" s="1"/>
  <c r="AQ20" i="6"/>
  <c r="BC20" i="6"/>
  <c r="AR27" i="6"/>
  <c r="BD27" i="6"/>
  <c r="Y20" i="6"/>
  <c r="AK20" i="6" s="1"/>
  <c r="AE20" i="6"/>
  <c r="Z27" i="6"/>
  <c r="AL27" i="6" s="1"/>
  <c r="AF27" i="6"/>
  <c r="Q81" i="8"/>
  <c r="Y81" i="8"/>
  <c r="AH80" i="8"/>
  <c r="I20" i="6" s="1"/>
  <c r="A90" i="19"/>
  <c r="A180" i="11"/>
  <c r="A180" i="16"/>
  <c r="R80" i="8"/>
  <c r="G20" i="6" s="1"/>
  <c r="I100" i="11"/>
  <c r="I100" i="17"/>
  <c r="I100" i="16"/>
  <c r="BT125" i="17"/>
  <c r="BM126" i="17"/>
  <c r="BM127" i="11"/>
  <c r="BT126" i="11"/>
  <c r="BM126" i="16"/>
  <c r="BT125" i="16"/>
  <c r="H101" i="17"/>
  <c r="H101" i="16"/>
  <c r="Z80" i="8"/>
  <c r="H20" i="6" s="1"/>
  <c r="AE81" i="8"/>
  <c r="R79" i="18"/>
  <c r="T79" i="18" s="1"/>
  <c r="M81" i="8"/>
  <c r="AB81" i="8"/>
  <c r="O81" i="8"/>
  <c r="AI67" i="10"/>
  <c r="AC81" i="8"/>
  <c r="L81" i="8"/>
  <c r="AA81" i="8"/>
  <c r="S81" i="8"/>
  <c r="AG68" i="10"/>
  <c r="R80" i="19"/>
  <c r="T80" i="19" s="1"/>
  <c r="S80" i="19"/>
  <c r="U80" i="19" s="1"/>
  <c r="V80" i="19" s="1"/>
  <c r="B75" i="9"/>
  <c r="G75" i="9" s="1"/>
  <c r="T75" i="9" s="1"/>
  <c r="D22" i="6" s="1"/>
  <c r="AF68" i="10"/>
  <c r="AD81" i="8"/>
  <c r="C82" i="18"/>
  <c r="C82" i="19"/>
  <c r="D81" i="18"/>
  <c r="N81" i="18" s="1"/>
  <c r="Q81" i="18" s="1"/>
  <c r="S81" i="18" s="1"/>
  <c r="D81" i="19"/>
  <c r="N81" i="19" s="1"/>
  <c r="Q81" i="19" s="1"/>
  <c r="H74" i="9"/>
  <c r="V81" i="8"/>
  <c r="G74" i="9"/>
  <c r="A198" i="7"/>
  <c r="A161" i="8"/>
  <c r="A169" i="6"/>
  <c r="A127" i="8"/>
  <c r="A93" i="8"/>
  <c r="F83" i="8"/>
  <c r="C83" i="8"/>
  <c r="G83" i="8"/>
  <c r="I83" i="8"/>
  <c r="E83" i="8"/>
  <c r="D83" i="8"/>
  <c r="AD68" i="10"/>
  <c r="E82" i="8"/>
  <c r="U82" i="8" s="1"/>
  <c r="I82" i="8"/>
  <c r="Y82" i="8" s="1"/>
  <c r="F82" i="8"/>
  <c r="N82" i="8" s="1"/>
  <c r="D82" i="8"/>
  <c r="AB82" i="8" s="1"/>
  <c r="C82" i="8"/>
  <c r="AA82" i="8" s="1"/>
  <c r="G82" i="8"/>
  <c r="AE82" i="8" s="1"/>
  <c r="J81" i="8"/>
  <c r="AF82" i="8"/>
  <c r="X82" i="8"/>
  <c r="P82" i="8"/>
  <c r="S80" i="18"/>
  <c r="R80" i="18"/>
  <c r="A90" i="18"/>
  <c r="AE68" i="10"/>
  <c r="A164" i="7"/>
  <c r="A140" i="17"/>
  <c r="A100" i="17"/>
  <c r="A101" i="6"/>
  <c r="A140" i="16"/>
  <c r="A100" i="16"/>
  <c r="A100" i="11"/>
  <c r="N176" i="11" s="1"/>
  <c r="N177" i="11" s="1"/>
  <c r="N178" i="11" s="1"/>
  <c r="N179" i="11" s="1"/>
  <c r="A140" i="11"/>
  <c r="X100" i="11"/>
  <c r="K121" i="4"/>
  <c r="H101" i="11"/>
  <c r="N80" i="3"/>
  <c r="Q80" i="3" s="1"/>
  <c r="S80" i="3" s="1"/>
  <c r="P69" i="10"/>
  <c r="AG69" i="10"/>
  <c r="AF69" i="10"/>
  <c r="AH69" i="10"/>
  <c r="AD69" i="10"/>
  <c r="AE69" i="10"/>
  <c r="AC79" i="3"/>
  <c r="AE79" i="3" s="1"/>
  <c r="AF79" i="3" s="1"/>
  <c r="BE77" i="3"/>
  <c r="BG77" i="3" s="1"/>
  <c r="C19" i="6" s="1"/>
  <c r="L19" i="6" s="1"/>
  <c r="Q19" i="6" s="1"/>
  <c r="BB19" i="6" s="1"/>
  <c r="BF19" i="6" s="1"/>
  <c r="BC78" i="3"/>
  <c r="Q79" i="3"/>
  <c r="S79" i="3" s="1"/>
  <c r="U79" i="3" s="1"/>
  <c r="V79" i="3" s="1"/>
  <c r="B76" i="9"/>
  <c r="G76" i="9" s="1"/>
  <c r="AD79" i="3"/>
  <c r="AA80" i="3"/>
  <c r="AB80" i="3" s="1"/>
  <c r="L70" i="10"/>
  <c r="D81" i="3"/>
  <c r="N81" i="3" s="1"/>
  <c r="AA81" i="3" s="1"/>
  <c r="N70" i="10"/>
  <c r="B83" i="8"/>
  <c r="C70" i="10"/>
  <c r="C82" i="3"/>
  <c r="K113" i="4"/>
  <c r="B71" i="10"/>
  <c r="N147" i="4"/>
  <c r="O147" i="4"/>
  <c r="M147" i="4"/>
  <c r="T146" i="4"/>
  <c r="S147" i="4"/>
  <c r="Q147" i="4"/>
  <c r="R147" i="4"/>
  <c r="P147" i="4"/>
  <c r="A130" i="7"/>
  <c r="A121" i="4"/>
  <c r="A86" i="9"/>
  <c r="A33" i="6"/>
  <c r="W32" i="6" s="1"/>
  <c r="BH32" i="6" s="1"/>
  <c r="A90" i="3"/>
  <c r="U80" i="18" l="1"/>
  <c r="V80" i="18" s="1"/>
  <c r="BR128" i="17"/>
  <c r="BP128" i="17"/>
  <c r="BS128" i="17"/>
  <c r="BN128" i="17"/>
  <c r="BO128" i="17"/>
  <c r="BQ128" i="17"/>
  <c r="BR128" i="16"/>
  <c r="BN128" i="16"/>
  <c r="BS128" i="16"/>
  <c r="BO128" i="16"/>
  <c r="BQ128" i="16"/>
  <c r="BP128" i="16"/>
  <c r="AR67" i="10"/>
  <c r="BI20" i="6" s="1"/>
  <c r="AS67" i="10"/>
  <c r="BM20" i="6" s="1"/>
  <c r="L218" i="9"/>
  <c r="L219" i="9" s="1"/>
  <c r="L220" i="9" s="1"/>
  <c r="L221" i="9" s="1"/>
  <c r="L184" i="9"/>
  <c r="C184" i="9"/>
  <c r="C185" i="9" s="1"/>
  <c r="N178" i="16"/>
  <c r="N138" i="16"/>
  <c r="C150" i="9"/>
  <c r="C151" i="9" s="1"/>
  <c r="C152" i="9" s="1"/>
  <c r="C153" i="9" s="1"/>
  <c r="M150" i="9"/>
  <c r="L150" i="9"/>
  <c r="L151" i="9" s="1"/>
  <c r="L152" i="9" s="1"/>
  <c r="D150" i="9"/>
  <c r="BR19" i="6"/>
  <c r="BX19" i="6"/>
  <c r="BL19" i="6"/>
  <c r="BI19" i="6"/>
  <c r="BS19" i="6"/>
  <c r="BY19" i="6"/>
  <c r="BM19" i="6"/>
  <c r="BJ19" i="6"/>
  <c r="A189" i="9"/>
  <c r="A223" i="9"/>
  <c r="A155" i="9"/>
  <c r="A121" i="9"/>
  <c r="A257" i="9"/>
  <c r="N138" i="17"/>
  <c r="N178" i="17"/>
  <c r="W98" i="17"/>
  <c r="AW20" i="6"/>
  <c r="C116" i="9"/>
  <c r="D116" i="9" s="1"/>
  <c r="L116" i="9"/>
  <c r="M116" i="9" s="1"/>
  <c r="L252" i="9"/>
  <c r="A181" i="17"/>
  <c r="A204" i="6"/>
  <c r="A68" i="6"/>
  <c r="A136" i="6"/>
  <c r="BI80" i="18"/>
  <c r="BL80" i="18" s="1"/>
  <c r="BN80" i="18" s="1"/>
  <c r="BB80" i="18"/>
  <c r="BE80" i="18" s="1"/>
  <c r="BG80" i="18" s="1"/>
  <c r="H176" i="17"/>
  <c r="BL20" i="6"/>
  <c r="BB79" i="3"/>
  <c r="BI79" i="3"/>
  <c r="BL79" i="3" s="1"/>
  <c r="BN79" i="3" s="1"/>
  <c r="BB80" i="19"/>
  <c r="BE80" i="19" s="1"/>
  <c r="BG80" i="19" s="1"/>
  <c r="BI80" i="19"/>
  <c r="BL80" i="19" s="1"/>
  <c r="BN80" i="19" s="1"/>
  <c r="AD19" i="6"/>
  <c r="AP19" i="6"/>
  <c r="AT19" i="6" s="1"/>
  <c r="AX27" i="6"/>
  <c r="O20" i="6"/>
  <c r="S20" i="6" s="1"/>
  <c r="M22" i="6"/>
  <c r="H75" i="9"/>
  <c r="U75" i="9" s="1"/>
  <c r="E22" i="6" s="1"/>
  <c r="D18" i="23" s="1"/>
  <c r="A91" i="19"/>
  <c r="A181" i="16"/>
  <c r="A181" i="11"/>
  <c r="O176" i="16"/>
  <c r="H136" i="16"/>
  <c r="N136" i="11"/>
  <c r="O136" i="11" s="1"/>
  <c r="O176" i="11"/>
  <c r="AH81" i="8"/>
  <c r="I21" i="6" s="1"/>
  <c r="Q82" i="8"/>
  <c r="H102" i="17"/>
  <c r="H102" i="16"/>
  <c r="BT127" i="11"/>
  <c r="BM128" i="11"/>
  <c r="BT128" i="11" s="1"/>
  <c r="I101" i="11"/>
  <c r="I101" i="17"/>
  <c r="I101" i="16"/>
  <c r="W82" i="8"/>
  <c r="O82" i="8"/>
  <c r="BM127" i="17"/>
  <c r="BT126" i="17"/>
  <c r="AG82" i="8"/>
  <c r="Z81" i="8"/>
  <c r="H21" i="6" s="1"/>
  <c r="BM127" i="16"/>
  <c r="BT126" i="16"/>
  <c r="H136" i="17"/>
  <c r="U19" i="6"/>
  <c r="X19" i="6"/>
  <c r="AB19" i="6" s="1"/>
  <c r="J75" i="9"/>
  <c r="W75" i="9" s="1"/>
  <c r="F22" i="6" s="1"/>
  <c r="D21" i="23" s="1"/>
  <c r="S82" i="8"/>
  <c r="K82" i="8"/>
  <c r="T80" i="18"/>
  <c r="R81" i="8"/>
  <c r="G21" i="6" s="1"/>
  <c r="AC82" i="8"/>
  <c r="U74" i="9"/>
  <c r="E21" i="6" s="1"/>
  <c r="N21" i="6" s="1"/>
  <c r="T74" i="9"/>
  <c r="D21" i="6" s="1"/>
  <c r="M21" i="6" s="1"/>
  <c r="M82" i="8"/>
  <c r="T82" i="8"/>
  <c r="L82" i="8"/>
  <c r="AI68" i="10"/>
  <c r="AD82" i="8"/>
  <c r="V82" i="8"/>
  <c r="D82" i="18"/>
  <c r="N82" i="18" s="1"/>
  <c r="Q82" i="18" s="1"/>
  <c r="S82" i="18" s="1"/>
  <c r="D82" i="19"/>
  <c r="N82" i="19" s="1"/>
  <c r="Q82" i="19" s="1"/>
  <c r="R81" i="18"/>
  <c r="C83" i="18"/>
  <c r="C83" i="19"/>
  <c r="S81" i="19"/>
  <c r="U81" i="19" s="1"/>
  <c r="V81" i="19" s="1"/>
  <c r="R81" i="19"/>
  <c r="T81" i="19" s="1"/>
  <c r="J83" i="8"/>
  <c r="A199" i="7"/>
  <c r="A162" i="8"/>
  <c r="A170" i="6"/>
  <c r="A94" i="8"/>
  <c r="A128" i="8"/>
  <c r="C84" i="8"/>
  <c r="G84" i="8"/>
  <c r="D84" i="8"/>
  <c r="I84" i="8"/>
  <c r="E84" i="8"/>
  <c r="F84" i="8"/>
  <c r="J82" i="8"/>
  <c r="AB83" i="8"/>
  <c r="AF83" i="8"/>
  <c r="V83" i="8"/>
  <c r="L83" i="8"/>
  <c r="P83" i="8"/>
  <c r="AD83" i="8"/>
  <c r="W83" i="8"/>
  <c r="M83" i="8"/>
  <c r="AE83" i="8"/>
  <c r="U83" i="8"/>
  <c r="N83" i="8"/>
  <c r="AA83" i="8"/>
  <c r="T83" i="8"/>
  <c r="O83" i="8"/>
  <c r="AG83" i="8"/>
  <c r="X83" i="8"/>
  <c r="AC83" i="8"/>
  <c r="S83" i="8"/>
  <c r="Q83" i="8"/>
  <c r="Y83" i="8"/>
  <c r="K83" i="8"/>
  <c r="C218" i="9"/>
  <c r="C219" i="9" s="1"/>
  <c r="C220" i="9" s="1"/>
  <c r="C221" i="9" s="1"/>
  <c r="M218" i="9"/>
  <c r="M219" i="9" s="1"/>
  <c r="M220" i="9" s="1"/>
  <c r="M221" i="9" s="1"/>
  <c r="D218" i="9"/>
  <c r="D219" i="9" s="1"/>
  <c r="D220" i="9" s="1"/>
  <c r="D221" i="9" s="1"/>
  <c r="A91" i="18"/>
  <c r="C82" i="9"/>
  <c r="D82" i="9" s="1"/>
  <c r="L82" i="9"/>
  <c r="M82" i="9" s="1"/>
  <c r="O136" i="17"/>
  <c r="X96" i="17"/>
  <c r="A165" i="7"/>
  <c r="A141" i="17"/>
  <c r="A102" i="6"/>
  <c r="A101" i="17"/>
  <c r="W96" i="11"/>
  <c r="X96" i="11" s="1"/>
  <c r="O136" i="16"/>
  <c r="X96" i="16"/>
  <c r="A141" i="16"/>
  <c r="A101" i="16"/>
  <c r="A101" i="11"/>
  <c r="A141" i="11"/>
  <c r="H102" i="11"/>
  <c r="K122" i="4"/>
  <c r="AF70" i="10"/>
  <c r="AG70" i="10"/>
  <c r="AD70" i="10"/>
  <c r="AH70" i="10"/>
  <c r="AE70" i="10"/>
  <c r="AI69" i="10"/>
  <c r="R79" i="3"/>
  <c r="T79" i="3" s="1"/>
  <c r="U80" i="3" s="1"/>
  <c r="V80" i="3" s="1"/>
  <c r="T76" i="9"/>
  <c r="D23" i="6" s="1"/>
  <c r="J76" i="9"/>
  <c r="W76" i="9" s="1"/>
  <c r="F23" i="6" s="1"/>
  <c r="E21" i="23" s="1"/>
  <c r="BE78" i="3"/>
  <c r="BG78" i="3" s="1"/>
  <c r="C20" i="6" s="1"/>
  <c r="L20" i="6" s="1"/>
  <c r="Q20" i="6" s="1"/>
  <c r="BB20" i="6" s="1"/>
  <c r="BC79" i="3"/>
  <c r="H76" i="9"/>
  <c r="B77" i="9"/>
  <c r="H77" i="9" s="1"/>
  <c r="R80" i="3"/>
  <c r="Q81" i="3"/>
  <c r="R81" i="3" s="1"/>
  <c r="P70" i="10"/>
  <c r="AC80" i="3"/>
  <c r="AE80" i="3" s="1"/>
  <c r="AF80" i="3" s="1"/>
  <c r="AD80" i="3"/>
  <c r="N71" i="10"/>
  <c r="B84" i="8"/>
  <c r="L71" i="10"/>
  <c r="D82" i="3"/>
  <c r="N82" i="3" s="1"/>
  <c r="C71" i="10"/>
  <c r="C83" i="3"/>
  <c r="K114" i="4"/>
  <c r="B72" i="10"/>
  <c r="AB81" i="3"/>
  <c r="AC81" i="3"/>
  <c r="R148" i="4"/>
  <c r="Q148" i="4"/>
  <c r="O148" i="4"/>
  <c r="S148" i="4"/>
  <c r="P148" i="4"/>
  <c r="M148" i="4"/>
  <c r="T147" i="4"/>
  <c r="N148" i="4"/>
  <c r="A131" i="7"/>
  <c r="A122" i="4"/>
  <c r="A87" i="9"/>
  <c r="A34" i="6"/>
  <c r="W33" i="6" s="1"/>
  <c r="BH33" i="6" s="1"/>
  <c r="A91" i="3"/>
  <c r="BO20" i="6" l="1"/>
  <c r="BU20" i="6"/>
  <c r="M23" i="6"/>
  <c r="BJ20" i="6"/>
  <c r="C117" i="9"/>
  <c r="L153" i="9"/>
  <c r="D185" i="9"/>
  <c r="AS68" i="10"/>
  <c r="BM21" i="6" s="1"/>
  <c r="AR68" i="10"/>
  <c r="BI21" i="6" s="1"/>
  <c r="R21" i="6"/>
  <c r="Y21" i="6" s="1"/>
  <c r="AW21" i="6" s="1"/>
  <c r="M252" i="9"/>
  <c r="D151" i="9"/>
  <c r="M184" i="9"/>
  <c r="A258" i="9"/>
  <c r="A190" i="9"/>
  <c r="A224" i="9"/>
  <c r="A156" i="9"/>
  <c r="A122" i="9"/>
  <c r="AR69" i="10"/>
  <c r="AS69" i="10"/>
  <c r="M151" i="9"/>
  <c r="C186" i="9"/>
  <c r="BS20" i="6"/>
  <c r="BY20" i="6"/>
  <c r="L253" i="9"/>
  <c r="L117" i="9"/>
  <c r="BV19" i="6"/>
  <c r="BP19" i="6"/>
  <c r="BU19" i="6"/>
  <c r="BO19" i="6"/>
  <c r="D184" i="9"/>
  <c r="L185" i="9"/>
  <c r="BX20" i="6"/>
  <c r="BR20" i="6"/>
  <c r="N22" i="6"/>
  <c r="R22" i="6" s="1"/>
  <c r="BJ21" i="6"/>
  <c r="BV21" i="6" s="1"/>
  <c r="BB80" i="3"/>
  <c r="BI80" i="3"/>
  <c r="BL80" i="3" s="1"/>
  <c r="BN80" i="3" s="1"/>
  <c r="A182" i="17"/>
  <c r="A69" i="6"/>
  <c r="A137" i="6"/>
  <c r="A205" i="6"/>
  <c r="BB81" i="19"/>
  <c r="BE81" i="19" s="1"/>
  <c r="BG81" i="19" s="1"/>
  <c r="BI81" i="19"/>
  <c r="BL81" i="19" s="1"/>
  <c r="BN81" i="19" s="1"/>
  <c r="AR20" i="6"/>
  <c r="BD20" i="6"/>
  <c r="BF20" i="6" s="1"/>
  <c r="AQ21" i="6"/>
  <c r="AH19" i="6"/>
  <c r="AD20" i="6"/>
  <c r="AP20" i="6"/>
  <c r="Z20" i="6"/>
  <c r="AF20" i="6"/>
  <c r="N137" i="11"/>
  <c r="O137" i="11" s="1"/>
  <c r="H179" i="17"/>
  <c r="H177" i="17"/>
  <c r="H178" i="17"/>
  <c r="O176" i="17"/>
  <c r="R82" i="8"/>
  <c r="G22" i="6" s="1"/>
  <c r="D16" i="23" s="1"/>
  <c r="A92" i="19"/>
  <c r="A182" i="16"/>
  <c r="A182" i="11"/>
  <c r="H176" i="16"/>
  <c r="AH82" i="8"/>
  <c r="I22" i="6" s="1"/>
  <c r="D22" i="23" s="1"/>
  <c r="Z82" i="8"/>
  <c r="H22" i="6" s="1"/>
  <c r="D19" i="23" s="1"/>
  <c r="O21" i="6"/>
  <c r="S21" i="6" s="1"/>
  <c r="BM128" i="17"/>
  <c r="BT127" i="17"/>
  <c r="I102" i="11"/>
  <c r="I102" i="17"/>
  <c r="I102" i="16"/>
  <c r="H137" i="16"/>
  <c r="H103" i="17"/>
  <c r="H103" i="16"/>
  <c r="T81" i="18"/>
  <c r="U82" i="18" s="1"/>
  <c r="V82" i="18" s="1"/>
  <c r="BM128" i="16"/>
  <c r="BT127" i="16"/>
  <c r="H139" i="17"/>
  <c r="H138" i="17"/>
  <c r="H137" i="17"/>
  <c r="U20" i="6"/>
  <c r="X20" i="6"/>
  <c r="AV19" i="6"/>
  <c r="AJ19" i="6"/>
  <c r="AZ19" i="6"/>
  <c r="AN19" i="6"/>
  <c r="R82" i="18"/>
  <c r="U81" i="18"/>
  <c r="V81" i="18" s="1"/>
  <c r="S82" i="19"/>
  <c r="U82" i="19" s="1"/>
  <c r="V82" i="19" s="1"/>
  <c r="R82" i="19"/>
  <c r="T82" i="19" s="1"/>
  <c r="D83" i="18"/>
  <c r="N83" i="18" s="1"/>
  <c r="Q83" i="18" s="1"/>
  <c r="S83" i="18" s="1"/>
  <c r="D83" i="19"/>
  <c r="N83" i="19" s="1"/>
  <c r="Q83" i="19" s="1"/>
  <c r="C84" i="18"/>
  <c r="C84" i="19"/>
  <c r="A200" i="7"/>
  <c r="A163" i="8"/>
  <c r="A171" i="6"/>
  <c r="A95" i="8"/>
  <c r="A129" i="8"/>
  <c r="K97" i="16"/>
  <c r="J84" i="8"/>
  <c r="D85" i="8"/>
  <c r="E85" i="8"/>
  <c r="I85" i="8"/>
  <c r="F85" i="8"/>
  <c r="C85" i="8"/>
  <c r="G85" i="8"/>
  <c r="O137" i="17"/>
  <c r="AC84" i="8"/>
  <c r="AG84" i="8"/>
  <c r="W84" i="8"/>
  <c r="S84" i="8"/>
  <c r="M84" i="8"/>
  <c r="Q84" i="8"/>
  <c r="AB84" i="8"/>
  <c r="U84" i="8"/>
  <c r="K84" i="8"/>
  <c r="P84" i="8"/>
  <c r="AD84" i="8"/>
  <c r="Y84" i="8"/>
  <c r="T84" i="8"/>
  <c r="L84" i="8"/>
  <c r="AE84" i="8"/>
  <c r="X84" i="8"/>
  <c r="N84" i="8"/>
  <c r="AA84" i="8"/>
  <c r="AF84" i="8"/>
  <c r="V84" i="8"/>
  <c r="O84" i="8"/>
  <c r="A92" i="18"/>
  <c r="W97" i="11"/>
  <c r="X97" i="11" s="1"/>
  <c r="K98" i="17"/>
  <c r="K96" i="17"/>
  <c r="C83" i="9"/>
  <c r="D83" i="9" s="1"/>
  <c r="A166" i="7"/>
  <c r="A142" i="17"/>
  <c r="A102" i="17"/>
  <c r="A103" i="6"/>
  <c r="K97" i="17"/>
  <c r="L83" i="9"/>
  <c r="M83" i="9" s="1"/>
  <c r="A142" i="16"/>
  <c r="A102" i="16"/>
  <c r="A102" i="11"/>
  <c r="A142" i="11"/>
  <c r="H103" i="11"/>
  <c r="K123" i="4"/>
  <c r="T80" i="3"/>
  <c r="T81" i="3" s="1"/>
  <c r="AE71" i="10"/>
  <c r="AG71" i="10"/>
  <c r="AH71" i="10"/>
  <c r="AD71" i="10"/>
  <c r="AF71" i="10"/>
  <c r="AI70" i="10"/>
  <c r="U77" i="9"/>
  <c r="E24" i="6" s="1"/>
  <c r="G77" i="9"/>
  <c r="U76" i="9"/>
  <c r="E23" i="6" s="1"/>
  <c r="N23" i="6" s="1"/>
  <c r="R23" i="6" s="1"/>
  <c r="S81" i="3"/>
  <c r="BE79" i="3"/>
  <c r="BG79" i="3" s="1"/>
  <c r="C21" i="6" s="1"/>
  <c r="L21" i="6" s="1"/>
  <c r="Q21" i="6" s="1"/>
  <c r="BB21" i="6" s="1"/>
  <c r="BC80" i="3"/>
  <c r="B78" i="9"/>
  <c r="J78" i="9" s="1"/>
  <c r="W78" i="9" s="1"/>
  <c r="F25" i="6" s="1"/>
  <c r="G21" i="23" s="1"/>
  <c r="J77" i="9"/>
  <c r="W77" i="9" s="1"/>
  <c r="F24" i="6" s="1"/>
  <c r="F21" i="23" s="1"/>
  <c r="Z83" i="8"/>
  <c r="H23" i="6" s="1"/>
  <c r="E19" i="23" s="1"/>
  <c r="P71" i="10"/>
  <c r="AE81" i="3"/>
  <c r="AF81" i="3" s="1"/>
  <c r="AD81" i="3"/>
  <c r="AH83" i="8"/>
  <c r="I23" i="6" s="1"/>
  <c r="E22" i="23" s="1"/>
  <c r="Q82" i="3"/>
  <c r="R82" i="3" s="1"/>
  <c r="AA82" i="3"/>
  <c r="AB82" i="3" s="1"/>
  <c r="L72" i="10"/>
  <c r="D84" i="19" s="1"/>
  <c r="D83" i="3"/>
  <c r="N83" i="3" s="1"/>
  <c r="R83" i="8"/>
  <c r="G23" i="6" s="1"/>
  <c r="E16" i="23" s="1"/>
  <c r="N72" i="10"/>
  <c r="B86" i="8" s="1"/>
  <c r="B85" i="8"/>
  <c r="C72" i="10"/>
  <c r="C84" i="3"/>
  <c r="T148" i="4"/>
  <c r="A132" i="7"/>
  <c r="A88" i="9"/>
  <c r="A35" i="6"/>
  <c r="W34" i="6" s="1"/>
  <c r="BH34" i="6" s="1"/>
  <c r="A123" i="4"/>
  <c r="A92" i="3"/>
  <c r="BC21" i="6" l="1"/>
  <c r="E18" i="23"/>
  <c r="BP21" i="6"/>
  <c r="AE21" i="6"/>
  <c r="U81" i="3"/>
  <c r="V81" i="3" s="1"/>
  <c r="AE22" i="6"/>
  <c r="Y22" i="6"/>
  <c r="BO21" i="6"/>
  <c r="BU21" i="6"/>
  <c r="BL21" i="6"/>
  <c r="BP20" i="6"/>
  <c r="BV20" i="6"/>
  <c r="BT128" i="17"/>
  <c r="BT128" i="16"/>
  <c r="D117" i="9"/>
  <c r="C118" i="9"/>
  <c r="C119" i="9" s="1"/>
  <c r="M117" i="9"/>
  <c r="L118" i="9"/>
  <c r="C187" i="9"/>
  <c r="D186" i="9"/>
  <c r="D152" i="9"/>
  <c r="M152" i="9"/>
  <c r="M185" i="9"/>
  <c r="L186" i="9"/>
  <c r="M253" i="9"/>
  <c r="L254" i="9"/>
  <c r="BX21" i="6"/>
  <c r="BR21" i="6"/>
  <c r="A259" i="9"/>
  <c r="A191" i="9"/>
  <c r="A225" i="9"/>
  <c r="A157" i="9"/>
  <c r="A123" i="9"/>
  <c r="AS70" i="10"/>
  <c r="AR70" i="10"/>
  <c r="BL23" i="6" s="1"/>
  <c r="BX22" i="6"/>
  <c r="BR22" i="6"/>
  <c r="N24" i="6"/>
  <c r="T82" i="18"/>
  <c r="U83" i="18" s="1"/>
  <c r="V83" i="18" s="1"/>
  <c r="BY22" i="6"/>
  <c r="BS22" i="6"/>
  <c r="BS21" i="6"/>
  <c r="BY21" i="6"/>
  <c r="AB20" i="6"/>
  <c r="AN20" i="6" s="1"/>
  <c r="AT20" i="6"/>
  <c r="BI81" i="18"/>
  <c r="BL81" i="18" s="1"/>
  <c r="BN81" i="18" s="1"/>
  <c r="BB81" i="18"/>
  <c r="BE81" i="18" s="1"/>
  <c r="BG81" i="18" s="1"/>
  <c r="BI22" i="6"/>
  <c r="BO22" i="6" s="1"/>
  <c r="BL22" i="6"/>
  <c r="A183" i="17"/>
  <c r="A206" i="6"/>
  <c r="A70" i="6"/>
  <c r="A138" i="6"/>
  <c r="N138" i="11"/>
  <c r="O138" i="11" s="1"/>
  <c r="BI82" i="18"/>
  <c r="BL82" i="18" s="1"/>
  <c r="BN82" i="18" s="1"/>
  <c r="BB82" i="18"/>
  <c r="BE82" i="18" s="1"/>
  <c r="BG82" i="18" s="1"/>
  <c r="BJ22" i="6"/>
  <c r="BP22" i="6" s="1"/>
  <c r="BM22" i="6"/>
  <c r="BB81" i="3"/>
  <c r="BI81" i="3"/>
  <c r="BL81" i="3" s="1"/>
  <c r="BN81" i="3" s="1"/>
  <c r="BB82" i="19"/>
  <c r="BE82" i="19" s="1"/>
  <c r="BG82" i="19" s="1"/>
  <c r="BI82" i="19"/>
  <c r="BL82" i="19" s="1"/>
  <c r="BN82" i="19" s="1"/>
  <c r="AR21" i="6"/>
  <c r="BD21" i="6"/>
  <c r="BF21" i="6" s="1"/>
  <c r="AQ23" i="6"/>
  <c r="BC23" i="6"/>
  <c r="AQ22" i="6"/>
  <c r="BC22" i="6"/>
  <c r="AK21" i="6"/>
  <c r="AD21" i="6"/>
  <c r="AP21" i="6"/>
  <c r="Y23" i="6"/>
  <c r="AW23" i="6" s="1"/>
  <c r="AE23" i="6"/>
  <c r="AL20" i="6"/>
  <c r="AX20" i="6"/>
  <c r="Z21" i="6"/>
  <c r="AL21" i="6" s="1"/>
  <c r="AF21" i="6"/>
  <c r="AH20" i="6"/>
  <c r="R83" i="18"/>
  <c r="O22" i="6"/>
  <c r="S22" i="6" s="1"/>
  <c r="O177" i="17"/>
  <c r="O177" i="16"/>
  <c r="A93" i="19"/>
  <c r="A183" i="11"/>
  <c r="A183" i="16"/>
  <c r="H177" i="16"/>
  <c r="O177" i="11"/>
  <c r="W98" i="11"/>
  <c r="X98" i="11" s="1"/>
  <c r="I103" i="11"/>
  <c r="I103" i="17"/>
  <c r="I103" i="16"/>
  <c r="H138" i="16"/>
  <c r="H104" i="17"/>
  <c r="H104" i="16"/>
  <c r="U21" i="6"/>
  <c r="X21" i="6"/>
  <c r="AJ20" i="6"/>
  <c r="AV20" i="6"/>
  <c r="K98" i="16"/>
  <c r="S83" i="19"/>
  <c r="U83" i="19" s="1"/>
  <c r="V83" i="19" s="1"/>
  <c r="R83" i="19"/>
  <c r="T83" i="19" s="1"/>
  <c r="N84" i="19"/>
  <c r="Q84" i="19" s="1"/>
  <c r="A201" i="7"/>
  <c r="A164" i="8"/>
  <c r="A172" i="6"/>
  <c r="A130" i="8"/>
  <c r="A96" i="8"/>
  <c r="E86" i="8"/>
  <c r="U86" i="8" s="1"/>
  <c r="I86" i="8"/>
  <c r="Y86" i="8" s="1"/>
  <c r="F86" i="8"/>
  <c r="N86" i="8" s="1"/>
  <c r="D86" i="8"/>
  <c r="AB86" i="8" s="1"/>
  <c r="C86" i="8"/>
  <c r="K86" i="8" s="1"/>
  <c r="G86" i="8"/>
  <c r="W86" i="8" s="1"/>
  <c r="J85" i="8"/>
  <c r="AD85" i="8"/>
  <c r="X85" i="8"/>
  <c r="T85" i="8"/>
  <c r="N85" i="8"/>
  <c r="AA85" i="8"/>
  <c r="AF85" i="8"/>
  <c r="Y85" i="8"/>
  <c r="S85" i="8"/>
  <c r="O85" i="8"/>
  <c r="AB85" i="8"/>
  <c r="AG85" i="8"/>
  <c r="W85" i="8"/>
  <c r="K85" i="8"/>
  <c r="P85" i="8"/>
  <c r="L85" i="8"/>
  <c r="V85" i="8"/>
  <c r="Q85" i="8"/>
  <c r="M85" i="8"/>
  <c r="AC85" i="8"/>
  <c r="AE85" i="8"/>
  <c r="U85" i="8"/>
  <c r="AA86" i="8"/>
  <c r="AE86" i="8"/>
  <c r="AF86" i="8"/>
  <c r="P86" i="8"/>
  <c r="X86" i="8"/>
  <c r="D84" i="3"/>
  <c r="N84" i="3" s="1"/>
  <c r="Q84" i="3" s="1"/>
  <c r="D84" i="18"/>
  <c r="N84" i="18" s="1"/>
  <c r="Q84" i="18" s="1"/>
  <c r="A93" i="18"/>
  <c r="O138" i="17"/>
  <c r="O139" i="17"/>
  <c r="A167" i="7"/>
  <c r="A143" i="17"/>
  <c r="A103" i="17"/>
  <c r="A104" i="6"/>
  <c r="L84" i="9"/>
  <c r="M84" i="9" s="1"/>
  <c r="C84" i="9"/>
  <c r="D84" i="9" s="1"/>
  <c r="X97" i="17"/>
  <c r="K99" i="17"/>
  <c r="K99" i="16"/>
  <c r="O137" i="16"/>
  <c r="A143" i="16"/>
  <c r="A103" i="16"/>
  <c r="X97" i="16"/>
  <c r="A103" i="11"/>
  <c r="A143" i="11"/>
  <c r="N139" i="11"/>
  <c r="O139" i="11" s="1"/>
  <c r="H104" i="11"/>
  <c r="K124" i="4"/>
  <c r="G78" i="9"/>
  <c r="T78" i="9" s="1"/>
  <c r="D25" i="6" s="1"/>
  <c r="AI71" i="10"/>
  <c r="H78" i="9"/>
  <c r="AD72" i="10"/>
  <c r="AH72" i="10"/>
  <c r="AG72" i="10"/>
  <c r="AE72" i="10"/>
  <c r="AF72" i="10"/>
  <c r="O23" i="6"/>
  <c r="S23" i="6" s="1"/>
  <c r="T77" i="9"/>
  <c r="D24" i="6" s="1"/>
  <c r="BE80" i="3"/>
  <c r="BG80" i="3" s="1"/>
  <c r="C22" i="6" s="1"/>
  <c r="BC81" i="3"/>
  <c r="AC82" i="3"/>
  <c r="AE82" i="3" s="1"/>
  <c r="AF82" i="3" s="1"/>
  <c r="B79" i="9"/>
  <c r="G79" i="9" s="1"/>
  <c r="Z84" i="8"/>
  <c r="H24" i="6" s="1"/>
  <c r="F19" i="23" s="1"/>
  <c r="P72" i="10"/>
  <c r="S82" i="3"/>
  <c r="U82" i="3" s="1"/>
  <c r="V82" i="3" s="1"/>
  <c r="AD82" i="3"/>
  <c r="Q83" i="3"/>
  <c r="R83" i="3" s="1"/>
  <c r="AA83" i="3"/>
  <c r="AC83" i="3" s="1"/>
  <c r="R84" i="8"/>
  <c r="G24" i="6" s="1"/>
  <c r="F16" i="23" s="1"/>
  <c r="AH84" i="8"/>
  <c r="I24" i="6" s="1"/>
  <c r="F22" i="23" s="1"/>
  <c r="T82" i="3"/>
  <c r="AA84" i="3"/>
  <c r="A133" i="7"/>
  <c r="A89" i="9"/>
  <c r="A36" i="6"/>
  <c r="W35" i="6" s="1"/>
  <c r="BH35" i="6" s="1"/>
  <c r="A124" i="4"/>
  <c r="A93" i="3"/>
  <c r="M24" i="6" l="1"/>
  <c r="F18" i="23"/>
  <c r="L22" i="6"/>
  <c r="Q22" i="6" s="1"/>
  <c r="BB22" i="6" s="1"/>
  <c r="D17" i="23"/>
  <c r="AZ20" i="6"/>
  <c r="AT21" i="6"/>
  <c r="T83" i="18"/>
  <c r="AK22" i="6"/>
  <c r="AW22" i="6"/>
  <c r="D118" i="9"/>
  <c r="R24" i="6"/>
  <c r="AQ24" i="6" s="1"/>
  <c r="BY23" i="6"/>
  <c r="BS23" i="6"/>
  <c r="L255" i="9"/>
  <c r="M254" i="9"/>
  <c r="AR71" i="10"/>
  <c r="AS71" i="10"/>
  <c r="BJ24" i="6" s="1"/>
  <c r="BP24" i="6" s="1"/>
  <c r="M86" i="8"/>
  <c r="BM23" i="6"/>
  <c r="M118" i="9"/>
  <c r="L119" i="9"/>
  <c r="BR23" i="6"/>
  <c r="BX23" i="6"/>
  <c r="L187" i="9"/>
  <c r="M186" i="9"/>
  <c r="M153" i="9"/>
  <c r="D187" i="9"/>
  <c r="A260" i="9"/>
  <c r="A124" i="9"/>
  <c r="A158" i="9"/>
  <c r="A192" i="9"/>
  <c r="A226" i="9"/>
  <c r="BI23" i="6"/>
  <c r="BJ23" i="6"/>
  <c r="BV23" i="6" s="1"/>
  <c r="D153" i="9"/>
  <c r="BV22" i="6"/>
  <c r="BU22" i="6"/>
  <c r="BB83" i="18"/>
  <c r="BE83" i="18" s="1"/>
  <c r="BG83" i="18" s="1"/>
  <c r="BI83" i="18"/>
  <c r="BL83" i="18" s="1"/>
  <c r="BN83" i="18" s="1"/>
  <c r="BB82" i="3"/>
  <c r="BI82" i="3"/>
  <c r="BL82" i="3" s="1"/>
  <c r="BN82" i="3" s="1"/>
  <c r="A184" i="17"/>
  <c r="A207" i="6"/>
  <c r="A139" i="6"/>
  <c r="A71" i="6"/>
  <c r="BB83" i="19"/>
  <c r="BE83" i="19" s="1"/>
  <c r="BG83" i="19" s="1"/>
  <c r="BI83" i="19"/>
  <c r="BL83" i="19" s="1"/>
  <c r="BN83" i="19" s="1"/>
  <c r="AR22" i="6"/>
  <c r="BD22" i="6"/>
  <c r="AR23" i="6"/>
  <c r="BD23" i="6"/>
  <c r="AB21" i="6"/>
  <c r="AN21" i="6" s="1"/>
  <c r="AK23" i="6"/>
  <c r="AX21" i="6"/>
  <c r="AH21" i="6"/>
  <c r="Z22" i="6"/>
  <c r="AL22" i="6" s="1"/>
  <c r="AF22" i="6"/>
  <c r="Z23" i="6"/>
  <c r="AX23" i="6" s="1"/>
  <c r="AF23" i="6"/>
  <c r="L86" i="8"/>
  <c r="T86" i="8"/>
  <c r="O178" i="17"/>
  <c r="O179" i="17"/>
  <c r="S86" i="8"/>
  <c r="AC86" i="8"/>
  <c r="H178" i="16"/>
  <c r="A94" i="19"/>
  <c r="A184" i="11"/>
  <c r="A184" i="16"/>
  <c r="O178" i="16"/>
  <c r="O179" i="16"/>
  <c r="W99" i="11"/>
  <c r="X99" i="11" s="1"/>
  <c r="O178" i="11"/>
  <c r="O179" i="11"/>
  <c r="H105" i="17"/>
  <c r="X105" i="17" s="1"/>
  <c r="H105" i="16"/>
  <c r="X105" i="16" s="1"/>
  <c r="AD86" i="8"/>
  <c r="H139" i="16"/>
  <c r="I104" i="11"/>
  <c r="I104" i="17"/>
  <c r="I104" i="16"/>
  <c r="V86" i="8"/>
  <c r="O86" i="8"/>
  <c r="Q86" i="8"/>
  <c r="AJ21" i="6"/>
  <c r="AV21" i="6"/>
  <c r="AG86" i="8"/>
  <c r="S84" i="19"/>
  <c r="U84" i="19" s="1"/>
  <c r="V84" i="19" s="1"/>
  <c r="R84" i="19"/>
  <c r="T84" i="19" s="1"/>
  <c r="A202" i="7"/>
  <c r="A165" i="8"/>
  <c r="A173" i="6"/>
  <c r="A131" i="8"/>
  <c r="A97" i="8"/>
  <c r="J86" i="8"/>
  <c r="S84" i="18"/>
  <c r="U84" i="18" s="1"/>
  <c r="V84" i="18" s="1"/>
  <c r="R84" i="18"/>
  <c r="T84" i="18" s="1"/>
  <c r="A94" i="18"/>
  <c r="X98" i="17"/>
  <c r="X99" i="17"/>
  <c r="C85" i="9"/>
  <c r="D85" i="9" s="1"/>
  <c r="L85" i="9"/>
  <c r="M85" i="9" s="1"/>
  <c r="A168" i="7"/>
  <c r="A144" i="17"/>
  <c r="A104" i="17"/>
  <c r="A105" i="6"/>
  <c r="A144" i="16"/>
  <c r="A104" i="16"/>
  <c r="X98" i="16"/>
  <c r="X99" i="16"/>
  <c r="O138" i="16"/>
  <c r="O139" i="16"/>
  <c r="A104" i="11"/>
  <c r="A144" i="11"/>
  <c r="M25" i="6"/>
  <c r="K125" i="4"/>
  <c r="H105" i="11"/>
  <c r="U78" i="9"/>
  <c r="E25" i="6" s="1"/>
  <c r="N25" i="6" s="1"/>
  <c r="AI72" i="10"/>
  <c r="O24" i="6"/>
  <c r="S24" i="6" s="1"/>
  <c r="T79" i="9"/>
  <c r="D26" i="6" s="1"/>
  <c r="H79" i="9"/>
  <c r="BE81" i="3"/>
  <c r="BG81" i="3" s="1"/>
  <c r="C23" i="6" s="1"/>
  <c r="BC82" i="3"/>
  <c r="J79" i="9"/>
  <c r="W79" i="9" s="1"/>
  <c r="F26" i="6" s="1"/>
  <c r="H21" i="23" s="1"/>
  <c r="Z85" i="8"/>
  <c r="H25" i="6" s="1"/>
  <c r="G19" i="23" s="1"/>
  <c r="AE83" i="3"/>
  <c r="AF83" i="3" s="1"/>
  <c r="AB83" i="3"/>
  <c r="AD83" i="3" s="1"/>
  <c r="S83" i="3"/>
  <c r="U83" i="3" s="1"/>
  <c r="V83" i="3" s="1"/>
  <c r="T83" i="3"/>
  <c r="R85" i="8"/>
  <c r="G25" i="6" s="1"/>
  <c r="G16" i="23" s="1"/>
  <c r="AH85" i="8"/>
  <c r="I25" i="6" s="1"/>
  <c r="G22" i="23" s="1"/>
  <c r="AB84" i="3"/>
  <c r="AC84" i="3"/>
  <c r="S84" i="3"/>
  <c r="R84" i="3"/>
  <c r="A134" i="7"/>
  <c r="A125" i="4"/>
  <c r="A90" i="9"/>
  <c r="A37" i="6"/>
  <c r="W36" i="6" s="1"/>
  <c r="BH36" i="6" s="1"/>
  <c r="A94" i="3"/>
  <c r="AP22" i="6" l="1"/>
  <c r="AD22" i="6"/>
  <c r="X22" i="6"/>
  <c r="AB22" i="6" s="1"/>
  <c r="AZ22" i="6" s="1"/>
  <c r="U22" i="6"/>
  <c r="BF22" i="6"/>
  <c r="M26" i="6"/>
  <c r="AE24" i="6"/>
  <c r="BC24" i="6"/>
  <c r="Y24" i="6"/>
  <c r="AK24" i="6" s="1"/>
  <c r="G18" i="23"/>
  <c r="L23" i="6"/>
  <c r="Q23" i="6" s="1"/>
  <c r="BB23" i="6" s="1"/>
  <c r="BF23" i="6" s="1"/>
  <c r="E17" i="23"/>
  <c r="BM24" i="6"/>
  <c r="BP23" i="6"/>
  <c r="BX24" i="6"/>
  <c r="BR24" i="6"/>
  <c r="BL24" i="6"/>
  <c r="BU23" i="6"/>
  <c r="BO23" i="6"/>
  <c r="M119" i="9"/>
  <c r="A193" i="9"/>
  <c r="A227" i="9"/>
  <c r="A159" i="9"/>
  <c r="A125" i="9"/>
  <c r="A261" i="9"/>
  <c r="AS72" i="10"/>
  <c r="BM25" i="6" s="1"/>
  <c r="AR72" i="10"/>
  <c r="BI25" i="6" s="1"/>
  <c r="BU25" i="6" s="1"/>
  <c r="BI24" i="6"/>
  <c r="BU24" i="6" s="1"/>
  <c r="M187" i="9"/>
  <c r="BY24" i="6"/>
  <c r="BS24" i="6"/>
  <c r="M255" i="9"/>
  <c r="R25" i="6"/>
  <c r="AQ25" i="6" s="1"/>
  <c r="AW24" i="6"/>
  <c r="D119" i="9"/>
  <c r="AZ21" i="6"/>
  <c r="AT22" i="6"/>
  <c r="BB84" i="19"/>
  <c r="BE84" i="19" s="1"/>
  <c r="BG84" i="19" s="1"/>
  <c r="BI84" i="19"/>
  <c r="BL84" i="19" s="1"/>
  <c r="BN84" i="19" s="1"/>
  <c r="BV24" i="6"/>
  <c r="BI84" i="18"/>
  <c r="BL84" i="18" s="1"/>
  <c r="BN84" i="18" s="1"/>
  <c r="BB84" i="18"/>
  <c r="BE84" i="18" s="1"/>
  <c r="BG84" i="18" s="1"/>
  <c r="A185" i="17"/>
  <c r="A72" i="6"/>
  <c r="A208" i="6"/>
  <c r="A140" i="6"/>
  <c r="BB83" i="3"/>
  <c r="BI83" i="3"/>
  <c r="BL83" i="3" s="1"/>
  <c r="BN83" i="3" s="1"/>
  <c r="BJ25" i="6"/>
  <c r="BP25" i="6" s="1"/>
  <c r="AR24" i="6"/>
  <c r="BD24" i="6"/>
  <c r="AL23" i="6"/>
  <c r="AX22" i="6"/>
  <c r="Z24" i="6"/>
  <c r="AX24" i="6" s="1"/>
  <c r="AF24" i="6"/>
  <c r="AH22" i="6"/>
  <c r="Z86" i="8"/>
  <c r="H26" i="6" s="1"/>
  <c r="H19" i="23" s="1"/>
  <c r="R86" i="8"/>
  <c r="G26" i="6" s="1"/>
  <c r="H16" i="23" s="1"/>
  <c r="H179" i="16"/>
  <c r="A95" i="19"/>
  <c r="A185" i="16"/>
  <c r="A185" i="11"/>
  <c r="AH86" i="8"/>
  <c r="I26" i="6" s="1"/>
  <c r="H22" i="23" s="1"/>
  <c r="H106" i="17"/>
  <c r="X106" i="17" s="1"/>
  <c r="H106" i="16"/>
  <c r="X106" i="16" s="1"/>
  <c r="I105" i="11"/>
  <c r="I105" i="17"/>
  <c r="I105" i="16"/>
  <c r="AV22" i="6"/>
  <c r="AJ22" i="6"/>
  <c r="T85" i="19"/>
  <c r="U85" i="19"/>
  <c r="V85" i="19" s="1"/>
  <c r="A203" i="7"/>
  <c r="A166" i="8"/>
  <c r="A174" i="6"/>
  <c r="A98" i="8"/>
  <c r="A132" i="8"/>
  <c r="U85" i="18"/>
  <c r="V85" i="18" s="1"/>
  <c r="T85" i="18"/>
  <c r="A95" i="18"/>
  <c r="A169" i="7"/>
  <c r="A145" i="17"/>
  <c r="A106" i="6"/>
  <c r="A105" i="17"/>
  <c r="A145" i="16"/>
  <c r="A105" i="16"/>
  <c r="A105" i="11"/>
  <c r="A145" i="11"/>
  <c r="X105" i="11"/>
  <c r="AE84" i="3"/>
  <c r="AF84" i="3" s="1"/>
  <c r="BC84" i="3" s="1"/>
  <c r="H106" i="11"/>
  <c r="K126" i="4"/>
  <c r="O25" i="6"/>
  <c r="S25" i="6" s="1"/>
  <c r="U79" i="9"/>
  <c r="E26" i="6" s="1"/>
  <c r="N26" i="6" s="1"/>
  <c r="R26" i="6" s="1"/>
  <c r="BE82" i="3"/>
  <c r="BG82" i="3" s="1"/>
  <c r="C24" i="6" s="1"/>
  <c r="BC83" i="3"/>
  <c r="T84" i="3"/>
  <c r="T85" i="3" s="1"/>
  <c r="AD84" i="3"/>
  <c r="AD85" i="3" s="1"/>
  <c r="U84" i="3"/>
  <c r="V84" i="3" s="1"/>
  <c r="A135" i="7"/>
  <c r="A126" i="4"/>
  <c r="A95" i="3"/>
  <c r="A91" i="9"/>
  <c r="A38" i="6"/>
  <c r="W37" i="6" s="1"/>
  <c r="BH37" i="6" s="1"/>
  <c r="X23" i="6" l="1"/>
  <c r="AB23" i="6" s="1"/>
  <c r="BV25" i="6"/>
  <c r="AP23" i="6"/>
  <c r="AT23" i="6" s="1"/>
  <c r="AD23" i="6"/>
  <c r="AH23" i="6" s="1"/>
  <c r="BL25" i="6"/>
  <c r="U23" i="6"/>
  <c r="H18" i="23"/>
  <c r="L24" i="6"/>
  <c r="Q24" i="6" s="1"/>
  <c r="BB24" i="6" s="1"/>
  <c r="F17" i="23"/>
  <c r="AE25" i="6"/>
  <c r="BO25" i="6"/>
  <c r="BO24" i="6"/>
  <c r="Y25" i="6"/>
  <c r="AW25" i="6" s="1"/>
  <c r="BE83" i="3"/>
  <c r="BG83" i="3" s="1"/>
  <c r="C25" i="6" s="1"/>
  <c r="BR25" i="6"/>
  <c r="BX25" i="6"/>
  <c r="BC25" i="6"/>
  <c r="BY25" i="6"/>
  <c r="BS25" i="6"/>
  <c r="G181" i="16"/>
  <c r="G182" i="16" s="1"/>
  <c r="G183" i="16" s="1"/>
  <c r="G184" i="16" s="1"/>
  <c r="G141" i="16"/>
  <c r="G142" i="16" s="1"/>
  <c r="G143" i="16" s="1"/>
  <c r="G144" i="16" s="1"/>
  <c r="A262" i="9"/>
  <c r="A194" i="9"/>
  <c r="A228" i="9"/>
  <c r="A160" i="9"/>
  <c r="A126" i="9"/>
  <c r="G181" i="17"/>
  <c r="G182" i="17" s="1"/>
  <c r="G183" i="17" s="1"/>
  <c r="G184" i="17" s="1"/>
  <c r="G141" i="17"/>
  <c r="G142" i="17" s="1"/>
  <c r="G143" i="17" s="1"/>
  <c r="G144" i="17" s="1"/>
  <c r="AN22" i="6"/>
  <c r="BI26" i="6"/>
  <c r="BO26" i="6" s="1"/>
  <c r="BL26" i="6"/>
  <c r="BB85" i="19"/>
  <c r="BE85" i="19" s="1"/>
  <c r="BG85" i="19" s="1"/>
  <c r="BI85" i="19"/>
  <c r="BL85" i="19" s="1"/>
  <c r="BN85" i="19" s="1"/>
  <c r="BB84" i="3"/>
  <c r="BI84" i="3"/>
  <c r="BL84" i="3" s="1"/>
  <c r="BN84" i="3" s="1"/>
  <c r="A186" i="17"/>
  <c r="A73" i="6"/>
  <c r="A209" i="6"/>
  <c r="A141" i="6"/>
  <c r="BB85" i="18"/>
  <c r="BE85" i="18" s="1"/>
  <c r="BG85" i="18" s="1"/>
  <c r="BI85" i="18"/>
  <c r="BL85" i="18" s="1"/>
  <c r="BN85" i="18" s="1"/>
  <c r="BJ26" i="6"/>
  <c r="BP26" i="6" s="1"/>
  <c r="BM26" i="6"/>
  <c r="AQ26" i="6"/>
  <c r="BC26" i="6"/>
  <c r="AR25" i="6"/>
  <c r="BD25" i="6"/>
  <c r="BF24" i="6"/>
  <c r="AL24" i="6"/>
  <c r="Y26" i="6"/>
  <c r="AW26" i="6" s="1"/>
  <c r="AE26" i="6"/>
  <c r="Z25" i="6"/>
  <c r="AX25" i="6" s="1"/>
  <c r="AF25" i="6"/>
  <c r="O26" i="6"/>
  <c r="S26" i="6" s="1"/>
  <c r="N181" i="17"/>
  <c r="O181" i="17" s="1"/>
  <c r="N181" i="16"/>
  <c r="O181" i="16" s="1"/>
  <c r="A96" i="19"/>
  <c r="A186" i="16"/>
  <c r="A186" i="11"/>
  <c r="N181" i="11"/>
  <c r="H107" i="17"/>
  <c r="X107" i="17" s="1"/>
  <c r="H107" i="16"/>
  <c r="X107" i="16" s="1"/>
  <c r="I106" i="11"/>
  <c r="I106" i="17"/>
  <c r="I106" i="16"/>
  <c r="U24" i="6"/>
  <c r="X24" i="6"/>
  <c r="AB24" i="6" s="1"/>
  <c r="AV23" i="6"/>
  <c r="AJ23" i="6"/>
  <c r="AZ23" i="6"/>
  <c r="AN23" i="6"/>
  <c r="A204" i="7"/>
  <c r="A167" i="8"/>
  <c r="A175" i="6"/>
  <c r="A99" i="8"/>
  <c r="A133" i="8"/>
  <c r="A96" i="18"/>
  <c r="N141" i="17"/>
  <c r="O141" i="17" s="1"/>
  <c r="W101" i="17"/>
  <c r="X101" i="17" s="1"/>
  <c r="J101" i="17"/>
  <c r="J102" i="17" s="1"/>
  <c r="J103" i="17" s="1"/>
  <c r="J104" i="17" s="1"/>
  <c r="A170" i="7"/>
  <c r="A146" i="17"/>
  <c r="A106" i="17"/>
  <c r="A107" i="6"/>
  <c r="N141" i="11"/>
  <c r="O141" i="11" s="1"/>
  <c r="W101" i="11"/>
  <c r="X101" i="11" s="1"/>
  <c r="W101" i="16"/>
  <c r="X101" i="16" s="1"/>
  <c r="N141" i="16"/>
  <c r="O141" i="16" s="1"/>
  <c r="A146" i="16"/>
  <c r="A106" i="16"/>
  <c r="A106" i="11"/>
  <c r="A146" i="11"/>
  <c r="X106" i="11"/>
  <c r="H107" i="11"/>
  <c r="K127" i="4"/>
  <c r="U85" i="3"/>
  <c r="V85" i="3" s="1"/>
  <c r="AE85" i="3"/>
  <c r="AF85" i="3" s="1"/>
  <c r="A136" i="7"/>
  <c r="A92" i="9"/>
  <c r="A127" i="4"/>
  <c r="A39" i="6"/>
  <c r="W38" i="6" s="1"/>
  <c r="BH38" i="6" s="1"/>
  <c r="A96" i="3"/>
  <c r="AP24" i="6" l="1"/>
  <c r="AT24" i="6" s="1"/>
  <c r="AD24" i="6"/>
  <c r="AK25" i="6"/>
  <c r="BU26" i="6"/>
  <c r="L25" i="6"/>
  <c r="Q25" i="6" s="1"/>
  <c r="G17" i="23"/>
  <c r="U25" i="6"/>
  <c r="AP25" i="6"/>
  <c r="AT25" i="6" s="1"/>
  <c r="AD25" i="6"/>
  <c r="AH25" i="6" s="1"/>
  <c r="A263" i="9"/>
  <c r="A195" i="9"/>
  <c r="A229" i="9"/>
  <c r="A161" i="9"/>
  <c r="A127" i="9"/>
  <c r="AL25" i="6"/>
  <c r="BV26" i="6"/>
  <c r="AK26" i="6"/>
  <c r="A187" i="17"/>
  <c r="A210" i="6"/>
  <c r="A74" i="6"/>
  <c r="A142" i="6"/>
  <c r="BB85" i="3"/>
  <c r="BI85" i="3"/>
  <c r="BL85" i="3" s="1"/>
  <c r="BN85" i="3" s="1"/>
  <c r="AR26" i="6"/>
  <c r="BD26" i="6"/>
  <c r="AH24" i="6"/>
  <c r="Z26" i="6"/>
  <c r="AF26" i="6"/>
  <c r="N182" i="17"/>
  <c r="H184" i="17"/>
  <c r="H183" i="17"/>
  <c r="H182" i="17"/>
  <c r="H181" i="17"/>
  <c r="H183" i="16"/>
  <c r="A97" i="19"/>
  <c r="A187" i="11"/>
  <c r="A187" i="16"/>
  <c r="N182" i="16"/>
  <c r="H182" i="16"/>
  <c r="H181" i="16"/>
  <c r="N182" i="11"/>
  <c r="O181" i="11"/>
  <c r="H108" i="17"/>
  <c r="H108" i="16"/>
  <c r="H141" i="16"/>
  <c r="I107" i="11"/>
  <c r="I107" i="17"/>
  <c r="I107" i="16"/>
  <c r="H141" i="17"/>
  <c r="AV24" i="6"/>
  <c r="AJ24" i="6"/>
  <c r="AZ24" i="6"/>
  <c r="AN24" i="6"/>
  <c r="N142" i="11"/>
  <c r="O142" i="11" s="1"/>
  <c r="A205" i="7"/>
  <c r="A168" i="8"/>
  <c r="A176" i="6"/>
  <c r="A100" i="8"/>
  <c r="A134" i="8"/>
  <c r="A97" i="18"/>
  <c r="N142" i="17"/>
  <c r="O142" i="17" s="1"/>
  <c r="K104" i="17"/>
  <c r="K103" i="17"/>
  <c r="K101" i="17"/>
  <c r="A171" i="7"/>
  <c r="A147" i="17"/>
  <c r="A107" i="17"/>
  <c r="A108" i="6"/>
  <c r="K102" i="17"/>
  <c r="W102" i="17"/>
  <c r="W102" i="11"/>
  <c r="X102" i="11" s="1"/>
  <c r="N142" i="16"/>
  <c r="O142" i="16" s="1"/>
  <c r="A147" i="16"/>
  <c r="A107" i="16"/>
  <c r="W102" i="16"/>
  <c r="A107" i="11"/>
  <c r="A147" i="11"/>
  <c r="X107" i="11"/>
  <c r="N143" i="11"/>
  <c r="O143" i="11" s="1"/>
  <c r="K128" i="4"/>
  <c r="H108" i="11"/>
  <c r="Q108" i="11" s="1"/>
  <c r="BE84" i="3"/>
  <c r="BG84" i="3" s="1"/>
  <c r="C26" i="6" s="1"/>
  <c r="BC85" i="3"/>
  <c r="BE85" i="3" s="1"/>
  <c r="BG85" i="3" s="1"/>
  <c r="C27" i="6" s="1"/>
  <c r="A137" i="7"/>
  <c r="A40" i="6"/>
  <c r="W39" i="6" s="1"/>
  <c r="BH39" i="6" s="1"/>
  <c r="A93" i="9"/>
  <c r="A128" i="4"/>
  <c r="A97" i="3"/>
  <c r="L26" i="6" l="1"/>
  <c r="Q26" i="6" s="1"/>
  <c r="BB26" i="6" s="1"/>
  <c r="H17" i="23"/>
  <c r="L27" i="6"/>
  <c r="Q27" i="6" s="1"/>
  <c r="BB27" i="6" s="1"/>
  <c r="BF27" i="6" s="1"/>
  <c r="I17" i="23"/>
  <c r="BB25" i="6"/>
  <c r="BF25" i="6" s="1"/>
  <c r="X25" i="6"/>
  <c r="T108" i="17"/>
  <c r="S108" i="17"/>
  <c r="Q108" i="17"/>
  <c r="R108" i="17"/>
  <c r="T108" i="16"/>
  <c r="Q108" i="16"/>
  <c r="U108" i="16"/>
  <c r="R108" i="16"/>
  <c r="S108" i="16"/>
  <c r="A264" i="9"/>
  <c r="A196" i="9"/>
  <c r="A230" i="9"/>
  <c r="A162" i="9"/>
  <c r="A128" i="9"/>
  <c r="A188" i="17"/>
  <c r="J176" i="17" s="1"/>
  <c r="J177" i="17" s="1"/>
  <c r="J178" i="17" s="1"/>
  <c r="J179" i="17" s="1"/>
  <c r="J180" i="17" s="1"/>
  <c r="J181" i="17" s="1"/>
  <c r="J182" i="17" s="1"/>
  <c r="J183" i="17" s="1"/>
  <c r="J184" i="17" s="1"/>
  <c r="J185" i="17" s="1"/>
  <c r="J186" i="17" s="1"/>
  <c r="J187" i="17" s="1"/>
  <c r="A211" i="6"/>
  <c r="A143" i="6"/>
  <c r="A75" i="6"/>
  <c r="BF26" i="6"/>
  <c r="AD27" i="6"/>
  <c r="AH27" i="6" s="1"/>
  <c r="AP27" i="6"/>
  <c r="AT27" i="6" s="1"/>
  <c r="AD26" i="6"/>
  <c r="AP26" i="6"/>
  <c r="AT26" i="6" s="1"/>
  <c r="AL26" i="6"/>
  <c r="AX26" i="6"/>
  <c r="O182" i="17"/>
  <c r="N183" i="17"/>
  <c r="O182" i="16"/>
  <c r="N183" i="16"/>
  <c r="H184" i="16"/>
  <c r="A98" i="19"/>
  <c r="A188" i="11"/>
  <c r="A188" i="16"/>
  <c r="O182" i="11"/>
  <c r="N183" i="11"/>
  <c r="I108" i="11"/>
  <c r="I108" i="17"/>
  <c r="I108" i="16"/>
  <c r="H142" i="16"/>
  <c r="X108" i="17"/>
  <c r="U108" i="17"/>
  <c r="H109" i="17"/>
  <c r="H109" i="16"/>
  <c r="X108" i="16"/>
  <c r="N143" i="16"/>
  <c r="O143" i="16" s="1"/>
  <c r="H142" i="17"/>
  <c r="U27" i="6"/>
  <c r="X27" i="6"/>
  <c r="AB27" i="6" s="1"/>
  <c r="U26" i="6"/>
  <c r="X26" i="6"/>
  <c r="AB26" i="6" s="1"/>
  <c r="A206" i="7"/>
  <c r="A169" i="8"/>
  <c r="A177" i="6"/>
  <c r="A135" i="8"/>
  <c r="A101" i="8"/>
  <c r="A98" i="18"/>
  <c r="W103" i="11"/>
  <c r="X103" i="11" s="1"/>
  <c r="N143" i="17"/>
  <c r="O143" i="17" s="1"/>
  <c r="X102" i="17"/>
  <c r="W103" i="17"/>
  <c r="A172" i="7"/>
  <c r="A148" i="17"/>
  <c r="A108" i="17"/>
  <c r="A109" i="6"/>
  <c r="X102" i="16"/>
  <c r="W103" i="16"/>
  <c r="A148" i="16"/>
  <c r="A108" i="16"/>
  <c r="A108" i="11"/>
  <c r="A148" i="11"/>
  <c r="X108" i="11"/>
  <c r="U108" i="11"/>
  <c r="T108" i="11"/>
  <c r="S108" i="11"/>
  <c r="R108" i="11"/>
  <c r="N144" i="11"/>
  <c r="O144" i="11" s="1"/>
  <c r="K129" i="4"/>
  <c r="H109" i="11"/>
  <c r="Q109" i="11" s="1"/>
  <c r="A138" i="7"/>
  <c r="A41" i="6"/>
  <c r="W40" i="6" s="1"/>
  <c r="BH40" i="6" s="1"/>
  <c r="A94" i="9"/>
  <c r="A129" i="4"/>
  <c r="A98" i="3"/>
  <c r="AJ25" i="6" l="1"/>
  <c r="AB25" i="6"/>
  <c r="AV25" i="6"/>
  <c r="Q109" i="17"/>
  <c r="T109" i="17"/>
  <c r="S109" i="17"/>
  <c r="R109" i="17"/>
  <c r="S109" i="16"/>
  <c r="T109" i="16"/>
  <c r="Q109" i="16"/>
  <c r="R109" i="16"/>
  <c r="U109" i="16"/>
  <c r="A197" i="9"/>
  <c r="A231" i="9"/>
  <c r="A163" i="9"/>
  <c r="A129" i="9"/>
  <c r="A265" i="9"/>
  <c r="J187" i="11"/>
  <c r="K187" i="11" s="1"/>
  <c r="J183" i="11"/>
  <c r="K183" i="11" s="1"/>
  <c r="M183" i="11" s="1"/>
  <c r="J179" i="11"/>
  <c r="K179" i="11" s="1"/>
  <c r="G184" i="11"/>
  <c r="G180" i="11"/>
  <c r="G176" i="11"/>
  <c r="G143" i="11"/>
  <c r="J176" i="11"/>
  <c r="K176" i="11" s="1"/>
  <c r="G177" i="11"/>
  <c r="J186" i="11"/>
  <c r="K186" i="11" s="1"/>
  <c r="J182" i="11"/>
  <c r="K182" i="11" s="1"/>
  <c r="M182" i="11" s="1"/>
  <c r="J178" i="11"/>
  <c r="K178" i="11" s="1"/>
  <c r="G187" i="11"/>
  <c r="G183" i="11"/>
  <c r="G179" i="11"/>
  <c r="G138" i="11"/>
  <c r="G146" i="11"/>
  <c r="J180" i="11"/>
  <c r="K180" i="11" s="1"/>
  <c r="G185" i="11"/>
  <c r="J185" i="11"/>
  <c r="K185" i="11" s="1"/>
  <c r="J181" i="11"/>
  <c r="K181" i="11" s="1"/>
  <c r="J177" i="11"/>
  <c r="K177" i="11" s="1"/>
  <c r="G186" i="11"/>
  <c r="G182" i="11"/>
  <c r="G178" i="11"/>
  <c r="G139" i="11"/>
  <c r="H139" i="11" s="1"/>
  <c r="G147" i="11"/>
  <c r="G142" i="11"/>
  <c r="J184" i="11"/>
  <c r="K184" i="11" s="1"/>
  <c r="M184" i="11" s="1"/>
  <c r="G181" i="11"/>
  <c r="G145" i="11"/>
  <c r="G136" i="11"/>
  <c r="G141" i="11"/>
  <c r="G137" i="11"/>
  <c r="G144" i="11"/>
  <c r="G140" i="11"/>
  <c r="N144" i="16"/>
  <c r="O144" i="16" s="1"/>
  <c r="O96" i="17"/>
  <c r="T96" i="17" s="1"/>
  <c r="L96" i="17"/>
  <c r="Q96" i="17" s="1"/>
  <c r="P96" i="17"/>
  <c r="P97" i="17" s="1"/>
  <c r="P98" i="17" s="1"/>
  <c r="P99" i="17" s="1"/>
  <c r="P100" i="17" s="1"/>
  <c r="P101" i="17" s="1"/>
  <c r="P102" i="17" s="1"/>
  <c r="P103" i="17" s="1"/>
  <c r="P104" i="17" s="1"/>
  <c r="P105" i="17" s="1"/>
  <c r="P106" i="17" s="1"/>
  <c r="P107" i="17" s="1"/>
  <c r="M96" i="17"/>
  <c r="R96" i="17" s="1"/>
  <c r="N96" i="17"/>
  <c r="S96" i="17" s="1"/>
  <c r="J136" i="17"/>
  <c r="J137" i="17" s="1"/>
  <c r="J138" i="17" s="1"/>
  <c r="J139" i="17" s="1"/>
  <c r="J140" i="17" s="1"/>
  <c r="J141" i="17" s="1"/>
  <c r="J142" i="17" s="1"/>
  <c r="J143" i="17" s="1"/>
  <c r="J144" i="17" s="1"/>
  <c r="J145" i="17" s="1"/>
  <c r="J146" i="17" s="1"/>
  <c r="J147" i="17" s="1"/>
  <c r="N96" i="16"/>
  <c r="S96" i="16" s="1"/>
  <c r="M96" i="16"/>
  <c r="N97" i="16"/>
  <c r="S97" i="16" s="1"/>
  <c r="O96" i="16"/>
  <c r="T96" i="16" s="1"/>
  <c r="J136" i="16"/>
  <c r="J137" i="16" s="1"/>
  <c r="J138" i="16" s="1"/>
  <c r="J139" i="16" s="1"/>
  <c r="J140" i="16" s="1"/>
  <c r="J141" i="16" s="1"/>
  <c r="J142" i="16" s="1"/>
  <c r="J143" i="16" s="1"/>
  <c r="J144" i="16" s="1"/>
  <c r="J145" i="16" s="1"/>
  <c r="J146" i="16" s="1"/>
  <c r="J147" i="16" s="1"/>
  <c r="J176" i="16"/>
  <c r="J177" i="16" s="1"/>
  <c r="J178" i="16" s="1"/>
  <c r="J179" i="16" s="1"/>
  <c r="J180" i="16" s="1"/>
  <c r="J181" i="16" s="1"/>
  <c r="J182" i="16" s="1"/>
  <c r="J183" i="16" s="1"/>
  <c r="J184" i="16" s="1"/>
  <c r="J185" i="16" s="1"/>
  <c r="J186" i="16" s="1"/>
  <c r="J187" i="16" s="1"/>
  <c r="N96" i="11"/>
  <c r="S96" i="11" s="1"/>
  <c r="J98" i="11"/>
  <c r="K98" i="11" s="1"/>
  <c r="J102" i="11"/>
  <c r="J106" i="11"/>
  <c r="J99" i="11"/>
  <c r="J103" i="11"/>
  <c r="J107" i="11"/>
  <c r="J97" i="11"/>
  <c r="J105" i="11"/>
  <c r="J100" i="11"/>
  <c r="J101" i="11"/>
  <c r="J104" i="11"/>
  <c r="J96" i="11"/>
  <c r="J139" i="11"/>
  <c r="J143" i="11"/>
  <c r="J136" i="11"/>
  <c r="K136" i="11" s="1"/>
  <c r="J140" i="11"/>
  <c r="J144" i="11"/>
  <c r="J141" i="11"/>
  <c r="J142" i="11"/>
  <c r="J137" i="11"/>
  <c r="J145" i="11"/>
  <c r="J138" i="11"/>
  <c r="J146" i="11"/>
  <c r="L96" i="16"/>
  <c r="Q96" i="16" s="1"/>
  <c r="A189" i="17"/>
  <c r="A212" i="6"/>
  <c r="A76" i="6"/>
  <c r="A144" i="6"/>
  <c r="AH26" i="6"/>
  <c r="O183" i="17"/>
  <c r="N184" i="17"/>
  <c r="O184" i="17" s="1"/>
  <c r="K176" i="17"/>
  <c r="A99" i="19"/>
  <c r="A189" i="16"/>
  <c r="A189" i="11"/>
  <c r="O183" i="16"/>
  <c r="N184" i="16"/>
  <c r="O184" i="16" s="1"/>
  <c r="O183" i="11"/>
  <c r="N184" i="11"/>
  <c r="O184" i="11" s="1"/>
  <c r="P182" i="11"/>
  <c r="Q182" i="11" s="1"/>
  <c r="V108" i="16"/>
  <c r="Y108" i="16" s="1"/>
  <c r="Z108" i="16" s="1"/>
  <c r="X109" i="16"/>
  <c r="I109" i="11"/>
  <c r="I109" i="17"/>
  <c r="I109" i="16"/>
  <c r="X109" i="17"/>
  <c r="U109" i="17"/>
  <c r="V108" i="17"/>
  <c r="Y108" i="17" s="1"/>
  <c r="Z108" i="17" s="1"/>
  <c r="H110" i="17"/>
  <c r="H110" i="16"/>
  <c r="H143" i="16"/>
  <c r="H143" i="17"/>
  <c r="AV27" i="6"/>
  <c r="AJ27" i="6"/>
  <c r="AZ27" i="6"/>
  <c r="AN27" i="6"/>
  <c r="AJ26" i="6"/>
  <c r="AV26" i="6"/>
  <c r="AZ26" i="6"/>
  <c r="AN26" i="6"/>
  <c r="M96" i="11"/>
  <c r="R96" i="11" s="1"/>
  <c r="W104" i="11"/>
  <c r="X104" i="11" s="1"/>
  <c r="A170" i="8"/>
  <c r="A178" i="6"/>
  <c r="A207" i="7"/>
  <c r="A102" i="8"/>
  <c r="A136" i="8"/>
  <c r="P194" i="7"/>
  <c r="AI194" i="7" s="1"/>
  <c r="O194" i="7"/>
  <c r="AH194" i="7" s="1"/>
  <c r="J194" i="7"/>
  <c r="AB194" i="7" s="1"/>
  <c r="L194" i="7"/>
  <c r="AD194" i="7" s="1"/>
  <c r="T194" i="7"/>
  <c r="AN194" i="7" s="1"/>
  <c r="Q194" i="7"/>
  <c r="AJ194" i="7" s="1"/>
  <c r="U194" i="7"/>
  <c r="AO194" i="7" s="1"/>
  <c r="W194" i="7"/>
  <c r="AQ194" i="7" s="1"/>
  <c r="N194" i="7"/>
  <c r="AG194" i="7" s="1"/>
  <c r="M194" i="7"/>
  <c r="AE194" i="7" s="1"/>
  <c r="S194" i="7"/>
  <c r="AL194" i="7" s="1"/>
  <c r="V194" i="7"/>
  <c r="AP194" i="7" s="1"/>
  <c r="R194" i="7"/>
  <c r="AK194" i="7" s="1"/>
  <c r="Y194" i="7"/>
  <c r="Y195" i="7" s="1"/>
  <c r="Y196" i="7" s="1"/>
  <c r="Y197" i="7" s="1"/>
  <c r="Y198" i="7" s="1"/>
  <c r="Y199" i="7" s="1"/>
  <c r="Y200" i="7" s="1"/>
  <c r="Y201" i="7" s="1"/>
  <c r="X194" i="7"/>
  <c r="AR194" i="7" s="1"/>
  <c r="K194" i="7"/>
  <c r="AC194" i="7" s="1"/>
  <c r="H194" i="7"/>
  <c r="Z194" i="7" s="1"/>
  <c r="A99" i="18"/>
  <c r="N144" i="17"/>
  <c r="O144" i="17" s="1"/>
  <c r="X103" i="17"/>
  <c r="W104" i="17"/>
  <c r="X104" i="17" s="1"/>
  <c r="E96" i="17"/>
  <c r="F96" i="17"/>
  <c r="J160" i="7"/>
  <c r="J161" i="7" s="1"/>
  <c r="J162" i="7" s="1"/>
  <c r="J163" i="7" s="1"/>
  <c r="J164" i="7" s="1"/>
  <c r="J165" i="7" s="1"/>
  <c r="J166" i="7" s="1"/>
  <c r="J167" i="7" s="1"/>
  <c r="J168" i="7" s="1"/>
  <c r="J169" i="7" s="1"/>
  <c r="J170" i="7" s="1"/>
  <c r="J171" i="7" s="1"/>
  <c r="X160" i="7"/>
  <c r="X161" i="7" s="1"/>
  <c r="X162" i="7" s="1"/>
  <c r="X163" i="7" s="1"/>
  <c r="X164" i="7" s="1"/>
  <c r="X165" i="7" s="1"/>
  <c r="X166" i="7" s="1"/>
  <c r="X167" i="7" s="1"/>
  <c r="X168" i="7" s="1"/>
  <c r="X169" i="7" s="1"/>
  <c r="X170" i="7" s="1"/>
  <c r="X171" i="7" s="1"/>
  <c r="M160" i="7"/>
  <c r="M161" i="7" s="1"/>
  <c r="M162" i="7" s="1"/>
  <c r="M163" i="7" s="1"/>
  <c r="M164" i="7" s="1"/>
  <c r="M165" i="7" s="1"/>
  <c r="M166" i="7" s="1"/>
  <c r="M167" i="7" s="1"/>
  <c r="M168" i="7" s="1"/>
  <c r="M169" i="7" s="1"/>
  <c r="M170" i="7" s="1"/>
  <c r="M171" i="7" s="1"/>
  <c r="Y160" i="7"/>
  <c r="Y161" i="7" s="1"/>
  <c r="Y162" i="7" s="1"/>
  <c r="Y163" i="7" s="1"/>
  <c r="Y164" i="7" s="1"/>
  <c r="Y165" i="7" s="1"/>
  <c r="Y166" i="7" s="1"/>
  <c r="Y167" i="7" s="1"/>
  <c r="Y168" i="7" s="1"/>
  <c r="Y169" i="7" s="1"/>
  <c r="Y170" i="7" s="1"/>
  <c r="Y171" i="7" s="1"/>
  <c r="T160" i="7"/>
  <c r="T161" i="7" s="1"/>
  <c r="T162" i="7" s="1"/>
  <c r="T163" i="7" s="1"/>
  <c r="T164" i="7" s="1"/>
  <c r="T165" i="7" s="1"/>
  <c r="T166" i="7" s="1"/>
  <c r="T167" i="7" s="1"/>
  <c r="T168" i="7" s="1"/>
  <c r="T169" i="7" s="1"/>
  <c r="T170" i="7" s="1"/>
  <c r="T171" i="7" s="1"/>
  <c r="V160" i="7"/>
  <c r="V161" i="7" s="1"/>
  <c r="V162" i="7" s="1"/>
  <c r="V163" i="7" s="1"/>
  <c r="V164" i="7" s="1"/>
  <c r="V165" i="7" s="1"/>
  <c r="V166" i="7" s="1"/>
  <c r="V167" i="7" s="1"/>
  <c r="V168" i="7" s="1"/>
  <c r="V169" i="7" s="1"/>
  <c r="V170" i="7" s="1"/>
  <c r="V171" i="7" s="1"/>
  <c r="W160" i="7"/>
  <c r="W161" i="7" s="1"/>
  <c r="W162" i="7" s="1"/>
  <c r="W163" i="7" s="1"/>
  <c r="W164" i="7" s="1"/>
  <c r="W165" i="7" s="1"/>
  <c r="W166" i="7" s="1"/>
  <c r="W167" i="7" s="1"/>
  <c r="W168" i="7" s="1"/>
  <c r="W169" i="7" s="1"/>
  <c r="W170" i="7" s="1"/>
  <c r="W171" i="7" s="1"/>
  <c r="L160" i="7"/>
  <c r="L161" i="7" s="1"/>
  <c r="L162" i="7" s="1"/>
  <c r="L163" i="7" s="1"/>
  <c r="L164" i="7" s="1"/>
  <c r="L165" i="7" s="1"/>
  <c r="L166" i="7" s="1"/>
  <c r="L167" i="7" s="1"/>
  <c r="L168" i="7" s="1"/>
  <c r="L169" i="7" s="1"/>
  <c r="L170" i="7" s="1"/>
  <c r="L171" i="7" s="1"/>
  <c r="K160" i="7"/>
  <c r="K161" i="7" s="1"/>
  <c r="K162" i="7" s="1"/>
  <c r="K163" i="7" s="1"/>
  <c r="K164" i="7" s="1"/>
  <c r="K165" i="7" s="1"/>
  <c r="K166" i="7" s="1"/>
  <c r="K167" i="7" s="1"/>
  <c r="K168" i="7" s="1"/>
  <c r="K169" i="7" s="1"/>
  <c r="K170" i="7" s="1"/>
  <c r="K171" i="7" s="1"/>
  <c r="A173" i="7"/>
  <c r="A149" i="17"/>
  <c r="A109" i="17"/>
  <c r="A110" i="6"/>
  <c r="L96" i="11"/>
  <c r="Q96" i="11" s="1"/>
  <c r="E96" i="16"/>
  <c r="F96" i="16"/>
  <c r="O96" i="11"/>
  <c r="T96" i="11" s="1"/>
  <c r="P96" i="11"/>
  <c r="U96" i="11" s="1"/>
  <c r="P96" i="16"/>
  <c r="U96" i="16" s="1"/>
  <c r="X103" i="16"/>
  <c r="W104" i="16"/>
  <c r="X104" i="16" s="1"/>
  <c r="A149" i="16"/>
  <c r="A109" i="16"/>
  <c r="A109" i="11"/>
  <c r="A149" i="11"/>
  <c r="X109" i="11"/>
  <c r="U109" i="11"/>
  <c r="T109" i="11"/>
  <c r="S109" i="11"/>
  <c r="R109" i="11"/>
  <c r="V108" i="11"/>
  <c r="K130" i="4"/>
  <c r="H110" i="11"/>
  <c r="Q110" i="11" s="1"/>
  <c r="A139" i="7"/>
  <c r="A130" i="4"/>
  <c r="A42" i="6"/>
  <c r="W41" i="6" s="1"/>
  <c r="BH41" i="6" s="1"/>
  <c r="A95" i="9"/>
  <c r="A99" i="3"/>
  <c r="AZ25" i="6" l="1"/>
  <c r="AN25" i="6"/>
  <c r="R110" i="17"/>
  <c r="Q110" i="17"/>
  <c r="S110" i="17"/>
  <c r="T110" i="17"/>
  <c r="R110" i="16"/>
  <c r="S110" i="16"/>
  <c r="T110" i="16"/>
  <c r="U110" i="16"/>
  <c r="Q110" i="16"/>
  <c r="N97" i="11"/>
  <c r="S97" i="11" s="1"/>
  <c r="N98" i="16"/>
  <c r="N99" i="16" s="1"/>
  <c r="M97" i="17"/>
  <c r="R97" i="17" s="1"/>
  <c r="M178" i="11"/>
  <c r="P178" i="11"/>
  <c r="Q178" i="11" s="1"/>
  <c r="M176" i="11"/>
  <c r="P176" i="11"/>
  <c r="Q176" i="11" s="1"/>
  <c r="R176" i="11" s="1"/>
  <c r="S176" i="11" s="1"/>
  <c r="P185" i="11"/>
  <c r="Q185" i="11" s="1"/>
  <c r="M185" i="11"/>
  <c r="U96" i="17"/>
  <c r="V96" i="17" s="1"/>
  <c r="L97" i="17"/>
  <c r="M179" i="11"/>
  <c r="P179" i="11"/>
  <c r="Q179" i="11" s="1"/>
  <c r="O97" i="16"/>
  <c r="O97" i="17"/>
  <c r="N97" i="17"/>
  <c r="M177" i="11"/>
  <c r="P177" i="11"/>
  <c r="Q177" i="11" s="1"/>
  <c r="R177" i="11" s="1"/>
  <c r="S177" i="11" s="1"/>
  <c r="M180" i="11"/>
  <c r="P180" i="11"/>
  <c r="Q180" i="11" s="1"/>
  <c r="M186" i="11"/>
  <c r="P186" i="11"/>
  <c r="Q186" i="11" s="1"/>
  <c r="A266" i="9"/>
  <c r="A198" i="9"/>
  <c r="A232" i="9"/>
  <c r="A164" i="9"/>
  <c r="A130" i="9"/>
  <c r="S195" i="7"/>
  <c r="AL195" i="7" s="1"/>
  <c r="L97" i="16"/>
  <c r="M97" i="16"/>
  <c r="R96" i="16"/>
  <c r="V96" i="16" s="1"/>
  <c r="Y96" i="16" s="1"/>
  <c r="M181" i="11"/>
  <c r="P181" i="11"/>
  <c r="Q181" i="11" s="1"/>
  <c r="M187" i="11"/>
  <c r="P187" i="11"/>
  <c r="Q187" i="11" s="1"/>
  <c r="H177" i="11"/>
  <c r="A190" i="17"/>
  <c r="A77" i="6"/>
  <c r="A145" i="6"/>
  <c r="A213" i="6"/>
  <c r="K97" i="11"/>
  <c r="H138" i="11"/>
  <c r="H136" i="11"/>
  <c r="H137" i="11"/>
  <c r="H176" i="11"/>
  <c r="H145" i="11"/>
  <c r="K96" i="11"/>
  <c r="K105" i="11"/>
  <c r="V195" i="7"/>
  <c r="AP195" i="7" s="1"/>
  <c r="U195" i="7"/>
  <c r="AO195" i="7" s="1"/>
  <c r="W195" i="7"/>
  <c r="AQ195" i="7" s="1"/>
  <c r="M176" i="17"/>
  <c r="P176" i="17"/>
  <c r="Q176" i="17" s="1"/>
  <c r="K177" i="17"/>
  <c r="A100" i="19"/>
  <c r="A190" i="16"/>
  <c r="A190" i="11"/>
  <c r="P183" i="11"/>
  <c r="Q183" i="11" s="1"/>
  <c r="K99" i="11"/>
  <c r="P184" i="11"/>
  <c r="Q184" i="11" s="1"/>
  <c r="M136" i="11"/>
  <c r="P136" i="11"/>
  <c r="Q136" i="11" s="1"/>
  <c r="X110" i="17"/>
  <c r="U110" i="17"/>
  <c r="V109" i="17"/>
  <c r="Y109" i="17" s="1"/>
  <c r="Z109" i="17" s="1"/>
  <c r="H140" i="11"/>
  <c r="I110" i="11"/>
  <c r="I110" i="17"/>
  <c r="I110" i="16"/>
  <c r="H111" i="17"/>
  <c r="H111" i="16"/>
  <c r="M97" i="11"/>
  <c r="R97" i="11" s="1"/>
  <c r="H144" i="16"/>
  <c r="X110" i="16"/>
  <c r="V109" i="16"/>
  <c r="Y109" i="16" s="1"/>
  <c r="Z109" i="16" s="1"/>
  <c r="H144" i="17"/>
  <c r="H195" i="7"/>
  <c r="Z195" i="7" s="1"/>
  <c r="L195" i="7"/>
  <c r="AD195" i="7" s="1"/>
  <c r="J195" i="7"/>
  <c r="AB195" i="7" s="1"/>
  <c r="P195" i="7"/>
  <c r="AI195" i="7" s="1"/>
  <c r="N195" i="7"/>
  <c r="AG195" i="7" s="1"/>
  <c r="AS194" i="7"/>
  <c r="AT194" i="7" s="1"/>
  <c r="T195" i="7"/>
  <c r="AN195" i="7" s="1"/>
  <c r="Q195" i="7"/>
  <c r="AM194" i="7"/>
  <c r="K195" i="7"/>
  <c r="S196" i="7"/>
  <c r="O195" i="7"/>
  <c r="M195" i="7"/>
  <c r="R195" i="7"/>
  <c r="A208" i="7"/>
  <c r="A171" i="8"/>
  <c r="A179" i="6"/>
  <c r="A103" i="8"/>
  <c r="A137" i="8"/>
  <c r="K137" i="11"/>
  <c r="Y202" i="7"/>
  <c r="X195" i="7"/>
  <c r="AF194" i="7"/>
  <c r="G96" i="17"/>
  <c r="AR86" i="19" s="1"/>
  <c r="D194" i="7"/>
  <c r="E97" i="17"/>
  <c r="C194" i="7"/>
  <c r="A100" i="18"/>
  <c r="A174" i="7"/>
  <c r="A150" i="17"/>
  <c r="A110" i="17"/>
  <c r="A111" i="6"/>
  <c r="L97" i="11"/>
  <c r="Q97" i="11" s="1"/>
  <c r="V96" i="11"/>
  <c r="Y96" i="11" s="1"/>
  <c r="AA96" i="11" s="1"/>
  <c r="F97" i="17"/>
  <c r="D195" i="7" s="1"/>
  <c r="F97" i="16"/>
  <c r="D160" i="7"/>
  <c r="E97" i="16"/>
  <c r="C160" i="7"/>
  <c r="P97" i="16"/>
  <c r="U97" i="16" s="1"/>
  <c r="A150" i="16"/>
  <c r="A110" i="16"/>
  <c r="O97" i="11"/>
  <c r="T97" i="11" s="1"/>
  <c r="P97" i="11"/>
  <c r="U97" i="11" s="1"/>
  <c r="A110" i="11"/>
  <c r="A150" i="11"/>
  <c r="Y108" i="11"/>
  <c r="X110" i="11"/>
  <c r="U110" i="11"/>
  <c r="T110" i="11"/>
  <c r="R110" i="11"/>
  <c r="S110" i="11"/>
  <c r="V109" i="11"/>
  <c r="H111" i="11"/>
  <c r="Q111" i="11" s="1"/>
  <c r="K131" i="4"/>
  <c r="A140" i="7"/>
  <c r="A96" i="9"/>
  <c r="A131" i="4"/>
  <c r="A43" i="6"/>
  <c r="W42" i="6" s="1"/>
  <c r="BH42" i="6" s="1"/>
  <c r="A100" i="3"/>
  <c r="N98" i="11" l="1"/>
  <c r="S98" i="11" s="1"/>
  <c r="U196" i="7"/>
  <c r="M98" i="17"/>
  <c r="M99" i="17" s="1"/>
  <c r="S111" i="17"/>
  <c r="R111" i="17"/>
  <c r="Q111" i="17"/>
  <c r="T111" i="17"/>
  <c r="S98" i="16"/>
  <c r="Q111" i="16"/>
  <c r="U111" i="16"/>
  <c r="R111" i="16"/>
  <c r="S111" i="16"/>
  <c r="T111" i="16"/>
  <c r="M98" i="11"/>
  <c r="R98" i="11" s="1"/>
  <c r="U176" i="11"/>
  <c r="T176" i="11"/>
  <c r="AI28" i="6" s="1"/>
  <c r="V176" i="11"/>
  <c r="L98" i="16"/>
  <c r="Q97" i="16"/>
  <c r="A267" i="9"/>
  <c r="A199" i="9"/>
  <c r="A233" i="9"/>
  <c r="A165" i="9"/>
  <c r="A131" i="9"/>
  <c r="G186" i="16"/>
  <c r="G187" i="16" s="1"/>
  <c r="G188" i="16" s="1"/>
  <c r="G189" i="16" s="1"/>
  <c r="G146" i="16"/>
  <c r="G147" i="16" s="1"/>
  <c r="G148" i="16" s="1"/>
  <c r="G149" i="16" s="1"/>
  <c r="G146" i="17"/>
  <c r="G147" i="17" s="1"/>
  <c r="G148" i="17" s="1"/>
  <c r="G149" i="17" s="1"/>
  <c r="G186" i="17"/>
  <c r="G187" i="17" s="1"/>
  <c r="G188" i="17" s="1"/>
  <c r="G189" i="17" s="1"/>
  <c r="V177" i="11"/>
  <c r="U177" i="11"/>
  <c r="CE97" i="11" s="1"/>
  <c r="CE29" i="6" s="1"/>
  <c r="T177" i="11"/>
  <c r="AI29" i="6" s="1"/>
  <c r="N98" i="17"/>
  <c r="S97" i="17"/>
  <c r="T97" i="16"/>
  <c r="O98" i="16"/>
  <c r="R136" i="11"/>
  <c r="S136" i="11" s="1"/>
  <c r="R97" i="16"/>
  <c r="M98" i="16"/>
  <c r="T97" i="17"/>
  <c r="O98" i="17"/>
  <c r="L98" i="17"/>
  <c r="Q97" i="17"/>
  <c r="R176" i="17"/>
  <c r="S176" i="17" s="1"/>
  <c r="S99" i="16"/>
  <c r="N100" i="16"/>
  <c r="J101" i="16"/>
  <c r="K101" i="16" s="1"/>
  <c r="J106" i="16"/>
  <c r="J107" i="16" s="1"/>
  <c r="J108" i="16" s="1"/>
  <c r="V196" i="7"/>
  <c r="AP196" i="7" s="1"/>
  <c r="A191" i="17"/>
  <c r="A214" i="6"/>
  <c r="A78" i="6"/>
  <c r="A146" i="6"/>
  <c r="R178" i="11"/>
  <c r="S178" i="11" s="1"/>
  <c r="H178" i="11"/>
  <c r="K100" i="11"/>
  <c r="W196" i="7"/>
  <c r="AQ196" i="7" s="1"/>
  <c r="M177" i="17"/>
  <c r="P177" i="17"/>
  <c r="Q177" i="17" s="1"/>
  <c r="K178" i="17"/>
  <c r="A101" i="19"/>
  <c r="A191" i="11"/>
  <c r="A191" i="16"/>
  <c r="M137" i="11"/>
  <c r="P137" i="11"/>
  <c r="Q137" i="11" s="1"/>
  <c r="V110" i="16"/>
  <c r="Y110" i="16" s="1"/>
  <c r="Z110" i="16" s="1"/>
  <c r="X111" i="16"/>
  <c r="X111" i="17"/>
  <c r="U111" i="17"/>
  <c r="H141" i="11"/>
  <c r="I111" i="11"/>
  <c r="I111" i="17"/>
  <c r="I111" i="16"/>
  <c r="H112" i="17"/>
  <c r="H112" i="16"/>
  <c r="V110" i="17"/>
  <c r="H196" i="7"/>
  <c r="L196" i="7"/>
  <c r="AD196" i="7" s="1"/>
  <c r="P196" i="7"/>
  <c r="AI196" i="7" s="1"/>
  <c r="J196" i="7"/>
  <c r="AB196" i="7" s="1"/>
  <c r="AS195" i="7"/>
  <c r="T196" i="7"/>
  <c r="T197" i="7" s="1"/>
  <c r="N196" i="7"/>
  <c r="K138" i="11"/>
  <c r="AV194" i="7"/>
  <c r="AH195" i="7"/>
  <c r="O196" i="7"/>
  <c r="AL196" i="7"/>
  <c r="S197" i="7"/>
  <c r="AC195" i="7"/>
  <c r="K196" i="7"/>
  <c r="AJ195" i="7"/>
  <c r="Q196" i="7"/>
  <c r="AO196" i="7"/>
  <c r="U197" i="7"/>
  <c r="AE195" i="7"/>
  <c r="M196" i="7"/>
  <c r="AR195" i="7"/>
  <c r="X196" i="7"/>
  <c r="A172" i="8"/>
  <c r="A180" i="6"/>
  <c r="A209" i="7"/>
  <c r="A138" i="8"/>
  <c r="A104" i="8"/>
  <c r="Y203" i="7"/>
  <c r="AK195" i="7"/>
  <c r="R196" i="7"/>
  <c r="L98" i="11"/>
  <c r="Q98" i="11" s="1"/>
  <c r="E98" i="17"/>
  <c r="C195" i="7"/>
  <c r="A101" i="18"/>
  <c r="U97" i="17"/>
  <c r="J106" i="17"/>
  <c r="J107" i="17" s="1"/>
  <c r="G97" i="17"/>
  <c r="AR87" i="19" s="1"/>
  <c r="F98" i="17"/>
  <c r="D196" i="7" s="1"/>
  <c r="Y96" i="17"/>
  <c r="A175" i="7"/>
  <c r="A151" i="17"/>
  <c r="A111" i="17"/>
  <c r="A112" i="6"/>
  <c r="V97" i="11"/>
  <c r="Y97" i="11" s="1"/>
  <c r="F98" i="16"/>
  <c r="D161" i="7"/>
  <c r="E98" i="16"/>
  <c r="C161" i="7"/>
  <c r="Z96" i="16"/>
  <c r="AA96" i="16"/>
  <c r="P98" i="16"/>
  <c r="U98" i="16" s="1"/>
  <c r="P98" i="11"/>
  <c r="U98" i="11" s="1"/>
  <c r="A151" i="16"/>
  <c r="A111" i="16"/>
  <c r="O98" i="11"/>
  <c r="T98" i="11" s="1"/>
  <c r="A111" i="11"/>
  <c r="A151" i="11"/>
  <c r="Z108" i="11"/>
  <c r="Z96" i="11"/>
  <c r="X111" i="11"/>
  <c r="Y109" i="11"/>
  <c r="V110" i="11"/>
  <c r="U111" i="11"/>
  <c r="T111" i="11"/>
  <c r="R111" i="11"/>
  <c r="S111" i="11"/>
  <c r="N99" i="11"/>
  <c r="S99" i="11" s="1"/>
  <c r="H112" i="11"/>
  <c r="Q112" i="11" s="1"/>
  <c r="K132" i="4"/>
  <c r="M99" i="11"/>
  <c r="R99" i="11" s="1"/>
  <c r="K101" i="11"/>
  <c r="A141" i="7"/>
  <c r="A97" i="9"/>
  <c r="A132" i="4"/>
  <c r="A44" i="6"/>
  <c r="W43" i="6" s="1"/>
  <c r="BH43" i="6" s="1"/>
  <c r="A101" i="3"/>
  <c r="K106" i="16" l="1"/>
  <c r="R98" i="17"/>
  <c r="X176" i="11"/>
  <c r="CE96" i="11"/>
  <c r="CE28" i="6" s="1"/>
  <c r="V197" i="7"/>
  <c r="AP197" i="7" s="1"/>
  <c r="Y110" i="17"/>
  <c r="T112" i="17"/>
  <c r="S112" i="17"/>
  <c r="R112" i="17"/>
  <c r="Q112" i="17"/>
  <c r="T112" i="16"/>
  <c r="Q112" i="16"/>
  <c r="U112" i="16"/>
  <c r="R112" i="16"/>
  <c r="S112" i="16"/>
  <c r="A268" i="9"/>
  <c r="A200" i="9"/>
  <c r="A234" i="9"/>
  <c r="A166" i="9"/>
  <c r="A132" i="9"/>
  <c r="R177" i="17"/>
  <c r="S177" i="17" s="1"/>
  <c r="L99" i="17"/>
  <c r="Q98" i="17"/>
  <c r="N99" i="17"/>
  <c r="S98" i="17"/>
  <c r="W177" i="11"/>
  <c r="Y177" i="11"/>
  <c r="AB177" i="11"/>
  <c r="AA177" i="11"/>
  <c r="Z177" i="11"/>
  <c r="K117" i="9" s="1"/>
  <c r="V136" i="11"/>
  <c r="U136" i="11"/>
  <c r="CC96" i="11" s="1"/>
  <c r="CC28" i="6" s="1"/>
  <c r="T136" i="11"/>
  <c r="AC28" i="6" s="1"/>
  <c r="T176" i="17"/>
  <c r="U176" i="17"/>
  <c r="CE96" i="17" s="1"/>
  <c r="CM28" i="6" s="1"/>
  <c r="V176" i="17"/>
  <c r="T98" i="16"/>
  <c r="O99" i="16"/>
  <c r="V178" i="11"/>
  <c r="U178" i="11"/>
  <c r="CE98" i="11" s="1"/>
  <c r="CE30" i="6" s="1"/>
  <c r="T178" i="11"/>
  <c r="AI30" i="6" s="1"/>
  <c r="S100" i="16"/>
  <c r="N101" i="16"/>
  <c r="X177" i="11"/>
  <c r="O99" i="17"/>
  <c r="T98" i="17"/>
  <c r="L99" i="16"/>
  <c r="Q98" i="16"/>
  <c r="R137" i="11"/>
  <c r="S137" i="11" s="1"/>
  <c r="W176" i="11"/>
  <c r="AA176" i="11"/>
  <c r="Y176" i="11"/>
  <c r="AB176" i="11"/>
  <c r="Z176" i="11"/>
  <c r="K116" i="9" s="1"/>
  <c r="R98" i="16"/>
  <c r="M99" i="16"/>
  <c r="M100" i="17"/>
  <c r="R99" i="17"/>
  <c r="J109" i="16"/>
  <c r="K108" i="16"/>
  <c r="A192" i="17"/>
  <c r="A215" i="6"/>
  <c r="A147" i="6"/>
  <c r="A79" i="6"/>
  <c r="W197" i="7"/>
  <c r="AQ197" i="7" s="1"/>
  <c r="H179" i="11"/>
  <c r="R179" i="11"/>
  <c r="S179" i="11" s="1"/>
  <c r="J102" i="16"/>
  <c r="J165" i="6"/>
  <c r="P165" i="6" s="1"/>
  <c r="T165" i="6" s="1"/>
  <c r="AY28" i="6" s="1"/>
  <c r="J199" i="6"/>
  <c r="P199" i="6" s="1"/>
  <c r="T199" i="6" s="1"/>
  <c r="BE28" i="6" s="1"/>
  <c r="AB96" i="16"/>
  <c r="H188" i="17"/>
  <c r="R188" i="17"/>
  <c r="S188" i="17" s="1"/>
  <c r="M178" i="17"/>
  <c r="P178" i="17"/>
  <c r="Q178" i="17" s="1"/>
  <c r="K179" i="17"/>
  <c r="H187" i="17"/>
  <c r="H186" i="17"/>
  <c r="H187" i="16"/>
  <c r="A102" i="19"/>
  <c r="A192" i="11"/>
  <c r="A192" i="16"/>
  <c r="H186" i="16"/>
  <c r="M138" i="11"/>
  <c r="P138" i="11"/>
  <c r="Q138" i="11" s="1"/>
  <c r="V111" i="16"/>
  <c r="Y111" i="16" s="1"/>
  <c r="Z111" i="16" s="1"/>
  <c r="Z110" i="17"/>
  <c r="AA110" i="17"/>
  <c r="I112" i="11"/>
  <c r="I112" i="17"/>
  <c r="I112" i="16"/>
  <c r="H146" i="16"/>
  <c r="X112" i="17"/>
  <c r="U112" i="17"/>
  <c r="H113" i="17"/>
  <c r="H113" i="16"/>
  <c r="X112" i="16"/>
  <c r="H142" i="11"/>
  <c r="V111" i="17"/>
  <c r="L197" i="7"/>
  <c r="L198" i="7" s="1"/>
  <c r="Z196" i="7"/>
  <c r="H197" i="7"/>
  <c r="J197" i="7"/>
  <c r="AB197" i="7" s="1"/>
  <c r="H146" i="17"/>
  <c r="P197" i="7"/>
  <c r="AI197" i="7" s="1"/>
  <c r="AT195" i="7"/>
  <c r="AN196" i="7"/>
  <c r="AG196" i="7"/>
  <c r="N197" i="7"/>
  <c r="AS196" i="7"/>
  <c r="L99" i="11"/>
  <c r="Q99" i="11" s="1"/>
  <c r="AD197" i="7"/>
  <c r="K139" i="11"/>
  <c r="AM195" i="7"/>
  <c r="AF195" i="7"/>
  <c r="AN197" i="7"/>
  <c r="T198" i="7"/>
  <c r="AC196" i="7"/>
  <c r="K197" i="7"/>
  <c r="AE196" i="7"/>
  <c r="M197" i="7"/>
  <c r="AO197" i="7"/>
  <c r="U198" i="7"/>
  <c r="AJ196" i="7"/>
  <c r="Q197" i="7"/>
  <c r="AL197" i="7"/>
  <c r="S198" i="7"/>
  <c r="AH196" i="7"/>
  <c r="O197" i="7"/>
  <c r="A173" i="8"/>
  <c r="A181" i="6"/>
  <c r="A210" i="7"/>
  <c r="A139" i="8"/>
  <c r="A105" i="8"/>
  <c r="Y204" i="7"/>
  <c r="AK196" i="7"/>
  <c r="R197" i="7"/>
  <c r="AR196" i="7"/>
  <c r="X197" i="7"/>
  <c r="E99" i="17"/>
  <c r="C196" i="7"/>
  <c r="A102" i="18"/>
  <c r="Z96" i="17"/>
  <c r="AA96" i="17"/>
  <c r="U98" i="17"/>
  <c r="K106" i="17"/>
  <c r="V97" i="17"/>
  <c r="A176" i="7"/>
  <c r="A152" i="17"/>
  <c r="A112" i="17"/>
  <c r="A113" i="6"/>
  <c r="K107" i="17"/>
  <c r="V98" i="11"/>
  <c r="Y98" i="11" s="1"/>
  <c r="G98" i="17"/>
  <c r="AR88" i="19" s="1"/>
  <c r="F99" i="17"/>
  <c r="D197" i="7" s="1"/>
  <c r="J108" i="17"/>
  <c r="F99" i="16"/>
  <c r="D162" i="7"/>
  <c r="E99" i="16"/>
  <c r="C162" i="7"/>
  <c r="O99" i="11"/>
  <c r="T99" i="11" s="1"/>
  <c r="P99" i="11"/>
  <c r="U99" i="11" s="1"/>
  <c r="P99" i="16"/>
  <c r="U99" i="16" s="1"/>
  <c r="A152" i="16"/>
  <c r="A112" i="16"/>
  <c r="V97" i="16"/>
  <c r="A112" i="11"/>
  <c r="A152" i="11"/>
  <c r="AB96" i="11"/>
  <c r="Z109" i="11"/>
  <c r="Z97" i="11"/>
  <c r="X112" i="11"/>
  <c r="Y110" i="11"/>
  <c r="AA97" i="11"/>
  <c r="V111" i="11"/>
  <c r="U112" i="11"/>
  <c r="T112" i="11"/>
  <c r="R112" i="11"/>
  <c r="S112" i="11"/>
  <c r="K133" i="4"/>
  <c r="H113" i="11"/>
  <c r="Q113" i="11" s="1"/>
  <c r="K102" i="11"/>
  <c r="M100" i="11"/>
  <c r="R100" i="11" s="1"/>
  <c r="K140" i="11"/>
  <c r="N100" i="11"/>
  <c r="S100" i="11" s="1"/>
  <c r="A142" i="7"/>
  <c r="A45" i="6"/>
  <c r="W44" i="6" s="1"/>
  <c r="BH44" i="6" s="1"/>
  <c r="A98" i="9"/>
  <c r="A133" i="4"/>
  <c r="A102" i="3"/>
  <c r="W198" i="7" l="1"/>
  <c r="V198" i="7"/>
  <c r="V199" i="7" s="1"/>
  <c r="Q113" i="17"/>
  <c r="T113" i="17"/>
  <c r="R113" i="17"/>
  <c r="S113" i="17"/>
  <c r="S113" i="16"/>
  <c r="T113" i="16"/>
  <c r="U113" i="16"/>
  <c r="Q113" i="16"/>
  <c r="R113" i="16"/>
  <c r="AC176" i="11"/>
  <c r="AD176" i="11" s="1"/>
  <c r="U177" i="17"/>
  <c r="CE97" i="17" s="1"/>
  <c r="CM29" i="6" s="1"/>
  <c r="T177" i="17"/>
  <c r="V177" i="17"/>
  <c r="R178" i="17"/>
  <c r="S178" i="17" s="1"/>
  <c r="O100" i="17"/>
  <c r="T99" i="17"/>
  <c r="N100" i="17"/>
  <c r="S99" i="17"/>
  <c r="AE96" i="11"/>
  <c r="AD96" i="11"/>
  <c r="AC96" i="11"/>
  <c r="R138" i="11"/>
  <c r="S138" i="11" s="1"/>
  <c r="AC177" i="11"/>
  <c r="AI177" i="11" s="1"/>
  <c r="W178" i="11"/>
  <c r="Y178" i="11"/>
  <c r="AB178" i="11"/>
  <c r="AA178" i="11"/>
  <c r="Z178" i="11"/>
  <c r="K118" i="9" s="1"/>
  <c r="X178" i="11"/>
  <c r="W136" i="11"/>
  <c r="Y136" i="11"/>
  <c r="AB136" i="11"/>
  <c r="AA136" i="11"/>
  <c r="Z136" i="11"/>
  <c r="K82" i="9" s="1"/>
  <c r="X136" i="11"/>
  <c r="M101" i="17"/>
  <c r="R100" i="17"/>
  <c r="A201" i="9"/>
  <c r="A235" i="9"/>
  <c r="A167" i="9"/>
  <c r="A133" i="9"/>
  <c r="A269" i="9"/>
  <c r="T188" i="17"/>
  <c r="V188" i="17"/>
  <c r="U188" i="17"/>
  <c r="CE108" i="17" s="1"/>
  <c r="CM40" i="6" s="1"/>
  <c r="R99" i="16"/>
  <c r="M100" i="16"/>
  <c r="P116" i="9"/>
  <c r="S116" i="9"/>
  <c r="Q116" i="9"/>
  <c r="L100" i="16"/>
  <c r="Q99" i="16"/>
  <c r="S101" i="16"/>
  <c r="N102" i="16"/>
  <c r="Z176" i="17"/>
  <c r="W176" i="17"/>
  <c r="Y176" i="17"/>
  <c r="AB176" i="17"/>
  <c r="AA176" i="17"/>
  <c r="X176" i="17"/>
  <c r="P117" i="9"/>
  <c r="S117" i="9"/>
  <c r="Q117" i="9"/>
  <c r="L100" i="17"/>
  <c r="Q99" i="17"/>
  <c r="T179" i="11"/>
  <c r="AI31" i="6" s="1"/>
  <c r="V179" i="11"/>
  <c r="U179" i="11"/>
  <c r="CE99" i="11" s="1"/>
  <c r="CE31" i="6" s="1"/>
  <c r="T137" i="11"/>
  <c r="AC29" i="6" s="1"/>
  <c r="V137" i="11"/>
  <c r="U137" i="11"/>
  <c r="CC97" i="11" s="1"/>
  <c r="CC29" i="6" s="1"/>
  <c r="T99" i="16"/>
  <c r="O100" i="16"/>
  <c r="AE96" i="16"/>
  <c r="AD96" i="16"/>
  <c r="AC96" i="16"/>
  <c r="J103" i="16"/>
  <c r="K102" i="16"/>
  <c r="A193" i="17"/>
  <c r="A80" i="6"/>
  <c r="A216" i="6"/>
  <c r="A148" i="6"/>
  <c r="AP198" i="7"/>
  <c r="H180" i="11"/>
  <c r="R180" i="11"/>
  <c r="S180" i="11" s="1"/>
  <c r="H189" i="17"/>
  <c r="R189" i="17"/>
  <c r="S189" i="17" s="1"/>
  <c r="M179" i="17"/>
  <c r="P179" i="17"/>
  <c r="Q179" i="17" s="1"/>
  <c r="K180" i="17"/>
  <c r="A103" i="19"/>
  <c r="A193" i="11"/>
  <c r="A193" i="16"/>
  <c r="H188" i="16"/>
  <c r="R188" i="16"/>
  <c r="S188" i="16" s="1"/>
  <c r="P140" i="11"/>
  <c r="Q140" i="11" s="1"/>
  <c r="M140" i="11"/>
  <c r="M139" i="11"/>
  <c r="P139" i="11"/>
  <c r="Q139" i="11" s="1"/>
  <c r="AI96" i="11"/>
  <c r="H114" i="17"/>
  <c r="H114" i="16"/>
  <c r="X113" i="16"/>
  <c r="AI96" i="16"/>
  <c r="H147" i="16"/>
  <c r="X113" i="17"/>
  <c r="U113" i="17"/>
  <c r="H143" i="11"/>
  <c r="V112" i="17"/>
  <c r="I113" i="11"/>
  <c r="I113" i="17"/>
  <c r="I113" i="16"/>
  <c r="V112" i="16"/>
  <c r="Y112" i="16" s="1"/>
  <c r="Z112" i="16" s="1"/>
  <c r="Y111" i="17"/>
  <c r="AB110" i="17"/>
  <c r="J198" i="7"/>
  <c r="AB198" i="7" s="1"/>
  <c r="P198" i="7"/>
  <c r="P199" i="7" s="1"/>
  <c r="H198" i="7"/>
  <c r="Z197" i="7"/>
  <c r="H147" i="17"/>
  <c r="H148" i="17"/>
  <c r="AT196" i="7"/>
  <c r="AM196" i="7"/>
  <c r="L100" i="11"/>
  <c r="Q100" i="11" s="1"/>
  <c r="AV195" i="7"/>
  <c r="L199" i="7"/>
  <c r="AD198" i="7"/>
  <c r="AS197" i="7"/>
  <c r="AG197" i="7"/>
  <c r="N198" i="7"/>
  <c r="AQ198" i="7"/>
  <c r="W199" i="7"/>
  <c r="AP199" i="7"/>
  <c r="V200" i="7"/>
  <c r="AJ197" i="7"/>
  <c r="Q198" i="7"/>
  <c r="AE197" i="7"/>
  <c r="M198" i="7"/>
  <c r="AC197" i="7"/>
  <c r="K198" i="7"/>
  <c r="AL198" i="7"/>
  <c r="S199" i="7"/>
  <c r="AO198" i="7"/>
  <c r="U199" i="7"/>
  <c r="AF196" i="7"/>
  <c r="AH197" i="7"/>
  <c r="O198" i="7"/>
  <c r="AN198" i="7"/>
  <c r="T199" i="7"/>
  <c r="A211" i="7"/>
  <c r="A174" i="8"/>
  <c r="A182" i="6"/>
  <c r="A106" i="8"/>
  <c r="A140" i="8"/>
  <c r="AR197" i="7"/>
  <c r="X198" i="7"/>
  <c r="Y205" i="7"/>
  <c r="AK197" i="7"/>
  <c r="R198" i="7"/>
  <c r="E100" i="17"/>
  <c r="C197" i="7"/>
  <c r="A103" i="18"/>
  <c r="AB96" i="17"/>
  <c r="A177" i="7"/>
  <c r="A153" i="17"/>
  <c r="A113" i="17"/>
  <c r="A114" i="6"/>
  <c r="K108" i="17"/>
  <c r="AA108" i="17" s="1"/>
  <c r="AB108" i="17" s="1"/>
  <c r="J109" i="17"/>
  <c r="V98" i="17"/>
  <c r="G99" i="17"/>
  <c r="AR89" i="19" s="1"/>
  <c r="F100" i="17"/>
  <c r="D198" i="7" s="1"/>
  <c r="U99" i="17"/>
  <c r="K107" i="16"/>
  <c r="Y97" i="17"/>
  <c r="F100" i="16"/>
  <c r="D163" i="7"/>
  <c r="E100" i="16"/>
  <c r="C163" i="7"/>
  <c r="O100" i="11"/>
  <c r="T100" i="11" s="1"/>
  <c r="V99" i="11"/>
  <c r="Y99" i="11" s="1"/>
  <c r="AH96" i="16"/>
  <c r="P100" i="16"/>
  <c r="U100" i="16" s="1"/>
  <c r="AJ96" i="16"/>
  <c r="Y97" i="16"/>
  <c r="A153" i="16"/>
  <c r="A113" i="16"/>
  <c r="P100" i="11"/>
  <c r="U100" i="11" s="1"/>
  <c r="V98" i="16"/>
  <c r="A113" i="11"/>
  <c r="A153" i="11"/>
  <c r="AJ96" i="11"/>
  <c r="AH96" i="11"/>
  <c r="AB97" i="11"/>
  <c r="Z110" i="11"/>
  <c r="AA98" i="11"/>
  <c r="Z98" i="11"/>
  <c r="X113" i="11"/>
  <c r="Y111" i="11"/>
  <c r="V112" i="11"/>
  <c r="U113" i="11"/>
  <c r="S113" i="11"/>
  <c r="T113" i="11"/>
  <c r="R113" i="11"/>
  <c r="K141" i="11"/>
  <c r="K134" i="4"/>
  <c r="H114" i="11"/>
  <c r="Q114" i="11" s="1"/>
  <c r="K103" i="11"/>
  <c r="N101" i="11"/>
  <c r="S101" i="11" s="1"/>
  <c r="M101" i="11"/>
  <c r="R101" i="11" s="1"/>
  <c r="A143" i="7"/>
  <c r="A134" i="4"/>
  <c r="A46" i="6"/>
  <c r="W45" i="6" s="1"/>
  <c r="BH45" i="6" s="1"/>
  <c r="A103" i="3"/>
  <c r="A99" i="9"/>
  <c r="AF176" i="11" l="1"/>
  <c r="AG176" i="11"/>
  <c r="AE176" i="11"/>
  <c r="AH86" i="3" s="1"/>
  <c r="AI176" i="11"/>
  <c r="AH176" i="11"/>
  <c r="AJ176" i="11" s="1"/>
  <c r="AI198" i="7"/>
  <c r="CD96" i="16"/>
  <c r="CH28" i="6" s="1"/>
  <c r="CB96" i="16"/>
  <c r="CF28" i="6" s="1"/>
  <c r="CD96" i="11"/>
  <c r="CD28" i="6" s="1"/>
  <c r="CB96" i="11"/>
  <c r="CB28" i="6" s="1"/>
  <c r="AC110" i="17"/>
  <c r="AE110" i="17"/>
  <c r="AD110" i="17"/>
  <c r="AJ110" i="17"/>
  <c r="AI110" i="17"/>
  <c r="AH110" i="17"/>
  <c r="Y112" i="17"/>
  <c r="Z112" i="17" s="1"/>
  <c r="R114" i="17"/>
  <c r="Q114" i="17"/>
  <c r="T114" i="17"/>
  <c r="S114" i="17"/>
  <c r="R114" i="16"/>
  <c r="S114" i="16"/>
  <c r="Q114" i="16"/>
  <c r="T114" i="16"/>
  <c r="U114" i="16"/>
  <c r="AE97" i="11"/>
  <c r="AD97" i="11"/>
  <c r="AC97" i="11"/>
  <c r="A270" i="9"/>
  <c r="A202" i="9"/>
  <c r="A236" i="9"/>
  <c r="A168" i="9"/>
  <c r="A134" i="9"/>
  <c r="AJ108" i="17"/>
  <c r="AE108" i="17"/>
  <c r="AI108" i="17"/>
  <c r="AD108" i="17"/>
  <c r="AC108" i="17"/>
  <c r="AH108" i="17"/>
  <c r="L101" i="16"/>
  <c r="Q100" i="16"/>
  <c r="R100" i="16"/>
  <c r="M101" i="16"/>
  <c r="AC178" i="11"/>
  <c r="O101" i="17"/>
  <c r="T100" i="17"/>
  <c r="AJ96" i="17"/>
  <c r="AE96" i="17"/>
  <c r="AI96" i="17"/>
  <c r="AD96" i="17"/>
  <c r="AC96" i="17"/>
  <c r="AH96" i="17"/>
  <c r="B184" i="9"/>
  <c r="B150" i="9"/>
  <c r="R140" i="11"/>
  <c r="S140" i="11" s="1"/>
  <c r="R179" i="17"/>
  <c r="S179" i="17" s="1"/>
  <c r="W137" i="11"/>
  <c r="AB137" i="11"/>
  <c r="AA137" i="11"/>
  <c r="Y137" i="11"/>
  <c r="Z137" i="11"/>
  <c r="K83" i="9" s="1"/>
  <c r="X137" i="11"/>
  <c r="W179" i="11"/>
  <c r="AB179" i="11"/>
  <c r="AA179" i="11"/>
  <c r="Y179" i="11"/>
  <c r="Z179" i="11"/>
  <c r="K119" i="9" s="1"/>
  <c r="X179" i="11"/>
  <c r="S102" i="16"/>
  <c r="N103" i="16"/>
  <c r="P118" i="9"/>
  <c r="Q118" i="9"/>
  <c r="S118" i="9"/>
  <c r="U138" i="11"/>
  <c r="CC98" i="11" s="1"/>
  <c r="CC30" i="6" s="1"/>
  <c r="T138" i="11"/>
  <c r="AC30" i="6" s="1"/>
  <c r="V138" i="11"/>
  <c r="R139" i="11"/>
  <c r="S139" i="11" s="1"/>
  <c r="V188" i="16"/>
  <c r="U188" i="16"/>
  <c r="CE108" i="16" s="1"/>
  <c r="CI40" i="6" s="1"/>
  <c r="T188" i="16"/>
  <c r="U189" i="17"/>
  <c r="CE109" i="17" s="1"/>
  <c r="CM41" i="6" s="1"/>
  <c r="V189" i="17"/>
  <c r="T189" i="17"/>
  <c r="T100" i="16"/>
  <c r="O101" i="16"/>
  <c r="W188" i="17"/>
  <c r="Z188" i="17"/>
  <c r="Y188" i="17"/>
  <c r="AA188" i="17"/>
  <c r="X188" i="17"/>
  <c r="AB188" i="17"/>
  <c r="AC136" i="11"/>
  <c r="AH136" i="11" s="1"/>
  <c r="AD177" i="11"/>
  <c r="AF177" i="11"/>
  <c r="AE177" i="11"/>
  <c r="AH87" i="3" s="1"/>
  <c r="AK87" i="3" s="1"/>
  <c r="AG177" i="11"/>
  <c r="AX96" i="11"/>
  <c r="AW96" i="11"/>
  <c r="AV96" i="11"/>
  <c r="AF96" i="11"/>
  <c r="G89" i="8" s="1"/>
  <c r="AU96" i="11"/>
  <c r="AS96" i="11"/>
  <c r="AR96" i="11"/>
  <c r="BA96" i="11"/>
  <c r="AZ96" i="11"/>
  <c r="AT96" i="11"/>
  <c r="AY96" i="11"/>
  <c r="BB96" i="11"/>
  <c r="AG96" i="11"/>
  <c r="N101" i="17"/>
  <c r="S100" i="17"/>
  <c r="V178" i="17"/>
  <c r="U178" i="17"/>
  <c r="CE98" i="17" s="1"/>
  <c r="CM30" i="6" s="1"/>
  <c r="T178" i="17"/>
  <c r="U180" i="11"/>
  <c r="CE100" i="11" s="1"/>
  <c r="CE32" i="6" s="1"/>
  <c r="T180" i="11"/>
  <c r="AI32" i="6" s="1"/>
  <c r="V180" i="11"/>
  <c r="L101" i="17"/>
  <c r="Q100" i="17"/>
  <c r="AC176" i="17"/>
  <c r="AH176" i="17" s="1"/>
  <c r="M102" i="17"/>
  <c r="R101" i="17"/>
  <c r="AH177" i="11"/>
  <c r="AA177" i="17"/>
  <c r="Y177" i="17"/>
  <c r="AB177" i="17"/>
  <c r="Z177" i="17"/>
  <c r="W177" i="17"/>
  <c r="X177" i="17"/>
  <c r="AF96" i="16"/>
  <c r="AW96" i="16"/>
  <c r="AS96" i="16"/>
  <c r="AZ96" i="16"/>
  <c r="AV96" i="16"/>
  <c r="AR96" i="16"/>
  <c r="AY96" i="16"/>
  <c r="AU96" i="16"/>
  <c r="BB96" i="16"/>
  <c r="AX96" i="16"/>
  <c r="AT96" i="16"/>
  <c r="BA96" i="16"/>
  <c r="AG96" i="16"/>
  <c r="AK96" i="16" s="1"/>
  <c r="AK86" i="3"/>
  <c r="J104" i="16"/>
  <c r="K104" i="16" s="1"/>
  <c r="K103" i="16"/>
  <c r="A194" i="17"/>
  <c r="A81" i="6"/>
  <c r="A217" i="6"/>
  <c r="A149" i="6"/>
  <c r="H181" i="11"/>
  <c r="R181" i="11"/>
  <c r="S181" i="11" s="1"/>
  <c r="J166" i="6"/>
  <c r="P166" i="6" s="1"/>
  <c r="T166" i="6" s="1"/>
  <c r="AY29" i="6" s="1"/>
  <c r="J200" i="6"/>
  <c r="P200" i="6" s="1"/>
  <c r="T200" i="6" s="1"/>
  <c r="BE29" i="6" s="1"/>
  <c r="J199" i="7"/>
  <c r="AB199" i="7" s="1"/>
  <c r="M180" i="17"/>
  <c r="P180" i="17"/>
  <c r="Q180" i="17" s="1"/>
  <c r="K181" i="17"/>
  <c r="R189" i="16"/>
  <c r="S189" i="16" s="1"/>
  <c r="H189" i="16"/>
  <c r="A104" i="19"/>
  <c r="A194" i="11"/>
  <c r="A194" i="16"/>
  <c r="M141" i="11"/>
  <c r="P141" i="11"/>
  <c r="Q141" i="11" s="1"/>
  <c r="V100" i="11"/>
  <c r="Y100" i="11" s="1"/>
  <c r="AI97" i="11"/>
  <c r="H144" i="11"/>
  <c r="V113" i="16"/>
  <c r="Y113" i="16" s="1"/>
  <c r="Z113" i="16" s="1"/>
  <c r="Z111" i="17"/>
  <c r="AA111" i="17"/>
  <c r="X114" i="16"/>
  <c r="I114" i="11"/>
  <c r="I114" i="17"/>
  <c r="I114" i="16"/>
  <c r="V113" i="17"/>
  <c r="H115" i="17"/>
  <c r="H115" i="16"/>
  <c r="L101" i="11"/>
  <c r="Q101" i="11" s="1"/>
  <c r="H149" i="16"/>
  <c r="H148" i="16"/>
  <c r="X114" i="17"/>
  <c r="U114" i="17"/>
  <c r="Z198" i="7"/>
  <c r="H199" i="7"/>
  <c r="H149" i="17"/>
  <c r="AT197" i="7"/>
  <c r="AV196" i="7"/>
  <c r="AM197" i="7"/>
  <c r="AG198" i="7"/>
  <c r="AS198" i="7"/>
  <c r="N199" i="7"/>
  <c r="L200" i="7"/>
  <c r="AD199" i="7"/>
  <c r="AP200" i="7"/>
  <c r="V201" i="7"/>
  <c r="AQ199" i="7"/>
  <c r="W200" i="7"/>
  <c r="AE198" i="7"/>
  <c r="M199" i="7"/>
  <c r="AN199" i="7"/>
  <c r="T200" i="7"/>
  <c r="AH198" i="7"/>
  <c r="O199" i="7"/>
  <c r="AL199" i="7"/>
  <c r="S200" i="7"/>
  <c r="AC198" i="7"/>
  <c r="K199" i="7"/>
  <c r="AJ198" i="7"/>
  <c r="Q199" i="7"/>
  <c r="AO199" i="7"/>
  <c r="U200" i="7"/>
  <c r="AF197" i="7"/>
  <c r="AI199" i="7"/>
  <c r="P200" i="7"/>
  <c r="AK198" i="7"/>
  <c r="R199" i="7"/>
  <c r="AR198" i="7"/>
  <c r="X199" i="7"/>
  <c r="C86" i="18"/>
  <c r="A212" i="7"/>
  <c r="A175" i="8"/>
  <c r="A183" i="6"/>
  <c r="A107" i="8"/>
  <c r="A141" i="8"/>
  <c r="E101" i="17"/>
  <c r="C198" i="7"/>
  <c r="A104" i="18"/>
  <c r="A178" i="7"/>
  <c r="A154" i="17"/>
  <c r="A114" i="17"/>
  <c r="A115" i="6"/>
  <c r="Z97" i="17"/>
  <c r="AA97" i="17"/>
  <c r="K109" i="16"/>
  <c r="U100" i="17"/>
  <c r="Y98" i="17"/>
  <c r="K109" i="17"/>
  <c r="AA109" i="17" s="1"/>
  <c r="AB109" i="17" s="1"/>
  <c r="G100" i="17"/>
  <c r="AR90" i="19" s="1"/>
  <c r="F101" i="17"/>
  <c r="D199" i="7" s="1"/>
  <c r="V99" i="17"/>
  <c r="F101" i="16"/>
  <c r="D164" i="7"/>
  <c r="E101" i="16"/>
  <c r="C164" i="7"/>
  <c r="O101" i="11"/>
  <c r="T101" i="11" s="1"/>
  <c r="P101" i="11"/>
  <c r="U101" i="11" s="1"/>
  <c r="V99" i="16"/>
  <c r="Y99" i="16" s="1"/>
  <c r="Y98" i="16"/>
  <c r="Z97" i="16"/>
  <c r="AA97" i="16"/>
  <c r="A154" i="16"/>
  <c r="A114" i="16"/>
  <c r="P101" i="16"/>
  <c r="U101" i="16" s="1"/>
  <c r="A114" i="11"/>
  <c r="A154" i="11"/>
  <c r="AK96" i="11"/>
  <c r="AH97" i="11"/>
  <c r="AJ97" i="11"/>
  <c r="Z111" i="11"/>
  <c r="AB98" i="11"/>
  <c r="AA99" i="11"/>
  <c r="Z99" i="11"/>
  <c r="Y112" i="11"/>
  <c r="X114" i="11"/>
  <c r="K104" i="11"/>
  <c r="V113" i="11"/>
  <c r="U114" i="11"/>
  <c r="S114" i="11"/>
  <c r="T114" i="11"/>
  <c r="R114" i="11"/>
  <c r="H115" i="11"/>
  <c r="Q115" i="11" s="1"/>
  <c r="K135" i="4"/>
  <c r="N102" i="11"/>
  <c r="S102" i="11" s="1"/>
  <c r="M102" i="11"/>
  <c r="R102" i="11" s="1"/>
  <c r="K142" i="11"/>
  <c r="A144" i="7"/>
  <c r="A100" i="9"/>
  <c r="A135" i="4"/>
  <c r="A47" i="6"/>
  <c r="W46" i="6" s="1"/>
  <c r="BH46" i="6" s="1"/>
  <c r="A104" i="3"/>
  <c r="AU40" i="6" l="1"/>
  <c r="BG40" i="6"/>
  <c r="J200" i="7"/>
  <c r="C98" i="19"/>
  <c r="CB108" i="17"/>
  <c r="CJ40" i="6" s="1"/>
  <c r="CD108" i="17"/>
  <c r="CL40" i="6" s="1"/>
  <c r="CB110" i="17"/>
  <c r="CD110" i="17"/>
  <c r="C86" i="19"/>
  <c r="CD96" i="17"/>
  <c r="CL28" i="6" s="1"/>
  <c r="CB96" i="17"/>
  <c r="CJ28" i="6" s="1"/>
  <c r="CB97" i="11"/>
  <c r="CB29" i="6" s="1"/>
  <c r="CD97" i="11"/>
  <c r="CD29" i="6" s="1"/>
  <c r="AA112" i="17"/>
  <c r="AB112" i="17" s="1"/>
  <c r="AF110" i="17"/>
  <c r="AX110" i="17"/>
  <c r="AU110" i="17"/>
  <c r="AW110" i="17"/>
  <c r="AV110" i="17"/>
  <c r="BB110" i="17"/>
  <c r="AS110" i="17"/>
  <c r="AY110" i="17"/>
  <c r="AR110" i="17"/>
  <c r="AT110" i="17"/>
  <c r="BA110" i="17"/>
  <c r="AZ110" i="17"/>
  <c r="AG110" i="17"/>
  <c r="AK110" i="17" s="1"/>
  <c r="S115" i="17"/>
  <c r="R115" i="17"/>
  <c r="Q115" i="17"/>
  <c r="T115" i="17"/>
  <c r="B232" i="9"/>
  <c r="B266" i="9"/>
  <c r="AL96" i="16"/>
  <c r="E123" i="8"/>
  <c r="I123" i="8"/>
  <c r="G123" i="8"/>
  <c r="F123" i="8"/>
  <c r="H123" i="8"/>
  <c r="D123" i="8"/>
  <c r="C123" i="8"/>
  <c r="Q115" i="16"/>
  <c r="U115" i="16"/>
  <c r="R115" i="16"/>
  <c r="S115" i="16"/>
  <c r="T115" i="16"/>
  <c r="I89" i="8"/>
  <c r="C86" i="3"/>
  <c r="F89" i="8"/>
  <c r="D89" i="8"/>
  <c r="C89" i="8"/>
  <c r="AI136" i="11"/>
  <c r="H89" i="8"/>
  <c r="E89" i="8"/>
  <c r="AL87" i="3"/>
  <c r="AM87" i="3"/>
  <c r="AF136" i="11"/>
  <c r="AG136" i="11"/>
  <c r="AE136" i="11"/>
  <c r="X86" i="3" s="1"/>
  <c r="AA86" i="3" s="1"/>
  <c r="BC96" i="11"/>
  <c r="BI96" i="11" s="1"/>
  <c r="I86" i="3" s="1"/>
  <c r="V139" i="11"/>
  <c r="U139" i="11"/>
  <c r="CC99" i="11" s="1"/>
  <c r="CC31" i="6" s="1"/>
  <c r="T139" i="11"/>
  <c r="AC31" i="6" s="1"/>
  <c r="AC179" i="11"/>
  <c r="J150" i="9"/>
  <c r="H150" i="9"/>
  <c r="G150" i="9"/>
  <c r="R101" i="16"/>
  <c r="M102" i="16"/>
  <c r="AC109" i="17"/>
  <c r="AJ109" i="17"/>
  <c r="AI109" i="17"/>
  <c r="AE109" i="17"/>
  <c r="AD109" i="17"/>
  <c r="AH109" i="17"/>
  <c r="V189" i="16"/>
  <c r="U189" i="16"/>
  <c r="CE109" i="16" s="1"/>
  <c r="CI41" i="6" s="1"/>
  <c r="T189" i="16"/>
  <c r="R180" i="17"/>
  <c r="S180" i="17" s="1"/>
  <c r="V181" i="11"/>
  <c r="U181" i="11"/>
  <c r="CE101" i="11" s="1"/>
  <c r="CE33" i="6" s="1"/>
  <c r="T181" i="11"/>
  <c r="AI33" i="6" s="1"/>
  <c r="AD176" i="17"/>
  <c r="AI176" i="17"/>
  <c r="AE176" i="17"/>
  <c r="AF176" i="17"/>
  <c r="AG176" i="17"/>
  <c r="AC188" i="17"/>
  <c r="AI188" i="17" s="1"/>
  <c r="Y188" i="16"/>
  <c r="Z188" i="16"/>
  <c r="K196" i="9" s="1"/>
  <c r="AA188" i="16"/>
  <c r="X188" i="16"/>
  <c r="AB188" i="16"/>
  <c r="W188" i="16"/>
  <c r="W138" i="11"/>
  <c r="AA138" i="11"/>
  <c r="Y138" i="11"/>
  <c r="AB138" i="11"/>
  <c r="Z138" i="11"/>
  <c r="K84" i="9" s="1"/>
  <c r="X138" i="11"/>
  <c r="S103" i="16"/>
  <c r="N104" i="16"/>
  <c r="P119" i="9"/>
  <c r="S119" i="9"/>
  <c r="Q119" i="9"/>
  <c r="T179" i="17"/>
  <c r="V179" i="17"/>
  <c r="U179" i="17"/>
  <c r="CE99" i="17" s="1"/>
  <c r="CM31" i="6" s="1"/>
  <c r="G184" i="9"/>
  <c r="J184" i="9"/>
  <c r="H184" i="9"/>
  <c r="AF96" i="17"/>
  <c r="AW96" i="17"/>
  <c r="AV96" i="17"/>
  <c r="AU96" i="17"/>
  <c r="AX96" i="17"/>
  <c r="AS96" i="17"/>
  <c r="AR96" i="17"/>
  <c r="AT96" i="17"/>
  <c r="AY96" i="17"/>
  <c r="BA96" i="17"/>
  <c r="AZ96" i="17"/>
  <c r="BB96" i="17"/>
  <c r="AG96" i="17"/>
  <c r="AK96" i="17" s="1"/>
  <c r="M103" i="17"/>
  <c r="R102" i="17"/>
  <c r="W178" i="17"/>
  <c r="Y178" i="17"/>
  <c r="AA178" i="17"/>
  <c r="AB178" i="17"/>
  <c r="Z178" i="17"/>
  <c r="X178" i="17"/>
  <c r="A271" i="9"/>
  <c r="A203" i="9"/>
  <c r="A237" i="9"/>
  <c r="A169" i="9"/>
  <c r="A135" i="9"/>
  <c r="W180" i="11"/>
  <c r="AA180" i="11"/>
  <c r="Z180" i="11"/>
  <c r="K120" i="9" s="1"/>
  <c r="Y180" i="11"/>
  <c r="AB180" i="11"/>
  <c r="X180" i="11"/>
  <c r="AJ177" i="11"/>
  <c r="AD136" i="11"/>
  <c r="AC137" i="11"/>
  <c r="B252" i="9"/>
  <c r="B218" i="9"/>
  <c r="O102" i="17"/>
  <c r="T101" i="17"/>
  <c r="AF108" i="17"/>
  <c r="AW108" i="17"/>
  <c r="AG108" i="17"/>
  <c r="AK108" i="17" s="1"/>
  <c r="AV108" i="17"/>
  <c r="BA108" i="17"/>
  <c r="AU108" i="17"/>
  <c r="AS108" i="17"/>
  <c r="AX108" i="17"/>
  <c r="AR108" i="17"/>
  <c r="AZ108" i="17"/>
  <c r="AT108" i="17"/>
  <c r="AY108" i="17"/>
  <c r="BB108" i="17"/>
  <c r="AV97" i="11"/>
  <c r="AU97" i="11"/>
  <c r="AX97" i="11"/>
  <c r="AW97" i="11"/>
  <c r="AF97" i="11"/>
  <c r="E90" i="8" s="1"/>
  <c r="AS97" i="11"/>
  <c r="AR97" i="11"/>
  <c r="AZ97" i="11"/>
  <c r="BB97" i="11"/>
  <c r="BA97" i="11"/>
  <c r="AY97" i="11"/>
  <c r="AT97" i="11"/>
  <c r="AG97" i="11"/>
  <c r="AK97" i="11" s="1"/>
  <c r="AC98" i="11"/>
  <c r="AE98" i="11"/>
  <c r="AD98" i="11"/>
  <c r="R141" i="11"/>
  <c r="S141" i="11" s="1"/>
  <c r="AC177" i="17"/>
  <c r="L102" i="17"/>
  <c r="Q101" i="17"/>
  <c r="N102" i="17"/>
  <c r="S101" i="17"/>
  <c r="T101" i="16"/>
  <c r="O102" i="16"/>
  <c r="X189" i="17"/>
  <c r="Z189" i="17"/>
  <c r="W189" i="17"/>
  <c r="Y189" i="17"/>
  <c r="AB189" i="17"/>
  <c r="AA189" i="17"/>
  <c r="V140" i="11"/>
  <c r="U140" i="11"/>
  <c r="CC100" i="11" s="1"/>
  <c r="CC32" i="6" s="1"/>
  <c r="T140" i="11"/>
  <c r="AC32" i="6" s="1"/>
  <c r="AD178" i="11"/>
  <c r="AI178" i="11"/>
  <c r="AF178" i="11"/>
  <c r="AH178" i="11"/>
  <c r="AG178" i="11"/>
  <c r="AE178" i="11"/>
  <c r="AH88" i="3" s="1"/>
  <c r="AK88" i="3" s="1"/>
  <c r="L102" i="16"/>
  <c r="Q101" i="16"/>
  <c r="B264" i="9"/>
  <c r="B230" i="9"/>
  <c r="AT198" i="7"/>
  <c r="BC96" i="16"/>
  <c r="BG96" i="16" s="1"/>
  <c r="G86" i="18" s="1"/>
  <c r="BV96" i="11"/>
  <c r="BI28" i="6" s="1"/>
  <c r="BY96" i="11"/>
  <c r="BL28" i="6" s="1"/>
  <c r="A195" i="17"/>
  <c r="A218" i="6"/>
  <c r="A82" i="6"/>
  <c r="A150" i="6"/>
  <c r="R182" i="11"/>
  <c r="S182" i="11" s="1"/>
  <c r="H182" i="11"/>
  <c r="AM86" i="3"/>
  <c r="AO86" i="3" s="1"/>
  <c r="AP86" i="3" s="1"/>
  <c r="BJ86" i="3" s="1"/>
  <c r="AL86" i="3"/>
  <c r="AN86" i="3" s="1"/>
  <c r="J167" i="6"/>
  <c r="P167" i="6" s="1"/>
  <c r="T167" i="6" s="1"/>
  <c r="AY30" i="6" s="1"/>
  <c r="J201" i="6"/>
  <c r="P201" i="6" s="1"/>
  <c r="T201" i="6" s="1"/>
  <c r="BE30" i="6" s="1"/>
  <c r="AB97" i="16"/>
  <c r="AH188" i="17"/>
  <c r="AE188" i="17"/>
  <c r="AH98" i="19" s="1"/>
  <c r="AK98" i="19" s="1"/>
  <c r="AM98" i="19" s="1"/>
  <c r="M181" i="17"/>
  <c r="P181" i="17"/>
  <c r="Q181" i="17" s="1"/>
  <c r="R181" i="17" s="1"/>
  <c r="K182" i="17"/>
  <c r="A105" i="19"/>
  <c r="A195" i="16"/>
  <c r="A195" i="11"/>
  <c r="O102" i="11"/>
  <c r="T102" i="11" s="1"/>
  <c r="V114" i="16"/>
  <c r="Y114" i="16" s="1"/>
  <c r="Z114" i="16" s="1"/>
  <c r="M142" i="11"/>
  <c r="P142" i="11"/>
  <c r="Q142" i="11" s="1"/>
  <c r="AB111" i="17"/>
  <c r="AI98" i="11"/>
  <c r="H116" i="17"/>
  <c r="H116" i="16"/>
  <c r="AL96" i="11"/>
  <c r="X115" i="16"/>
  <c r="Y113" i="17"/>
  <c r="L102" i="11"/>
  <c r="Q102" i="11" s="1"/>
  <c r="I115" i="11"/>
  <c r="I115" i="17"/>
  <c r="I115" i="16"/>
  <c r="X115" i="17"/>
  <c r="U115" i="17"/>
  <c r="C100" i="19"/>
  <c r="V114" i="17"/>
  <c r="AP96" i="16"/>
  <c r="B123" i="8" s="1"/>
  <c r="Z199" i="7"/>
  <c r="H200" i="7"/>
  <c r="AF198" i="7"/>
  <c r="AV197" i="7"/>
  <c r="AG199" i="7"/>
  <c r="AS199" i="7"/>
  <c r="N200" i="7"/>
  <c r="AD200" i="7"/>
  <c r="L201" i="7"/>
  <c r="AB200" i="7"/>
  <c r="J201" i="7"/>
  <c r="W201" i="7"/>
  <c r="AQ200" i="7"/>
  <c r="AP201" i="7"/>
  <c r="V202" i="7"/>
  <c r="AM198" i="7"/>
  <c r="AO200" i="7"/>
  <c r="U201" i="7"/>
  <c r="AC199" i="7"/>
  <c r="K200" i="7"/>
  <c r="AL200" i="7"/>
  <c r="S201" i="7"/>
  <c r="AE199" i="7"/>
  <c r="M200" i="7"/>
  <c r="Q200" i="7"/>
  <c r="AJ199" i="7"/>
  <c r="AH199" i="7"/>
  <c r="O200" i="7"/>
  <c r="AN200" i="7"/>
  <c r="T201" i="7"/>
  <c r="A176" i="8"/>
  <c r="A184" i="6"/>
  <c r="A213" i="7"/>
  <c r="A108" i="8"/>
  <c r="A142" i="8"/>
  <c r="V101" i="11"/>
  <c r="Y101" i="11" s="1"/>
  <c r="AI200" i="7"/>
  <c r="P201" i="7"/>
  <c r="AR199" i="7"/>
  <c r="X200" i="7"/>
  <c r="AK199" i="7"/>
  <c r="R200" i="7"/>
  <c r="E102" i="17"/>
  <c r="C199" i="7"/>
  <c r="A105" i="18"/>
  <c r="AB97" i="17"/>
  <c r="A179" i="7"/>
  <c r="A155" i="17"/>
  <c r="A115" i="17"/>
  <c r="A116" i="6"/>
  <c r="U101" i="17"/>
  <c r="G101" i="17"/>
  <c r="AR91" i="19" s="1"/>
  <c r="F102" i="17"/>
  <c r="D200" i="7" s="1"/>
  <c r="Z98" i="17"/>
  <c r="AA98" i="17"/>
  <c r="P83" i="9"/>
  <c r="S83" i="9"/>
  <c r="Q83" i="9"/>
  <c r="P102" i="11"/>
  <c r="U102" i="11" s="1"/>
  <c r="S82" i="9"/>
  <c r="P82" i="9"/>
  <c r="Q82" i="9"/>
  <c r="Y99" i="17"/>
  <c r="V100" i="17"/>
  <c r="F102" i="16"/>
  <c r="D165" i="7"/>
  <c r="E102" i="16"/>
  <c r="C165" i="7"/>
  <c r="V100" i="16"/>
  <c r="Y100" i="16" s="1"/>
  <c r="A155" i="16"/>
  <c r="A115" i="16"/>
  <c r="AM96" i="16"/>
  <c r="D86" i="18" s="1"/>
  <c r="AO96" i="16"/>
  <c r="AN96" i="16"/>
  <c r="Z99" i="16"/>
  <c r="AA99" i="16"/>
  <c r="P102" i="16"/>
  <c r="U102" i="16" s="1"/>
  <c r="Z98" i="16"/>
  <c r="AA98" i="16"/>
  <c r="A115" i="11"/>
  <c r="A155" i="11"/>
  <c r="AO96" i="11"/>
  <c r="AM96" i="11"/>
  <c r="AN96" i="11"/>
  <c r="AP96" i="11"/>
  <c r="B89" i="8" s="1"/>
  <c r="AJ98" i="11"/>
  <c r="AH98" i="11"/>
  <c r="AB99" i="11"/>
  <c r="Z112" i="11"/>
  <c r="AA100" i="11"/>
  <c r="Z100" i="11"/>
  <c r="X115" i="11"/>
  <c r="Y113" i="11"/>
  <c r="V114" i="11"/>
  <c r="U115" i="11"/>
  <c r="S115" i="11"/>
  <c r="R115" i="11"/>
  <c r="T115" i="11"/>
  <c r="H116" i="11"/>
  <c r="Q116" i="11" s="1"/>
  <c r="K136" i="4"/>
  <c r="K143" i="11"/>
  <c r="N103" i="11"/>
  <c r="S103" i="11" s="1"/>
  <c r="M103" i="11"/>
  <c r="R103" i="11" s="1"/>
  <c r="K115" i="11"/>
  <c r="A145" i="7"/>
  <c r="A101" i="9"/>
  <c r="A136" i="4"/>
  <c r="A48" i="6"/>
  <c r="W47" i="6" s="1"/>
  <c r="BH47" i="6" s="1"/>
  <c r="A105" i="3"/>
  <c r="BD96" i="11" l="1"/>
  <c r="C87" i="3"/>
  <c r="BG41" i="6"/>
  <c r="AU41" i="6"/>
  <c r="BG96" i="11"/>
  <c r="H90" i="8"/>
  <c r="BF96" i="11"/>
  <c r="D90" i="8"/>
  <c r="BJ96" i="11"/>
  <c r="BK96" i="11"/>
  <c r="BE96" i="11"/>
  <c r="BH96" i="11"/>
  <c r="H86" i="3" s="1"/>
  <c r="C99" i="19"/>
  <c r="CD109" i="17"/>
  <c r="CL41" i="6" s="1"/>
  <c r="CB109" i="17"/>
  <c r="CJ41" i="6" s="1"/>
  <c r="J123" i="8"/>
  <c r="BK96" i="16"/>
  <c r="AN87" i="3"/>
  <c r="BC97" i="11"/>
  <c r="BK97" i="11" s="1"/>
  <c r="J89" i="8"/>
  <c r="CD98" i="11"/>
  <c r="CD30" i="6" s="1"/>
  <c r="CB98" i="11"/>
  <c r="CB30" i="6" s="1"/>
  <c r="I157" i="8"/>
  <c r="H157" i="8"/>
  <c r="E157" i="8"/>
  <c r="G157" i="8"/>
  <c r="F157" i="8"/>
  <c r="D157" i="8"/>
  <c r="C157" i="8"/>
  <c r="AP110" i="17"/>
  <c r="B171" i="8" s="1"/>
  <c r="BY110" i="17"/>
  <c r="BX42" i="6" s="1"/>
  <c r="G171" i="8"/>
  <c r="H171" i="8"/>
  <c r="E171" i="8"/>
  <c r="D171" i="8"/>
  <c r="I171" i="8"/>
  <c r="F171" i="8"/>
  <c r="C171" i="8"/>
  <c r="T116" i="17"/>
  <c r="S116" i="17"/>
  <c r="Q116" i="17"/>
  <c r="R116" i="17"/>
  <c r="AE112" i="17"/>
  <c r="AD112" i="17"/>
  <c r="AC112" i="17"/>
  <c r="AJ112" i="17"/>
  <c r="AI112" i="17"/>
  <c r="AH112" i="17"/>
  <c r="BC110" i="17"/>
  <c r="BH110" i="17" s="1"/>
  <c r="H100" i="19" s="1"/>
  <c r="AL110" i="17"/>
  <c r="AF188" i="17"/>
  <c r="H169" i="8"/>
  <c r="G169" i="8"/>
  <c r="F169" i="8"/>
  <c r="E169" i="8"/>
  <c r="I169" i="8"/>
  <c r="D169" i="8"/>
  <c r="C169" i="8"/>
  <c r="AD111" i="17"/>
  <c r="C101" i="19" s="1"/>
  <c r="AC111" i="17"/>
  <c r="AE111" i="17"/>
  <c r="AJ111" i="17"/>
  <c r="AI111" i="17"/>
  <c r="AH111" i="17"/>
  <c r="AB123" i="8"/>
  <c r="AG123" i="8"/>
  <c r="Y123" i="8"/>
  <c r="AC123" i="8"/>
  <c r="P123" i="8"/>
  <c r="AF123" i="8"/>
  <c r="X123" i="8"/>
  <c r="O123" i="8"/>
  <c r="AE123" i="8"/>
  <c r="W123" i="8"/>
  <c r="N123" i="8"/>
  <c r="AD123" i="8"/>
  <c r="V123" i="8"/>
  <c r="Q123" i="8"/>
  <c r="T116" i="16"/>
  <c r="Q116" i="16"/>
  <c r="U116" i="16"/>
  <c r="R116" i="16"/>
  <c r="S116" i="16"/>
  <c r="AJ136" i="11"/>
  <c r="C90" i="8"/>
  <c r="F90" i="8"/>
  <c r="I90" i="8"/>
  <c r="G90" i="8"/>
  <c r="BJ96" i="16"/>
  <c r="BF96" i="16"/>
  <c r="F86" i="18" s="1"/>
  <c r="AC188" i="16"/>
  <c r="AI188" i="16" s="1"/>
  <c r="BI96" i="16"/>
  <c r="BE96" i="16"/>
  <c r="E86" i="18" s="1"/>
  <c r="BD96" i="16"/>
  <c r="BH96" i="16"/>
  <c r="H86" i="18" s="1"/>
  <c r="AD99" i="11"/>
  <c r="AC99" i="11"/>
  <c r="AE99" i="11"/>
  <c r="BY108" i="17"/>
  <c r="BX40" i="6" s="1"/>
  <c r="BW96" i="11"/>
  <c r="BJ28" i="6" s="1"/>
  <c r="O103" i="17"/>
  <c r="T102" i="17"/>
  <c r="AC180" i="11"/>
  <c r="AG180" i="11" s="1"/>
  <c r="AL96" i="17"/>
  <c r="AB179" i="17"/>
  <c r="W179" i="17"/>
  <c r="AA179" i="17"/>
  <c r="Z179" i="17"/>
  <c r="Y179" i="17"/>
  <c r="X179" i="17"/>
  <c r="AD188" i="17"/>
  <c r="AG188" i="17"/>
  <c r="AJ188" i="17" s="1"/>
  <c r="Y189" i="16"/>
  <c r="AA189" i="16"/>
  <c r="Z189" i="16"/>
  <c r="K197" i="9" s="1"/>
  <c r="X189" i="16"/>
  <c r="AB189" i="16"/>
  <c r="W189" i="16"/>
  <c r="AD179" i="11"/>
  <c r="AE179" i="11"/>
  <c r="AG179" i="11"/>
  <c r="AI179" i="11"/>
  <c r="AH179" i="11"/>
  <c r="AF179" i="11"/>
  <c r="A272" i="9"/>
  <c r="A204" i="9"/>
  <c r="A238" i="9"/>
  <c r="A170" i="9"/>
  <c r="A136" i="9"/>
  <c r="B82" i="9"/>
  <c r="H82" i="9" s="1"/>
  <c r="B116" i="9"/>
  <c r="L103" i="16"/>
  <c r="Q102" i="16"/>
  <c r="AC189" i="17"/>
  <c r="AD189" i="17" s="1"/>
  <c r="N103" i="17"/>
  <c r="S102" i="17"/>
  <c r="AD177" i="17"/>
  <c r="AE177" i="17"/>
  <c r="AH177" i="17"/>
  <c r="AG177" i="17"/>
  <c r="AF177" i="17"/>
  <c r="AX98" i="11"/>
  <c r="AF98" i="11"/>
  <c r="I91" i="8" s="1"/>
  <c r="AW98" i="11"/>
  <c r="AV98" i="11"/>
  <c r="AU98" i="11"/>
  <c r="AS98" i="11"/>
  <c r="AR98" i="11"/>
  <c r="AZ98" i="11"/>
  <c r="AY98" i="11"/>
  <c r="AT98" i="11"/>
  <c r="BA98" i="11"/>
  <c r="BB98" i="11"/>
  <c r="AG98" i="11"/>
  <c r="AK98" i="11" s="1"/>
  <c r="B231" i="9"/>
  <c r="B265" i="9"/>
  <c r="AC97" i="17"/>
  <c r="AJ97" i="17"/>
  <c r="AI97" i="17"/>
  <c r="AE97" i="17"/>
  <c r="AD97" i="17"/>
  <c r="AH97" i="17"/>
  <c r="AJ178" i="11"/>
  <c r="W140" i="11"/>
  <c r="Y140" i="11"/>
  <c r="AB140" i="11"/>
  <c r="AA140" i="11"/>
  <c r="Z140" i="11"/>
  <c r="K86" i="9" s="1"/>
  <c r="X140" i="11"/>
  <c r="T102" i="16"/>
  <c r="O103" i="16"/>
  <c r="BC108" i="17"/>
  <c r="BH108" i="17" s="1"/>
  <c r="H98" i="19" s="1"/>
  <c r="AL108" i="17"/>
  <c r="M104" i="17"/>
  <c r="R103" i="17"/>
  <c r="BC96" i="17"/>
  <c r="BE96" i="17" s="1"/>
  <c r="E86" i="19" s="1"/>
  <c r="S104" i="16"/>
  <c r="N105" i="16"/>
  <c r="S196" i="9"/>
  <c r="Q196" i="9"/>
  <c r="P196" i="9"/>
  <c r="T180" i="17"/>
  <c r="U180" i="17"/>
  <c r="CE100" i="17" s="1"/>
  <c r="CM32" i="6" s="1"/>
  <c r="V180" i="17"/>
  <c r="W139" i="11"/>
  <c r="Y139" i="11"/>
  <c r="AB139" i="11"/>
  <c r="AA139" i="11"/>
  <c r="Z139" i="11"/>
  <c r="K85" i="9" s="1"/>
  <c r="X139" i="11"/>
  <c r="BY96" i="17"/>
  <c r="BX28" i="6" s="1"/>
  <c r="R142" i="11"/>
  <c r="S142" i="11" s="1"/>
  <c r="V182" i="11"/>
  <c r="U182" i="11"/>
  <c r="CE102" i="11" s="1"/>
  <c r="CE34" i="6" s="1"/>
  <c r="T182" i="11"/>
  <c r="AI34" i="6" s="1"/>
  <c r="AL88" i="3"/>
  <c r="AM88" i="3"/>
  <c r="L103" i="17"/>
  <c r="Q102" i="17"/>
  <c r="T141" i="11"/>
  <c r="AC33" i="6" s="1"/>
  <c r="V141" i="11"/>
  <c r="U141" i="11"/>
  <c r="CC101" i="11" s="1"/>
  <c r="CC33" i="6" s="1"/>
  <c r="BZ96" i="11"/>
  <c r="BM28" i="6" s="1"/>
  <c r="AD137" i="11"/>
  <c r="AE137" i="11"/>
  <c r="X87" i="3" s="1"/>
  <c r="AA87" i="3" s="1"/>
  <c r="AI137" i="11"/>
  <c r="AG137" i="11"/>
  <c r="AH137" i="11"/>
  <c r="AF137" i="11"/>
  <c r="S120" i="9"/>
  <c r="P120" i="9"/>
  <c r="Q120" i="9"/>
  <c r="AI177" i="17"/>
  <c r="AC178" i="17"/>
  <c r="AE178" i="17" s="1"/>
  <c r="AH88" i="19" s="1"/>
  <c r="AK88" i="19" s="1"/>
  <c r="AC138" i="11"/>
  <c r="AH86" i="19"/>
  <c r="AK86" i="19" s="1"/>
  <c r="AJ176" i="17"/>
  <c r="W181" i="11"/>
  <c r="Y181" i="11"/>
  <c r="AB181" i="11"/>
  <c r="AA181" i="11"/>
  <c r="Z181" i="11"/>
  <c r="K121" i="9" s="1"/>
  <c r="X181" i="11"/>
  <c r="AF109" i="17"/>
  <c r="BA109" i="17"/>
  <c r="AU109" i="17"/>
  <c r="AG109" i="17"/>
  <c r="AK109" i="17" s="1"/>
  <c r="AX109" i="17"/>
  <c r="AS109" i="17"/>
  <c r="AW109" i="17"/>
  <c r="AV109" i="17"/>
  <c r="AT109" i="17"/>
  <c r="AR109" i="17"/>
  <c r="BB109" i="17"/>
  <c r="AZ109" i="17"/>
  <c r="AY109" i="17"/>
  <c r="R102" i="16"/>
  <c r="M103" i="16"/>
  <c r="AE97" i="16"/>
  <c r="AC97" i="16"/>
  <c r="AD97" i="16"/>
  <c r="BY97" i="11"/>
  <c r="BL29" i="6" s="1"/>
  <c r="BV97" i="11"/>
  <c r="BI29" i="6" s="1"/>
  <c r="AO110" i="17"/>
  <c r="A196" i="17"/>
  <c r="A219" i="6"/>
  <c r="A151" i="6"/>
  <c r="A83" i="6"/>
  <c r="H183" i="11"/>
  <c r="R183" i="11"/>
  <c r="S183" i="11" s="1"/>
  <c r="AI180" i="11"/>
  <c r="AO87" i="3"/>
  <c r="AP87" i="3" s="1"/>
  <c r="BJ87" i="3" s="1"/>
  <c r="J168" i="6"/>
  <c r="P168" i="6" s="1"/>
  <c r="T168" i="6" s="1"/>
  <c r="AY31" i="6" s="1"/>
  <c r="J202" i="6"/>
  <c r="P202" i="6" s="1"/>
  <c r="T202" i="6" s="1"/>
  <c r="BE31" i="6" s="1"/>
  <c r="AT199" i="7"/>
  <c r="AB98" i="16"/>
  <c r="AB99" i="16"/>
  <c r="AG189" i="17"/>
  <c r="AL98" i="19"/>
  <c r="AE189" i="17"/>
  <c r="AH99" i="19" s="1"/>
  <c r="AK99" i="19" s="1"/>
  <c r="O103" i="11"/>
  <c r="T103" i="11" s="1"/>
  <c r="M182" i="17"/>
  <c r="P182" i="17"/>
  <c r="Q182" i="17" s="1"/>
  <c r="K183" i="17"/>
  <c r="S181" i="17"/>
  <c r="A106" i="19"/>
  <c r="A196" i="16"/>
  <c r="A196" i="11"/>
  <c r="M143" i="11"/>
  <c r="P143" i="11"/>
  <c r="Q143" i="11" s="1"/>
  <c r="L103" i="11"/>
  <c r="Q103" i="11" s="1"/>
  <c r="V102" i="11"/>
  <c r="Y102" i="11" s="1"/>
  <c r="AI99" i="11"/>
  <c r="M123" i="8"/>
  <c r="AN110" i="17"/>
  <c r="S123" i="8"/>
  <c r="U123" i="8"/>
  <c r="T123" i="8"/>
  <c r="AA123" i="8"/>
  <c r="K123" i="8"/>
  <c r="L123" i="8"/>
  <c r="G232" i="9"/>
  <c r="H232" i="9"/>
  <c r="J232" i="9"/>
  <c r="H117" i="17"/>
  <c r="H117" i="16"/>
  <c r="V115" i="16"/>
  <c r="I116" i="11"/>
  <c r="I116" i="17"/>
  <c r="I116" i="16"/>
  <c r="AD171" i="8"/>
  <c r="BD110" i="17"/>
  <c r="BK110" i="17"/>
  <c r="K100" i="19" s="1"/>
  <c r="AI97" i="16"/>
  <c r="AV198" i="7"/>
  <c r="V115" i="17"/>
  <c r="X116" i="16"/>
  <c r="AO97" i="11"/>
  <c r="AM110" i="17"/>
  <c r="Z113" i="17"/>
  <c r="AA113" i="17"/>
  <c r="X116" i="17"/>
  <c r="U116" i="17"/>
  <c r="Y114" i="17"/>
  <c r="Z200" i="7"/>
  <c r="H201" i="7"/>
  <c r="AM96" i="17"/>
  <c r="D86" i="19" s="1"/>
  <c r="N86" i="19" s="1"/>
  <c r="AM108" i="17"/>
  <c r="D98" i="19" s="1"/>
  <c r="AM199" i="7"/>
  <c r="AG200" i="7"/>
  <c r="N201" i="7"/>
  <c r="AS200" i="7"/>
  <c r="AN96" i="17"/>
  <c r="L202" i="7"/>
  <c r="AD201" i="7"/>
  <c r="AQ201" i="7"/>
  <c r="W202" i="7"/>
  <c r="P103" i="11"/>
  <c r="U103" i="11" s="1"/>
  <c r="AP202" i="7"/>
  <c r="V203" i="7"/>
  <c r="AB201" i="7"/>
  <c r="J202" i="7"/>
  <c r="AO96" i="17"/>
  <c r="H218" i="9" s="1"/>
  <c r="AH200" i="7"/>
  <c r="O201" i="7"/>
  <c r="M201" i="7"/>
  <c r="AE200" i="7"/>
  <c r="AL201" i="7"/>
  <c r="S202" i="7"/>
  <c r="AO201" i="7"/>
  <c r="U202" i="7"/>
  <c r="AP108" i="17"/>
  <c r="B169" i="8" s="1"/>
  <c r="K86" i="18"/>
  <c r="J86" i="18"/>
  <c r="AN108" i="17"/>
  <c r="AP96" i="17"/>
  <c r="B157" i="8" s="1"/>
  <c r="S157" i="8" s="1"/>
  <c r="AN201" i="7"/>
  <c r="T202" i="7"/>
  <c r="AC200" i="7"/>
  <c r="K201" i="7"/>
  <c r="AJ200" i="7"/>
  <c r="Q201" i="7"/>
  <c r="AF199" i="7"/>
  <c r="AK200" i="7"/>
  <c r="R201" i="7"/>
  <c r="AI201" i="7"/>
  <c r="P202" i="7"/>
  <c r="A214" i="7"/>
  <c r="A177" i="8"/>
  <c r="A185" i="6"/>
  <c r="A143" i="8"/>
  <c r="A109" i="8"/>
  <c r="AR200" i="7"/>
  <c r="X201" i="7"/>
  <c r="K89" i="8"/>
  <c r="AA89" i="8"/>
  <c r="AB89" i="8"/>
  <c r="AC89" i="8"/>
  <c r="N89" i="8"/>
  <c r="AF89" i="8"/>
  <c r="AG89" i="8"/>
  <c r="AE89" i="8"/>
  <c r="O89" i="8"/>
  <c r="S89" i="8"/>
  <c r="Y89" i="8"/>
  <c r="X89" i="8"/>
  <c r="Q89" i="8"/>
  <c r="AD89" i="8"/>
  <c r="L89" i="8"/>
  <c r="V89" i="8"/>
  <c r="W89" i="8"/>
  <c r="T89" i="8"/>
  <c r="M89" i="8"/>
  <c r="P89" i="8"/>
  <c r="U89" i="8"/>
  <c r="AO108" i="17"/>
  <c r="J230" i="9" s="1"/>
  <c r="E103" i="17"/>
  <c r="C200" i="7"/>
  <c r="AB98" i="17"/>
  <c r="V101" i="17"/>
  <c r="K86" i="3"/>
  <c r="G86" i="3"/>
  <c r="AC86" i="3"/>
  <c r="AE86" i="3" s="1"/>
  <c r="AF86" i="3" s="1"/>
  <c r="BC86" i="3" s="1"/>
  <c r="AB86" i="3"/>
  <c r="AD86" i="3" s="1"/>
  <c r="A106" i="18"/>
  <c r="F86" i="3"/>
  <c r="E86" i="3"/>
  <c r="N86" i="18"/>
  <c r="D86" i="3"/>
  <c r="N86" i="3" s="1"/>
  <c r="J86" i="3"/>
  <c r="G82" i="9"/>
  <c r="Y100" i="17"/>
  <c r="G102" i="17"/>
  <c r="AR92" i="19" s="1"/>
  <c r="F103" i="17"/>
  <c r="D201" i="7" s="1"/>
  <c r="Q84" i="9"/>
  <c r="S84" i="9"/>
  <c r="P84" i="9"/>
  <c r="Z99" i="17"/>
  <c r="AA99" i="17"/>
  <c r="A180" i="7"/>
  <c r="A156" i="17"/>
  <c r="A116" i="17"/>
  <c r="A117" i="6"/>
  <c r="U102" i="17"/>
  <c r="F103" i="16"/>
  <c r="D166" i="7"/>
  <c r="E103" i="16"/>
  <c r="C166" i="7"/>
  <c r="AQ96" i="16"/>
  <c r="Z100" i="16"/>
  <c r="AA100" i="16"/>
  <c r="V101" i="16"/>
  <c r="A156" i="16"/>
  <c r="A116" i="16"/>
  <c r="P103" i="16"/>
  <c r="U103" i="16" s="1"/>
  <c r="AJ97" i="16"/>
  <c r="AH97" i="16"/>
  <c r="BD97" i="11"/>
  <c r="BG97" i="11"/>
  <c r="BH97" i="11"/>
  <c r="A116" i="11"/>
  <c r="A156" i="11"/>
  <c r="BF97" i="11"/>
  <c r="AQ96" i="11"/>
  <c r="AN97" i="11"/>
  <c r="AM97" i="11"/>
  <c r="BZ97" i="11" s="1"/>
  <c r="AL97" i="11"/>
  <c r="AP97" i="11"/>
  <c r="B90" i="8" s="1"/>
  <c r="Z113" i="11"/>
  <c r="AJ99" i="11"/>
  <c r="AH99" i="11"/>
  <c r="AB100" i="11"/>
  <c r="AA101" i="11"/>
  <c r="Z101" i="11"/>
  <c r="X116" i="11"/>
  <c r="Y114" i="11"/>
  <c r="U116" i="11"/>
  <c r="T116" i="11"/>
  <c r="R116" i="11"/>
  <c r="S116" i="11"/>
  <c r="V115" i="11"/>
  <c r="K137" i="4"/>
  <c r="H117" i="11"/>
  <c r="Q117" i="11" s="1"/>
  <c r="M104" i="11"/>
  <c r="R104" i="11" s="1"/>
  <c r="K144" i="11"/>
  <c r="N104" i="11"/>
  <c r="S104" i="11" s="1"/>
  <c r="A146" i="7"/>
  <c r="A49" i="6"/>
  <c r="W48" i="6" s="1"/>
  <c r="BH48" i="6" s="1"/>
  <c r="A137" i="4"/>
  <c r="A102" i="9"/>
  <c r="A106" i="3"/>
  <c r="X171" i="8" l="1"/>
  <c r="AO88" i="3"/>
  <c r="AP88" i="3" s="1"/>
  <c r="BJ88" i="3" s="1"/>
  <c r="AN88" i="3"/>
  <c r="BL96" i="11"/>
  <c r="BE97" i="11"/>
  <c r="BJ97" i="11"/>
  <c r="BI97" i="11"/>
  <c r="CB112" i="17"/>
  <c r="CD112" i="17"/>
  <c r="AG169" i="8"/>
  <c r="BJ96" i="17"/>
  <c r="J86" i="19" s="1"/>
  <c r="J169" i="8"/>
  <c r="J171" i="8"/>
  <c r="J157" i="8"/>
  <c r="BH96" i="17"/>
  <c r="H86" i="19" s="1"/>
  <c r="C102" i="19"/>
  <c r="CD111" i="17"/>
  <c r="CB111" i="17"/>
  <c r="C87" i="19"/>
  <c r="CB97" i="17"/>
  <c r="CJ29" i="6" s="1"/>
  <c r="CD97" i="17"/>
  <c r="CL29" i="6" s="1"/>
  <c r="AD188" i="16"/>
  <c r="CD97" i="16"/>
  <c r="CH29" i="6" s="1"/>
  <c r="CB97" i="16"/>
  <c r="CF29" i="6" s="1"/>
  <c r="BL96" i="16"/>
  <c r="CB99" i="11"/>
  <c r="CB31" i="6" s="1"/>
  <c r="CD99" i="11"/>
  <c r="CD31" i="6" s="1"/>
  <c r="AH189" i="17"/>
  <c r="S171" i="8"/>
  <c r="N171" i="8"/>
  <c r="AF189" i="17"/>
  <c r="AB171" i="8"/>
  <c r="BJ110" i="17"/>
  <c r="J100" i="19" s="1"/>
  <c r="Y171" i="8"/>
  <c r="AI189" i="17"/>
  <c r="AF112" i="17"/>
  <c r="AU112" i="17"/>
  <c r="AW112" i="17"/>
  <c r="AV112" i="17"/>
  <c r="AX112" i="17"/>
  <c r="BB112" i="17"/>
  <c r="AT112" i="17"/>
  <c r="AY112" i="17"/>
  <c r="BA112" i="17"/>
  <c r="AZ112" i="17"/>
  <c r="AS112" i="17"/>
  <c r="AR112" i="17"/>
  <c r="AG112" i="17"/>
  <c r="W171" i="8"/>
  <c r="AA171" i="8"/>
  <c r="T171" i="8"/>
  <c r="M171" i="8"/>
  <c r="V171" i="8"/>
  <c r="Q117" i="17"/>
  <c r="T117" i="17"/>
  <c r="S117" i="17"/>
  <c r="R117" i="17"/>
  <c r="F170" i="8"/>
  <c r="E170" i="8"/>
  <c r="I170" i="8"/>
  <c r="D170" i="8"/>
  <c r="G170" i="8"/>
  <c r="H170" i="8"/>
  <c r="C170" i="8"/>
  <c r="B268" i="9"/>
  <c r="B234" i="9"/>
  <c r="BZ110" i="17"/>
  <c r="BY42" i="6" s="1"/>
  <c r="BE110" i="17"/>
  <c r="BI110" i="17"/>
  <c r="I100" i="19" s="1"/>
  <c r="Y115" i="17"/>
  <c r="AA115" i="17" s="1"/>
  <c r="BF110" i="17"/>
  <c r="F100" i="19" s="1"/>
  <c r="AF171" i="8"/>
  <c r="P171" i="8"/>
  <c r="O171" i="8"/>
  <c r="AG171" i="8"/>
  <c r="AE171" i="8"/>
  <c r="BE108" i="17"/>
  <c r="E98" i="19" s="1"/>
  <c r="BD108" i="17"/>
  <c r="BG110" i="17"/>
  <c r="G100" i="19" s="1"/>
  <c r="K171" i="8"/>
  <c r="L171" i="8"/>
  <c r="U171" i="8"/>
  <c r="AC171" i="8"/>
  <c r="Q171" i="8"/>
  <c r="B267" i="9"/>
  <c r="B233" i="9"/>
  <c r="AF111" i="17"/>
  <c r="AU111" i="17"/>
  <c r="AV111" i="17"/>
  <c r="AX111" i="17"/>
  <c r="AW111" i="17"/>
  <c r="BB111" i="17"/>
  <c r="AS111" i="17"/>
  <c r="AR111" i="17"/>
  <c r="AY111" i="17"/>
  <c r="AZ111" i="17"/>
  <c r="BA111" i="17"/>
  <c r="AT111" i="17"/>
  <c r="AG111" i="17"/>
  <c r="AK111" i="17" s="1"/>
  <c r="AH188" i="16"/>
  <c r="AG188" i="16"/>
  <c r="S117" i="16"/>
  <c r="T117" i="16"/>
  <c r="Q117" i="16"/>
  <c r="R117" i="16"/>
  <c r="U117" i="16"/>
  <c r="AE188" i="16"/>
  <c r="AH98" i="18" s="1"/>
  <c r="AK98" i="18" s="1"/>
  <c r="AM98" i="18" s="1"/>
  <c r="AF188" i="16"/>
  <c r="C88" i="3"/>
  <c r="G91" i="8"/>
  <c r="C91" i="8"/>
  <c r="J82" i="9"/>
  <c r="W82" i="9" s="1"/>
  <c r="F29" i="6" s="1"/>
  <c r="J21" i="23" s="1"/>
  <c r="L104" i="11"/>
  <c r="Q104" i="11" s="1"/>
  <c r="E91" i="8"/>
  <c r="AE180" i="11"/>
  <c r="AH90" i="3" s="1"/>
  <c r="AK90" i="3" s="1"/>
  <c r="J90" i="8"/>
  <c r="BC98" i="11"/>
  <c r="BI98" i="11" s="1"/>
  <c r="H91" i="8"/>
  <c r="F91" i="8"/>
  <c r="O104" i="11"/>
  <c r="T104" i="11" s="1"/>
  <c r="D91" i="8"/>
  <c r="BI108" i="17"/>
  <c r="I98" i="19" s="1"/>
  <c r="I86" i="18"/>
  <c r="L86" i="18" s="1"/>
  <c r="BK96" i="17"/>
  <c r="K86" i="19" s="1"/>
  <c r="BD96" i="17"/>
  <c r="BJ108" i="17"/>
  <c r="J98" i="19" s="1"/>
  <c r="BF108" i="17"/>
  <c r="F98" i="19" s="1"/>
  <c r="BI96" i="17"/>
  <c r="I86" i="19" s="1"/>
  <c r="BG108" i="17"/>
  <c r="G98" i="19" s="1"/>
  <c r="BK108" i="17"/>
  <c r="K98" i="19" s="1"/>
  <c r="BF96" i="17"/>
  <c r="F86" i="19" s="1"/>
  <c r="BG96" i="17"/>
  <c r="G86" i="19" s="1"/>
  <c r="AH180" i="11"/>
  <c r="AB87" i="3"/>
  <c r="AC87" i="3"/>
  <c r="AE87" i="3" s="1"/>
  <c r="AF87" i="3" s="1"/>
  <c r="BC87" i="3" s="1"/>
  <c r="B83" i="9"/>
  <c r="H83" i="9" s="1"/>
  <c r="U83" i="9" s="1"/>
  <c r="E30" i="6" s="1"/>
  <c r="B117" i="9"/>
  <c r="Y101" i="17"/>
  <c r="Z101" i="17" s="1"/>
  <c r="R103" i="16"/>
  <c r="M104" i="16"/>
  <c r="S121" i="9"/>
  <c r="P121" i="9"/>
  <c r="Q121" i="9"/>
  <c r="W141" i="11"/>
  <c r="AB141" i="11"/>
  <c r="AA141" i="11"/>
  <c r="Y141" i="11"/>
  <c r="Z141" i="11"/>
  <c r="K87" i="9" s="1"/>
  <c r="X141" i="11"/>
  <c r="L104" i="17"/>
  <c r="Q103" i="17"/>
  <c r="W182" i="11"/>
  <c r="Y182" i="11"/>
  <c r="AB182" i="11"/>
  <c r="AA182" i="11"/>
  <c r="Z182" i="11"/>
  <c r="K122" i="9" s="1"/>
  <c r="X182" i="11"/>
  <c r="T103" i="16"/>
  <c r="O104" i="16"/>
  <c r="L104" i="16"/>
  <c r="Q103" i="16"/>
  <c r="Q197" i="9"/>
  <c r="P197" i="9"/>
  <c r="S197" i="9"/>
  <c r="AD180" i="11"/>
  <c r="AF180" i="11"/>
  <c r="A205" i="9"/>
  <c r="A239" i="9"/>
  <c r="A171" i="9"/>
  <c r="A137" i="9"/>
  <c r="A273" i="9"/>
  <c r="BM29" i="6"/>
  <c r="R143" i="11"/>
  <c r="S143" i="11" s="1"/>
  <c r="U181" i="17"/>
  <c r="CE101" i="17" s="1"/>
  <c r="CM33" i="6" s="1"/>
  <c r="T181" i="17"/>
  <c r="V181" i="17"/>
  <c r="R182" i="17"/>
  <c r="S182" i="17" s="1"/>
  <c r="T183" i="11"/>
  <c r="AI35" i="6" s="1"/>
  <c r="V183" i="11"/>
  <c r="U183" i="11"/>
  <c r="CE103" i="11" s="1"/>
  <c r="CE35" i="6" s="1"/>
  <c r="BC109" i="17"/>
  <c r="BJ109" i="17" s="1"/>
  <c r="J99" i="19" s="1"/>
  <c r="AL88" i="19"/>
  <c r="AM88" i="19"/>
  <c r="AC139" i="11"/>
  <c r="AE139" i="11" s="1"/>
  <c r="W180" i="17"/>
  <c r="Y180" i="17"/>
  <c r="Z180" i="17"/>
  <c r="AA180" i="17"/>
  <c r="AB180" i="17"/>
  <c r="X180" i="17"/>
  <c r="B253" i="9"/>
  <c r="B219" i="9"/>
  <c r="N104" i="17"/>
  <c r="S103" i="17"/>
  <c r="BW97" i="11"/>
  <c r="BJ29" i="6" s="1"/>
  <c r="AE100" i="11"/>
  <c r="AD100" i="11"/>
  <c r="AC100" i="11"/>
  <c r="AD98" i="17"/>
  <c r="AJ98" i="17"/>
  <c r="AC98" i="17"/>
  <c r="AE98" i="17"/>
  <c r="AI98" i="17"/>
  <c r="AH98" i="17"/>
  <c r="AN109" i="17"/>
  <c r="BY109" i="17"/>
  <c r="BX41" i="6" s="1"/>
  <c r="B185" i="9"/>
  <c r="B151" i="9"/>
  <c r="AL109" i="17"/>
  <c r="AL86" i="19"/>
  <c r="AN86" i="19" s="1"/>
  <c r="AM86" i="19"/>
  <c r="AO86" i="19" s="1"/>
  <c r="AP86" i="19" s="1"/>
  <c r="BJ86" i="19" s="1"/>
  <c r="AD178" i="17"/>
  <c r="AG178" i="17"/>
  <c r="AI178" i="17"/>
  <c r="AH178" i="17"/>
  <c r="AF178" i="17"/>
  <c r="BZ96" i="17"/>
  <c r="BY28" i="6" s="1"/>
  <c r="S105" i="16"/>
  <c r="N106" i="16"/>
  <c r="AC140" i="11"/>
  <c r="AG140" i="11" s="1"/>
  <c r="AH87" i="19"/>
  <c r="AK87" i="19" s="1"/>
  <c r="AJ177" i="17"/>
  <c r="AJ179" i="11"/>
  <c r="AC179" i="17"/>
  <c r="AI179" i="17" s="1"/>
  <c r="O104" i="17"/>
  <c r="T103" i="17"/>
  <c r="AW99" i="11"/>
  <c r="AV99" i="11"/>
  <c r="AF99" i="11"/>
  <c r="F92" i="8" s="1"/>
  <c r="AU99" i="11"/>
  <c r="AX99" i="11"/>
  <c r="AR99" i="11"/>
  <c r="AS99" i="11"/>
  <c r="AZ99" i="11"/>
  <c r="AY99" i="11"/>
  <c r="BB99" i="11"/>
  <c r="AT99" i="11"/>
  <c r="BA99" i="11"/>
  <c r="AG99" i="11"/>
  <c r="AK99" i="11" s="1"/>
  <c r="AC181" i="11"/>
  <c r="AF181" i="11" s="1"/>
  <c r="AD138" i="11"/>
  <c r="AF138" i="11"/>
  <c r="AH138" i="11"/>
  <c r="AE138" i="11"/>
  <c r="X88" i="3" s="1"/>
  <c r="AI138" i="11"/>
  <c r="AG138" i="11"/>
  <c r="AJ137" i="11"/>
  <c r="U142" i="11"/>
  <c r="CC102" i="11" s="1"/>
  <c r="CC34" i="6" s="1"/>
  <c r="T142" i="11"/>
  <c r="AC34" i="6" s="1"/>
  <c r="V142" i="11"/>
  <c r="M105" i="17"/>
  <c r="R104" i="17"/>
  <c r="AF97" i="17"/>
  <c r="AU97" i="17"/>
  <c r="AX97" i="17"/>
  <c r="AS97" i="17"/>
  <c r="AW97" i="17"/>
  <c r="AV97" i="17"/>
  <c r="AR97" i="17"/>
  <c r="AY97" i="17"/>
  <c r="BB97" i="17"/>
  <c r="BA97" i="17"/>
  <c r="AZ97" i="17"/>
  <c r="AT97" i="17"/>
  <c r="AG97" i="17"/>
  <c r="AK97" i="17" s="1"/>
  <c r="G116" i="9"/>
  <c r="T116" i="9" s="1"/>
  <c r="D63" i="6" s="1"/>
  <c r="M63" i="6" s="1"/>
  <c r="J116" i="9"/>
  <c r="W116" i="9" s="1"/>
  <c r="F63" i="6" s="1"/>
  <c r="H116" i="9"/>
  <c r="U116" i="9" s="1"/>
  <c r="E63" i="6" s="1"/>
  <c r="AH89" i="3"/>
  <c r="AK89" i="3" s="1"/>
  <c r="AC189" i="16"/>
  <c r="AE189" i="16" s="1"/>
  <c r="AH99" i="18" s="1"/>
  <c r="AK99" i="18" s="1"/>
  <c r="BZ108" i="17"/>
  <c r="BY40" i="6" s="1"/>
  <c r="AD99" i="16"/>
  <c r="AE99" i="16"/>
  <c r="AC99" i="16"/>
  <c r="AC98" i="16"/>
  <c r="AE98" i="16"/>
  <c r="AD98" i="16"/>
  <c r="AF97" i="16"/>
  <c r="AT97" i="16"/>
  <c r="AX97" i="16"/>
  <c r="BB97" i="16"/>
  <c r="AU97" i="16"/>
  <c r="AY97" i="16"/>
  <c r="AR97" i="16"/>
  <c r="AV97" i="16"/>
  <c r="AS97" i="16"/>
  <c r="AW97" i="16"/>
  <c r="BA97" i="16"/>
  <c r="AZ97" i="16"/>
  <c r="AG97" i="16"/>
  <c r="AK97" i="16" s="1"/>
  <c r="BY98" i="11"/>
  <c r="BL30" i="6" s="1"/>
  <c r="BV98" i="11"/>
  <c r="BI30" i="6" s="1"/>
  <c r="A197" i="17"/>
  <c r="A220" i="6"/>
  <c r="A84" i="6"/>
  <c r="A152" i="6"/>
  <c r="H184" i="11"/>
  <c r="R184" i="11"/>
  <c r="S184" i="11" s="1"/>
  <c r="J169" i="6"/>
  <c r="P169" i="6" s="1"/>
  <c r="T169" i="6" s="1"/>
  <c r="AY32" i="6" s="1"/>
  <c r="J203" i="6"/>
  <c r="P203" i="6" s="1"/>
  <c r="T203" i="6" s="1"/>
  <c r="BE32" i="6" s="1"/>
  <c r="AB100" i="16"/>
  <c r="AL99" i="19"/>
  <c r="AM99" i="19"/>
  <c r="M183" i="17"/>
  <c r="P183" i="17"/>
  <c r="Q183" i="17" s="1"/>
  <c r="K184" i="17"/>
  <c r="A107" i="19"/>
  <c r="A197" i="16"/>
  <c r="A197" i="11"/>
  <c r="Z123" i="8"/>
  <c r="H97" i="6" s="1"/>
  <c r="AF200" i="7"/>
  <c r="V103" i="11"/>
  <c r="Y103" i="11" s="1"/>
  <c r="P104" i="11"/>
  <c r="P105" i="11" s="1"/>
  <c r="U105" i="11" s="1"/>
  <c r="AK112" i="17"/>
  <c r="M144" i="11"/>
  <c r="P144" i="11"/>
  <c r="Q144" i="11" s="1"/>
  <c r="AI100" i="11"/>
  <c r="R123" i="8"/>
  <c r="G97" i="6" s="1"/>
  <c r="AH123" i="8"/>
  <c r="Q85" i="9"/>
  <c r="H147" i="11"/>
  <c r="K106" i="11"/>
  <c r="AI99" i="16"/>
  <c r="X117" i="16"/>
  <c r="H118" i="17"/>
  <c r="H118" i="16"/>
  <c r="I117" i="11"/>
  <c r="I117" i="17"/>
  <c r="I117" i="16"/>
  <c r="P85" i="9"/>
  <c r="AD157" i="8"/>
  <c r="Z114" i="17"/>
  <c r="AA114" i="17"/>
  <c r="V116" i="17"/>
  <c r="X117" i="17"/>
  <c r="U117" i="17"/>
  <c r="Y115" i="16"/>
  <c r="H146" i="11"/>
  <c r="AI98" i="16"/>
  <c r="E100" i="19"/>
  <c r="AB113" i="17"/>
  <c r="D100" i="19"/>
  <c r="AQ110" i="17"/>
  <c r="V116" i="16"/>
  <c r="Y116" i="16" s="1"/>
  <c r="Z116" i="16" s="1"/>
  <c r="Z201" i="7"/>
  <c r="H202" i="7"/>
  <c r="AM109" i="17"/>
  <c r="D99" i="19" s="1"/>
  <c r="K169" i="8"/>
  <c r="AF157" i="8"/>
  <c r="AV199" i="7"/>
  <c r="H230" i="9"/>
  <c r="AT200" i="7"/>
  <c r="Y157" i="8"/>
  <c r="AF169" i="8"/>
  <c r="W157" i="8"/>
  <c r="S169" i="8"/>
  <c r="AD169" i="8"/>
  <c r="AC169" i="8"/>
  <c r="K157" i="8"/>
  <c r="J218" i="9"/>
  <c r="L203" i="7"/>
  <c r="AD202" i="7"/>
  <c r="AS201" i="7"/>
  <c r="AG201" i="7"/>
  <c r="N202" i="7"/>
  <c r="AO109" i="17"/>
  <c r="H231" i="9" s="1"/>
  <c r="AP109" i="17"/>
  <c r="B170" i="8" s="1"/>
  <c r="AQ96" i="17"/>
  <c r="G218" i="9"/>
  <c r="AM200" i="7"/>
  <c r="N169" i="8"/>
  <c r="W169" i="8"/>
  <c r="Y169" i="8"/>
  <c r="AA169" i="8"/>
  <c r="X169" i="8"/>
  <c r="AG157" i="8"/>
  <c r="N157" i="8"/>
  <c r="Q157" i="8"/>
  <c r="AB157" i="8"/>
  <c r="AC157" i="8"/>
  <c r="V157" i="8"/>
  <c r="AB202" i="7"/>
  <c r="J203" i="7"/>
  <c r="AE169" i="8"/>
  <c r="L169" i="8"/>
  <c r="V169" i="8"/>
  <c r="Q169" i="8"/>
  <c r="U169" i="8"/>
  <c r="T169" i="8"/>
  <c r="P157" i="8"/>
  <c r="AA157" i="8"/>
  <c r="L157" i="8"/>
  <c r="U157" i="8"/>
  <c r="X157" i="8"/>
  <c r="AP203" i="7"/>
  <c r="V204" i="7"/>
  <c r="O169" i="8"/>
  <c r="P169" i="8"/>
  <c r="AB169" i="8"/>
  <c r="M169" i="8"/>
  <c r="T157" i="8"/>
  <c r="M157" i="8"/>
  <c r="AE157" i="8"/>
  <c r="O157" i="8"/>
  <c r="W203" i="7"/>
  <c r="AQ202" i="7"/>
  <c r="AN202" i="7"/>
  <c r="T203" i="7"/>
  <c r="M202" i="7"/>
  <c r="AE201" i="7"/>
  <c r="G230" i="9"/>
  <c r="AL202" i="7"/>
  <c r="S203" i="7"/>
  <c r="AH201" i="7"/>
  <c r="O202" i="7"/>
  <c r="AQ108" i="17"/>
  <c r="AD87" i="3"/>
  <c r="AJ201" i="7"/>
  <c r="Q202" i="7"/>
  <c r="AC201" i="7"/>
  <c r="K202" i="7"/>
  <c r="AO202" i="7"/>
  <c r="U203" i="7"/>
  <c r="A178" i="8"/>
  <c r="A186" i="6"/>
  <c r="A215" i="7"/>
  <c r="A110" i="8"/>
  <c r="A144" i="8"/>
  <c r="AI202" i="7"/>
  <c r="P203" i="7"/>
  <c r="AR201" i="7"/>
  <c r="X202" i="7"/>
  <c r="AK201" i="7"/>
  <c r="R202" i="7"/>
  <c r="C87" i="18"/>
  <c r="Z89" i="8"/>
  <c r="AH89" i="8"/>
  <c r="AB90" i="8"/>
  <c r="AE90" i="8"/>
  <c r="Q90" i="8"/>
  <c r="AD90" i="8"/>
  <c r="L90" i="8"/>
  <c r="AG90" i="8"/>
  <c r="P90" i="8"/>
  <c r="V90" i="8"/>
  <c r="T90" i="8"/>
  <c r="AC90" i="8"/>
  <c r="AA90" i="8"/>
  <c r="M90" i="8"/>
  <c r="U90" i="8"/>
  <c r="S90" i="8"/>
  <c r="K90" i="8"/>
  <c r="W90" i="8"/>
  <c r="O90" i="8"/>
  <c r="Y90" i="8"/>
  <c r="X90" i="8"/>
  <c r="AF90" i="8"/>
  <c r="N90" i="8"/>
  <c r="R89" i="8"/>
  <c r="E104" i="17"/>
  <c r="C201" i="7"/>
  <c r="AB99" i="17"/>
  <c r="K87" i="3"/>
  <c r="G87" i="3"/>
  <c r="F87" i="3"/>
  <c r="E87" i="3"/>
  <c r="A107" i="18"/>
  <c r="H87" i="3"/>
  <c r="D87" i="3"/>
  <c r="N87" i="3" s="1"/>
  <c r="J87" i="3"/>
  <c r="I87" i="3"/>
  <c r="L86" i="3"/>
  <c r="P86" i="3"/>
  <c r="Q86" i="3" s="1"/>
  <c r="T82" i="9"/>
  <c r="D29" i="6" s="1"/>
  <c r="G103" i="17"/>
  <c r="AR93" i="19" s="1"/>
  <c r="F104" i="17"/>
  <c r="D202" i="7" s="1"/>
  <c r="U103" i="17"/>
  <c r="AA101" i="17"/>
  <c r="A181" i="7"/>
  <c r="A157" i="17"/>
  <c r="A117" i="17"/>
  <c r="A118" i="6"/>
  <c r="V102" i="17"/>
  <c r="Z100" i="17"/>
  <c r="AA100" i="17"/>
  <c r="U82" i="9"/>
  <c r="E29" i="6" s="1"/>
  <c r="F104" i="16"/>
  <c r="D167" i="7"/>
  <c r="E104" i="16"/>
  <c r="C167" i="7"/>
  <c r="AH98" i="16"/>
  <c r="AH99" i="16"/>
  <c r="AJ99" i="16"/>
  <c r="AJ98" i="16"/>
  <c r="Y101" i="16"/>
  <c r="A157" i="16"/>
  <c r="A117" i="16"/>
  <c r="P104" i="16"/>
  <c r="U104" i="16" s="1"/>
  <c r="V102" i="16"/>
  <c r="A117" i="11"/>
  <c r="A157" i="11"/>
  <c r="BL97" i="11"/>
  <c r="AQ97" i="11"/>
  <c r="Z114" i="11"/>
  <c r="AJ100" i="11"/>
  <c r="AH100" i="11"/>
  <c r="AO98" i="11"/>
  <c r="AM98" i="11"/>
  <c r="BZ98" i="11" s="1"/>
  <c r="AN98" i="11"/>
  <c r="AP98" i="11"/>
  <c r="B91" i="8" s="1"/>
  <c r="AL98" i="11"/>
  <c r="AB101" i="11"/>
  <c r="AA102" i="11"/>
  <c r="Z102" i="11"/>
  <c r="X117" i="11"/>
  <c r="Y115" i="11"/>
  <c r="V116" i="11"/>
  <c r="U117" i="11"/>
  <c r="T117" i="11"/>
  <c r="S117" i="11"/>
  <c r="R117" i="11"/>
  <c r="N105" i="11"/>
  <c r="S105" i="11" s="1"/>
  <c r="K145" i="11"/>
  <c r="H118" i="11"/>
  <c r="Q118" i="11" s="1"/>
  <c r="K138" i="4"/>
  <c r="M105" i="11"/>
  <c r="R105" i="11" s="1"/>
  <c r="A147" i="7"/>
  <c r="A138" i="4"/>
  <c r="A50" i="6"/>
  <c r="W49" i="6" s="1"/>
  <c r="BH49" i="6" s="1"/>
  <c r="A103" i="9"/>
  <c r="A107" i="3"/>
  <c r="M29" i="6" l="1"/>
  <c r="J18" i="23"/>
  <c r="BI109" i="17"/>
  <c r="I99" i="19" s="1"/>
  <c r="N63" i="6"/>
  <c r="AI181" i="11"/>
  <c r="N29" i="6"/>
  <c r="L86" i="19"/>
  <c r="AH140" i="11"/>
  <c r="AH181" i="11"/>
  <c r="AJ180" i="11"/>
  <c r="BL110" i="17"/>
  <c r="CB98" i="17"/>
  <c r="CJ30" i="6" s="1"/>
  <c r="CD98" i="17"/>
  <c r="CL30" i="6" s="1"/>
  <c r="AJ189" i="17"/>
  <c r="AH171" i="8"/>
  <c r="Z115" i="17"/>
  <c r="CD98" i="16"/>
  <c r="CH30" i="6" s="1"/>
  <c r="CB98" i="16"/>
  <c r="CF30" i="6" s="1"/>
  <c r="CD99" i="16"/>
  <c r="CH31" i="6" s="1"/>
  <c r="CB99" i="16"/>
  <c r="CF31" i="6" s="1"/>
  <c r="AE181" i="11"/>
  <c r="AH91" i="3" s="1"/>
  <c r="AK91" i="3" s="1"/>
  <c r="BE98" i="11"/>
  <c r="BH98" i="11"/>
  <c r="H88" i="3" s="1"/>
  <c r="H92" i="8"/>
  <c r="CD100" i="11"/>
  <c r="CD32" i="6" s="1"/>
  <c r="CB100" i="11"/>
  <c r="CB32" i="6" s="1"/>
  <c r="BK98" i="11"/>
  <c r="K88" i="3" s="1"/>
  <c r="AF140" i="11"/>
  <c r="BF98" i="11"/>
  <c r="F88" i="3" s="1"/>
  <c r="BJ98" i="11"/>
  <c r="BD98" i="11"/>
  <c r="C89" i="3"/>
  <c r="J91" i="8"/>
  <c r="G92" i="8"/>
  <c r="L105" i="11"/>
  <c r="Q105" i="11" s="1"/>
  <c r="AI140" i="11"/>
  <c r="BG98" i="11"/>
  <c r="G88" i="3" s="1"/>
  <c r="Z171" i="8"/>
  <c r="H179" i="6" s="1"/>
  <c r="R171" i="8"/>
  <c r="P86" i="19"/>
  <c r="J170" i="8"/>
  <c r="AE113" i="17"/>
  <c r="AD113" i="17"/>
  <c r="AC113" i="17"/>
  <c r="AJ113" i="17"/>
  <c r="AI113" i="17"/>
  <c r="AH113" i="17"/>
  <c r="BC111" i="17"/>
  <c r="BF111" i="17" s="1"/>
  <c r="F101" i="19" s="1"/>
  <c r="R118" i="17"/>
  <c r="Q118" i="17"/>
  <c r="S118" i="17"/>
  <c r="T118" i="17"/>
  <c r="AL112" i="17"/>
  <c r="BH109" i="17"/>
  <c r="H99" i="19" s="1"/>
  <c r="BF109" i="17"/>
  <c r="F99" i="19" s="1"/>
  <c r="AP111" i="17"/>
  <c r="B172" i="8" s="1"/>
  <c r="BY111" i="17"/>
  <c r="BX43" i="6" s="1"/>
  <c r="I172" i="8"/>
  <c r="E172" i="8"/>
  <c r="F172" i="8"/>
  <c r="G172" i="8"/>
  <c r="D172" i="8"/>
  <c r="H172" i="8"/>
  <c r="C172" i="8"/>
  <c r="BK109" i="17"/>
  <c r="K99" i="19" s="1"/>
  <c r="BG109" i="17"/>
  <c r="G99" i="19" s="1"/>
  <c r="G158" i="8"/>
  <c r="H158" i="8"/>
  <c r="E158" i="8"/>
  <c r="F158" i="8"/>
  <c r="D158" i="8"/>
  <c r="I158" i="8"/>
  <c r="C158" i="8"/>
  <c r="BE109" i="17"/>
  <c r="E99" i="19" s="1"/>
  <c r="BD109" i="17"/>
  <c r="BL108" i="17"/>
  <c r="AA170" i="8"/>
  <c r="BL96" i="17"/>
  <c r="BY112" i="17"/>
  <c r="BX44" i="6" s="1"/>
  <c r="D173" i="8"/>
  <c r="F173" i="8"/>
  <c r="G173" i="8"/>
  <c r="I173" i="8"/>
  <c r="E173" i="8"/>
  <c r="H173" i="8"/>
  <c r="C173" i="8"/>
  <c r="AL111" i="17"/>
  <c r="BC112" i="17"/>
  <c r="BG112" i="17" s="1"/>
  <c r="G102" i="19" s="1"/>
  <c r="AD189" i="16"/>
  <c r="P86" i="18"/>
  <c r="Q86" i="18" s="1"/>
  <c r="S86" i="18" s="1"/>
  <c r="U86" i="18" s="1"/>
  <c r="V86" i="18" s="1"/>
  <c r="AI189" i="16"/>
  <c r="AL98" i="18"/>
  <c r="AG189" i="16"/>
  <c r="AJ188" i="16"/>
  <c r="V117" i="16"/>
  <c r="Y117" i="16" s="1"/>
  <c r="Z117" i="16" s="1"/>
  <c r="R118" i="16"/>
  <c r="S118" i="16"/>
  <c r="T118" i="16"/>
  <c r="U118" i="16"/>
  <c r="Q118" i="16"/>
  <c r="AL97" i="16"/>
  <c r="D124" i="8"/>
  <c r="F124" i="8"/>
  <c r="I124" i="8"/>
  <c r="H124" i="8"/>
  <c r="E124" i="8"/>
  <c r="G124" i="8"/>
  <c r="C124" i="8"/>
  <c r="AF189" i="16"/>
  <c r="AH189" i="16"/>
  <c r="BC99" i="11"/>
  <c r="BI99" i="11" s="1"/>
  <c r="I89" i="3" s="1"/>
  <c r="U104" i="11"/>
  <c r="V104" i="11" s="1"/>
  <c r="Y104" i="11" s="1"/>
  <c r="I92" i="8"/>
  <c r="E92" i="8"/>
  <c r="C92" i="8"/>
  <c r="J83" i="9"/>
  <c r="W83" i="9" s="1"/>
  <c r="F30" i="6" s="1"/>
  <c r="G83" i="9"/>
  <c r="T83" i="9" s="1"/>
  <c r="D30" i="6" s="1"/>
  <c r="O105" i="11"/>
  <c r="T105" i="11" s="1"/>
  <c r="D92" i="8"/>
  <c r="A274" i="9"/>
  <c r="A206" i="9"/>
  <c r="A240" i="9"/>
  <c r="A172" i="9"/>
  <c r="A138" i="9"/>
  <c r="BY97" i="17"/>
  <c r="B153" i="9"/>
  <c r="B187" i="9"/>
  <c r="R63" i="6"/>
  <c r="AE28" i="6" s="1"/>
  <c r="W142" i="11"/>
  <c r="AA142" i="11"/>
  <c r="Y142" i="11"/>
  <c r="AB142" i="11"/>
  <c r="Z142" i="11"/>
  <c r="K88" i="9" s="1"/>
  <c r="X142" i="11"/>
  <c r="AJ178" i="17"/>
  <c r="BZ109" i="17"/>
  <c r="BY41" i="6" s="1"/>
  <c r="W183" i="11"/>
  <c r="AB183" i="11"/>
  <c r="AA183" i="11"/>
  <c r="Y183" i="11"/>
  <c r="Z183" i="11"/>
  <c r="K123" i="9" s="1"/>
  <c r="X183" i="11"/>
  <c r="V182" i="17"/>
  <c r="U182" i="17"/>
  <c r="CE102" i="17" s="1"/>
  <c r="CM34" i="6" s="1"/>
  <c r="T182" i="17"/>
  <c r="T104" i="16"/>
  <c r="O105" i="16"/>
  <c r="S122" i="9"/>
  <c r="P122" i="9"/>
  <c r="Q122" i="9"/>
  <c r="AE99" i="17"/>
  <c r="AJ99" i="17"/>
  <c r="AD99" i="17"/>
  <c r="AI99" i="17"/>
  <c r="AC99" i="17"/>
  <c r="AH99" i="17"/>
  <c r="R183" i="17"/>
  <c r="S183" i="17" s="1"/>
  <c r="AM89" i="3"/>
  <c r="AO89" i="3" s="1"/>
  <c r="AP89" i="3" s="1"/>
  <c r="BJ89" i="3" s="1"/>
  <c r="AL89" i="3"/>
  <c r="AN89" i="3" s="1"/>
  <c r="AL97" i="17"/>
  <c r="AA88" i="3"/>
  <c r="AJ138" i="11"/>
  <c r="O105" i="17"/>
  <c r="T104" i="17"/>
  <c r="S106" i="16"/>
  <c r="N107" i="16"/>
  <c r="S107" i="16" s="1"/>
  <c r="G151" i="9"/>
  <c r="J151" i="9"/>
  <c r="H151" i="9"/>
  <c r="N105" i="17"/>
  <c r="S104" i="17"/>
  <c r="AC180" i="17"/>
  <c r="V143" i="11"/>
  <c r="U143" i="11"/>
  <c r="CC103" i="11" s="1"/>
  <c r="CC35" i="6" s="1"/>
  <c r="T143" i="11"/>
  <c r="AC35" i="6" s="1"/>
  <c r="R104" i="16"/>
  <c r="M105" i="16"/>
  <c r="AE101" i="11"/>
  <c r="AD101" i="11"/>
  <c r="AC101" i="11"/>
  <c r="BM30" i="6"/>
  <c r="AD181" i="11"/>
  <c r="AG181" i="11"/>
  <c r="AM87" i="19"/>
  <c r="AO87" i="19" s="1"/>
  <c r="AP87" i="19" s="1"/>
  <c r="BJ87" i="19" s="1"/>
  <c r="AL87" i="19"/>
  <c r="AN87" i="19" s="1"/>
  <c r="AO88" i="19" s="1"/>
  <c r="AP88" i="19" s="1"/>
  <c r="BJ88" i="19" s="1"/>
  <c r="G185" i="9"/>
  <c r="H185" i="9"/>
  <c r="J185" i="9"/>
  <c r="B254" i="9"/>
  <c r="B220" i="9"/>
  <c r="AF98" i="17"/>
  <c r="AW98" i="17"/>
  <c r="AV98" i="17"/>
  <c r="AU98" i="17"/>
  <c r="AX98" i="17"/>
  <c r="AS98" i="17"/>
  <c r="AR98" i="17"/>
  <c r="AY98" i="17"/>
  <c r="BB98" i="17"/>
  <c r="AT98" i="17"/>
  <c r="AZ98" i="17"/>
  <c r="BA98" i="17"/>
  <c r="AG98" i="17"/>
  <c r="AK98" i="17" s="1"/>
  <c r="AW100" i="11"/>
  <c r="AV100" i="11"/>
  <c r="AU100" i="11"/>
  <c r="AF100" i="11"/>
  <c r="G93" i="8" s="1"/>
  <c r="AX100" i="11"/>
  <c r="AS100" i="11"/>
  <c r="AR100" i="11"/>
  <c r="AZ100" i="11"/>
  <c r="AY100" i="11"/>
  <c r="BB100" i="11"/>
  <c r="BA100" i="11"/>
  <c r="AT100" i="11"/>
  <c r="AG100" i="11"/>
  <c r="AK100" i="11" s="1"/>
  <c r="L105" i="16"/>
  <c r="Q104" i="16"/>
  <c r="L105" i="17"/>
  <c r="Q104" i="17"/>
  <c r="G117" i="9"/>
  <c r="T117" i="9" s="1"/>
  <c r="D64" i="6" s="1"/>
  <c r="M64" i="6" s="1"/>
  <c r="J117" i="9"/>
  <c r="W117" i="9" s="1"/>
  <c r="F64" i="6" s="1"/>
  <c r="H117" i="9"/>
  <c r="U117" i="9" s="1"/>
  <c r="E64" i="6" s="1"/>
  <c r="B84" i="9"/>
  <c r="J84" i="9" s="1"/>
  <c r="W84" i="9" s="1"/>
  <c r="F31" i="6" s="1"/>
  <c r="L21" i="23" s="1"/>
  <c r="B118" i="9"/>
  <c r="B186" i="9"/>
  <c r="B152" i="9"/>
  <c r="R144" i="11"/>
  <c r="S144" i="11" s="1"/>
  <c r="U184" i="11"/>
  <c r="CE104" i="11" s="1"/>
  <c r="CE36" i="6" s="1"/>
  <c r="T184" i="11"/>
  <c r="AI36" i="6" s="1"/>
  <c r="V184" i="11"/>
  <c r="AP97" i="16"/>
  <c r="B124" i="8" s="1"/>
  <c r="BC97" i="17"/>
  <c r="BG97" i="17" s="1"/>
  <c r="G87" i="19" s="1"/>
  <c r="M106" i="17"/>
  <c r="R105" i="17"/>
  <c r="AD179" i="17"/>
  <c r="AF179" i="17"/>
  <c r="AG179" i="17"/>
  <c r="AE179" i="17"/>
  <c r="AH179" i="17"/>
  <c r="AD140" i="11"/>
  <c r="AE140" i="11"/>
  <c r="X90" i="3" s="1"/>
  <c r="AA90" i="3" s="1"/>
  <c r="BW98" i="11"/>
  <c r="BJ30" i="6" s="1"/>
  <c r="AD139" i="11"/>
  <c r="X89" i="3"/>
  <c r="AA89" i="3" s="1"/>
  <c r="AG139" i="11"/>
  <c r="S85" i="9" s="1"/>
  <c r="AI139" i="11"/>
  <c r="AH139" i="11"/>
  <c r="AF139" i="11"/>
  <c r="X181" i="17"/>
  <c r="AA181" i="17"/>
  <c r="W181" i="17"/>
  <c r="AB181" i="17"/>
  <c r="Y181" i="17"/>
  <c r="Z181" i="17"/>
  <c r="AC182" i="11"/>
  <c r="AC141" i="11"/>
  <c r="AF141" i="11" s="1"/>
  <c r="AN111" i="17"/>
  <c r="AM111" i="17"/>
  <c r="BZ111" i="17" s="1"/>
  <c r="BY43" i="6" s="1"/>
  <c r="AN112" i="17"/>
  <c r="AO111" i="17"/>
  <c r="AE100" i="16"/>
  <c r="AD100" i="16"/>
  <c r="AC100" i="16"/>
  <c r="AM97" i="16"/>
  <c r="D87" i="18" s="1"/>
  <c r="N87" i="18" s="1"/>
  <c r="AN97" i="16"/>
  <c r="AO97" i="16"/>
  <c r="AF98" i="16"/>
  <c r="AU98" i="16"/>
  <c r="AR98" i="16"/>
  <c r="AV98" i="16"/>
  <c r="AZ98" i="16"/>
  <c r="AS98" i="16"/>
  <c r="AW98" i="16"/>
  <c r="AT98" i="16"/>
  <c r="AX98" i="16"/>
  <c r="BB98" i="16"/>
  <c r="AY98" i="16"/>
  <c r="BA98" i="16"/>
  <c r="AG98" i="16"/>
  <c r="AK98" i="16" s="1"/>
  <c r="BC97" i="16"/>
  <c r="BF97" i="16" s="1"/>
  <c r="F87" i="18" s="1"/>
  <c r="AF99" i="16"/>
  <c r="AR99" i="16"/>
  <c r="AV99" i="16"/>
  <c r="AZ99" i="16"/>
  <c r="AS99" i="16"/>
  <c r="AW99" i="16"/>
  <c r="BA99" i="16"/>
  <c r="AX99" i="16"/>
  <c r="AY99" i="16"/>
  <c r="AU99" i="16"/>
  <c r="BB99" i="16"/>
  <c r="AT99" i="16"/>
  <c r="AG99" i="16"/>
  <c r="AK99" i="16" s="1"/>
  <c r="BY99" i="11"/>
  <c r="BL31" i="6" s="1"/>
  <c r="BV99" i="11"/>
  <c r="BI31" i="6" s="1"/>
  <c r="AP112" i="17"/>
  <c r="B173" i="8" s="1"/>
  <c r="AM112" i="17"/>
  <c r="D102" i="19" s="1"/>
  <c r="AO112" i="17"/>
  <c r="BX29" i="6"/>
  <c r="AL90" i="3"/>
  <c r="AM90" i="3"/>
  <c r="A198" i="17"/>
  <c r="A153" i="6"/>
  <c r="A221" i="6"/>
  <c r="A85" i="6"/>
  <c r="H185" i="11"/>
  <c r="R185" i="11"/>
  <c r="S185" i="11" s="1"/>
  <c r="I179" i="6"/>
  <c r="I213" i="6"/>
  <c r="J170" i="6"/>
  <c r="P170" i="6" s="1"/>
  <c r="T170" i="6" s="1"/>
  <c r="AY33" i="6" s="1"/>
  <c r="J204" i="6"/>
  <c r="P204" i="6" s="1"/>
  <c r="T204" i="6" s="1"/>
  <c r="BE33" i="6" s="1"/>
  <c r="G179" i="6"/>
  <c r="G213" i="6"/>
  <c r="H131" i="6"/>
  <c r="G131" i="6"/>
  <c r="I97" i="6"/>
  <c r="I131" i="6"/>
  <c r="H29" i="6"/>
  <c r="J19" i="23" s="1"/>
  <c r="H63" i="6"/>
  <c r="G29" i="6"/>
  <c r="J16" i="23" s="1"/>
  <c r="G63" i="6"/>
  <c r="I29" i="6"/>
  <c r="J22" i="23" s="1"/>
  <c r="I63" i="6"/>
  <c r="AL99" i="18"/>
  <c r="AM99" i="18"/>
  <c r="P106" i="11"/>
  <c r="P107" i="11" s="1"/>
  <c r="U107" i="11" s="1"/>
  <c r="M184" i="17"/>
  <c r="P184" i="17"/>
  <c r="Q184" i="17" s="1"/>
  <c r="K185" i="17"/>
  <c r="A108" i="19"/>
  <c r="A198" i="11"/>
  <c r="A198" i="16"/>
  <c r="P145" i="11"/>
  <c r="Q145" i="11" s="1"/>
  <c r="M145" i="11"/>
  <c r="AI101" i="11"/>
  <c r="Z115" i="16"/>
  <c r="AA115" i="16"/>
  <c r="H148" i="11"/>
  <c r="AO99" i="11"/>
  <c r="P100" i="19"/>
  <c r="L100" i="19"/>
  <c r="X118" i="16"/>
  <c r="AB115" i="17"/>
  <c r="Y116" i="17"/>
  <c r="AI100" i="16"/>
  <c r="V117" i="17"/>
  <c r="H119" i="17"/>
  <c r="H119" i="16"/>
  <c r="I118" i="11"/>
  <c r="I118" i="17"/>
  <c r="I118" i="16"/>
  <c r="AV200" i="7"/>
  <c r="AB114" i="17"/>
  <c r="X118" i="17"/>
  <c r="U118" i="17"/>
  <c r="Z202" i="7"/>
  <c r="H203" i="7"/>
  <c r="AM97" i="17"/>
  <c r="D87" i="19" s="1"/>
  <c r="N87" i="19" s="1"/>
  <c r="J231" i="9"/>
  <c r="G231" i="9"/>
  <c r="AH157" i="8"/>
  <c r="X170" i="8"/>
  <c r="AG170" i="8"/>
  <c r="Q170" i="8"/>
  <c r="AC170" i="8"/>
  <c r="R169" i="8"/>
  <c r="AF170" i="8"/>
  <c r="V170" i="8"/>
  <c r="K170" i="8"/>
  <c r="L170" i="8"/>
  <c r="U170" i="8"/>
  <c r="Y170" i="8"/>
  <c r="W170" i="8"/>
  <c r="AT201" i="7"/>
  <c r="AP97" i="17"/>
  <c r="B158" i="8" s="1"/>
  <c r="P170" i="8"/>
  <c r="AD170" i="8"/>
  <c r="AB170" i="8"/>
  <c r="S170" i="8"/>
  <c r="AE170" i="8"/>
  <c r="Z157" i="8"/>
  <c r="AS202" i="7"/>
  <c r="AG202" i="7"/>
  <c r="N203" i="7"/>
  <c r="L204" i="7"/>
  <c r="AD203" i="7"/>
  <c r="AQ109" i="17"/>
  <c r="M170" i="8"/>
  <c r="O170" i="8"/>
  <c r="T170" i="8"/>
  <c r="N170" i="8"/>
  <c r="R157" i="8"/>
  <c r="Z169" i="8"/>
  <c r="AH169" i="8"/>
  <c r="C88" i="19"/>
  <c r="J204" i="7"/>
  <c r="AB203" i="7"/>
  <c r="V205" i="7"/>
  <c r="AP205" i="7" s="1"/>
  <c r="AP204" i="7"/>
  <c r="AF201" i="7"/>
  <c r="W204" i="7"/>
  <c r="AQ203" i="7"/>
  <c r="AO203" i="7"/>
  <c r="U204" i="7"/>
  <c r="AC202" i="7"/>
  <c r="K203" i="7"/>
  <c r="AN203" i="7"/>
  <c r="T204" i="7"/>
  <c r="AJ202" i="7"/>
  <c r="Q203" i="7"/>
  <c r="AL203" i="7"/>
  <c r="S204" i="7"/>
  <c r="AH90" i="8"/>
  <c r="AM201" i="7"/>
  <c r="O203" i="7"/>
  <c r="AH202" i="7"/>
  <c r="AE202" i="7"/>
  <c r="M203" i="7"/>
  <c r="AR202" i="7"/>
  <c r="X203" i="7"/>
  <c r="AI203" i="7"/>
  <c r="P204" i="7"/>
  <c r="C88" i="18"/>
  <c r="AK202" i="7"/>
  <c r="R203" i="7"/>
  <c r="A216" i="7"/>
  <c r="A179" i="8"/>
  <c r="A187" i="6"/>
  <c r="A111" i="8"/>
  <c r="A145" i="8"/>
  <c r="C89" i="18"/>
  <c r="R90" i="8"/>
  <c r="AN97" i="17"/>
  <c r="AO97" i="17"/>
  <c r="H219" i="9" s="1"/>
  <c r="Z90" i="8"/>
  <c r="AF91" i="8"/>
  <c r="AG91" i="8"/>
  <c r="AD91" i="8"/>
  <c r="AB91" i="8"/>
  <c r="AA91" i="8"/>
  <c r="AC91" i="8"/>
  <c r="AE91" i="8"/>
  <c r="Q91" i="8"/>
  <c r="O91" i="8"/>
  <c r="Y91" i="8"/>
  <c r="U91" i="8"/>
  <c r="W91" i="8"/>
  <c r="K91" i="8"/>
  <c r="N91" i="8"/>
  <c r="T91" i="8"/>
  <c r="X91" i="8"/>
  <c r="V91" i="8"/>
  <c r="P91" i="8"/>
  <c r="S91" i="8"/>
  <c r="M91" i="8"/>
  <c r="L91" i="8"/>
  <c r="E105" i="17"/>
  <c r="C202" i="7"/>
  <c r="R29" i="6"/>
  <c r="Y28" i="6" s="1"/>
  <c r="S86" i="3"/>
  <c r="U86" i="3" s="1"/>
  <c r="V86" i="3" s="1"/>
  <c r="R86" i="3"/>
  <c r="T86" i="3" s="1"/>
  <c r="P87" i="3"/>
  <c r="Q87" i="3" s="1"/>
  <c r="L87" i="3"/>
  <c r="AB101" i="17"/>
  <c r="J88" i="3"/>
  <c r="R86" i="18"/>
  <c r="T86" i="18" s="1"/>
  <c r="D88" i="3"/>
  <c r="N88" i="3" s="1"/>
  <c r="A108" i="18"/>
  <c r="E88" i="3"/>
  <c r="I88" i="3"/>
  <c r="AB100" i="17"/>
  <c r="A182" i="7"/>
  <c r="A158" i="17"/>
  <c r="A118" i="17"/>
  <c r="A119" i="6"/>
  <c r="Y102" i="17"/>
  <c r="G104" i="17"/>
  <c r="AR94" i="19" s="1"/>
  <c r="F105" i="17"/>
  <c r="D203" i="7" s="1"/>
  <c r="U104" i="17"/>
  <c r="K107" i="11"/>
  <c r="V103" i="17"/>
  <c r="P86" i="9"/>
  <c r="Q86" i="9"/>
  <c r="S86" i="9"/>
  <c r="F105" i="16"/>
  <c r="D168" i="7"/>
  <c r="E105" i="16"/>
  <c r="C168" i="7"/>
  <c r="AJ100" i="16"/>
  <c r="AH100" i="16"/>
  <c r="Y102" i="16"/>
  <c r="V103" i="16"/>
  <c r="A158" i="16"/>
  <c r="A118" i="16"/>
  <c r="P105" i="16"/>
  <c r="U105" i="16" s="1"/>
  <c r="Z101" i="16"/>
  <c r="AA101" i="16"/>
  <c r="A118" i="11"/>
  <c r="A158" i="11"/>
  <c r="AI141" i="11"/>
  <c r="AM99" i="11"/>
  <c r="BW99" i="11" s="1"/>
  <c r="AP99" i="11"/>
  <c r="B92" i="8" s="1"/>
  <c r="AN99" i="11"/>
  <c r="AL99" i="11"/>
  <c r="Z103" i="11"/>
  <c r="AJ101" i="11"/>
  <c r="AH101" i="11"/>
  <c r="AQ98" i="11"/>
  <c r="AB102" i="11"/>
  <c r="AA115" i="11"/>
  <c r="Z115" i="11"/>
  <c r="AA103" i="11"/>
  <c r="Y116" i="11"/>
  <c r="X118" i="11"/>
  <c r="U118" i="11"/>
  <c r="S118" i="11"/>
  <c r="R118" i="11"/>
  <c r="T118" i="11"/>
  <c r="V117" i="11"/>
  <c r="H119" i="11"/>
  <c r="Q119" i="11" s="1"/>
  <c r="K139" i="4"/>
  <c r="M106" i="11"/>
  <c r="R106" i="11" s="1"/>
  <c r="K146" i="11"/>
  <c r="N106" i="11"/>
  <c r="S106" i="11" s="1"/>
  <c r="A148" i="7"/>
  <c r="A104" i="9"/>
  <c r="A139" i="4"/>
  <c r="A51" i="6"/>
  <c r="W50" i="6" s="1"/>
  <c r="BH50" i="6" s="1"/>
  <c r="A108" i="3"/>
  <c r="AN88" i="19" l="1"/>
  <c r="M30" i="6"/>
  <c r="K18" i="23"/>
  <c r="N30" i="6"/>
  <c r="R30" i="6" s="1"/>
  <c r="Y29" i="6" s="1"/>
  <c r="K21" i="23"/>
  <c r="AJ181" i="11"/>
  <c r="BK99" i="11"/>
  <c r="BD99" i="11"/>
  <c r="J124" i="8"/>
  <c r="BL98" i="11"/>
  <c r="L106" i="11"/>
  <c r="Q106" i="11" s="1"/>
  <c r="BF99" i="11"/>
  <c r="AO90" i="3"/>
  <c r="AP90" i="3" s="1"/>
  <c r="BJ90" i="3" s="1"/>
  <c r="BH99" i="11"/>
  <c r="H89" i="3" s="1"/>
  <c r="BF97" i="17"/>
  <c r="F87" i="19" s="1"/>
  <c r="C93" i="8"/>
  <c r="AN90" i="3"/>
  <c r="S173" i="8"/>
  <c r="X173" i="8"/>
  <c r="V173" i="8"/>
  <c r="H213" i="6"/>
  <c r="P173" i="8"/>
  <c r="T173" i="8"/>
  <c r="AF173" i="8"/>
  <c r="M173" i="8"/>
  <c r="O173" i="8"/>
  <c r="AE173" i="8"/>
  <c r="CB113" i="17"/>
  <c r="CD113" i="17"/>
  <c r="BL109" i="17"/>
  <c r="L173" i="8"/>
  <c r="AD173" i="8"/>
  <c r="N173" i="8"/>
  <c r="AF158" i="8"/>
  <c r="K173" i="8"/>
  <c r="Y173" i="8"/>
  <c r="AB173" i="8"/>
  <c r="AG173" i="8"/>
  <c r="BK112" i="17"/>
  <c r="K102" i="19" s="1"/>
  <c r="CD99" i="17"/>
  <c r="CL31" i="6" s="1"/>
  <c r="CB99" i="17"/>
  <c r="CJ31" i="6" s="1"/>
  <c r="AJ189" i="16"/>
  <c r="CB100" i="16"/>
  <c r="CF32" i="6" s="1"/>
  <c r="CD100" i="16"/>
  <c r="CH32" i="6" s="1"/>
  <c r="BJ97" i="16"/>
  <c r="J87" i="18" s="1"/>
  <c r="V105" i="11"/>
  <c r="Y105" i="11" s="1"/>
  <c r="CD101" i="11"/>
  <c r="CD33" i="6" s="1"/>
  <c r="CB101" i="11"/>
  <c r="CB33" i="6" s="1"/>
  <c r="AH141" i="11"/>
  <c r="BE99" i="11"/>
  <c r="E89" i="3" s="1"/>
  <c r="BJ99" i="11"/>
  <c r="BG99" i="11"/>
  <c r="G89" i="3" s="1"/>
  <c r="I93" i="8"/>
  <c r="AD172" i="8"/>
  <c r="BE112" i="17"/>
  <c r="E102" i="19" s="1"/>
  <c r="V172" i="8"/>
  <c r="BJ97" i="17"/>
  <c r="J87" i="19" s="1"/>
  <c r="AA173" i="8"/>
  <c r="Q173" i="8"/>
  <c r="W173" i="8"/>
  <c r="BJ112" i="17"/>
  <c r="J102" i="19" s="1"/>
  <c r="X172" i="8"/>
  <c r="AG172" i="8"/>
  <c r="J158" i="8"/>
  <c r="BF112" i="17"/>
  <c r="F102" i="19" s="1"/>
  <c r="D159" i="8"/>
  <c r="G159" i="8"/>
  <c r="F159" i="8"/>
  <c r="E159" i="8"/>
  <c r="H159" i="8"/>
  <c r="I159" i="8"/>
  <c r="C159" i="8"/>
  <c r="BH97" i="17"/>
  <c r="H87" i="19" s="1"/>
  <c r="S119" i="17"/>
  <c r="R119" i="17"/>
  <c r="Q119" i="17"/>
  <c r="T119" i="17"/>
  <c r="N172" i="8"/>
  <c r="T172" i="8"/>
  <c r="L172" i="8"/>
  <c r="U172" i="8"/>
  <c r="J172" i="8"/>
  <c r="AC114" i="17"/>
  <c r="AE114" i="17"/>
  <c r="AD114" i="17"/>
  <c r="AJ114" i="17"/>
  <c r="AI114" i="17"/>
  <c r="AH114" i="17"/>
  <c r="AD115" i="17"/>
  <c r="AC115" i="17"/>
  <c r="AE115" i="17"/>
  <c r="AJ115" i="17"/>
  <c r="AI115" i="17"/>
  <c r="AH115" i="17"/>
  <c r="U173" i="8"/>
  <c r="P172" i="8"/>
  <c r="AA172" i="8"/>
  <c r="Y172" i="8"/>
  <c r="W172" i="8"/>
  <c r="J173" i="8"/>
  <c r="BZ112" i="17"/>
  <c r="BY44" i="6" s="1"/>
  <c r="BJ111" i="17"/>
  <c r="J101" i="19" s="1"/>
  <c r="BK111" i="17"/>
  <c r="K101" i="19" s="1"/>
  <c r="BI111" i="17"/>
  <c r="I101" i="19" s="1"/>
  <c r="BD111" i="17"/>
  <c r="BE111" i="17"/>
  <c r="BH111" i="17"/>
  <c r="H101" i="19" s="1"/>
  <c r="AF113" i="17"/>
  <c r="AV113" i="17"/>
  <c r="AU113" i="17"/>
  <c r="AW113" i="17"/>
  <c r="AX113" i="17"/>
  <c r="AS113" i="17"/>
  <c r="AY113" i="17"/>
  <c r="BA113" i="17"/>
  <c r="BB113" i="17"/>
  <c r="AR113" i="17"/>
  <c r="AT113" i="17"/>
  <c r="AZ113" i="17"/>
  <c r="AG113" i="17"/>
  <c r="AK113" i="17" s="1"/>
  <c r="AB172" i="8"/>
  <c r="M172" i="8"/>
  <c r="Q172" i="8"/>
  <c r="O172" i="8"/>
  <c r="AF172" i="8"/>
  <c r="S172" i="8"/>
  <c r="BK97" i="17"/>
  <c r="K87" i="19" s="1"/>
  <c r="BE97" i="17"/>
  <c r="E87" i="19" s="1"/>
  <c r="BI97" i="17"/>
  <c r="I87" i="19" s="1"/>
  <c r="BD97" i="17"/>
  <c r="Y117" i="17"/>
  <c r="Z117" i="17" s="1"/>
  <c r="AC173" i="8"/>
  <c r="AH173" i="8" s="1"/>
  <c r="AE172" i="8"/>
  <c r="K172" i="8"/>
  <c r="AC172" i="8"/>
  <c r="BD112" i="17"/>
  <c r="BI112" i="17"/>
  <c r="I102" i="19" s="1"/>
  <c r="BH112" i="17"/>
  <c r="H102" i="19" s="1"/>
  <c r="B235" i="9"/>
  <c r="B269" i="9"/>
  <c r="BG111" i="17"/>
  <c r="G101" i="19" s="1"/>
  <c r="BE97" i="16"/>
  <c r="E87" i="18" s="1"/>
  <c r="Q119" i="16"/>
  <c r="U119" i="16"/>
  <c r="R119" i="16"/>
  <c r="S119" i="16"/>
  <c r="T119" i="16"/>
  <c r="AL98" i="16"/>
  <c r="G125" i="8"/>
  <c r="H125" i="8"/>
  <c r="F125" i="8"/>
  <c r="D125" i="8"/>
  <c r="I125" i="8"/>
  <c r="E125" i="8"/>
  <c r="C125" i="8"/>
  <c r="AL99" i="16"/>
  <c r="E126" i="8"/>
  <c r="F126" i="8"/>
  <c r="G126" i="8"/>
  <c r="D126" i="8"/>
  <c r="I126" i="8"/>
  <c r="H126" i="8"/>
  <c r="C126" i="8"/>
  <c r="O106" i="11"/>
  <c r="T106" i="11" s="1"/>
  <c r="H84" i="9"/>
  <c r="U84" i="9" s="1"/>
  <c r="E31" i="6" s="1"/>
  <c r="N31" i="6" s="1"/>
  <c r="G84" i="9"/>
  <c r="T84" i="9" s="1"/>
  <c r="D31" i="6" s="1"/>
  <c r="U106" i="11"/>
  <c r="BC100" i="11"/>
  <c r="BI100" i="11" s="1"/>
  <c r="I90" i="3" s="1"/>
  <c r="J92" i="8"/>
  <c r="H93" i="8"/>
  <c r="AG141" i="11"/>
  <c r="C90" i="3"/>
  <c r="F93" i="8"/>
  <c r="D93" i="8"/>
  <c r="AE141" i="11"/>
  <c r="AJ140" i="11"/>
  <c r="E93" i="8"/>
  <c r="N64" i="6"/>
  <c r="R64" i="6" s="1"/>
  <c r="AE29" i="6" s="1"/>
  <c r="AJ139" i="11"/>
  <c r="AB89" i="3"/>
  <c r="AC89" i="3"/>
  <c r="AB90" i="3"/>
  <c r="AC90" i="3"/>
  <c r="AC102" i="11"/>
  <c r="AE102" i="11"/>
  <c r="AD102" i="11"/>
  <c r="G196" i="11"/>
  <c r="G192" i="11"/>
  <c r="G151" i="11"/>
  <c r="G193" i="11"/>
  <c r="G195" i="11"/>
  <c r="G191" i="11"/>
  <c r="G155" i="11"/>
  <c r="G194" i="11"/>
  <c r="G190" i="11"/>
  <c r="G189" i="11"/>
  <c r="G197" i="11"/>
  <c r="G152" i="11"/>
  <c r="G154" i="11"/>
  <c r="G157" i="11"/>
  <c r="G156" i="11"/>
  <c r="G150" i="11"/>
  <c r="G153" i="11"/>
  <c r="G149" i="11"/>
  <c r="AJ100" i="17"/>
  <c r="AE100" i="17"/>
  <c r="AI100" i="17"/>
  <c r="AD100" i="17"/>
  <c r="AC100" i="17"/>
  <c r="AH100" i="17"/>
  <c r="A275" i="9"/>
  <c r="A207" i="9"/>
  <c r="A241" i="9"/>
  <c r="A173" i="9"/>
  <c r="A139" i="9"/>
  <c r="AC101" i="17"/>
  <c r="AJ101" i="17"/>
  <c r="AE101" i="17"/>
  <c r="AD101" i="17"/>
  <c r="AI101" i="17"/>
  <c r="AH101" i="17"/>
  <c r="R184" i="17"/>
  <c r="S184" i="17" s="1"/>
  <c r="AD141" i="11"/>
  <c r="M107" i="17"/>
  <c r="R107" i="17" s="1"/>
  <c r="R106" i="17"/>
  <c r="G152" i="9"/>
  <c r="H152" i="9"/>
  <c r="J152" i="9"/>
  <c r="L106" i="16"/>
  <c r="Q105" i="16"/>
  <c r="AF99" i="17"/>
  <c r="AU99" i="17"/>
  <c r="AX99" i="17"/>
  <c r="AS99" i="17"/>
  <c r="AW99" i="17"/>
  <c r="AV99" i="17"/>
  <c r="AR99" i="17"/>
  <c r="AY99" i="17"/>
  <c r="BB99" i="17"/>
  <c r="AZ99" i="17"/>
  <c r="AT99" i="17"/>
  <c r="BA99" i="17"/>
  <c r="AG99" i="17"/>
  <c r="AK99" i="17" s="1"/>
  <c r="T105" i="16"/>
  <c r="O106" i="16"/>
  <c r="Y182" i="17"/>
  <c r="W182" i="17"/>
  <c r="AB182" i="17"/>
  <c r="AA182" i="17"/>
  <c r="Z182" i="17"/>
  <c r="X182" i="17"/>
  <c r="G153" i="9"/>
  <c r="J153" i="9"/>
  <c r="H153" i="9"/>
  <c r="BZ99" i="11"/>
  <c r="BM31" i="6" s="1"/>
  <c r="R145" i="11"/>
  <c r="S145" i="11" s="1"/>
  <c r="V185" i="11"/>
  <c r="U185" i="11"/>
  <c r="CE105" i="11" s="1"/>
  <c r="CE37" i="6" s="1"/>
  <c r="T185" i="11"/>
  <c r="AI37" i="6" s="1"/>
  <c r="AD182" i="11"/>
  <c r="AE182" i="11"/>
  <c r="AH92" i="3" s="1"/>
  <c r="AK92" i="3" s="1"/>
  <c r="AH182" i="11"/>
  <c r="AF182" i="11"/>
  <c r="AI182" i="11"/>
  <c r="AG182" i="11"/>
  <c r="W184" i="11"/>
  <c r="AA184" i="11"/>
  <c r="Y184" i="11"/>
  <c r="AB184" i="11"/>
  <c r="Z184" i="11"/>
  <c r="K124" i="9" s="1"/>
  <c r="X184" i="11"/>
  <c r="G186" i="9"/>
  <c r="J186" i="9"/>
  <c r="H186" i="9"/>
  <c r="AL98" i="17"/>
  <c r="AU101" i="11"/>
  <c r="AX101" i="11"/>
  <c r="AW101" i="11"/>
  <c r="AF101" i="11"/>
  <c r="I94" i="8" s="1"/>
  <c r="AV101" i="11"/>
  <c r="AS101" i="11"/>
  <c r="AR101" i="11"/>
  <c r="AY101" i="11"/>
  <c r="AZ101" i="11"/>
  <c r="BA101" i="11"/>
  <c r="BB101" i="11"/>
  <c r="AT101" i="11"/>
  <c r="AG101" i="11"/>
  <c r="AK101" i="11" s="1"/>
  <c r="AD180" i="17"/>
  <c r="AH180" i="17"/>
  <c r="AE180" i="17"/>
  <c r="AF180" i="17"/>
  <c r="AG180" i="17"/>
  <c r="AB88" i="3"/>
  <c r="AD88" i="3" s="1"/>
  <c r="AC88" i="3"/>
  <c r="AE88" i="3" s="1"/>
  <c r="AF88" i="3" s="1"/>
  <c r="BC88" i="3" s="1"/>
  <c r="R105" i="16"/>
  <c r="M106" i="16"/>
  <c r="W143" i="11"/>
  <c r="Y143" i="11"/>
  <c r="AB143" i="11"/>
  <c r="AA143" i="11"/>
  <c r="Z143" i="11"/>
  <c r="K89" i="9" s="1"/>
  <c r="X143" i="11"/>
  <c r="V183" i="17"/>
  <c r="U183" i="17"/>
  <c r="CE103" i="17" s="1"/>
  <c r="CM35" i="6" s="1"/>
  <c r="T183" i="17"/>
  <c r="AC183" i="11"/>
  <c r="AI183" i="11" s="1"/>
  <c r="BZ97" i="17"/>
  <c r="AP99" i="16"/>
  <c r="B126" i="8" s="1"/>
  <c r="B85" i="9"/>
  <c r="J85" i="9" s="1"/>
  <c r="W85" i="9" s="1"/>
  <c r="F32" i="6" s="1"/>
  <c r="M21" i="23" s="1"/>
  <c r="B119" i="9"/>
  <c r="AP98" i="16"/>
  <c r="B125" i="8" s="1"/>
  <c r="AG125" i="8" s="1"/>
  <c r="L106" i="17"/>
  <c r="Q105" i="17"/>
  <c r="BY98" i="17"/>
  <c r="BX30" i="6" s="1"/>
  <c r="B188" i="9"/>
  <c r="B154" i="9"/>
  <c r="AC181" i="17"/>
  <c r="AI181" i="17" s="1"/>
  <c r="AH89" i="19"/>
  <c r="AK89" i="19" s="1"/>
  <c r="AJ179" i="17"/>
  <c r="V144" i="11"/>
  <c r="U144" i="11"/>
  <c r="CC104" i="11" s="1"/>
  <c r="CC36" i="6" s="1"/>
  <c r="T144" i="11"/>
  <c r="AC36" i="6" s="1"/>
  <c r="H118" i="9"/>
  <c r="U118" i="9" s="1"/>
  <c r="E65" i="6" s="1"/>
  <c r="G118" i="9"/>
  <c r="T118" i="9" s="1"/>
  <c r="D65" i="6" s="1"/>
  <c r="M65" i="6" s="1"/>
  <c r="J118" i="9"/>
  <c r="W118" i="9" s="1"/>
  <c r="F65" i="6" s="1"/>
  <c r="AI180" i="17"/>
  <c r="BC98" i="17"/>
  <c r="BJ98" i="17" s="1"/>
  <c r="J88" i="19" s="1"/>
  <c r="N106" i="17"/>
  <c r="S105" i="17"/>
  <c r="O106" i="17"/>
  <c r="T105" i="17"/>
  <c r="B255" i="9"/>
  <c r="B221" i="9"/>
  <c r="S123" i="9"/>
  <c r="Q123" i="9"/>
  <c r="P123" i="9"/>
  <c r="AC142" i="11"/>
  <c r="AE142" i="11" s="1"/>
  <c r="G187" i="9"/>
  <c r="H187" i="9"/>
  <c r="J187" i="9"/>
  <c r="H233" i="9"/>
  <c r="J233" i="9"/>
  <c r="G233" i="9"/>
  <c r="AQ111" i="17"/>
  <c r="AQ112" i="17"/>
  <c r="D101" i="19"/>
  <c r="BK97" i="16"/>
  <c r="K87" i="18" s="1"/>
  <c r="BG97" i="16"/>
  <c r="G87" i="18" s="1"/>
  <c r="AO99" i="16"/>
  <c r="AM98" i="16"/>
  <c r="D88" i="18" s="1"/>
  <c r="N88" i="18" s="1"/>
  <c r="AF100" i="16"/>
  <c r="AS100" i="16"/>
  <c r="AW100" i="16"/>
  <c r="AT100" i="16"/>
  <c r="AX100" i="16"/>
  <c r="BB100" i="16"/>
  <c r="AU100" i="16"/>
  <c r="AR100" i="16"/>
  <c r="AV100" i="16"/>
  <c r="AZ100" i="16"/>
  <c r="BA100" i="16"/>
  <c r="AY100" i="16"/>
  <c r="AG100" i="16"/>
  <c r="AK100" i="16" s="1"/>
  <c r="BC99" i="16"/>
  <c r="BF99" i="16" s="1"/>
  <c r="F89" i="18" s="1"/>
  <c r="AN98" i="16"/>
  <c r="BD97" i="16"/>
  <c r="BH97" i="16"/>
  <c r="H87" i="18" s="1"/>
  <c r="BI97" i="16"/>
  <c r="I87" i="18" s="1"/>
  <c r="AM99" i="16"/>
  <c r="D89" i="18" s="1"/>
  <c r="N89" i="18" s="1"/>
  <c r="AN99" i="16"/>
  <c r="BC98" i="16"/>
  <c r="BJ98" i="16" s="1"/>
  <c r="J88" i="18" s="1"/>
  <c r="AO98" i="16"/>
  <c r="BV100" i="11"/>
  <c r="BI32" i="6" s="1"/>
  <c r="BY100" i="11"/>
  <c r="BL32" i="6" s="1"/>
  <c r="O179" i="6"/>
  <c r="S179" i="6" s="1"/>
  <c r="AX42" i="6" s="1"/>
  <c r="H234" i="9"/>
  <c r="G234" i="9"/>
  <c r="J234" i="9"/>
  <c r="BY29" i="6"/>
  <c r="H186" i="11"/>
  <c r="R186" i="11"/>
  <c r="S186" i="11" s="1"/>
  <c r="A199" i="17"/>
  <c r="A222" i="6"/>
  <c r="A86" i="6"/>
  <c r="A154" i="6"/>
  <c r="AM91" i="3"/>
  <c r="AO91" i="3" s="1"/>
  <c r="AP91" i="3" s="1"/>
  <c r="BJ91" i="3" s="1"/>
  <c r="AL91" i="3"/>
  <c r="AN91" i="3" s="1"/>
  <c r="I165" i="6"/>
  <c r="I199" i="6"/>
  <c r="G165" i="6"/>
  <c r="G199" i="6"/>
  <c r="I177" i="6"/>
  <c r="I211" i="6"/>
  <c r="O213" i="6"/>
  <c r="S213" i="6" s="1"/>
  <c r="BD42" i="6" s="1"/>
  <c r="G177" i="6"/>
  <c r="G211" i="6"/>
  <c r="J171" i="6"/>
  <c r="P171" i="6" s="1"/>
  <c r="T171" i="6" s="1"/>
  <c r="AY34" i="6" s="1"/>
  <c r="J205" i="6"/>
  <c r="P205" i="6" s="1"/>
  <c r="T205" i="6" s="1"/>
  <c r="BE34" i="6" s="1"/>
  <c r="H177" i="6"/>
  <c r="H211" i="6"/>
  <c r="H165" i="6"/>
  <c r="H199" i="6"/>
  <c r="AB101" i="16"/>
  <c r="AB115" i="16"/>
  <c r="O29" i="6"/>
  <c r="S29" i="6" s="1"/>
  <c r="Z28" i="6" s="1"/>
  <c r="O131" i="6"/>
  <c r="S131" i="6" s="1"/>
  <c r="AR28" i="6" s="1"/>
  <c r="O97" i="6"/>
  <c r="S97" i="6" s="1"/>
  <c r="AL28" i="6" s="1"/>
  <c r="BI86" i="18"/>
  <c r="BB86" i="18"/>
  <c r="G30" i="6"/>
  <c r="K16" i="23" s="1"/>
  <c r="G64" i="6"/>
  <c r="BJ31" i="6"/>
  <c r="I30" i="6"/>
  <c r="K22" i="23" s="1"/>
  <c r="I64" i="6"/>
  <c r="H30" i="6"/>
  <c r="K19" i="23" s="1"/>
  <c r="H64" i="6"/>
  <c r="O63" i="6"/>
  <c r="S63" i="6" s="1"/>
  <c r="AF28" i="6" s="1"/>
  <c r="BB86" i="3"/>
  <c r="BI86" i="3"/>
  <c r="AP98" i="17"/>
  <c r="B159" i="8" s="1"/>
  <c r="P185" i="17"/>
  <c r="Q185" i="17" s="1"/>
  <c r="M185" i="17"/>
  <c r="AF181" i="17"/>
  <c r="K187" i="17"/>
  <c r="K186" i="17"/>
  <c r="A109" i="19"/>
  <c r="A199" i="16"/>
  <c r="A199" i="11"/>
  <c r="H188" i="11"/>
  <c r="R188" i="11"/>
  <c r="S188" i="11" s="1"/>
  <c r="P146" i="11"/>
  <c r="Q146" i="11" s="1"/>
  <c r="M146" i="11"/>
  <c r="AI102" i="11"/>
  <c r="G85" i="9"/>
  <c r="T85" i="9" s="1"/>
  <c r="D32" i="6" s="1"/>
  <c r="V118" i="17"/>
  <c r="X119" i="16"/>
  <c r="V118" i="16"/>
  <c r="Y118" i="16" s="1"/>
  <c r="Z118" i="16" s="1"/>
  <c r="AJ115" i="16"/>
  <c r="AM100" i="11"/>
  <c r="D90" i="3" s="1"/>
  <c r="Z116" i="17"/>
  <c r="AA116" i="17"/>
  <c r="H120" i="17"/>
  <c r="H120" i="16"/>
  <c r="X119" i="17"/>
  <c r="U119" i="17"/>
  <c r="C103" i="19"/>
  <c r="I119" i="11"/>
  <c r="I119" i="17"/>
  <c r="I119" i="16"/>
  <c r="Y118" i="17"/>
  <c r="AC158" i="8"/>
  <c r="AB158" i="8"/>
  <c r="AG158" i="8"/>
  <c r="Z203" i="7"/>
  <c r="H204" i="7"/>
  <c r="M158" i="8"/>
  <c r="U158" i="8"/>
  <c r="W158" i="8"/>
  <c r="X158" i="8"/>
  <c r="AE158" i="8"/>
  <c r="AM98" i="17"/>
  <c r="D88" i="19" s="1"/>
  <c r="N88" i="19" s="1"/>
  <c r="N158" i="8"/>
  <c r="Y158" i="8"/>
  <c r="AQ97" i="17"/>
  <c r="G219" i="9"/>
  <c r="AV201" i="7"/>
  <c r="AH170" i="8"/>
  <c r="R170" i="8"/>
  <c r="AT202" i="7"/>
  <c r="AM202" i="7"/>
  <c r="J219" i="9"/>
  <c r="Q158" i="8"/>
  <c r="AA158" i="8"/>
  <c r="AD158" i="8"/>
  <c r="O158" i="8"/>
  <c r="T158" i="8"/>
  <c r="S158" i="8"/>
  <c r="Z170" i="8"/>
  <c r="P158" i="8"/>
  <c r="L158" i="8"/>
  <c r="V158" i="8"/>
  <c r="K158" i="8"/>
  <c r="AD204" i="7"/>
  <c r="L205" i="7"/>
  <c r="AD205" i="7" s="1"/>
  <c r="AS203" i="7"/>
  <c r="AG203" i="7"/>
  <c r="N204" i="7"/>
  <c r="AF202" i="7"/>
  <c r="AO98" i="17"/>
  <c r="G220" i="9" s="1"/>
  <c r="W205" i="7"/>
  <c r="AQ205" i="7" s="1"/>
  <c r="AQ204" i="7"/>
  <c r="J205" i="7"/>
  <c r="AB205" i="7" s="1"/>
  <c r="AB204" i="7"/>
  <c r="C89" i="19"/>
  <c r="AN98" i="17"/>
  <c r="C90" i="19"/>
  <c r="BE98" i="17"/>
  <c r="E88" i="19" s="1"/>
  <c r="AE203" i="7"/>
  <c r="M204" i="7"/>
  <c r="AN204" i="7"/>
  <c r="T205" i="7"/>
  <c r="AN205" i="7" s="1"/>
  <c r="AO204" i="7"/>
  <c r="U205" i="7"/>
  <c r="AO205" i="7" s="1"/>
  <c r="AH203" i="7"/>
  <c r="O204" i="7"/>
  <c r="BK98" i="17"/>
  <c r="K88" i="19" s="1"/>
  <c r="S205" i="7"/>
  <c r="AL205" i="7" s="1"/>
  <c r="AL204" i="7"/>
  <c r="Q204" i="7"/>
  <c r="AJ203" i="7"/>
  <c r="K108" i="11"/>
  <c r="AA108" i="11" s="1"/>
  <c r="AB108" i="11" s="1"/>
  <c r="BD98" i="17"/>
  <c r="AC203" i="7"/>
  <c r="K204" i="7"/>
  <c r="A180" i="8"/>
  <c r="A188" i="6"/>
  <c r="A217" i="7"/>
  <c r="A146" i="8"/>
  <c r="A112" i="8"/>
  <c r="AR203" i="7"/>
  <c r="X204" i="7"/>
  <c r="C90" i="18"/>
  <c r="AD124" i="8"/>
  <c r="AE124" i="8"/>
  <c r="N124" i="8"/>
  <c r="P124" i="8"/>
  <c r="V124" i="8"/>
  <c r="X124" i="8"/>
  <c r="Y124" i="8"/>
  <c r="W124" i="8"/>
  <c r="AC124" i="8"/>
  <c r="AF124" i="8"/>
  <c r="AG124" i="8"/>
  <c r="O124" i="8"/>
  <c r="K124" i="8"/>
  <c r="M124" i="8"/>
  <c r="U124" i="8"/>
  <c r="T124" i="8"/>
  <c r="AB124" i="8"/>
  <c r="AA124" i="8"/>
  <c r="L124" i="8"/>
  <c r="Q124" i="8"/>
  <c r="S124" i="8"/>
  <c r="AI204" i="7"/>
  <c r="P205" i="7"/>
  <c r="AI205" i="7" s="1"/>
  <c r="AK203" i="7"/>
  <c r="R204" i="7"/>
  <c r="R91" i="8"/>
  <c r="AH91" i="8"/>
  <c r="AC92" i="8"/>
  <c r="AE92" i="8"/>
  <c r="K92" i="8"/>
  <c r="AB92" i="8"/>
  <c r="AA92" i="8"/>
  <c r="AF92" i="8"/>
  <c r="AD92" i="8"/>
  <c r="O92" i="8"/>
  <c r="AG92" i="8"/>
  <c r="M92" i="8"/>
  <c r="Y92" i="8"/>
  <c r="X92" i="8"/>
  <c r="W92" i="8"/>
  <c r="T92" i="8"/>
  <c r="N92" i="8"/>
  <c r="V92" i="8"/>
  <c r="P92" i="8"/>
  <c r="L92" i="8"/>
  <c r="S92" i="8"/>
  <c r="U92" i="8"/>
  <c r="Q92" i="8"/>
  <c r="Z91" i="8"/>
  <c r="E106" i="17"/>
  <c r="C203" i="7"/>
  <c r="D89" i="3"/>
  <c r="N89" i="3" s="1"/>
  <c r="K89" i="3"/>
  <c r="R87" i="3"/>
  <c r="T87" i="3" s="1"/>
  <c r="S87" i="3"/>
  <c r="U87" i="3" s="1"/>
  <c r="V87" i="3" s="1"/>
  <c r="J89" i="3"/>
  <c r="A109" i="18"/>
  <c r="F89" i="3"/>
  <c r="L88" i="3"/>
  <c r="P88" i="3"/>
  <c r="Q88" i="3" s="1"/>
  <c r="A183" i="7"/>
  <c r="A159" i="17"/>
  <c r="A119" i="17"/>
  <c r="A120" i="6"/>
  <c r="V104" i="17"/>
  <c r="Y103" i="17"/>
  <c r="Z102" i="17"/>
  <c r="AA102" i="17"/>
  <c r="G105" i="17"/>
  <c r="AR95" i="19" s="1"/>
  <c r="F106" i="17"/>
  <c r="D204" i="7" s="1"/>
  <c r="U105" i="17"/>
  <c r="Q87" i="9"/>
  <c r="P87" i="9"/>
  <c r="S87" i="9"/>
  <c r="J109" i="11"/>
  <c r="J110" i="11" s="1"/>
  <c r="F106" i="16"/>
  <c r="D169" i="7"/>
  <c r="E106" i="16"/>
  <c r="C169" i="7"/>
  <c r="V104" i="16"/>
  <c r="Y104" i="16" s="1"/>
  <c r="AQ97" i="16"/>
  <c r="P106" i="16"/>
  <c r="U106" i="16" s="1"/>
  <c r="Z102" i="16"/>
  <c r="AA102" i="16"/>
  <c r="A159" i="16"/>
  <c r="A119" i="16"/>
  <c r="Y103" i="16"/>
  <c r="AA108" i="16"/>
  <c r="A119" i="11"/>
  <c r="A159" i="11"/>
  <c r="AG142" i="11"/>
  <c r="AH142" i="11"/>
  <c r="AO100" i="11"/>
  <c r="AQ99" i="11"/>
  <c r="AP100" i="11"/>
  <c r="B93" i="8" s="1"/>
  <c r="AL100" i="11"/>
  <c r="AN100" i="11"/>
  <c r="AB103" i="11"/>
  <c r="AJ102" i="11"/>
  <c r="AH102" i="11"/>
  <c r="Z116" i="11"/>
  <c r="AB115" i="11"/>
  <c r="AA104" i="11"/>
  <c r="Z104" i="11"/>
  <c r="X119" i="11"/>
  <c r="Y117" i="11"/>
  <c r="V118" i="11"/>
  <c r="U119" i="11"/>
  <c r="S119" i="11"/>
  <c r="T119" i="11"/>
  <c r="R119" i="11"/>
  <c r="H120" i="11"/>
  <c r="Q120" i="11" s="1"/>
  <c r="K140" i="4"/>
  <c r="N107" i="11"/>
  <c r="S107" i="11" s="1"/>
  <c r="L107" i="11"/>
  <c r="Q107" i="11" s="1"/>
  <c r="M107" i="11"/>
  <c r="R107" i="11" s="1"/>
  <c r="A149" i="7"/>
  <c r="A105" i="9"/>
  <c r="A140" i="4"/>
  <c r="A109" i="3"/>
  <c r="A52" i="6"/>
  <c r="W51" i="6" s="1"/>
  <c r="BH51" i="6" s="1"/>
  <c r="AH183" i="11" l="1"/>
  <c r="H85" i="9"/>
  <c r="M31" i="6"/>
  <c r="L18" i="23"/>
  <c r="AE181" i="17"/>
  <c r="AH91" i="19" s="1"/>
  <c r="AK91" i="19" s="1"/>
  <c r="BD99" i="16"/>
  <c r="BG99" i="16"/>
  <c r="BI99" i="16"/>
  <c r="BL99" i="11"/>
  <c r="BI98" i="17"/>
  <c r="I88" i="19" s="1"/>
  <c r="BF98" i="17"/>
  <c r="F88" i="19" s="1"/>
  <c r="BG98" i="17"/>
  <c r="G88" i="19" s="1"/>
  <c r="N90" i="3"/>
  <c r="AJ141" i="11"/>
  <c r="BJ99" i="16"/>
  <c r="J89" i="18" s="1"/>
  <c r="BH98" i="17"/>
  <c r="H88" i="19" s="1"/>
  <c r="L102" i="19"/>
  <c r="R173" i="8"/>
  <c r="Z173" i="8"/>
  <c r="Z172" i="8"/>
  <c r="H180" i="6" s="1"/>
  <c r="CB100" i="17"/>
  <c r="CJ32" i="6" s="1"/>
  <c r="CD100" i="17"/>
  <c r="CL32" i="6" s="1"/>
  <c r="CD115" i="17"/>
  <c r="CB115" i="17"/>
  <c r="CB114" i="17"/>
  <c r="CD114" i="17"/>
  <c r="AC182" i="17"/>
  <c r="AD182" i="17" s="1"/>
  <c r="C91" i="19"/>
  <c r="CD101" i="17"/>
  <c r="CL33" i="6" s="1"/>
  <c r="CB101" i="17"/>
  <c r="CJ33" i="6" s="1"/>
  <c r="J159" i="8"/>
  <c r="J125" i="8"/>
  <c r="BI98" i="16"/>
  <c r="BD98" i="16"/>
  <c r="BG100" i="11"/>
  <c r="BJ100" i="11"/>
  <c r="C94" i="8"/>
  <c r="O107" i="11"/>
  <c r="T107" i="11" s="1"/>
  <c r="V107" i="11" s="1"/>
  <c r="BH100" i="11"/>
  <c r="H90" i="3" s="1"/>
  <c r="BK100" i="11"/>
  <c r="K90" i="3" s="1"/>
  <c r="BF100" i="11"/>
  <c r="E94" i="8"/>
  <c r="CD102" i="11"/>
  <c r="CD34" i="6" s="1"/>
  <c r="CB102" i="11"/>
  <c r="CB34" i="6" s="1"/>
  <c r="J93" i="8"/>
  <c r="V106" i="11"/>
  <c r="Y106" i="11" s="1"/>
  <c r="BE100" i="11"/>
  <c r="E90" i="3" s="1"/>
  <c r="BD100" i="11"/>
  <c r="BC101" i="11"/>
  <c r="BH101" i="11" s="1"/>
  <c r="H91" i="3" s="1"/>
  <c r="AE89" i="3"/>
  <c r="AF89" i="3" s="1"/>
  <c r="BC89" i="3" s="1"/>
  <c r="BL97" i="17"/>
  <c r="AG181" i="17"/>
  <c r="P102" i="19"/>
  <c r="R172" i="8"/>
  <c r="G214" i="6" s="1"/>
  <c r="AH172" i="8"/>
  <c r="I214" i="6" s="1"/>
  <c r="BY113" i="17"/>
  <c r="BX45" i="6" s="1"/>
  <c r="E174" i="8"/>
  <c r="I174" i="8"/>
  <c r="D174" i="8"/>
  <c r="F174" i="8"/>
  <c r="H174" i="8"/>
  <c r="G174" i="8"/>
  <c r="C174" i="8"/>
  <c r="AF115" i="17"/>
  <c r="AX115" i="17"/>
  <c r="AU115" i="17"/>
  <c r="AW115" i="17"/>
  <c r="AV115" i="17"/>
  <c r="AT115" i="17"/>
  <c r="AZ115" i="17"/>
  <c r="AY115" i="17"/>
  <c r="AS115" i="17"/>
  <c r="BA115" i="17"/>
  <c r="AR115" i="17"/>
  <c r="BB115" i="17"/>
  <c r="AG115" i="17"/>
  <c r="AK115" i="17" s="1"/>
  <c r="AF114" i="17"/>
  <c r="AW114" i="17"/>
  <c r="AU114" i="17"/>
  <c r="AX114" i="17"/>
  <c r="AV114" i="17"/>
  <c r="AR114" i="17"/>
  <c r="AT114" i="17"/>
  <c r="AZ114" i="17"/>
  <c r="BB114" i="17"/>
  <c r="AS114" i="17"/>
  <c r="AY114" i="17"/>
  <c r="BA114" i="17"/>
  <c r="AG114" i="17"/>
  <c r="AK114" i="17" s="1"/>
  <c r="AL113" i="17"/>
  <c r="B271" i="9"/>
  <c r="B237" i="9"/>
  <c r="AA117" i="17"/>
  <c r="H214" i="6"/>
  <c r="BL112" i="17"/>
  <c r="E101" i="19"/>
  <c r="BL111" i="17"/>
  <c r="B236" i="9"/>
  <c r="B270" i="9"/>
  <c r="F160" i="8"/>
  <c r="D160" i="8"/>
  <c r="H160" i="8"/>
  <c r="I160" i="8"/>
  <c r="G160" i="8"/>
  <c r="E160" i="8"/>
  <c r="C160" i="8"/>
  <c r="T120" i="17"/>
  <c r="S120" i="17"/>
  <c r="R120" i="17"/>
  <c r="Q120" i="17"/>
  <c r="BC113" i="17"/>
  <c r="BH113" i="17" s="1"/>
  <c r="H103" i="19" s="1"/>
  <c r="L126" i="8"/>
  <c r="J126" i="8"/>
  <c r="BK99" i="16"/>
  <c r="K89" i="18" s="1"/>
  <c r="BH99" i="16"/>
  <c r="H89" i="18" s="1"/>
  <c r="T120" i="16"/>
  <c r="Q120" i="16"/>
  <c r="U120" i="16"/>
  <c r="R120" i="16"/>
  <c r="S120" i="16"/>
  <c r="AL100" i="16"/>
  <c r="H127" i="8"/>
  <c r="G127" i="8"/>
  <c r="I127" i="8"/>
  <c r="F127" i="8"/>
  <c r="D127" i="8"/>
  <c r="E127" i="8"/>
  <c r="C127" i="8"/>
  <c r="BL97" i="16"/>
  <c r="BE99" i="16"/>
  <c r="E89" i="18" s="1"/>
  <c r="N65" i="6"/>
  <c r="R65" i="6" s="1"/>
  <c r="AE30" i="6" s="1"/>
  <c r="AD89" i="3"/>
  <c r="AE90" i="3" s="1"/>
  <c r="AF90" i="3" s="1"/>
  <c r="BC90" i="3" s="1"/>
  <c r="AL92" i="3"/>
  <c r="AN92" i="3" s="1"/>
  <c r="AM92" i="3"/>
  <c r="AO92" i="3" s="1"/>
  <c r="AP92" i="3" s="1"/>
  <c r="BJ92" i="3" s="1"/>
  <c r="AD108" i="11"/>
  <c r="AC108" i="11"/>
  <c r="AE108" i="11"/>
  <c r="G94" i="8"/>
  <c r="AE183" i="11"/>
  <c r="AH93" i="3" s="1"/>
  <c r="AK93" i="3" s="1"/>
  <c r="AF142" i="11"/>
  <c r="V188" i="11"/>
  <c r="U188" i="11"/>
  <c r="CE108" i="11" s="1"/>
  <c r="CE40" i="6" s="1"/>
  <c r="T188" i="11"/>
  <c r="AI40" i="6" s="1"/>
  <c r="AF183" i="11"/>
  <c r="H94" i="8"/>
  <c r="X91" i="3"/>
  <c r="AA91" i="3" s="1"/>
  <c r="AC91" i="3" s="1"/>
  <c r="F94" i="8"/>
  <c r="D94" i="8"/>
  <c r="AE115" i="11"/>
  <c r="AC115" i="11"/>
  <c r="AD115" i="11"/>
  <c r="AI142" i="11"/>
  <c r="C91" i="3"/>
  <c r="A276" i="9"/>
  <c r="A140" i="9"/>
  <c r="A242" i="9"/>
  <c r="A174" i="9"/>
  <c r="A208" i="9"/>
  <c r="AD103" i="11"/>
  <c r="AC103" i="11"/>
  <c r="AE103" i="11"/>
  <c r="O107" i="17"/>
  <c r="T107" i="17" s="1"/>
  <c r="T106" i="17"/>
  <c r="H154" i="9"/>
  <c r="G154" i="9"/>
  <c r="J154" i="9"/>
  <c r="BZ98" i="17"/>
  <c r="BY30" i="6" s="1"/>
  <c r="AD183" i="11"/>
  <c r="AG183" i="11"/>
  <c r="AC143" i="11"/>
  <c r="AE143" i="11" s="1"/>
  <c r="S124" i="9"/>
  <c r="Q124" i="9"/>
  <c r="P124" i="9"/>
  <c r="T145" i="11"/>
  <c r="AC37" i="6" s="1"/>
  <c r="V145" i="11"/>
  <c r="U145" i="11"/>
  <c r="CC105" i="11" s="1"/>
  <c r="CC37" i="6" s="1"/>
  <c r="T106" i="16"/>
  <c r="O107" i="16"/>
  <c r="T107" i="16" s="1"/>
  <c r="BC99" i="17"/>
  <c r="BH99" i="17" s="1"/>
  <c r="H89" i="19" s="1"/>
  <c r="AF101" i="17"/>
  <c r="AU101" i="17"/>
  <c r="AX101" i="17"/>
  <c r="AW101" i="17"/>
  <c r="AV101" i="17"/>
  <c r="AR101" i="17"/>
  <c r="AS101" i="17"/>
  <c r="AY101" i="17"/>
  <c r="AT101" i="17"/>
  <c r="BA101" i="17"/>
  <c r="BB101" i="17"/>
  <c r="AZ101" i="17"/>
  <c r="AG101" i="17"/>
  <c r="AK101" i="17" s="1"/>
  <c r="AF100" i="17"/>
  <c r="AW100" i="17"/>
  <c r="AV100" i="17"/>
  <c r="AU100" i="17"/>
  <c r="AS100" i="17"/>
  <c r="AX100" i="17"/>
  <c r="AR100" i="17"/>
  <c r="AY100" i="17"/>
  <c r="BA100" i="17"/>
  <c r="AZ100" i="17"/>
  <c r="AT100" i="17"/>
  <c r="BB100" i="17"/>
  <c r="AG100" i="17"/>
  <c r="AK100" i="17" s="1"/>
  <c r="AD142" i="11"/>
  <c r="X92" i="3"/>
  <c r="AA92" i="3" s="1"/>
  <c r="AC92" i="3" s="1"/>
  <c r="H188" i="9"/>
  <c r="J188" i="9"/>
  <c r="G188" i="9"/>
  <c r="AJ182" i="11"/>
  <c r="W185" i="11"/>
  <c r="Z185" i="11"/>
  <c r="K125" i="9" s="1"/>
  <c r="Y185" i="11"/>
  <c r="AB185" i="11"/>
  <c r="AA185" i="11"/>
  <c r="X185" i="11"/>
  <c r="L107" i="16"/>
  <c r="Q107" i="16" s="1"/>
  <c r="Q106" i="16"/>
  <c r="T184" i="17"/>
  <c r="U184" i="17"/>
  <c r="CE104" i="17" s="1"/>
  <c r="CM36" i="6" s="1"/>
  <c r="V184" i="17"/>
  <c r="B256" i="9"/>
  <c r="B222" i="9"/>
  <c r="B86" i="9"/>
  <c r="H86" i="9" s="1"/>
  <c r="B120" i="9"/>
  <c r="AP100" i="16"/>
  <c r="B127" i="8" s="1"/>
  <c r="BY99" i="17"/>
  <c r="BX31" i="6" s="1"/>
  <c r="V186" i="11"/>
  <c r="U186" i="11"/>
  <c r="CE106" i="11" s="1"/>
  <c r="CE38" i="6" s="1"/>
  <c r="T186" i="11"/>
  <c r="AI38" i="6" s="1"/>
  <c r="W144" i="11"/>
  <c r="Y144" i="11"/>
  <c r="AB144" i="11"/>
  <c r="AA144" i="11"/>
  <c r="Z144" i="11"/>
  <c r="K90" i="9" s="1"/>
  <c r="X144" i="11"/>
  <c r="AL89" i="19"/>
  <c r="AN89" i="19" s="1"/>
  <c r="AM89" i="19"/>
  <c r="AO89" i="19" s="1"/>
  <c r="AP89" i="19" s="1"/>
  <c r="BJ89" i="19" s="1"/>
  <c r="BZ100" i="11"/>
  <c r="BM32" i="6" s="1"/>
  <c r="G119" i="9"/>
  <c r="T119" i="9" s="1"/>
  <c r="D66" i="6" s="1"/>
  <c r="M66" i="6" s="1"/>
  <c r="J119" i="9"/>
  <c r="W119" i="9" s="1"/>
  <c r="F66" i="6" s="1"/>
  <c r="H119" i="9"/>
  <c r="U119" i="9" s="1"/>
  <c r="E66" i="6" s="1"/>
  <c r="R106" i="16"/>
  <c r="M107" i="16"/>
  <c r="R107" i="16" s="1"/>
  <c r="AH90" i="19"/>
  <c r="AK90" i="19" s="1"/>
  <c r="AJ180" i="17"/>
  <c r="AL99" i="17"/>
  <c r="R146" i="11"/>
  <c r="S146" i="11" s="1"/>
  <c r="R185" i="17"/>
  <c r="S185" i="17" s="1"/>
  <c r="N107" i="17"/>
  <c r="S107" i="17" s="1"/>
  <c r="S106" i="17"/>
  <c r="AD181" i="17"/>
  <c r="AH181" i="17"/>
  <c r="BW100" i="11"/>
  <c r="BJ32" i="6" s="1"/>
  <c r="L107" i="17"/>
  <c r="Q107" i="17" s="1"/>
  <c r="Q106" i="17"/>
  <c r="Z183" i="17"/>
  <c r="Y183" i="17"/>
  <c r="AB183" i="17"/>
  <c r="W183" i="17"/>
  <c r="AA183" i="17"/>
  <c r="X183" i="17"/>
  <c r="AC184" i="11"/>
  <c r="AH184" i="11" s="1"/>
  <c r="B223" i="9"/>
  <c r="B257" i="9"/>
  <c r="AW102" i="11"/>
  <c r="AF102" i="11"/>
  <c r="F95" i="8" s="1"/>
  <c r="AV102" i="11"/>
  <c r="AU102" i="11"/>
  <c r="AX102" i="11"/>
  <c r="AS102" i="11"/>
  <c r="AR102" i="11"/>
  <c r="AY102" i="11"/>
  <c r="AZ102" i="11"/>
  <c r="AT102" i="11"/>
  <c r="BA102" i="11"/>
  <c r="BB102" i="11"/>
  <c r="AG102" i="11"/>
  <c r="AK102" i="11" s="1"/>
  <c r="BG98" i="16"/>
  <c r="G88" i="18" s="1"/>
  <c r="BF98" i="16"/>
  <c r="F88" i="18" s="1"/>
  <c r="BH98" i="16"/>
  <c r="H88" i="18" s="1"/>
  <c r="AN100" i="16"/>
  <c r="BK98" i="16"/>
  <c r="K88" i="18" s="1"/>
  <c r="BE98" i="16"/>
  <c r="E88" i="18" s="1"/>
  <c r="AE101" i="16"/>
  <c r="AC101" i="16"/>
  <c r="AD101" i="16"/>
  <c r="AO100" i="16"/>
  <c r="AM100" i="16"/>
  <c r="D90" i="18" s="1"/>
  <c r="N90" i="18" s="1"/>
  <c r="AD115" i="16"/>
  <c r="AC115" i="16"/>
  <c r="AE115" i="16"/>
  <c r="L125" i="8"/>
  <c r="AH115" i="16"/>
  <c r="BC100" i="16"/>
  <c r="BJ100" i="16" s="1"/>
  <c r="J90" i="18" s="1"/>
  <c r="BY101" i="11"/>
  <c r="BL33" i="6" s="1"/>
  <c r="BV101" i="11"/>
  <c r="BI33" i="6" s="1"/>
  <c r="O165" i="6"/>
  <c r="S165" i="6" s="1"/>
  <c r="AX28" i="6" s="1"/>
  <c r="O177" i="6"/>
  <c r="S177" i="6" s="1"/>
  <c r="AX40" i="6" s="1"/>
  <c r="AN113" i="17"/>
  <c r="H195" i="11"/>
  <c r="R195" i="11"/>
  <c r="S195" i="11" s="1"/>
  <c r="A200" i="17"/>
  <c r="A223" i="6"/>
  <c r="A155" i="6"/>
  <c r="A87" i="6"/>
  <c r="R187" i="11"/>
  <c r="S187" i="11" s="1"/>
  <c r="H187" i="11"/>
  <c r="G181" i="6"/>
  <c r="G215" i="6"/>
  <c r="J172" i="6"/>
  <c r="P172" i="6" s="1"/>
  <c r="T172" i="6" s="1"/>
  <c r="AY35" i="6" s="1"/>
  <c r="J206" i="6"/>
  <c r="P206" i="6" s="1"/>
  <c r="T206" i="6" s="1"/>
  <c r="BE35" i="6" s="1"/>
  <c r="O211" i="6"/>
  <c r="S211" i="6" s="1"/>
  <c r="BD40" i="6" s="1"/>
  <c r="H178" i="6"/>
  <c r="H212" i="6"/>
  <c r="H181" i="6"/>
  <c r="H215" i="6"/>
  <c r="G178" i="6"/>
  <c r="G212" i="6"/>
  <c r="O199" i="6"/>
  <c r="S199" i="6" s="1"/>
  <c r="BD28" i="6" s="1"/>
  <c r="I178" i="6"/>
  <c r="I212" i="6"/>
  <c r="I181" i="6"/>
  <c r="I215" i="6"/>
  <c r="AB102" i="16"/>
  <c r="AB108" i="16"/>
  <c r="AJ108" i="16" s="1"/>
  <c r="C105" i="18"/>
  <c r="AI115" i="16"/>
  <c r="AJ101" i="16"/>
  <c r="V125" i="8"/>
  <c r="W125" i="8"/>
  <c r="U125" i="8"/>
  <c r="N125" i="8"/>
  <c r="O30" i="6"/>
  <c r="S30" i="6" s="1"/>
  <c r="Z29" i="6" s="1"/>
  <c r="I31" i="6"/>
  <c r="L22" i="23" s="1"/>
  <c r="I65" i="6"/>
  <c r="O64" i="6"/>
  <c r="S64" i="6" s="1"/>
  <c r="AF29" i="6" s="1"/>
  <c r="H31" i="6"/>
  <c r="L19" i="23" s="1"/>
  <c r="H65" i="6"/>
  <c r="G31" i="6"/>
  <c r="L16" i="23" s="1"/>
  <c r="G65" i="6"/>
  <c r="M32" i="6"/>
  <c r="AL91" i="19"/>
  <c r="AM91" i="19"/>
  <c r="BB87" i="3"/>
  <c r="BI87" i="3"/>
  <c r="AA126" i="8"/>
  <c r="M186" i="17"/>
  <c r="P186" i="17"/>
  <c r="Q186" i="17" s="1"/>
  <c r="M187" i="17"/>
  <c r="P187" i="17"/>
  <c r="Q187" i="17" s="1"/>
  <c r="A110" i="19"/>
  <c r="A200" i="16"/>
  <c r="A200" i="11"/>
  <c r="U85" i="9"/>
  <c r="E32" i="6" s="1"/>
  <c r="N32" i="6" s="1"/>
  <c r="H189" i="11"/>
  <c r="R189" i="11"/>
  <c r="S189" i="11" s="1"/>
  <c r="V119" i="16"/>
  <c r="Y119" i="16" s="1"/>
  <c r="Z119" i="16" s="1"/>
  <c r="AI108" i="11"/>
  <c r="AI115" i="11"/>
  <c r="AI103" i="11"/>
  <c r="AE126" i="8"/>
  <c r="U126" i="8"/>
  <c r="W126" i="8"/>
  <c r="AF126" i="8"/>
  <c r="AO101" i="11"/>
  <c r="AI101" i="16"/>
  <c r="AB117" i="17"/>
  <c r="V119" i="17"/>
  <c r="X120" i="16"/>
  <c r="BI113" i="17"/>
  <c r="I103" i="19" s="1"/>
  <c r="C104" i="19"/>
  <c r="AM113" i="17"/>
  <c r="BZ113" i="17" s="1"/>
  <c r="AO113" i="17"/>
  <c r="X120" i="17"/>
  <c r="U120" i="17"/>
  <c r="C105" i="19"/>
  <c r="BF113" i="17"/>
  <c r="F103" i="19" s="1"/>
  <c r="BD113" i="17"/>
  <c r="BK113" i="17"/>
  <c r="K103" i="19" s="1"/>
  <c r="BJ113" i="17"/>
  <c r="J103" i="19" s="1"/>
  <c r="I120" i="11"/>
  <c r="I120" i="17"/>
  <c r="I120" i="16"/>
  <c r="H121" i="17"/>
  <c r="H121" i="16"/>
  <c r="J111" i="11"/>
  <c r="J112" i="11" s="1"/>
  <c r="BE113" i="17"/>
  <c r="Z118" i="17"/>
  <c r="AA118" i="17"/>
  <c r="BG113" i="17"/>
  <c r="G103" i="19" s="1"/>
  <c r="AB116" i="17"/>
  <c r="AP113" i="17"/>
  <c r="B174" i="8" s="1"/>
  <c r="M126" i="8"/>
  <c r="X126" i="8"/>
  <c r="O125" i="8"/>
  <c r="AF125" i="8"/>
  <c r="AB126" i="8"/>
  <c r="N126" i="8"/>
  <c r="T126" i="8"/>
  <c r="AC126" i="8"/>
  <c r="O126" i="8"/>
  <c r="T125" i="8"/>
  <c r="AB125" i="8"/>
  <c r="P125" i="8"/>
  <c r="AA125" i="8"/>
  <c r="AD125" i="8"/>
  <c r="Q126" i="8"/>
  <c r="S126" i="8"/>
  <c r="K126" i="8"/>
  <c r="K125" i="8"/>
  <c r="S125" i="8"/>
  <c r="Q125" i="8"/>
  <c r="Y126" i="8"/>
  <c r="AD126" i="8"/>
  <c r="P126" i="8"/>
  <c r="V126" i="8"/>
  <c r="AG126" i="8"/>
  <c r="Y125" i="8"/>
  <c r="X125" i="8"/>
  <c r="AC125" i="8"/>
  <c r="M125" i="8"/>
  <c r="AE125" i="8"/>
  <c r="BG99" i="17"/>
  <c r="G89" i="19" s="1"/>
  <c r="Z204" i="7"/>
  <c r="H205" i="7"/>
  <c r="Z205" i="7" s="1"/>
  <c r="H220" i="9"/>
  <c r="AM99" i="17"/>
  <c r="D89" i="19" s="1"/>
  <c r="N89" i="19" s="1"/>
  <c r="AQ98" i="17"/>
  <c r="R158" i="8"/>
  <c r="AV202" i="7"/>
  <c r="J220" i="9"/>
  <c r="Z158" i="8"/>
  <c r="AH158" i="8"/>
  <c r="AT203" i="7"/>
  <c r="AP99" i="17"/>
  <c r="B160" i="8" s="1"/>
  <c r="AQ99" i="16"/>
  <c r="AN99" i="17"/>
  <c r="AO99" i="17"/>
  <c r="H221" i="9" s="1"/>
  <c r="AG204" i="7"/>
  <c r="N205" i="7"/>
  <c r="AS204" i="7"/>
  <c r="AM203" i="7"/>
  <c r="AF203" i="7"/>
  <c r="P87" i="18"/>
  <c r="Q87" i="18" s="1"/>
  <c r="R87" i="18" s="1"/>
  <c r="T87" i="18" s="1"/>
  <c r="Z124" i="8"/>
  <c r="AQ98" i="16"/>
  <c r="BL98" i="17"/>
  <c r="AH204" i="7"/>
  <c r="O205" i="7"/>
  <c r="AH205" i="7" s="1"/>
  <c r="L87" i="19"/>
  <c r="P87" i="19"/>
  <c r="G89" i="18"/>
  <c r="AE204" i="7"/>
  <c r="M205" i="7"/>
  <c r="AE205" i="7" s="1"/>
  <c r="L87" i="18"/>
  <c r="I88" i="18"/>
  <c r="I89" i="18"/>
  <c r="AH124" i="8"/>
  <c r="AC204" i="7"/>
  <c r="K205" i="7"/>
  <c r="AC205" i="7" s="1"/>
  <c r="Q205" i="7"/>
  <c r="AJ205" i="7" s="1"/>
  <c r="AJ204" i="7"/>
  <c r="A218" i="7"/>
  <c r="A181" i="8"/>
  <c r="A189" i="6"/>
  <c r="A147" i="8"/>
  <c r="A113" i="8"/>
  <c r="AR204" i="7"/>
  <c r="X205" i="7"/>
  <c r="AR205" i="7" s="1"/>
  <c r="AK204" i="7"/>
  <c r="R205" i="7"/>
  <c r="AK205" i="7" s="1"/>
  <c r="R124" i="8"/>
  <c r="AH92" i="8"/>
  <c r="AC93" i="8"/>
  <c r="AA93" i="8"/>
  <c r="L93" i="8"/>
  <c r="AG93" i="8"/>
  <c r="Q93" i="8"/>
  <c r="AB93" i="8"/>
  <c r="K93" i="8"/>
  <c r="AF93" i="8"/>
  <c r="N93" i="8"/>
  <c r="S93" i="8"/>
  <c r="Y93" i="8"/>
  <c r="W93" i="8"/>
  <c r="AD93" i="8"/>
  <c r="O93" i="8"/>
  <c r="X93" i="8"/>
  <c r="AE93" i="8"/>
  <c r="P93" i="8"/>
  <c r="U93" i="8"/>
  <c r="T93" i="8"/>
  <c r="V93" i="8"/>
  <c r="M93" i="8"/>
  <c r="H95" i="8"/>
  <c r="K110" i="11"/>
  <c r="AA110" i="11" s="1"/>
  <c r="AB110" i="11" s="1"/>
  <c r="K109" i="11"/>
  <c r="AA109" i="11" s="1"/>
  <c r="AB109" i="11" s="1"/>
  <c r="Z92" i="8"/>
  <c r="R92" i="8"/>
  <c r="U159" i="8"/>
  <c r="Y159" i="8"/>
  <c r="AD159" i="8"/>
  <c r="V159" i="8"/>
  <c r="AB159" i="8"/>
  <c r="AG159" i="8"/>
  <c r="K159" i="8"/>
  <c r="O159" i="8"/>
  <c r="T159" i="8"/>
  <c r="AC159" i="8"/>
  <c r="W159" i="8"/>
  <c r="AE159" i="8"/>
  <c r="X159" i="8"/>
  <c r="P159" i="8"/>
  <c r="AA159" i="8"/>
  <c r="L159" i="8"/>
  <c r="Q159" i="8"/>
  <c r="AF159" i="8"/>
  <c r="S159" i="8"/>
  <c r="M159" i="8"/>
  <c r="N159" i="8"/>
  <c r="E107" i="17"/>
  <c r="C205" i="7" s="1"/>
  <c r="C204" i="7"/>
  <c r="R31" i="6"/>
  <c r="Y30" i="6" s="1"/>
  <c r="R88" i="3"/>
  <c r="T88" i="3" s="1"/>
  <c r="S88" i="3"/>
  <c r="U88" i="3" s="1"/>
  <c r="V88" i="3" s="1"/>
  <c r="V105" i="17"/>
  <c r="L89" i="3"/>
  <c r="P89" i="3"/>
  <c r="Q89" i="3" s="1"/>
  <c r="F90" i="3"/>
  <c r="G90" i="3"/>
  <c r="A110" i="18"/>
  <c r="J90" i="3"/>
  <c r="AB102" i="17"/>
  <c r="G106" i="17"/>
  <c r="AR96" i="19" s="1"/>
  <c r="F107" i="17"/>
  <c r="Q88" i="9"/>
  <c r="S88" i="9"/>
  <c r="P88" i="9"/>
  <c r="A184" i="7"/>
  <c r="A160" i="17"/>
  <c r="A120" i="17"/>
  <c r="A121" i="6"/>
  <c r="G86" i="9"/>
  <c r="U106" i="17"/>
  <c r="U107" i="17"/>
  <c r="Z103" i="17"/>
  <c r="AA103" i="17"/>
  <c r="Y104" i="17"/>
  <c r="BD100" i="16"/>
  <c r="F107" i="16"/>
  <c r="D171" i="7" s="1"/>
  <c r="D170" i="7"/>
  <c r="E107" i="16"/>
  <c r="C171" i="7" s="1"/>
  <c r="C170" i="7"/>
  <c r="AH101" i="16"/>
  <c r="BJ101" i="11"/>
  <c r="AA109" i="16"/>
  <c r="Z103" i="16"/>
  <c r="AA103" i="16"/>
  <c r="V105" i="16"/>
  <c r="Z104" i="16"/>
  <c r="AA104" i="16"/>
  <c r="A160" i="16"/>
  <c r="A120" i="16"/>
  <c r="P107" i="16"/>
  <c r="U107" i="16" s="1"/>
  <c r="A120" i="11"/>
  <c r="A160" i="11"/>
  <c r="BD101" i="11"/>
  <c r="BE101" i="11"/>
  <c r="AP101" i="11"/>
  <c r="B94" i="8" s="1"/>
  <c r="AN101" i="11"/>
  <c r="AM101" i="11"/>
  <c r="BZ101" i="11" s="1"/>
  <c r="AQ100" i="11"/>
  <c r="AJ103" i="11"/>
  <c r="AL101" i="11"/>
  <c r="AH103" i="11"/>
  <c r="Z117" i="11"/>
  <c r="AJ115" i="11"/>
  <c r="AH115" i="11"/>
  <c r="AJ108" i="11"/>
  <c r="AH108" i="11"/>
  <c r="AB104" i="11"/>
  <c r="AA105" i="11"/>
  <c r="Z105" i="11"/>
  <c r="Y118" i="11"/>
  <c r="X120" i="11"/>
  <c r="V119" i="11"/>
  <c r="U120" i="11"/>
  <c r="R120" i="11"/>
  <c r="S120" i="11"/>
  <c r="T120" i="11"/>
  <c r="K141" i="4"/>
  <c r="H121" i="11"/>
  <c r="Q121" i="11" s="1"/>
  <c r="A150" i="7"/>
  <c r="A53" i="6"/>
  <c r="W52" i="6" s="1"/>
  <c r="BH52" i="6" s="1"/>
  <c r="A141" i="4"/>
  <c r="A106" i="9"/>
  <c r="A110" i="3"/>
  <c r="AJ181" i="17" l="1"/>
  <c r="AG143" i="11"/>
  <c r="N66" i="6"/>
  <c r="M18" i="23"/>
  <c r="O127" i="8"/>
  <c r="AE182" i="17"/>
  <c r="AH92" i="19" s="1"/>
  <c r="AK92" i="19" s="1"/>
  <c r="AM92" i="19" s="1"/>
  <c r="AI182" i="17"/>
  <c r="AF182" i="17"/>
  <c r="BD99" i="17"/>
  <c r="BF99" i="17"/>
  <c r="F89" i="19" s="1"/>
  <c r="AG182" i="17"/>
  <c r="BL100" i="11"/>
  <c r="BE99" i="17"/>
  <c r="E89" i="19" s="1"/>
  <c r="BK99" i="17"/>
  <c r="K89" i="19" s="1"/>
  <c r="BI99" i="17"/>
  <c r="I89" i="19" s="1"/>
  <c r="P89" i="19" s="1"/>
  <c r="AE160" i="8"/>
  <c r="BJ99" i="17"/>
  <c r="J89" i="19" s="1"/>
  <c r="AH182" i="17"/>
  <c r="G180" i="6"/>
  <c r="O180" i="6" s="1"/>
  <c r="S180" i="6" s="1"/>
  <c r="AX43" i="6" s="1"/>
  <c r="J160" i="8"/>
  <c r="I180" i="6"/>
  <c r="O214" i="6"/>
  <c r="S214" i="6" s="1"/>
  <c r="BD43" i="6" s="1"/>
  <c r="J127" i="8"/>
  <c r="CD101" i="16"/>
  <c r="CH33" i="6" s="1"/>
  <c r="CB101" i="16"/>
  <c r="CF33" i="6" s="1"/>
  <c r="CD115" i="16"/>
  <c r="CB115" i="16"/>
  <c r="BF101" i="11"/>
  <c r="F91" i="3" s="1"/>
  <c r="BG101" i="11"/>
  <c r="I95" i="8"/>
  <c r="AB91" i="3"/>
  <c r="AD90" i="3"/>
  <c r="AH143" i="11"/>
  <c r="BI101" i="11"/>
  <c r="I91" i="3" s="1"/>
  <c r="AI143" i="11"/>
  <c r="BK101" i="11"/>
  <c r="CB103" i="11"/>
  <c r="CB35" i="6" s="1"/>
  <c r="CD103" i="11"/>
  <c r="CD35" i="6" s="1"/>
  <c r="CB115" i="11"/>
  <c r="CD115" i="11"/>
  <c r="CD108" i="11"/>
  <c r="CB108" i="11"/>
  <c r="J174" i="8"/>
  <c r="D162" i="8"/>
  <c r="H162" i="8"/>
  <c r="G162" i="8"/>
  <c r="I162" i="8"/>
  <c r="E162" i="8"/>
  <c r="F162" i="8"/>
  <c r="C162" i="8"/>
  <c r="Q121" i="17"/>
  <c r="T121" i="17"/>
  <c r="R121" i="17"/>
  <c r="S121" i="17"/>
  <c r="P101" i="19"/>
  <c r="L101" i="19"/>
  <c r="AE116" i="17"/>
  <c r="AD116" i="17"/>
  <c r="AC116" i="17"/>
  <c r="AJ116" i="17"/>
  <c r="AI116" i="17"/>
  <c r="AH116" i="17"/>
  <c r="AE117" i="17"/>
  <c r="AD117" i="17"/>
  <c r="AC117" i="17"/>
  <c r="AJ117" i="17"/>
  <c r="AI117" i="17"/>
  <c r="AH117" i="17"/>
  <c r="BC114" i="17"/>
  <c r="BE114" i="17" s="1"/>
  <c r="AO115" i="17"/>
  <c r="BY115" i="17"/>
  <c r="F176" i="8"/>
  <c r="I176" i="8"/>
  <c r="E176" i="8"/>
  <c r="H176" i="8"/>
  <c r="G176" i="8"/>
  <c r="D176" i="8"/>
  <c r="C176" i="8"/>
  <c r="AL114" i="17"/>
  <c r="E161" i="8"/>
  <c r="H161" i="8"/>
  <c r="G161" i="8"/>
  <c r="D161" i="8"/>
  <c r="F161" i="8"/>
  <c r="I161" i="8"/>
  <c r="C161" i="8"/>
  <c r="Y119" i="17"/>
  <c r="Z119" i="17" s="1"/>
  <c r="AO114" i="17"/>
  <c r="BY114" i="17"/>
  <c r="D175" i="8"/>
  <c r="H175" i="8"/>
  <c r="F175" i="8"/>
  <c r="I175" i="8"/>
  <c r="Y175" i="8" s="1"/>
  <c r="E175" i="8"/>
  <c r="G175" i="8"/>
  <c r="C175" i="8"/>
  <c r="BC115" i="17"/>
  <c r="BE115" i="17" s="1"/>
  <c r="AL115" i="17"/>
  <c r="AH108" i="16"/>
  <c r="BL99" i="16"/>
  <c r="BG100" i="16"/>
  <c r="BF100" i="16"/>
  <c r="F90" i="18" s="1"/>
  <c r="B203" i="9"/>
  <c r="B169" i="9"/>
  <c r="S121" i="16"/>
  <c r="T121" i="16"/>
  <c r="U121" i="16"/>
  <c r="Q121" i="16"/>
  <c r="R121" i="16"/>
  <c r="J86" i="9"/>
  <c r="W86" i="9" s="1"/>
  <c r="F33" i="6" s="1"/>
  <c r="N21" i="23" s="1"/>
  <c r="G95" i="8"/>
  <c r="E95" i="8"/>
  <c r="J94" i="8"/>
  <c r="AJ183" i="11"/>
  <c r="AJ142" i="11"/>
  <c r="C92" i="3"/>
  <c r="C95" i="8"/>
  <c r="D95" i="8"/>
  <c r="BC102" i="11"/>
  <c r="BG102" i="11" s="1"/>
  <c r="AW115" i="11"/>
  <c r="AU115" i="11"/>
  <c r="AX115" i="11"/>
  <c r="AV115" i="11"/>
  <c r="AF115" i="11"/>
  <c r="C108" i="8" s="1"/>
  <c r="AT115" i="11"/>
  <c r="AY115" i="11"/>
  <c r="AZ115" i="11"/>
  <c r="BA115" i="11"/>
  <c r="AR115" i="11"/>
  <c r="BB115" i="11"/>
  <c r="AS115" i="11"/>
  <c r="AG115" i="11"/>
  <c r="AU108" i="11"/>
  <c r="AF108" i="11"/>
  <c r="H101" i="8" s="1"/>
  <c r="AX108" i="11"/>
  <c r="AW108" i="11"/>
  <c r="AV108" i="11"/>
  <c r="AT108" i="11"/>
  <c r="AZ108" i="11"/>
  <c r="AS108" i="11"/>
  <c r="AY108" i="11"/>
  <c r="BB108" i="11"/>
  <c r="AR108" i="11"/>
  <c r="BA108" i="11"/>
  <c r="AG108" i="11"/>
  <c r="AK108" i="11" s="1"/>
  <c r="AF143" i="11"/>
  <c r="W188" i="11"/>
  <c r="AA188" i="11"/>
  <c r="AB188" i="11"/>
  <c r="Y188" i="11"/>
  <c r="Z188" i="11"/>
  <c r="K128" i="9" s="1"/>
  <c r="X188" i="11"/>
  <c r="BW101" i="11"/>
  <c r="BJ33" i="6" s="1"/>
  <c r="AC110" i="11"/>
  <c r="AE110" i="11"/>
  <c r="AD110" i="11"/>
  <c r="AD102" i="17"/>
  <c r="AJ102" i="17"/>
  <c r="AC102" i="17"/>
  <c r="AE102" i="17"/>
  <c r="AI102" i="17"/>
  <c r="AH102" i="17"/>
  <c r="A209" i="9"/>
  <c r="A243" i="9"/>
  <c r="A175" i="9"/>
  <c r="A141" i="9"/>
  <c r="A277" i="9"/>
  <c r="AE104" i="11"/>
  <c r="AD104" i="11"/>
  <c r="AC104" i="11"/>
  <c r="BL98" i="16"/>
  <c r="BI100" i="16"/>
  <c r="I90" i="18" s="1"/>
  <c r="BH100" i="16"/>
  <c r="H90" i="18" s="1"/>
  <c r="BK100" i="16"/>
  <c r="K90" i="18" s="1"/>
  <c r="Y105" i="17"/>
  <c r="Z105" i="17" s="1"/>
  <c r="BY101" i="17"/>
  <c r="BX33" i="6" s="1"/>
  <c r="B189" i="9"/>
  <c r="B155" i="9"/>
  <c r="R187" i="17"/>
  <c r="S187" i="17" s="1"/>
  <c r="T195" i="11"/>
  <c r="AI47" i="6" s="1"/>
  <c r="V195" i="11"/>
  <c r="U195" i="11"/>
  <c r="CE115" i="11" s="1"/>
  <c r="CE47" i="6" s="1"/>
  <c r="U146" i="11"/>
  <c r="CC106" i="11" s="1"/>
  <c r="CC38" i="6" s="1"/>
  <c r="T146" i="11"/>
  <c r="AC38" i="6" s="1"/>
  <c r="V146" i="11"/>
  <c r="BZ99" i="17"/>
  <c r="BY31" i="6" s="1"/>
  <c r="Z184" i="17"/>
  <c r="W184" i="17"/>
  <c r="Y184" i="17"/>
  <c r="AB184" i="17"/>
  <c r="AA184" i="17"/>
  <c r="X184" i="17"/>
  <c r="W145" i="11"/>
  <c r="AB145" i="11"/>
  <c r="AA145" i="11"/>
  <c r="Z145" i="11"/>
  <c r="K91" i="9" s="1"/>
  <c r="Y145" i="11"/>
  <c r="X145" i="11"/>
  <c r="BC100" i="17"/>
  <c r="BH100" i="17" s="1"/>
  <c r="H90" i="19" s="1"/>
  <c r="AV103" i="11"/>
  <c r="AU103" i="11"/>
  <c r="AF103" i="11"/>
  <c r="G96" i="8" s="1"/>
  <c r="AX103" i="11"/>
  <c r="AW103" i="11"/>
  <c r="AR103" i="11"/>
  <c r="AS103" i="11"/>
  <c r="AZ103" i="11"/>
  <c r="AY103" i="11"/>
  <c r="AT103" i="11"/>
  <c r="BB103" i="11"/>
  <c r="BA103" i="11"/>
  <c r="AG103" i="11"/>
  <c r="AK103" i="11" s="1"/>
  <c r="BE100" i="16"/>
  <c r="E90" i="18" s="1"/>
  <c r="AE109" i="11"/>
  <c r="AD109" i="11"/>
  <c r="AC109" i="11"/>
  <c r="V189" i="11"/>
  <c r="U189" i="11"/>
  <c r="CE109" i="11" s="1"/>
  <c r="CE41" i="6" s="1"/>
  <c r="T189" i="11"/>
  <c r="AI41" i="6" s="1"/>
  <c r="T187" i="11"/>
  <c r="AI39" i="6" s="1"/>
  <c r="V187" i="11"/>
  <c r="U187" i="11"/>
  <c r="CE107" i="11" s="1"/>
  <c r="CE39" i="6" s="1"/>
  <c r="AD184" i="11"/>
  <c r="AI184" i="11"/>
  <c r="AF184" i="11"/>
  <c r="AG184" i="11"/>
  <c r="AE184" i="11"/>
  <c r="AC144" i="11"/>
  <c r="AG144" i="11" s="1"/>
  <c r="P90" i="9" s="1"/>
  <c r="J120" i="9"/>
  <c r="W120" i="9" s="1"/>
  <c r="F67" i="6" s="1"/>
  <c r="H120" i="9"/>
  <c r="U120" i="9" s="1"/>
  <c r="E67" i="6" s="1"/>
  <c r="G120" i="9"/>
  <c r="T120" i="9" s="1"/>
  <c r="D67" i="6" s="1"/>
  <c r="M67" i="6" s="1"/>
  <c r="AC185" i="11"/>
  <c r="S125" i="9"/>
  <c r="P125" i="9"/>
  <c r="Q125" i="9"/>
  <c r="AL100" i="17"/>
  <c r="BC101" i="17"/>
  <c r="BI101" i="17" s="1"/>
  <c r="I91" i="19" s="1"/>
  <c r="BY100" i="17"/>
  <c r="BX32" i="6" s="1"/>
  <c r="B87" i="9"/>
  <c r="J87" i="9" s="1"/>
  <c r="W87" i="9" s="1"/>
  <c r="F34" i="6" s="1"/>
  <c r="O21" i="23" s="1"/>
  <c r="B121" i="9"/>
  <c r="R186" i="17"/>
  <c r="S186" i="17" s="1"/>
  <c r="AC183" i="17"/>
  <c r="U185" i="17"/>
  <c r="CE105" i="17" s="1"/>
  <c r="CM37" i="6" s="1"/>
  <c r="T185" i="17"/>
  <c r="V185" i="17"/>
  <c r="AM90" i="19"/>
  <c r="AO90" i="19" s="1"/>
  <c r="AP90" i="19" s="1"/>
  <c r="BJ90" i="19" s="1"/>
  <c r="AL90" i="19"/>
  <c r="AN90" i="19" s="1"/>
  <c r="AO91" i="19" s="1"/>
  <c r="AP91" i="19" s="1"/>
  <c r="BJ91" i="19" s="1"/>
  <c r="W186" i="11"/>
  <c r="Y186" i="11"/>
  <c r="AB186" i="11"/>
  <c r="AA186" i="11"/>
  <c r="Z186" i="11"/>
  <c r="K126" i="9" s="1"/>
  <c r="X186" i="11"/>
  <c r="AL101" i="17"/>
  <c r="AD143" i="11"/>
  <c r="X93" i="3"/>
  <c r="AA93" i="3" s="1"/>
  <c r="AC102" i="16"/>
  <c r="AE102" i="16"/>
  <c r="AD102" i="16"/>
  <c r="AF101" i="16"/>
  <c r="AT101" i="16"/>
  <c r="AX101" i="16"/>
  <c r="BB101" i="16"/>
  <c r="AU101" i="16"/>
  <c r="AY101" i="16"/>
  <c r="AR101" i="16"/>
  <c r="AV101" i="16"/>
  <c r="AS101" i="16"/>
  <c r="AW101" i="16"/>
  <c r="BA101" i="16"/>
  <c r="AZ101" i="16"/>
  <c r="AG101" i="16"/>
  <c r="AK101" i="16" s="1"/>
  <c r="AF115" i="16"/>
  <c r="AX115" i="16"/>
  <c r="AR115" i="16"/>
  <c r="AW115" i="16"/>
  <c r="AS115" i="16"/>
  <c r="AY115" i="16"/>
  <c r="AU115" i="16"/>
  <c r="AZ115" i="16"/>
  <c r="BA115" i="16"/>
  <c r="AV115" i="16"/>
  <c r="BB115" i="16"/>
  <c r="AT115" i="16"/>
  <c r="AG115" i="16"/>
  <c r="AE108" i="16"/>
  <c r="AD108" i="16"/>
  <c r="AC108" i="16"/>
  <c r="BY102" i="11"/>
  <c r="BL34" i="6" s="1"/>
  <c r="BV102" i="11"/>
  <c r="BI34" i="6" s="1"/>
  <c r="O178" i="6"/>
  <c r="S178" i="6" s="1"/>
  <c r="AX41" i="6" s="1"/>
  <c r="AP114" i="17"/>
  <c r="B175" i="8" s="1"/>
  <c r="O181" i="6"/>
  <c r="S181" i="6" s="1"/>
  <c r="AX44" i="6" s="1"/>
  <c r="BX47" i="6"/>
  <c r="BX46" i="6"/>
  <c r="BY45" i="6"/>
  <c r="O212" i="6"/>
  <c r="S212" i="6" s="1"/>
  <c r="BD41" i="6" s="1"/>
  <c r="AI108" i="16"/>
  <c r="AM93" i="3"/>
  <c r="AO93" i="3" s="1"/>
  <c r="AP93" i="3" s="1"/>
  <c r="BJ93" i="3" s="1"/>
  <c r="AL93" i="3"/>
  <c r="AN93" i="3" s="1"/>
  <c r="A201" i="17"/>
  <c r="A224" i="6"/>
  <c r="A88" i="6"/>
  <c r="A156" i="6"/>
  <c r="S160" i="8"/>
  <c r="I166" i="6"/>
  <c r="I200" i="6"/>
  <c r="J173" i="6"/>
  <c r="P173" i="6" s="1"/>
  <c r="T173" i="6" s="1"/>
  <c r="AY36" i="6" s="1"/>
  <c r="J207" i="6"/>
  <c r="P207" i="6" s="1"/>
  <c r="T207" i="6" s="1"/>
  <c r="BE36" i="6" s="1"/>
  <c r="O215" i="6"/>
  <c r="S215" i="6" s="1"/>
  <c r="BD44" i="6" s="1"/>
  <c r="H166" i="6"/>
  <c r="H200" i="6"/>
  <c r="G166" i="6"/>
  <c r="G200" i="6"/>
  <c r="AA127" i="8"/>
  <c r="AE127" i="8"/>
  <c r="AB109" i="16"/>
  <c r="AB104" i="16"/>
  <c r="AB103" i="16"/>
  <c r="V127" i="8"/>
  <c r="AC127" i="8"/>
  <c r="AB92" i="3"/>
  <c r="G98" i="6"/>
  <c r="G132" i="6"/>
  <c r="I98" i="6"/>
  <c r="I132" i="6"/>
  <c r="H98" i="6"/>
  <c r="H132" i="6"/>
  <c r="R32" i="6"/>
  <c r="Y31" i="6" s="1"/>
  <c r="O31" i="6"/>
  <c r="S31" i="6" s="1"/>
  <c r="Z30" i="6" s="1"/>
  <c r="R66" i="6"/>
  <c r="AE31" i="6" s="1"/>
  <c r="O65" i="6"/>
  <c r="S65" i="6" s="1"/>
  <c r="AF30" i="6" s="1"/>
  <c r="I32" i="6"/>
  <c r="M22" i="23" s="1"/>
  <c r="I66" i="6"/>
  <c r="H32" i="6"/>
  <c r="M19" i="23" s="1"/>
  <c r="H66" i="6"/>
  <c r="BM33" i="6"/>
  <c r="G32" i="6"/>
  <c r="M16" i="23" s="1"/>
  <c r="G66" i="6"/>
  <c r="BB88" i="3"/>
  <c r="BI88" i="3"/>
  <c r="AN100" i="17"/>
  <c r="A111" i="19"/>
  <c r="A201" i="16"/>
  <c r="A201" i="11"/>
  <c r="H190" i="11"/>
  <c r="R190" i="11"/>
  <c r="S190" i="11" s="1"/>
  <c r="BF114" i="17"/>
  <c r="F104" i="19" s="1"/>
  <c r="BG114" i="17"/>
  <c r="G104" i="19" s="1"/>
  <c r="V120" i="16"/>
  <c r="BI114" i="17"/>
  <c r="I104" i="19" s="1"/>
  <c r="BJ114" i="17"/>
  <c r="J104" i="19" s="1"/>
  <c r="AI110" i="11"/>
  <c r="AI109" i="11"/>
  <c r="AI104" i="11"/>
  <c r="Y127" i="8"/>
  <c r="N127" i="8"/>
  <c r="U127" i="8"/>
  <c r="AG127" i="8"/>
  <c r="Z126" i="8"/>
  <c r="W127" i="8"/>
  <c r="M127" i="8"/>
  <c r="K127" i="8"/>
  <c r="AD127" i="8"/>
  <c r="Z125" i="8"/>
  <c r="AH125" i="8"/>
  <c r="AH126" i="8"/>
  <c r="R126" i="8"/>
  <c r="S127" i="8"/>
  <c r="AB127" i="8"/>
  <c r="T127" i="8"/>
  <c r="L127" i="8"/>
  <c r="R125" i="8"/>
  <c r="G133" i="6" s="1"/>
  <c r="D103" i="19"/>
  <c r="AQ113" i="17"/>
  <c r="G237" i="9"/>
  <c r="H237" i="9"/>
  <c r="J237" i="9"/>
  <c r="E103" i="19"/>
  <c r="BL113" i="17"/>
  <c r="AM114" i="17"/>
  <c r="T174" i="8"/>
  <c r="W174" i="8"/>
  <c r="AE174" i="8"/>
  <c r="M174" i="8"/>
  <c r="P174" i="8"/>
  <c r="N174" i="8"/>
  <c r="Y174" i="8"/>
  <c r="O174" i="8"/>
  <c r="X174" i="8"/>
  <c r="AC174" i="8"/>
  <c r="AG174" i="8"/>
  <c r="L174" i="8"/>
  <c r="Q174" i="8"/>
  <c r="AB174" i="8"/>
  <c r="U174" i="8"/>
  <c r="AD174" i="8"/>
  <c r="AF174" i="8"/>
  <c r="V174" i="8"/>
  <c r="AA174" i="8"/>
  <c r="K174" i="8"/>
  <c r="S174" i="8"/>
  <c r="G236" i="9"/>
  <c r="H236" i="9"/>
  <c r="J236" i="9"/>
  <c r="I121" i="11"/>
  <c r="I121" i="17"/>
  <c r="I121" i="16"/>
  <c r="K111" i="11"/>
  <c r="AA111" i="11" s="1"/>
  <c r="AB111" i="11" s="1"/>
  <c r="AI102" i="16"/>
  <c r="AM115" i="17"/>
  <c r="BZ115" i="17" s="1"/>
  <c r="X121" i="17"/>
  <c r="U121" i="17"/>
  <c r="X121" i="16"/>
  <c r="L160" i="8"/>
  <c r="E105" i="19"/>
  <c r="AN114" i="17"/>
  <c r="V120" i="17"/>
  <c r="Y120" i="16"/>
  <c r="Z120" i="16" s="1"/>
  <c r="AP115" i="17"/>
  <c r="B176" i="8" s="1"/>
  <c r="E104" i="19"/>
  <c r="H122" i="17"/>
  <c r="H122" i="16"/>
  <c r="AM102" i="11"/>
  <c r="BZ102" i="11" s="1"/>
  <c r="AA160" i="8"/>
  <c r="P127" i="8"/>
  <c r="Q127" i="8"/>
  <c r="AF127" i="8"/>
  <c r="X127" i="8"/>
  <c r="AN115" i="17"/>
  <c r="AB118" i="17"/>
  <c r="BJ115" i="17"/>
  <c r="J105" i="19" s="1"/>
  <c r="G235" i="9"/>
  <c r="J235" i="9"/>
  <c r="H235" i="9"/>
  <c r="BF115" i="17"/>
  <c r="F105" i="19" s="1"/>
  <c r="BH114" i="17"/>
  <c r="H104" i="19" s="1"/>
  <c r="BD114" i="17"/>
  <c r="BK114" i="17"/>
  <c r="K104" i="19" s="1"/>
  <c r="AM101" i="17"/>
  <c r="D91" i="19" s="1"/>
  <c r="N91" i="19" s="1"/>
  <c r="AM100" i="17"/>
  <c r="D90" i="19" s="1"/>
  <c r="N90" i="19" s="1"/>
  <c r="J221" i="9"/>
  <c r="Y160" i="8"/>
  <c r="AV203" i="7"/>
  <c r="U160" i="8"/>
  <c r="AO101" i="17"/>
  <c r="G223" i="9" s="1"/>
  <c r="K160" i="8"/>
  <c r="AB160" i="8"/>
  <c r="AC160" i="8"/>
  <c r="V160" i="8"/>
  <c r="AG160" i="8"/>
  <c r="AF160" i="8"/>
  <c r="X160" i="8"/>
  <c r="T160" i="8"/>
  <c r="W160" i="8"/>
  <c r="AP101" i="17"/>
  <c r="B162" i="8" s="1"/>
  <c r="AQ99" i="17"/>
  <c r="Q160" i="8"/>
  <c r="N160" i="8"/>
  <c r="AN101" i="17"/>
  <c r="G221" i="9"/>
  <c r="M160" i="8"/>
  <c r="O160" i="8"/>
  <c r="AD160" i="8"/>
  <c r="P160" i="8"/>
  <c r="AT204" i="7"/>
  <c r="S87" i="18"/>
  <c r="U87" i="18" s="1"/>
  <c r="V87" i="18" s="1"/>
  <c r="AS205" i="7"/>
  <c r="AT205" i="7" s="1"/>
  <c r="AG205" i="7"/>
  <c r="AM205" i="7" s="1"/>
  <c r="AP100" i="17"/>
  <c r="B161" i="8" s="1"/>
  <c r="AO100" i="17"/>
  <c r="J222" i="9" s="1"/>
  <c r="L89" i="18"/>
  <c r="AF205" i="7"/>
  <c r="AM204" i="7"/>
  <c r="AQ100" i="16"/>
  <c r="AF204" i="7"/>
  <c r="P88" i="18"/>
  <c r="Q88" i="18" s="1"/>
  <c r="S88" i="18" s="1"/>
  <c r="U88" i="18" s="1"/>
  <c r="V88" i="18" s="1"/>
  <c r="L88" i="19"/>
  <c r="P88" i="19"/>
  <c r="L88" i="18"/>
  <c r="G90" i="18"/>
  <c r="P89" i="18"/>
  <c r="Q89" i="18" s="1"/>
  <c r="S89" i="18" s="1"/>
  <c r="V106" i="17"/>
  <c r="V107" i="17"/>
  <c r="A182" i="8"/>
  <c r="A190" i="6"/>
  <c r="A219" i="7"/>
  <c r="A114" i="8"/>
  <c r="A148" i="8"/>
  <c r="C91" i="18"/>
  <c r="R93" i="8"/>
  <c r="I96" i="8"/>
  <c r="G101" i="8"/>
  <c r="D101" i="8"/>
  <c r="E101" i="8"/>
  <c r="F101" i="8"/>
  <c r="Z93" i="8"/>
  <c r="AH93" i="8"/>
  <c r="AD94" i="8"/>
  <c r="AB94" i="8"/>
  <c r="L94" i="8"/>
  <c r="AE94" i="8"/>
  <c r="AF94" i="8"/>
  <c r="Q94" i="8"/>
  <c r="AA94" i="8"/>
  <c r="AG94" i="8"/>
  <c r="P94" i="8"/>
  <c r="AC94" i="8"/>
  <c r="M94" i="8"/>
  <c r="K94" i="8"/>
  <c r="O94" i="8"/>
  <c r="U94" i="8"/>
  <c r="N94" i="8"/>
  <c r="X94" i="8"/>
  <c r="V94" i="8"/>
  <c r="Y94" i="8"/>
  <c r="T94" i="8"/>
  <c r="S94" i="8"/>
  <c r="W94" i="8"/>
  <c r="F108" i="8"/>
  <c r="H108" i="8"/>
  <c r="D108" i="8"/>
  <c r="AH159" i="8"/>
  <c r="AB103" i="17"/>
  <c r="R159" i="8"/>
  <c r="G107" i="17"/>
  <c r="AR97" i="19" s="1"/>
  <c r="D205" i="7"/>
  <c r="Z159" i="8"/>
  <c r="A111" i="18"/>
  <c r="E91" i="3"/>
  <c r="K91" i="3"/>
  <c r="P90" i="3"/>
  <c r="Q90" i="3" s="1"/>
  <c r="L90" i="3"/>
  <c r="D91" i="3"/>
  <c r="N91" i="3" s="1"/>
  <c r="G91" i="3"/>
  <c r="J91" i="3"/>
  <c r="S89" i="3"/>
  <c r="U89" i="3" s="1"/>
  <c r="V89" i="3" s="1"/>
  <c r="R89" i="3"/>
  <c r="T89" i="3" s="1"/>
  <c r="G92" i="3"/>
  <c r="A185" i="7"/>
  <c r="A161" i="17"/>
  <c r="A121" i="17"/>
  <c r="A122" i="6"/>
  <c r="P89" i="9"/>
  <c r="Q89" i="9"/>
  <c r="S89" i="9"/>
  <c r="T86" i="9"/>
  <c r="D33" i="6" s="1"/>
  <c r="U86" i="9"/>
  <c r="E33" i="6" s="1"/>
  <c r="Z104" i="17"/>
  <c r="AA104" i="17"/>
  <c r="AH102" i="16"/>
  <c r="AJ102" i="16"/>
  <c r="BH102" i="11"/>
  <c r="Y105" i="16"/>
  <c r="A161" i="16"/>
  <c r="A121" i="16"/>
  <c r="V106" i="16"/>
  <c r="AA110" i="16"/>
  <c r="V107" i="16"/>
  <c r="A121" i="11"/>
  <c r="A161" i="11"/>
  <c r="BD102" i="11"/>
  <c r="BK102" i="11"/>
  <c r="BJ102" i="11"/>
  <c r="BE102" i="11"/>
  <c r="BF102" i="11"/>
  <c r="AQ101" i="11"/>
  <c r="AN102" i="11"/>
  <c r="AO102" i="11"/>
  <c r="AL102" i="11"/>
  <c r="AP102" i="11"/>
  <c r="B95" i="8" s="1"/>
  <c r="AK115" i="11"/>
  <c r="AJ104" i="11"/>
  <c r="AH104" i="11"/>
  <c r="AJ110" i="11"/>
  <c r="AH110" i="11"/>
  <c r="AJ109" i="11"/>
  <c r="AH109" i="11"/>
  <c r="Z118" i="11"/>
  <c r="AB105" i="11"/>
  <c r="AA106" i="11"/>
  <c r="Z106" i="11"/>
  <c r="X121" i="11"/>
  <c r="Y119" i="11"/>
  <c r="Y107" i="11"/>
  <c r="V120" i="11"/>
  <c r="U121" i="11"/>
  <c r="S121" i="11"/>
  <c r="T121" i="11"/>
  <c r="R121" i="11"/>
  <c r="H122" i="11"/>
  <c r="Q122" i="11" s="1"/>
  <c r="K142" i="4"/>
  <c r="J113" i="11"/>
  <c r="K112" i="11"/>
  <c r="AA112" i="11" s="1"/>
  <c r="A151" i="7"/>
  <c r="A142" i="4"/>
  <c r="A54" i="6"/>
  <c r="W53" i="6" s="1"/>
  <c r="BH53" i="6" s="1"/>
  <c r="A111" i="3"/>
  <c r="A107" i="9"/>
  <c r="M33" i="6" l="1"/>
  <c r="N18" i="23"/>
  <c r="N33" i="6"/>
  <c r="J95" i="8"/>
  <c r="BI102" i="11"/>
  <c r="I92" i="3" s="1"/>
  <c r="L89" i="19"/>
  <c r="AL92" i="19"/>
  <c r="AJ182" i="17"/>
  <c r="N67" i="6"/>
  <c r="R67" i="6" s="1"/>
  <c r="AE32" i="6" s="1"/>
  <c r="AD162" i="8"/>
  <c r="BL101" i="11"/>
  <c r="AF161" i="8"/>
  <c r="BL99" i="17"/>
  <c r="U175" i="8"/>
  <c r="AB175" i="8"/>
  <c r="BD100" i="17"/>
  <c r="AA119" i="17"/>
  <c r="AA105" i="17"/>
  <c r="AB105" i="17" s="1"/>
  <c r="BF101" i="17"/>
  <c r="F91" i="19" s="1"/>
  <c r="C92" i="19"/>
  <c r="CB102" i="17"/>
  <c r="CJ34" i="6" s="1"/>
  <c r="CD102" i="17"/>
  <c r="CL34" i="6" s="1"/>
  <c r="CB116" i="17"/>
  <c r="CD116" i="17"/>
  <c r="BJ101" i="17"/>
  <c r="J91" i="19" s="1"/>
  <c r="S175" i="8"/>
  <c r="AD175" i="8"/>
  <c r="CD117" i="17"/>
  <c r="CB117" i="17"/>
  <c r="BG101" i="17"/>
  <c r="G91" i="19" s="1"/>
  <c r="BD101" i="17"/>
  <c r="BK101" i="17"/>
  <c r="K91" i="19" s="1"/>
  <c r="M175" i="8"/>
  <c r="AF175" i="8"/>
  <c r="C98" i="18"/>
  <c r="CB108" i="16"/>
  <c r="CF40" i="6" s="1"/>
  <c r="CD108" i="16"/>
  <c r="CH40" i="6" s="1"/>
  <c r="CD102" i="16"/>
  <c r="CH34" i="6" s="1"/>
  <c r="CB102" i="16"/>
  <c r="CF34" i="6" s="1"/>
  <c r="C105" i="3"/>
  <c r="C96" i="8"/>
  <c r="CD104" i="11"/>
  <c r="CD36" i="6" s="1"/>
  <c r="CB104" i="11"/>
  <c r="CB36" i="6" s="1"/>
  <c r="CD109" i="11"/>
  <c r="CD41" i="6" s="1"/>
  <c r="CB109" i="11"/>
  <c r="CB41" i="6" s="1"/>
  <c r="CD110" i="11"/>
  <c r="CD42" i="6" s="1"/>
  <c r="CB110" i="11"/>
  <c r="CB42" i="6" s="1"/>
  <c r="AE144" i="11"/>
  <c r="X94" i="3" s="1"/>
  <c r="AA94" i="3" s="1"/>
  <c r="AC94" i="3" s="1"/>
  <c r="AJ143" i="11"/>
  <c r="AD91" i="3"/>
  <c r="AE92" i="3" s="1"/>
  <c r="AF92" i="3" s="1"/>
  <c r="BC92" i="3" s="1"/>
  <c r="AE91" i="3"/>
  <c r="AF91" i="3" s="1"/>
  <c r="BC91" i="3" s="1"/>
  <c r="J176" i="8"/>
  <c r="BJ100" i="17"/>
  <c r="J90" i="19" s="1"/>
  <c r="BF100" i="17"/>
  <c r="F90" i="19" s="1"/>
  <c r="AA175" i="8"/>
  <c r="N175" i="8"/>
  <c r="J161" i="8"/>
  <c r="J162" i="8"/>
  <c r="BG100" i="17"/>
  <c r="G90" i="19" s="1"/>
  <c r="BK100" i="17"/>
  <c r="K90" i="19" s="1"/>
  <c r="V175" i="8"/>
  <c r="BE100" i="17"/>
  <c r="E90" i="19" s="1"/>
  <c r="O175" i="8"/>
  <c r="AF117" i="17"/>
  <c r="AX117" i="17"/>
  <c r="AV117" i="17"/>
  <c r="AU117" i="17"/>
  <c r="AW117" i="17"/>
  <c r="AS117" i="17"/>
  <c r="AT117" i="17"/>
  <c r="AY117" i="17"/>
  <c r="BB117" i="17"/>
  <c r="BA117" i="17"/>
  <c r="AZ117" i="17"/>
  <c r="AR117" i="17"/>
  <c r="AG117" i="17"/>
  <c r="J175" i="8"/>
  <c r="AC118" i="17"/>
  <c r="AE118" i="17"/>
  <c r="AD118" i="17"/>
  <c r="AJ118" i="17"/>
  <c r="AI118" i="17"/>
  <c r="AH118" i="17"/>
  <c r="AC175" i="8"/>
  <c r="BH115" i="17"/>
  <c r="H105" i="19" s="1"/>
  <c r="AC184" i="17"/>
  <c r="AF184" i="17" s="1"/>
  <c r="B239" i="9"/>
  <c r="B273" i="9"/>
  <c r="AF116" i="17"/>
  <c r="AV116" i="17"/>
  <c r="AU116" i="17"/>
  <c r="AW116" i="17"/>
  <c r="AX116" i="17"/>
  <c r="BB116" i="17"/>
  <c r="AR116" i="17"/>
  <c r="BA116" i="17"/>
  <c r="AY116" i="17"/>
  <c r="AT116" i="17"/>
  <c r="AS116" i="17"/>
  <c r="AZ116" i="17"/>
  <c r="AG116" i="17"/>
  <c r="AK116" i="17" s="1"/>
  <c r="BI115" i="17"/>
  <c r="I105" i="19" s="1"/>
  <c r="BK115" i="17"/>
  <c r="K105" i="19" s="1"/>
  <c r="R122" i="17"/>
  <c r="Q122" i="17"/>
  <c r="T122" i="17"/>
  <c r="S122" i="17"/>
  <c r="Y120" i="17"/>
  <c r="BZ114" i="17"/>
  <c r="BY46" i="6" s="1"/>
  <c r="B272" i="9"/>
  <c r="B238" i="9"/>
  <c r="BD115" i="17"/>
  <c r="BY47" i="6"/>
  <c r="BG115" i="17"/>
  <c r="G105" i="19" s="1"/>
  <c r="BL100" i="16"/>
  <c r="R122" i="16"/>
  <c r="S122" i="16"/>
  <c r="Q122" i="16"/>
  <c r="U122" i="16"/>
  <c r="T122" i="16"/>
  <c r="I142" i="8"/>
  <c r="H142" i="8"/>
  <c r="F142" i="8"/>
  <c r="E142" i="8"/>
  <c r="D142" i="8"/>
  <c r="G142" i="8"/>
  <c r="C142" i="8"/>
  <c r="H169" i="9"/>
  <c r="J169" i="9"/>
  <c r="G169" i="9"/>
  <c r="AL101" i="16"/>
  <c r="I128" i="8"/>
  <c r="H128" i="8"/>
  <c r="E128" i="8"/>
  <c r="G128" i="8"/>
  <c r="F128" i="8"/>
  <c r="D128" i="8"/>
  <c r="C128" i="8"/>
  <c r="J203" i="9"/>
  <c r="W203" i="9" s="1"/>
  <c r="F150" i="6" s="1"/>
  <c r="G203" i="9"/>
  <c r="T203" i="9" s="1"/>
  <c r="D150" i="6" s="1"/>
  <c r="H203" i="9"/>
  <c r="U203" i="9" s="1"/>
  <c r="E150" i="6" s="1"/>
  <c r="AB93" i="3"/>
  <c r="AC93" i="3"/>
  <c r="AI144" i="11"/>
  <c r="E108" i="8"/>
  <c r="G108" i="8"/>
  <c r="G87" i="9"/>
  <c r="BC108" i="11"/>
  <c r="BF108" i="11" s="1"/>
  <c r="F98" i="3" s="1"/>
  <c r="BC115" i="11"/>
  <c r="BD115" i="11" s="1"/>
  <c r="AH144" i="11"/>
  <c r="AF144" i="11"/>
  <c r="I108" i="8"/>
  <c r="H87" i="9"/>
  <c r="U87" i="9" s="1"/>
  <c r="E34" i="6" s="1"/>
  <c r="N34" i="6" s="1"/>
  <c r="BC103" i="11"/>
  <c r="BJ103" i="11" s="1"/>
  <c r="J93" i="3" s="1"/>
  <c r="S128" i="9"/>
  <c r="Q128" i="9"/>
  <c r="P128" i="9"/>
  <c r="H96" i="8"/>
  <c r="C93" i="3"/>
  <c r="I101" i="8"/>
  <c r="C101" i="8"/>
  <c r="D96" i="8"/>
  <c r="F96" i="8"/>
  <c r="C98" i="3"/>
  <c r="E96" i="8"/>
  <c r="AC188" i="11"/>
  <c r="AH188" i="11" s="1"/>
  <c r="O66" i="6"/>
  <c r="S66" i="6" s="1"/>
  <c r="AF31" i="6" s="1"/>
  <c r="BI100" i="17"/>
  <c r="I90" i="19" s="1"/>
  <c r="A278" i="9"/>
  <c r="A210" i="9"/>
  <c r="A244" i="9"/>
  <c r="A176" i="9"/>
  <c r="A142" i="9"/>
  <c r="B88" i="9"/>
  <c r="G88" i="9" s="1"/>
  <c r="B122" i="9"/>
  <c r="AE105" i="11"/>
  <c r="AD105" i="11"/>
  <c r="AC105" i="11"/>
  <c r="AE103" i="17"/>
  <c r="AJ103" i="17"/>
  <c r="AD103" i="17"/>
  <c r="AC103" i="17"/>
  <c r="AI103" i="17"/>
  <c r="AH103" i="17"/>
  <c r="B190" i="9"/>
  <c r="B156" i="9"/>
  <c r="BE101" i="17"/>
  <c r="E91" i="19" s="1"/>
  <c r="BH101" i="17"/>
  <c r="H91" i="19" s="1"/>
  <c r="AW109" i="11"/>
  <c r="AV109" i="11"/>
  <c r="AG109" i="11"/>
  <c r="AK109" i="11" s="1"/>
  <c r="AZ109" i="11"/>
  <c r="AU109" i="11"/>
  <c r="AX109" i="11"/>
  <c r="AR109" i="11"/>
  <c r="AF109" i="11"/>
  <c r="D102" i="8" s="1"/>
  <c r="AT109" i="11"/>
  <c r="BB109" i="11"/>
  <c r="AY109" i="11"/>
  <c r="AS109" i="11"/>
  <c r="BA109" i="11"/>
  <c r="BW102" i="11"/>
  <c r="BJ34" i="6" s="1"/>
  <c r="G189" i="9"/>
  <c r="J189" i="9"/>
  <c r="H189" i="9"/>
  <c r="AV104" i="11"/>
  <c r="AU104" i="11"/>
  <c r="AX104" i="11"/>
  <c r="AF104" i="11"/>
  <c r="H97" i="8" s="1"/>
  <c r="AW104" i="11"/>
  <c r="AR104" i="11"/>
  <c r="AS104" i="11"/>
  <c r="AZ104" i="11"/>
  <c r="AY104" i="11"/>
  <c r="AT104" i="11"/>
  <c r="BA104" i="11"/>
  <c r="BB104" i="11"/>
  <c r="AG104" i="11"/>
  <c r="AK104" i="11" s="1"/>
  <c r="AD111" i="11"/>
  <c r="AC111" i="11"/>
  <c r="AE111" i="11"/>
  <c r="V190" i="11"/>
  <c r="U190" i="11"/>
  <c r="CE110" i="11" s="1"/>
  <c r="CE42" i="6" s="1"/>
  <c r="T190" i="11"/>
  <c r="AI42" i="6" s="1"/>
  <c r="AN101" i="16"/>
  <c r="AC186" i="11"/>
  <c r="AH186" i="11" s="1"/>
  <c r="V186" i="17"/>
  <c r="U186" i="17"/>
  <c r="CE106" i="17" s="1"/>
  <c r="CM38" i="6" s="1"/>
  <c r="T186" i="17"/>
  <c r="AD185" i="11"/>
  <c r="AE185" i="11"/>
  <c r="AG185" i="11"/>
  <c r="AF185" i="11"/>
  <c r="AH185" i="11"/>
  <c r="AD144" i="11"/>
  <c r="W187" i="11"/>
  <c r="AB187" i="11"/>
  <c r="AA187" i="11"/>
  <c r="Z187" i="11"/>
  <c r="K127" i="9" s="1"/>
  <c r="Y187" i="11"/>
  <c r="X187" i="11"/>
  <c r="W189" i="11"/>
  <c r="Z189" i="11"/>
  <c r="K129" i="9" s="1"/>
  <c r="Y189" i="11"/>
  <c r="AB189" i="11"/>
  <c r="X189" i="11"/>
  <c r="AA189" i="11"/>
  <c r="W146" i="11"/>
  <c r="AA146" i="11"/>
  <c r="Z146" i="11"/>
  <c r="K92" i="9" s="1"/>
  <c r="Y146" i="11"/>
  <c r="AB146" i="11"/>
  <c r="X146" i="11"/>
  <c r="BA110" i="11"/>
  <c r="AU110" i="11"/>
  <c r="AF110" i="11"/>
  <c r="E103" i="8" s="1"/>
  <c r="AX110" i="11"/>
  <c r="AS110" i="11"/>
  <c r="AW110" i="11"/>
  <c r="AG110" i="11"/>
  <c r="AK110" i="11" s="1"/>
  <c r="AV110" i="11"/>
  <c r="AT110" i="11"/>
  <c r="BB110" i="11"/>
  <c r="AY110" i="11"/>
  <c r="AR110" i="11"/>
  <c r="AZ110" i="11"/>
  <c r="Y106" i="17"/>
  <c r="Z106" i="17" s="1"/>
  <c r="B196" i="9"/>
  <c r="B162" i="9"/>
  <c r="S126" i="9"/>
  <c r="P126" i="9"/>
  <c r="Q126" i="9"/>
  <c r="AD183" i="17"/>
  <c r="AE183" i="17"/>
  <c r="AF183" i="17"/>
  <c r="AI183" i="17"/>
  <c r="AH183" i="17"/>
  <c r="AG183" i="17"/>
  <c r="J121" i="9"/>
  <c r="W121" i="9" s="1"/>
  <c r="F68" i="6" s="1"/>
  <c r="G121" i="9"/>
  <c r="T121" i="9" s="1"/>
  <c r="D68" i="6" s="1"/>
  <c r="M68" i="6" s="1"/>
  <c r="H121" i="9"/>
  <c r="U121" i="9" s="1"/>
  <c r="E68" i="6" s="1"/>
  <c r="BZ100" i="17"/>
  <c r="BY32" i="6" s="1"/>
  <c r="AN91" i="19"/>
  <c r="AC145" i="11"/>
  <c r="AI145" i="11" s="1"/>
  <c r="W195" i="11"/>
  <c r="BY115" i="11" s="1"/>
  <c r="BL47" i="6" s="1"/>
  <c r="Y195" i="11"/>
  <c r="AB195" i="11"/>
  <c r="X195" i="11"/>
  <c r="AA195" i="11"/>
  <c r="Z195" i="11"/>
  <c r="K135" i="9" s="1"/>
  <c r="V187" i="17"/>
  <c r="U187" i="17"/>
  <c r="CE107" i="17" s="1"/>
  <c r="CM39" i="6" s="1"/>
  <c r="T187" i="17"/>
  <c r="BZ101" i="17"/>
  <c r="BY33" i="6" s="1"/>
  <c r="B258" i="9"/>
  <c r="B224" i="9"/>
  <c r="AF102" i="17"/>
  <c r="AW102" i="17"/>
  <c r="AV102" i="17"/>
  <c r="AU102" i="17"/>
  <c r="AX102" i="17"/>
  <c r="AS102" i="17"/>
  <c r="AR102" i="17"/>
  <c r="AY102" i="17"/>
  <c r="AZ102" i="17"/>
  <c r="BA102" i="17"/>
  <c r="BB102" i="17"/>
  <c r="AT102" i="17"/>
  <c r="AG102" i="17"/>
  <c r="AK102" i="17" s="1"/>
  <c r="Y107" i="17"/>
  <c r="Z107" i="17" s="1"/>
  <c r="AA185" i="17"/>
  <c r="Y185" i="17"/>
  <c r="W185" i="17"/>
  <c r="AB185" i="17"/>
  <c r="Z185" i="17"/>
  <c r="X185" i="17"/>
  <c r="AJ184" i="11"/>
  <c r="AH94" i="3"/>
  <c r="AK94" i="3" s="1"/>
  <c r="J155" i="9"/>
  <c r="G155" i="9"/>
  <c r="H155" i="9"/>
  <c r="AI185" i="11"/>
  <c r="K175" i="8"/>
  <c r="L175" i="8"/>
  <c r="W175" i="8"/>
  <c r="P175" i="8"/>
  <c r="T175" i="8"/>
  <c r="Q175" i="8"/>
  <c r="X175" i="8"/>
  <c r="AG175" i="8"/>
  <c r="AE175" i="8"/>
  <c r="BC101" i="16"/>
  <c r="BF101" i="16" s="1"/>
  <c r="F91" i="18" s="1"/>
  <c r="AE104" i="16"/>
  <c r="AD104" i="16"/>
  <c r="AC104" i="16"/>
  <c r="AC109" i="16"/>
  <c r="AE109" i="16"/>
  <c r="AD109" i="16"/>
  <c r="AO101" i="16"/>
  <c r="AK115" i="16"/>
  <c r="AL115" i="16" s="1"/>
  <c r="AM101" i="16"/>
  <c r="D91" i="18" s="1"/>
  <c r="N91" i="18" s="1"/>
  <c r="AP101" i="16"/>
  <c r="B128" i="8" s="1"/>
  <c r="AD103" i="16"/>
  <c r="AC103" i="16"/>
  <c r="AE103" i="16"/>
  <c r="AF108" i="16"/>
  <c r="AS108" i="16"/>
  <c r="AW108" i="16"/>
  <c r="AT108" i="16"/>
  <c r="AX108" i="16"/>
  <c r="BB108" i="16"/>
  <c r="AU108" i="16"/>
  <c r="AY108" i="16"/>
  <c r="AV108" i="16"/>
  <c r="AZ108" i="16"/>
  <c r="AR108" i="16"/>
  <c r="BA108" i="16"/>
  <c r="AG108" i="16"/>
  <c r="BC115" i="16"/>
  <c r="AF102" i="16"/>
  <c r="AU102" i="16"/>
  <c r="AR102" i="16"/>
  <c r="AV102" i="16"/>
  <c r="AZ102" i="16"/>
  <c r="AS102" i="16"/>
  <c r="AW102" i="16"/>
  <c r="BA102" i="16"/>
  <c r="AX102" i="16"/>
  <c r="BB102" i="16"/>
  <c r="AT102" i="16"/>
  <c r="AY102" i="16"/>
  <c r="AG102" i="16"/>
  <c r="BF103" i="11"/>
  <c r="F93" i="3" s="1"/>
  <c r="BY108" i="11"/>
  <c r="BL40" i="6" s="1"/>
  <c r="BV103" i="11"/>
  <c r="BI35" i="6" s="1"/>
  <c r="BY103" i="11"/>
  <c r="BL35" i="6" s="1"/>
  <c r="A202" i="17"/>
  <c r="A225" i="6"/>
  <c r="A157" i="6"/>
  <c r="A89" i="6"/>
  <c r="O200" i="6"/>
  <c r="S200" i="6" s="1"/>
  <c r="BD29" i="6" s="1"/>
  <c r="O166" i="6"/>
  <c r="S166" i="6" s="1"/>
  <c r="AX29" i="6" s="1"/>
  <c r="AI186" i="11"/>
  <c r="H167" i="6"/>
  <c r="H201" i="6"/>
  <c r="J174" i="6"/>
  <c r="P174" i="6" s="1"/>
  <c r="T174" i="6" s="1"/>
  <c r="AY37" i="6" s="1"/>
  <c r="J208" i="6"/>
  <c r="P208" i="6" s="1"/>
  <c r="T208" i="6" s="1"/>
  <c r="BE37" i="6" s="1"/>
  <c r="I167" i="6"/>
  <c r="I201" i="6"/>
  <c r="G167" i="6"/>
  <c r="G201" i="6"/>
  <c r="AI109" i="16"/>
  <c r="AH109" i="16"/>
  <c r="AJ109" i="16"/>
  <c r="AB110" i="16"/>
  <c r="AI110" i="16" s="1"/>
  <c r="C92" i="18"/>
  <c r="O98" i="6"/>
  <c r="S98" i="6" s="1"/>
  <c r="AL29" i="6" s="1"/>
  <c r="G99" i="6"/>
  <c r="BB88" i="18"/>
  <c r="BI88" i="18"/>
  <c r="I100" i="6"/>
  <c r="I134" i="6"/>
  <c r="G100" i="6"/>
  <c r="G134" i="6"/>
  <c r="H100" i="6"/>
  <c r="H134" i="6"/>
  <c r="BI87" i="18"/>
  <c r="BB87" i="18"/>
  <c r="I99" i="6"/>
  <c r="I133" i="6"/>
  <c r="H99" i="6"/>
  <c r="H133" i="6"/>
  <c r="O132" i="6"/>
  <c r="S132" i="6" s="1"/>
  <c r="AR29" i="6" s="1"/>
  <c r="O32" i="6"/>
  <c r="S32" i="6" s="1"/>
  <c r="Z31" i="6" s="1"/>
  <c r="I33" i="6"/>
  <c r="N22" i="23" s="1"/>
  <c r="I67" i="6"/>
  <c r="H33" i="6"/>
  <c r="N19" i="23" s="1"/>
  <c r="H67" i="6"/>
  <c r="G33" i="6"/>
  <c r="N16" i="23" s="1"/>
  <c r="G67" i="6"/>
  <c r="BM34" i="6"/>
  <c r="BB89" i="3"/>
  <c r="BI89" i="3"/>
  <c r="A112" i="19"/>
  <c r="A202" i="16"/>
  <c r="A202" i="11"/>
  <c r="T87" i="9"/>
  <c r="D34" i="6" s="1"/>
  <c r="H191" i="11"/>
  <c r="R191" i="11"/>
  <c r="S191" i="11" s="1"/>
  <c r="AQ101" i="17"/>
  <c r="AI111" i="11"/>
  <c r="AB119" i="17"/>
  <c r="AI105" i="11"/>
  <c r="Z127" i="8"/>
  <c r="R127" i="8"/>
  <c r="AH127" i="8"/>
  <c r="R89" i="18"/>
  <c r="Z120" i="17"/>
  <c r="AA120" i="17"/>
  <c r="AP115" i="11"/>
  <c r="B108" i="8" s="1"/>
  <c r="I122" i="11"/>
  <c r="I122" i="17"/>
  <c r="I122" i="16"/>
  <c r="AP103" i="11"/>
  <c r="B96" i="8" s="1"/>
  <c r="AG96" i="8" s="1"/>
  <c r="L161" i="8"/>
  <c r="X122" i="16"/>
  <c r="T176" i="8"/>
  <c r="AB176" i="8"/>
  <c r="AD176" i="8"/>
  <c r="U176" i="8"/>
  <c r="AG176" i="8"/>
  <c r="O176" i="8"/>
  <c r="L176" i="8"/>
  <c r="X176" i="8"/>
  <c r="AF176" i="8"/>
  <c r="W176" i="8"/>
  <c r="P176" i="8"/>
  <c r="Q176" i="8"/>
  <c r="N176" i="8"/>
  <c r="V176" i="8"/>
  <c r="Y176" i="8"/>
  <c r="AE176" i="8"/>
  <c r="AC176" i="8"/>
  <c r="M176" i="8"/>
  <c r="K176" i="8"/>
  <c r="AA176" i="8"/>
  <c r="S176" i="8"/>
  <c r="C107" i="19"/>
  <c r="V121" i="16"/>
  <c r="Y121" i="16" s="1"/>
  <c r="Z121" i="16" s="1"/>
  <c r="Z174" i="8"/>
  <c r="P103" i="19"/>
  <c r="L103" i="19"/>
  <c r="D104" i="19"/>
  <c r="AQ114" i="17"/>
  <c r="H123" i="17"/>
  <c r="H123" i="16"/>
  <c r="AL108" i="11"/>
  <c r="AI103" i="16"/>
  <c r="U161" i="8"/>
  <c r="X122" i="17"/>
  <c r="U122" i="17"/>
  <c r="AK117" i="17"/>
  <c r="V121" i="17"/>
  <c r="R174" i="8"/>
  <c r="L104" i="19"/>
  <c r="P104" i="19"/>
  <c r="D92" i="3"/>
  <c r="N92" i="3" s="1"/>
  <c r="C106" i="19"/>
  <c r="BL114" i="17"/>
  <c r="D105" i="19"/>
  <c r="N105" i="19" s="1"/>
  <c r="AQ115" i="17"/>
  <c r="AH174" i="8"/>
  <c r="AQ100" i="17"/>
  <c r="AD161" i="8"/>
  <c r="O161" i="8"/>
  <c r="X161" i="8"/>
  <c r="H223" i="9"/>
  <c r="P162" i="8"/>
  <c r="G222" i="9"/>
  <c r="V162" i="8"/>
  <c r="AF162" i="8"/>
  <c r="AE162" i="8"/>
  <c r="Y162" i="8"/>
  <c r="J223" i="9"/>
  <c r="O162" i="8"/>
  <c r="Q162" i="8"/>
  <c r="K162" i="8"/>
  <c r="AB162" i="8"/>
  <c r="AA162" i="8"/>
  <c r="U162" i="8"/>
  <c r="M162" i="8"/>
  <c r="L162" i="8"/>
  <c r="W162" i="8"/>
  <c r="S162" i="8"/>
  <c r="T162" i="8"/>
  <c r="AG162" i="8"/>
  <c r="X162" i="8"/>
  <c r="AC162" i="8"/>
  <c r="N162" i="8"/>
  <c r="W161" i="8"/>
  <c r="Y161" i="8"/>
  <c r="P161" i="8"/>
  <c r="AA161" i="8"/>
  <c r="AB161" i="8"/>
  <c r="H222" i="9"/>
  <c r="R160" i="8"/>
  <c r="AV204" i="7"/>
  <c r="K161" i="8"/>
  <c r="AE161" i="8"/>
  <c r="AC161" i="8"/>
  <c r="Q161" i="8"/>
  <c r="S161" i="8"/>
  <c r="T161" i="8"/>
  <c r="AG161" i="8"/>
  <c r="N161" i="8"/>
  <c r="V161" i="8"/>
  <c r="M161" i="8"/>
  <c r="Z160" i="8"/>
  <c r="AH160" i="8"/>
  <c r="Q90" i="9"/>
  <c r="P90" i="18"/>
  <c r="Q90" i="18" s="1"/>
  <c r="S90" i="18" s="1"/>
  <c r="R88" i="18"/>
  <c r="T88" i="18" s="1"/>
  <c r="AV205" i="7"/>
  <c r="S90" i="9"/>
  <c r="L90" i="18"/>
  <c r="C99" i="18"/>
  <c r="A191" i="6"/>
  <c r="A220" i="7"/>
  <c r="A183" i="8"/>
  <c r="A115" i="8"/>
  <c r="A149" i="8"/>
  <c r="AB104" i="17"/>
  <c r="Z94" i="8"/>
  <c r="R94" i="8"/>
  <c r="AH94" i="8"/>
  <c r="AB95" i="8"/>
  <c r="L95" i="8"/>
  <c r="AC95" i="8"/>
  <c r="N95" i="8"/>
  <c r="AA95" i="8"/>
  <c r="AG95" i="8"/>
  <c r="AE95" i="8"/>
  <c r="M95" i="8"/>
  <c r="T95" i="8"/>
  <c r="X95" i="8"/>
  <c r="U95" i="8"/>
  <c r="W95" i="8"/>
  <c r="Q95" i="8"/>
  <c r="V95" i="8"/>
  <c r="AF95" i="8"/>
  <c r="AD95" i="8"/>
  <c r="O95" i="8"/>
  <c r="P95" i="8"/>
  <c r="Y95" i="8"/>
  <c r="S95" i="8"/>
  <c r="K95" i="8"/>
  <c r="R33" i="6"/>
  <c r="Y32" i="6" s="1"/>
  <c r="L91" i="3"/>
  <c r="P91" i="3"/>
  <c r="Q91" i="3" s="1"/>
  <c r="F92" i="3"/>
  <c r="K92" i="3"/>
  <c r="E92" i="3"/>
  <c r="A112" i="18"/>
  <c r="J92" i="3"/>
  <c r="H92" i="3"/>
  <c r="R90" i="3"/>
  <c r="T90" i="3" s="1"/>
  <c r="S90" i="3"/>
  <c r="U90" i="3" s="1"/>
  <c r="V90" i="3" s="1"/>
  <c r="A186" i="7"/>
  <c r="A162" i="17"/>
  <c r="A122" i="17"/>
  <c r="A123" i="6"/>
  <c r="AH104" i="16"/>
  <c r="AA106" i="17"/>
  <c r="AK102" i="16"/>
  <c r="AI104" i="16"/>
  <c r="AJ104" i="16"/>
  <c r="AJ103" i="16"/>
  <c r="AH103" i="16"/>
  <c r="Y107" i="16"/>
  <c r="AA111" i="16"/>
  <c r="Z105" i="16"/>
  <c r="AA105" i="16"/>
  <c r="Y106" i="16"/>
  <c r="A162" i="16"/>
  <c r="A122" i="16"/>
  <c r="AJ110" i="16"/>
  <c r="BI115" i="11"/>
  <c r="I105" i="3" s="1"/>
  <c r="BF115" i="11"/>
  <c r="F105" i="3" s="1"/>
  <c r="A122" i="11"/>
  <c r="A162" i="11"/>
  <c r="BI103" i="11"/>
  <c r="BL102" i="11"/>
  <c r="AM103" i="11"/>
  <c r="BW103" i="11" s="1"/>
  <c r="AQ102" i="11"/>
  <c r="AN103" i="11"/>
  <c r="AL103" i="11"/>
  <c r="AO103" i="11"/>
  <c r="AL115" i="11"/>
  <c r="AO115" i="11"/>
  <c r="AM115" i="11"/>
  <c r="AN115" i="11"/>
  <c r="Z119" i="11"/>
  <c r="Z107" i="11"/>
  <c r="AJ111" i="11"/>
  <c r="AH111" i="11"/>
  <c r="AJ105" i="11"/>
  <c r="AH105" i="11"/>
  <c r="AB112" i="11"/>
  <c r="AO108" i="11"/>
  <c r="AN108" i="11"/>
  <c r="AM108" i="11"/>
  <c r="N98" i="19" s="1"/>
  <c r="AP108" i="11"/>
  <c r="B101" i="8" s="1"/>
  <c r="AB106" i="11"/>
  <c r="Y120" i="11"/>
  <c r="X122" i="11"/>
  <c r="AA107" i="11"/>
  <c r="U122" i="11"/>
  <c r="R122" i="11"/>
  <c r="T122" i="11"/>
  <c r="S122" i="11"/>
  <c r="V121" i="11"/>
  <c r="H123" i="11"/>
  <c r="Q123" i="11" s="1"/>
  <c r="K143" i="4"/>
  <c r="J114" i="11"/>
  <c r="K113" i="11"/>
  <c r="AA113" i="11" s="1"/>
  <c r="A152" i="7"/>
  <c r="A108" i="9"/>
  <c r="A143" i="4"/>
  <c r="A55" i="6"/>
  <c r="W54" i="6" s="1"/>
  <c r="BH54" i="6" s="1"/>
  <c r="A112" i="3"/>
  <c r="AI188" i="11" l="1"/>
  <c r="M34" i="6"/>
  <c r="O18" i="23"/>
  <c r="AA96" i="8"/>
  <c r="C103" i="8"/>
  <c r="C100" i="3"/>
  <c r="F97" i="8"/>
  <c r="AF145" i="11"/>
  <c r="D97" i="8"/>
  <c r="L105" i="19"/>
  <c r="L90" i="19"/>
  <c r="P90" i="19"/>
  <c r="BL100" i="17"/>
  <c r="CD103" i="17"/>
  <c r="CL35" i="6" s="1"/>
  <c r="CB103" i="17"/>
  <c r="CJ35" i="6" s="1"/>
  <c r="P105" i="19"/>
  <c r="CB118" i="17"/>
  <c r="CD118" i="17"/>
  <c r="CD103" i="16"/>
  <c r="CH35" i="6" s="1"/>
  <c r="CB103" i="16"/>
  <c r="CF35" i="6" s="1"/>
  <c r="CD109" i="16"/>
  <c r="CH41" i="6" s="1"/>
  <c r="CB109" i="16"/>
  <c r="CF41" i="6" s="1"/>
  <c r="CB104" i="16"/>
  <c r="CF36" i="6" s="1"/>
  <c r="CD104" i="16"/>
  <c r="CH36" i="6" s="1"/>
  <c r="BG103" i="11"/>
  <c r="BK103" i="11"/>
  <c r="H88" i="9"/>
  <c r="U88" i="9" s="1"/>
  <c r="E35" i="6" s="1"/>
  <c r="AE108" i="8"/>
  <c r="AG188" i="11"/>
  <c r="AF186" i="11"/>
  <c r="AE186" i="11"/>
  <c r="BE103" i="11"/>
  <c r="E93" i="3" s="1"/>
  <c r="BD103" i="11"/>
  <c r="BH103" i="11"/>
  <c r="J88" i="9"/>
  <c r="W88" i="9" s="1"/>
  <c r="F35" i="6" s="1"/>
  <c r="P21" i="23" s="1"/>
  <c r="AF188" i="11"/>
  <c r="AE188" i="11"/>
  <c r="AH98" i="3" s="1"/>
  <c r="AK98" i="3" s="1"/>
  <c r="AG186" i="11"/>
  <c r="N68" i="6"/>
  <c r="R68" i="6" s="1"/>
  <c r="AE33" i="6" s="1"/>
  <c r="J101" i="8"/>
  <c r="J108" i="8"/>
  <c r="AD92" i="3"/>
  <c r="AE93" i="3" s="1"/>
  <c r="AF93" i="3" s="1"/>
  <c r="BC93" i="3" s="1"/>
  <c r="AJ144" i="11"/>
  <c r="BD108" i="11"/>
  <c r="BG108" i="11"/>
  <c r="I102" i="8"/>
  <c r="C99" i="3"/>
  <c r="CB111" i="11"/>
  <c r="CB43" i="6" s="1"/>
  <c r="CD111" i="11"/>
  <c r="CD43" i="6" s="1"/>
  <c r="BI108" i="11"/>
  <c r="I98" i="3" s="1"/>
  <c r="BK108" i="11"/>
  <c r="K98" i="3" s="1"/>
  <c r="BE108" i="11"/>
  <c r="BC104" i="11"/>
  <c r="BE104" i="11" s="1"/>
  <c r="CB105" i="11"/>
  <c r="CB37" i="6" s="1"/>
  <c r="CD105" i="11"/>
  <c r="CD37" i="6" s="1"/>
  <c r="BL115" i="17"/>
  <c r="BY116" i="17"/>
  <c r="E177" i="8"/>
  <c r="H177" i="8"/>
  <c r="G177" i="8"/>
  <c r="AE177" i="8" s="1"/>
  <c r="F177" i="8"/>
  <c r="I177" i="8"/>
  <c r="D177" i="8"/>
  <c r="C177" i="8"/>
  <c r="AP116" i="17"/>
  <c r="B177" i="8" s="1"/>
  <c r="Y121" i="17"/>
  <c r="Z121" i="17" s="1"/>
  <c r="AD119" i="17"/>
  <c r="AC119" i="17"/>
  <c r="AE119" i="17"/>
  <c r="AJ119" i="17"/>
  <c r="AI119" i="17"/>
  <c r="AH119" i="17"/>
  <c r="AD184" i="17"/>
  <c r="AE184" i="17"/>
  <c r="AI184" i="17"/>
  <c r="AG184" i="17"/>
  <c r="AH184" i="17"/>
  <c r="AF118" i="17"/>
  <c r="AU118" i="17"/>
  <c r="AV118" i="17"/>
  <c r="AW118" i="17"/>
  <c r="AX118" i="17"/>
  <c r="BA118" i="17"/>
  <c r="AR118" i="17"/>
  <c r="AZ118" i="17"/>
  <c r="AT118" i="17"/>
  <c r="BB118" i="17"/>
  <c r="AY118" i="17"/>
  <c r="AS118" i="17"/>
  <c r="AG118" i="17"/>
  <c r="G163" i="8"/>
  <c r="E163" i="8"/>
  <c r="D163" i="8"/>
  <c r="F163" i="8"/>
  <c r="I163" i="8"/>
  <c r="H163" i="8"/>
  <c r="C163" i="8"/>
  <c r="AL116" i="17"/>
  <c r="AA107" i="17"/>
  <c r="AB107" i="17" s="1"/>
  <c r="BC116" i="17"/>
  <c r="BJ116" i="17" s="1"/>
  <c r="J106" i="19" s="1"/>
  <c r="BC117" i="17"/>
  <c r="BL101" i="17"/>
  <c r="AO117" i="17"/>
  <c r="BY117" i="17"/>
  <c r="BX49" i="6" s="1"/>
  <c r="G178" i="8"/>
  <c r="E178" i="8"/>
  <c r="M178" i="8" s="1"/>
  <c r="I178" i="8"/>
  <c r="F178" i="8"/>
  <c r="D178" i="8"/>
  <c r="H178" i="8"/>
  <c r="C178" i="8"/>
  <c r="S123" i="17"/>
  <c r="R123" i="17"/>
  <c r="Q123" i="17"/>
  <c r="T123" i="17"/>
  <c r="B240" i="9"/>
  <c r="B274" i="9"/>
  <c r="AL117" i="17"/>
  <c r="BJ101" i="16"/>
  <c r="J142" i="8"/>
  <c r="BD101" i="16"/>
  <c r="BG101" i="16"/>
  <c r="G91" i="18" s="1"/>
  <c r="BE101" i="16"/>
  <c r="E91" i="18" s="1"/>
  <c r="BH101" i="16"/>
  <c r="H91" i="18" s="1"/>
  <c r="BI101" i="16"/>
  <c r="I91" i="18" s="1"/>
  <c r="J128" i="8"/>
  <c r="AH110" i="16"/>
  <c r="BK101" i="16"/>
  <c r="F135" i="8"/>
  <c r="E135" i="8"/>
  <c r="G135" i="8"/>
  <c r="H135" i="8"/>
  <c r="I135" i="8"/>
  <c r="D135" i="8"/>
  <c r="C135" i="8"/>
  <c r="AL102" i="16"/>
  <c r="G129" i="8"/>
  <c r="H129" i="8"/>
  <c r="D129" i="8"/>
  <c r="I129" i="8"/>
  <c r="F129" i="8"/>
  <c r="E129" i="8"/>
  <c r="C129" i="8"/>
  <c r="BY115" i="16"/>
  <c r="BR47" i="6" s="1"/>
  <c r="B164" i="9"/>
  <c r="B198" i="9"/>
  <c r="Q123" i="16"/>
  <c r="U123" i="16"/>
  <c r="R123" i="16"/>
  <c r="S123" i="16"/>
  <c r="T123" i="16"/>
  <c r="AM115" i="16"/>
  <c r="D105" i="18" s="1"/>
  <c r="N105" i="18" s="1"/>
  <c r="AG145" i="11"/>
  <c r="BE115" i="11"/>
  <c r="E105" i="3" s="1"/>
  <c r="M108" i="8"/>
  <c r="D103" i="8"/>
  <c r="F103" i="8"/>
  <c r="G97" i="8"/>
  <c r="AH145" i="11"/>
  <c r="BH115" i="11"/>
  <c r="H105" i="3" s="1"/>
  <c r="BK115" i="11"/>
  <c r="K105" i="3" s="1"/>
  <c r="BH108" i="11"/>
  <c r="C94" i="3"/>
  <c r="H103" i="8"/>
  <c r="I103" i="8"/>
  <c r="E97" i="8"/>
  <c r="C97" i="8"/>
  <c r="AE145" i="11"/>
  <c r="BC110" i="11"/>
  <c r="BH110" i="11" s="1"/>
  <c r="BC109" i="11"/>
  <c r="BF109" i="11" s="1"/>
  <c r="F99" i="3" s="1"/>
  <c r="J96" i="8"/>
  <c r="BG115" i="11"/>
  <c r="G105" i="3" s="1"/>
  <c r="I97" i="8"/>
  <c r="BJ115" i="11"/>
  <c r="J105" i="3" s="1"/>
  <c r="BJ108" i="11"/>
  <c r="G103" i="8"/>
  <c r="E102" i="8"/>
  <c r="AF108" i="8"/>
  <c r="G102" i="8"/>
  <c r="H102" i="8"/>
  <c r="AD188" i="11"/>
  <c r="C102" i="8"/>
  <c r="B94" i="9"/>
  <c r="G94" i="9" s="1"/>
  <c r="B128" i="9"/>
  <c r="B101" i="9"/>
  <c r="J101" i="9" s="1"/>
  <c r="B135" i="9"/>
  <c r="F102" i="8"/>
  <c r="AC146" i="11"/>
  <c r="AD146" i="11" s="1"/>
  <c r="AC106" i="11"/>
  <c r="AE106" i="11"/>
  <c r="AD106" i="11"/>
  <c r="B197" i="9"/>
  <c r="B163" i="9"/>
  <c r="BC102" i="17"/>
  <c r="BD102" i="17" s="1"/>
  <c r="AO92" i="19"/>
  <c r="AP92" i="19" s="1"/>
  <c r="BJ92" i="19" s="1"/>
  <c r="AN92" i="19"/>
  <c r="S129" i="9"/>
  <c r="P129" i="9"/>
  <c r="Q129" i="9"/>
  <c r="Q127" i="9"/>
  <c r="S127" i="9"/>
  <c r="P127" i="9"/>
  <c r="J156" i="9"/>
  <c r="H156" i="9"/>
  <c r="G156" i="9"/>
  <c r="A279" i="9"/>
  <c r="A211" i="9"/>
  <c r="A245" i="9"/>
  <c r="A177" i="9"/>
  <c r="A143" i="9"/>
  <c r="B157" i="9"/>
  <c r="B191" i="9"/>
  <c r="Q135" i="9"/>
  <c r="S135" i="9"/>
  <c r="P135" i="9"/>
  <c r="AH93" i="19"/>
  <c r="AK93" i="19" s="1"/>
  <c r="AJ183" i="17"/>
  <c r="AC189" i="11"/>
  <c r="AH189" i="11" s="1"/>
  <c r="AJ185" i="11"/>
  <c r="Y186" i="17"/>
  <c r="Z186" i="17"/>
  <c r="W186" i="17"/>
  <c r="AA186" i="17"/>
  <c r="AB186" i="17"/>
  <c r="X186" i="17"/>
  <c r="J190" i="9"/>
  <c r="H190" i="9"/>
  <c r="G190" i="9"/>
  <c r="AF103" i="17"/>
  <c r="AU103" i="17"/>
  <c r="AX103" i="17"/>
  <c r="AW103" i="17"/>
  <c r="AV103" i="17"/>
  <c r="AS103" i="17"/>
  <c r="AR103" i="17"/>
  <c r="AY103" i="17"/>
  <c r="BA103" i="17"/>
  <c r="BB103" i="17"/>
  <c r="AZ103" i="17"/>
  <c r="AT103" i="17"/>
  <c r="AG103" i="17"/>
  <c r="AK103" i="17" s="1"/>
  <c r="G122" i="9"/>
  <c r="T122" i="9" s="1"/>
  <c r="D69" i="6" s="1"/>
  <c r="M69" i="6" s="1"/>
  <c r="J122" i="9"/>
  <c r="W122" i="9" s="1"/>
  <c r="F69" i="6" s="1"/>
  <c r="H122" i="9"/>
  <c r="U122" i="9" s="1"/>
  <c r="E69" i="6" s="1"/>
  <c r="AE112" i="11"/>
  <c r="AD112" i="11"/>
  <c r="AC112" i="11"/>
  <c r="AM94" i="3"/>
  <c r="AO94" i="3" s="1"/>
  <c r="AP94" i="3" s="1"/>
  <c r="BJ94" i="3" s="1"/>
  <c r="AL94" i="3"/>
  <c r="AN94" i="3" s="1"/>
  <c r="AC185" i="17"/>
  <c r="AF185" i="17" s="1"/>
  <c r="AL102" i="17"/>
  <c r="H162" i="9"/>
  <c r="J162" i="9"/>
  <c r="G162" i="9"/>
  <c r="AC187" i="11"/>
  <c r="AI187" i="11" s="1"/>
  <c r="AH95" i="3"/>
  <c r="AK95" i="3" s="1"/>
  <c r="W190" i="11"/>
  <c r="BY110" i="11" s="1"/>
  <c r="BL42" i="6" s="1"/>
  <c r="Y190" i="11"/>
  <c r="AB190" i="11"/>
  <c r="X190" i="11"/>
  <c r="AA190" i="11"/>
  <c r="Z190" i="11"/>
  <c r="K130" i="9" s="1"/>
  <c r="AX111" i="11"/>
  <c r="AW111" i="11"/>
  <c r="AF111" i="11"/>
  <c r="F104" i="8" s="1"/>
  <c r="AV111" i="11"/>
  <c r="AU111" i="11"/>
  <c r="AG111" i="11"/>
  <c r="AK111" i="11" s="1"/>
  <c r="AZ111" i="11"/>
  <c r="AS111" i="11"/>
  <c r="AT111" i="11"/>
  <c r="BA111" i="11"/>
  <c r="AY111" i="11"/>
  <c r="BB111" i="11"/>
  <c r="AR111" i="11"/>
  <c r="AP102" i="16"/>
  <c r="B129" i="8" s="1"/>
  <c r="B89" i="9"/>
  <c r="G89" i="9" s="1"/>
  <c r="B123" i="9"/>
  <c r="B192" i="9"/>
  <c r="B158" i="9"/>
  <c r="AC105" i="17"/>
  <c r="AJ105" i="17"/>
  <c r="AI105" i="17"/>
  <c r="AE105" i="17"/>
  <c r="AD105" i="17"/>
  <c r="C95" i="19" s="1"/>
  <c r="AH105" i="17"/>
  <c r="AJ104" i="17"/>
  <c r="AE104" i="17"/>
  <c r="AD104" i="17"/>
  <c r="AC104" i="17"/>
  <c r="AI104" i="17"/>
  <c r="AH104" i="17"/>
  <c r="AO102" i="17"/>
  <c r="BY102" i="17"/>
  <c r="BX34" i="6" s="1"/>
  <c r="T191" i="11"/>
  <c r="AI43" i="6" s="1"/>
  <c r="V191" i="11"/>
  <c r="U191" i="11"/>
  <c r="CE111" i="11" s="1"/>
  <c r="CE43" i="6" s="1"/>
  <c r="AB187" i="17"/>
  <c r="AA187" i="17"/>
  <c r="W187" i="17"/>
  <c r="Z187" i="17"/>
  <c r="Y187" i="17"/>
  <c r="X187" i="17"/>
  <c r="AC195" i="11"/>
  <c r="AF195" i="11" s="1"/>
  <c r="AD145" i="11"/>
  <c r="H196" i="9"/>
  <c r="U196" i="9" s="1"/>
  <c r="E143" i="6" s="1"/>
  <c r="G196" i="9"/>
  <c r="T196" i="9" s="1"/>
  <c r="D143" i="6" s="1"/>
  <c r="J196" i="9"/>
  <c r="W196" i="9" s="1"/>
  <c r="F143" i="6" s="1"/>
  <c r="BZ103" i="11"/>
  <c r="BM35" i="6" s="1"/>
  <c r="AD186" i="11"/>
  <c r="B259" i="9"/>
  <c r="B225" i="9"/>
  <c r="AX105" i="11"/>
  <c r="AR105" i="11"/>
  <c r="AW105" i="11"/>
  <c r="AV105" i="11"/>
  <c r="AU105" i="11"/>
  <c r="AF105" i="11"/>
  <c r="H98" i="8" s="1"/>
  <c r="AS105" i="11"/>
  <c r="BA105" i="11"/>
  <c r="AY105" i="11"/>
  <c r="BB105" i="11"/>
  <c r="AZ105" i="11"/>
  <c r="AT105" i="11"/>
  <c r="AG105" i="11"/>
  <c r="AK105" i="11" s="1"/>
  <c r="Z175" i="8"/>
  <c r="H183" i="6" s="1"/>
  <c r="AH175" i="8"/>
  <c r="I183" i="6" s="1"/>
  <c r="R175" i="8"/>
  <c r="G217" i="6" s="1"/>
  <c r="AN102" i="16"/>
  <c r="W128" i="8"/>
  <c r="AF128" i="8"/>
  <c r="AE128" i="8"/>
  <c r="O128" i="8"/>
  <c r="X128" i="8"/>
  <c r="AD128" i="8"/>
  <c r="T128" i="8"/>
  <c r="AB128" i="8"/>
  <c r="AG128" i="8"/>
  <c r="S128" i="8"/>
  <c r="N128" i="8"/>
  <c r="Y128" i="8"/>
  <c r="U128" i="8"/>
  <c r="P128" i="8"/>
  <c r="M128" i="8"/>
  <c r="AC128" i="8"/>
  <c r="Q128" i="8"/>
  <c r="K128" i="8"/>
  <c r="AA128" i="8"/>
  <c r="V128" i="8"/>
  <c r="L128" i="8"/>
  <c r="AM102" i="16"/>
  <c r="BC108" i="16"/>
  <c r="BG108" i="16" s="1"/>
  <c r="G98" i="18" s="1"/>
  <c r="AF104" i="16"/>
  <c r="AS104" i="16"/>
  <c r="AW104" i="16"/>
  <c r="AT104" i="16"/>
  <c r="AX104" i="16"/>
  <c r="BB104" i="16"/>
  <c r="AU104" i="16"/>
  <c r="AY104" i="16"/>
  <c r="AR104" i="16"/>
  <c r="AV104" i="16"/>
  <c r="AZ104" i="16"/>
  <c r="BA104" i="16"/>
  <c r="AG104" i="16"/>
  <c r="AK104" i="16" s="1"/>
  <c r="AC110" i="16"/>
  <c r="AD110" i="16"/>
  <c r="AE110" i="16"/>
  <c r="BG115" i="16"/>
  <c r="G105" i="18" s="1"/>
  <c r="BJ115" i="16"/>
  <c r="J105" i="18" s="1"/>
  <c r="BD115" i="16"/>
  <c r="BE115" i="16"/>
  <c r="BH115" i="16"/>
  <c r="H105" i="18" s="1"/>
  <c r="BI115" i="16"/>
  <c r="I105" i="18" s="1"/>
  <c r="AF103" i="16"/>
  <c r="AR103" i="16"/>
  <c r="AV103" i="16"/>
  <c r="AZ103" i="16"/>
  <c r="AS103" i="16"/>
  <c r="AW103" i="16"/>
  <c r="BA103" i="16"/>
  <c r="AX103" i="16"/>
  <c r="AU103" i="16"/>
  <c r="AY103" i="16"/>
  <c r="BB103" i="16"/>
  <c r="AT103" i="16"/>
  <c r="AG103" i="16"/>
  <c r="AK103" i="16" s="1"/>
  <c r="BF115" i="16"/>
  <c r="F105" i="18" s="1"/>
  <c r="AF109" i="16"/>
  <c r="AT109" i="16"/>
  <c r="AX109" i="16"/>
  <c r="BB109" i="16"/>
  <c r="AU109" i="16"/>
  <c r="AY109" i="16"/>
  <c r="AR109" i="16"/>
  <c r="AV109" i="16"/>
  <c r="BA109" i="16"/>
  <c r="AS109" i="16"/>
  <c r="AW109" i="16"/>
  <c r="AZ109" i="16"/>
  <c r="AG109" i="16"/>
  <c r="AO102" i="16"/>
  <c r="BC102" i="16"/>
  <c r="BF102" i="16" s="1"/>
  <c r="F92" i="18" s="1"/>
  <c r="AK108" i="16"/>
  <c r="AL108" i="16" s="1"/>
  <c r="AP115" i="16"/>
  <c r="B142" i="8" s="1"/>
  <c r="AN115" i="16"/>
  <c r="AO115" i="16"/>
  <c r="BK115" i="16"/>
  <c r="K105" i="18" s="1"/>
  <c r="BV104" i="11"/>
  <c r="BI36" i="6" s="1"/>
  <c r="BY104" i="11"/>
  <c r="BL36" i="6" s="1"/>
  <c r="O33" i="6"/>
  <c r="S33" i="6" s="1"/>
  <c r="Z32" i="6" s="1"/>
  <c r="BY109" i="11"/>
  <c r="BL41" i="6" s="1"/>
  <c r="AP117" i="17"/>
  <c r="B178" i="8" s="1"/>
  <c r="AO116" i="17"/>
  <c r="H238" i="9" s="1"/>
  <c r="BX48" i="6"/>
  <c r="O167" i="6"/>
  <c r="S167" i="6" s="1"/>
  <c r="AX30" i="6" s="1"/>
  <c r="X96" i="8"/>
  <c r="A203" i="17"/>
  <c r="A226" i="6"/>
  <c r="A90" i="6"/>
  <c r="A158" i="6"/>
  <c r="O201" i="6"/>
  <c r="S201" i="6" s="1"/>
  <c r="BD30" i="6" s="1"/>
  <c r="I168" i="6"/>
  <c r="I202" i="6"/>
  <c r="J175" i="6"/>
  <c r="P175" i="6" s="1"/>
  <c r="T175" i="6" s="1"/>
  <c r="AY38" i="6" s="1"/>
  <c r="J209" i="6"/>
  <c r="P209" i="6" s="1"/>
  <c r="T209" i="6" s="1"/>
  <c r="BE38" i="6" s="1"/>
  <c r="H182" i="6"/>
  <c r="H216" i="6"/>
  <c r="H168" i="6"/>
  <c r="H202" i="6"/>
  <c r="J176" i="6"/>
  <c r="P176" i="6" s="1"/>
  <c r="T176" i="6" s="1"/>
  <c r="AY39" i="6" s="1"/>
  <c r="J210" i="6"/>
  <c r="P210" i="6" s="1"/>
  <c r="T210" i="6" s="1"/>
  <c r="BE39" i="6" s="1"/>
  <c r="I182" i="6"/>
  <c r="I216" i="6"/>
  <c r="G183" i="6"/>
  <c r="G168" i="6"/>
  <c r="G202" i="6"/>
  <c r="G182" i="6"/>
  <c r="G216" i="6"/>
  <c r="AB105" i="16"/>
  <c r="AB111" i="16"/>
  <c r="AI111" i="16" s="1"/>
  <c r="AQ101" i="16"/>
  <c r="O99" i="6"/>
  <c r="S99" i="6" s="1"/>
  <c r="AL30" i="6" s="1"/>
  <c r="C94" i="18"/>
  <c r="O133" i="6"/>
  <c r="S133" i="6" s="1"/>
  <c r="AR30" i="6" s="1"/>
  <c r="O100" i="6"/>
  <c r="S100" i="6" s="1"/>
  <c r="AL31" i="6" s="1"/>
  <c r="I101" i="6"/>
  <c r="I135" i="6"/>
  <c r="H101" i="6"/>
  <c r="H135" i="6"/>
  <c r="G101" i="6"/>
  <c r="G135" i="6"/>
  <c r="O134" i="6"/>
  <c r="S134" i="6" s="1"/>
  <c r="AR31" i="6" s="1"/>
  <c r="R34" i="6"/>
  <c r="Y33" i="6" s="1"/>
  <c r="I34" i="6"/>
  <c r="O22" i="23" s="1"/>
  <c r="I68" i="6"/>
  <c r="H34" i="6"/>
  <c r="O19" i="23" s="1"/>
  <c r="H68" i="6"/>
  <c r="O67" i="6"/>
  <c r="S67" i="6" s="1"/>
  <c r="AF32" i="6" s="1"/>
  <c r="G34" i="6"/>
  <c r="O16" i="23" s="1"/>
  <c r="G68" i="6"/>
  <c r="BJ35" i="6"/>
  <c r="AB94" i="3"/>
  <c r="BB90" i="3"/>
  <c r="BI90" i="3"/>
  <c r="T89" i="18"/>
  <c r="U90" i="18" s="1"/>
  <c r="V90" i="18" s="1"/>
  <c r="A113" i="19"/>
  <c r="A203" i="16"/>
  <c r="A203" i="11"/>
  <c r="H192" i="11"/>
  <c r="R192" i="11"/>
  <c r="S192" i="11" s="1"/>
  <c r="Y108" i="8"/>
  <c r="X108" i="8"/>
  <c r="AA108" i="8"/>
  <c r="L108" i="8"/>
  <c r="T108" i="8"/>
  <c r="AB108" i="8"/>
  <c r="AH176" i="8"/>
  <c r="U108" i="8"/>
  <c r="AC108" i="8"/>
  <c r="AD108" i="8"/>
  <c r="AN117" i="17"/>
  <c r="AI106" i="11"/>
  <c r="AI112" i="11"/>
  <c r="AB120" i="17"/>
  <c r="Y96" i="8"/>
  <c r="S96" i="8"/>
  <c r="W108" i="8"/>
  <c r="O108" i="8"/>
  <c r="S108" i="8"/>
  <c r="K108" i="8"/>
  <c r="N108" i="8"/>
  <c r="T96" i="8"/>
  <c r="AE96" i="8"/>
  <c r="V108" i="8"/>
  <c r="Q108" i="8"/>
  <c r="AG108" i="8"/>
  <c r="P108" i="8"/>
  <c r="N96" i="8"/>
  <c r="V96" i="8"/>
  <c r="P96" i="8"/>
  <c r="M96" i="8"/>
  <c r="AB96" i="8"/>
  <c r="W96" i="8"/>
  <c r="AF96" i="8"/>
  <c r="Q96" i="8"/>
  <c r="L96" i="8"/>
  <c r="O96" i="8"/>
  <c r="AC96" i="8"/>
  <c r="U96" i="8"/>
  <c r="K96" i="8"/>
  <c r="AD96" i="8"/>
  <c r="H124" i="17"/>
  <c r="H124" i="16"/>
  <c r="AK118" i="17"/>
  <c r="AP118" i="17" s="1"/>
  <c r="B179" i="8" s="1"/>
  <c r="C109" i="19"/>
  <c r="AN104" i="11"/>
  <c r="Q105" i="19"/>
  <c r="S177" i="8"/>
  <c r="BG116" i="17"/>
  <c r="G106" i="19" s="1"/>
  <c r="AN116" i="17"/>
  <c r="AM116" i="17"/>
  <c r="BZ116" i="17" s="1"/>
  <c r="R176" i="8"/>
  <c r="V122" i="16"/>
  <c r="Y122" i="16" s="1"/>
  <c r="Z122" i="16" s="1"/>
  <c r="AL110" i="11"/>
  <c r="G238" i="9"/>
  <c r="H239" i="9"/>
  <c r="G239" i="9"/>
  <c r="J239" i="9"/>
  <c r="I123" i="11"/>
  <c r="I123" i="17"/>
  <c r="I123" i="16"/>
  <c r="AN109" i="11"/>
  <c r="BE116" i="17"/>
  <c r="AM117" i="17"/>
  <c r="BZ117" i="17" s="1"/>
  <c r="X123" i="16"/>
  <c r="BD117" i="17"/>
  <c r="BF116" i="17"/>
  <c r="F106" i="19" s="1"/>
  <c r="BD116" i="17"/>
  <c r="BK116" i="17"/>
  <c r="K106" i="19" s="1"/>
  <c r="V122" i="17"/>
  <c r="BH116" i="17"/>
  <c r="H106" i="19" s="1"/>
  <c r="X123" i="17"/>
  <c r="U123" i="17"/>
  <c r="AA121" i="17"/>
  <c r="Z176" i="8"/>
  <c r="BI116" i="17"/>
  <c r="I106" i="19" s="1"/>
  <c r="C108" i="19"/>
  <c r="R90" i="18"/>
  <c r="AH162" i="8"/>
  <c r="Z162" i="8"/>
  <c r="R162" i="8"/>
  <c r="AM102" i="17"/>
  <c r="D92" i="19" s="1"/>
  <c r="N92" i="19" s="1"/>
  <c r="AH161" i="8"/>
  <c r="Z161" i="8"/>
  <c r="R161" i="8"/>
  <c r="U89" i="18"/>
  <c r="V89" i="18" s="1"/>
  <c r="AN102" i="17"/>
  <c r="AP102" i="17"/>
  <c r="B163" i="8" s="1"/>
  <c r="C93" i="19"/>
  <c r="J91" i="18"/>
  <c r="K91" i="18"/>
  <c r="Z95" i="8"/>
  <c r="A184" i="8"/>
  <c r="A192" i="6"/>
  <c r="A221" i="7"/>
  <c r="A116" i="8"/>
  <c r="A150" i="8"/>
  <c r="C93" i="18"/>
  <c r="G101" i="9"/>
  <c r="AE101" i="8"/>
  <c r="AC101" i="8"/>
  <c r="M101" i="8"/>
  <c r="AD101" i="8"/>
  <c r="AG101" i="8"/>
  <c r="AF101" i="8"/>
  <c r="Q101" i="8"/>
  <c r="S101" i="8"/>
  <c r="V101" i="8"/>
  <c r="Y101" i="8"/>
  <c r="AB101" i="8"/>
  <c r="P101" i="8"/>
  <c r="L101" i="8"/>
  <c r="T101" i="8"/>
  <c r="W101" i="8"/>
  <c r="U101" i="8"/>
  <c r="X101" i="8"/>
  <c r="AA101" i="8"/>
  <c r="K101" i="8"/>
  <c r="N101" i="8"/>
  <c r="O101" i="8"/>
  <c r="D105" i="3"/>
  <c r="N105" i="3" s="1"/>
  <c r="BJ110" i="11"/>
  <c r="J100" i="3" s="1"/>
  <c r="R95" i="8"/>
  <c r="AH95" i="8"/>
  <c r="S91" i="3"/>
  <c r="U91" i="3" s="1"/>
  <c r="V91" i="3" s="1"/>
  <c r="R91" i="3"/>
  <c r="T91" i="3" s="1"/>
  <c r="K93" i="3"/>
  <c r="G98" i="3"/>
  <c r="E98" i="3"/>
  <c r="D98" i="3"/>
  <c r="N98" i="3" s="1"/>
  <c r="A113" i="18"/>
  <c r="H100" i="3"/>
  <c r="P92" i="3"/>
  <c r="Q92" i="3" s="1"/>
  <c r="L92" i="3"/>
  <c r="G93" i="3"/>
  <c r="H93" i="3"/>
  <c r="D93" i="3"/>
  <c r="N93" i="3" s="1"/>
  <c r="I93" i="3"/>
  <c r="E94" i="3"/>
  <c r="H98" i="3"/>
  <c r="G224" i="9"/>
  <c r="J224" i="9"/>
  <c r="H224" i="9"/>
  <c r="Q91" i="9"/>
  <c r="P91" i="9"/>
  <c r="S91" i="9"/>
  <c r="T88" i="9"/>
  <c r="D35" i="6" s="1"/>
  <c r="A187" i="7"/>
  <c r="A163" i="17"/>
  <c r="A123" i="17"/>
  <c r="A124" i="6"/>
  <c r="D92" i="18"/>
  <c r="N92" i="18" s="1"/>
  <c r="AB106" i="17"/>
  <c r="BG110" i="11"/>
  <c r="BI110" i="11"/>
  <c r="BH104" i="11"/>
  <c r="BI104" i="11"/>
  <c r="A163" i="16"/>
  <c r="A123" i="16"/>
  <c r="AJ111" i="16"/>
  <c r="AH111" i="16"/>
  <c r="Z106" i="16"/>
  <c r="AA106" i="16"/>
  <c r="Z107" i="16"/>
  <c r="AA107" i="16"/>
  <c r="BF104" i="11"/>
  <c r="BG104" i="11"/>
  <c r="BE110" i="11"/>
  <c r="AA112" i="16"/>
  <c r="A123" i="11"/>
  <c r="A163" i="11"/>
  <c r="BK109" i="11"/>
  <c r="BD110" i="11"/>
  <c r="BK110" i="11"/>
  <c r="BD104" i="11"/>
  <c r="BK104" i="11"/>
  <c r="BF110" i="11"/>
  <c r="BJ104" i="11"/>
  <c r="AN110" i="11"/>
  <c r="AQ103" i="11"/>
  <c r="AQ115" i="11"/>
  <c r="AO104" i="11"/>
  <c r="AP104" i="11"/>
  <c r="B97" i="8" s="1"/>
  <c r="AO110" i="11"/>
  <c r="AM110" i="11"/>
  <c r="N100" i="19" s="1"/>
  <c r="Q100" i="19" s="1"/>
  <c r="AP110" i="11"/>
  <c r="B103" i="8" s="1"/>
  <c r="AM104" i="11"/>
  <c r="AL104" i="11"/>
  <c r="AL109" i="11"/>
  <c r="AJ106" i="11"/>
  <c r="AH106" i="11"/>
  <c r="Z120" i="11"/>
  <c r="AJ112" i="11"/>
  <c r="AH112" i="11"/>
  <c r="AB107" i="11"/>
  <c r="AM109" i="11"/>
  <c r="N99" i="19" s="1"/>
  <c r="AP109" i="11"/>
  <c r="B102" i="8" s="1"/>
  <c r="AO109" i="11"/>
  <c r="AB113" i="11"/>
  <c r="AQ108" i="11"/>
  <c r="Y121" i="11"/>
  <c r="X123" i="11"/>
  <c r="K114" i="11"/>
  <c r="AA114" i="11" s="1"/>
  <c r="U123" i="11"/>
  <c r="T123" i="11"/>
  <c r="R123" i="11"/>
  <c r="S123" i="11"/>
  <c r="V122" i="11"/>
  <c r="K144" i="4"/>
  <c r="H124" i="11"/>
  <c r="Q124" i="11" s="1"/>
  <c r="A153" i="7"/>
  <c r="A56" i="6"/>
  <c r="W55" i="6" s="1"/>
  <c r="BH55" i="6" s="1"/>
  <c r="A109" i="9"/>
  <c r="A144" i="4"/>
  <c r="A113" i="3"/>
  <c r="AF146" i="11" l="1"/>
  <c r="M35" i="6"/>
  <c r="P18" i="23"/>
  <c r="BZ108" i="11"/>
  <c r="BM40" i="6" s="1"/>
  <c r="AJ188" i="11"/>
  <c r="D104" i="8"/>
  <c r="BE109" i="11"/>
  <c r="J89" i="9"/>
  <c r="W89" i="9" s="1"/>
  <c r="F36" i="6" s="1"/>
  <c r="Q21" i="23" s="1"/>
  <c r="BI102" i="17"/>
  <c r="I92" i="19" s="1"/>
  <c r="AJ186" i="11"/>
  <c r="AF189" i="11"/>
  <c r="N35" i="6"/>
  <c r="R35" i="6" s="1"/>
  <c r="Y34" i="6" s="1"/>
  <c r="AG189" i="11"/>
  <c r="F98" i="8"/>
  <c r="AE189" i="11"/>
  <c r="BL103" i="11"/>
  <c r="BE102" i="17"/>
  <c r="E92" i="19" s="1"/>
  <c r="AI189" i="11"/>
  <c r="BF102" i="17"/>
  <c r="F92" i="19" s="1"/>
  <c r="BG102" i="17"/>
  <c r="G92" i="19" s="1"/>
  <c r="BH102" i="17"/>
  <c r="H92" i="19" s="1"/>
  <c r="BK102" i="17"/>
  <c r="K92" i="19" s="1"/>
  <c r="BJ102" i="17"/>
  <c r="J92" i="19" s="1"/>
  <c r="AB177" i="8"/>
  <c r="X177" i="8"/>
  <c r="CB105" i="17"/>
  <c r="CJ37" i="6" s="1"/>
  <c r="CD105" i="17"/>
  <c r="CL37" i="6" s="1"/>
  <c r="CB104" i="17"/>
  <c r="CJ36" i="6" s="1"/>
  <c r="CD104" i="17"/>
  <c r="CL36" i="6" s="1"/>
  <c r="CD119" i="17"/>
  <c r="CB119" i="17"/>
  <c r="C94" i="19"/>
  <c r="Y178" i="8"/>
  <c r="C100" i="18"/>
  <c r="CD110" i="16"/>
  <c r="CB110" i="16"/>
  <c r="BL101" i="16"/>
  <c r="H89" i="9"/>
  <c r="E104" i="8"/>
  <c r="G104" i="8"/>
  <c r="P105" i="3"/>
  <c r="I104" i="8"/>
  <c r="C104" i="8"/>
  <c r="AH96" i="3"/>
  <c r="AK96" i="3" s="1"/>
  <c r="AL96" i="3" s="1"/>
  <c r="C101" i="3"/>
  <c r="H104" i="8"/>
  <c r="AD93" i="3"/>
  <c r="AE94" i="3" s="1"/>
  <c r="AF94" i="3" s="1"/>
  <c r="BC94" i="3" s="1"/>
  <c r="AH146" i="11"/>
  <c r="BH109" i="11"/>
  <c r="H99" i="3" s="1"/>
  <c r="BD109" i="11"/>
  <c r="BL115" i="11"/>
  <c r="C95" i="3"/>
  <c r="D98" i="8"/>
  <c r="AH187" i="11"/>
  <c r="AI146" i="11"/>
  <c r="BJ109" i="11"/>
  <c r="BG109" i="11"/>
  <c r="G99" i="3" s="1"/>
  <c r="H101" i="9"/>
  <c r="AG187" i="11"/>
  <c r="AG146" i="11"/>
  <c r="AE146" i="11"/>
  <c r="X96" i="3" s="1"/>
  <c r="AA96" i="3" s="1"/>
  <c r="BI109" i="11"/>
  <c r="BC111" i="11"/>
  <c r="BF111" i="11" s="1"/>
  <c r="N69" i="6"/>
  <c r="R69" i="6" s="1"/>
  <c r="AE34" i="6" s="1"/>
  <c r="BL108" i="11"/>
  <c r="J97" i="8"/>
  <c r="CD112" i="11"/>
  <c r="CD44" i="6" s="1"/>
  <c r="CB112" i="11"/>
  <c r="CB44" i="6" s="1"/>
  <c r="CD106" i="11"/>
  <c r="CD38" i="6" s="1"/>
  <c r="CB106" i="11"/>
  <c r="CB38" i="6" s="1"/>
  <c r="J98" i="3"/>
  <c r="L98" i="3" s="1"/>
  <c r="L105" i="3"/>
  <c r="AJ145" i="11"/>
  <c r="J103" i="8"/>
  <c r="J163" i="8"/>
  <c r="AC178" i="8"/>
  <c r="K178" i="8"/>
  <c r="I217" i="6"/>
  <c r="L178" i="8"/>
  <c r="W178" i="8"/>
  <c r="U177" i="8"/>
  <c r="J177" i="8"/>
  <c r="AD177" i="8"/>
  <c r="N178" i="8"/>
  <c r="H217" i="6"/>
  <c r="E164" i="8"/>
  <c r="H164" i="8"/>
  <c r="D164" i="8"/>
  <c r="I164" i="8"/>
  <c r="G164" i="8"/>
  <c r="F164" i="8"/>
  <c r="C164" i="8"/>
  <c r="BJ117" i="17"/>
  <c r="J107" i="19" s="1"/>
  <c r="BG117" i="17"/>
  <c r="G107" i="19" s="1"/>
  <c r="AE163" i="8"/>
  <c r="Y122" i="17"/>
  <c r="Z122" i="17" s="1"/>
  <c r="BH117" i="17"/>
  <c r="H107" i="19" s="1"/>
  <c r="BE117" i="17"/>
  <c r="E107" i="19" s="1"/>
  <c r="AA177" i="8"/>
  <c r="L177" i="8"/>
  <c r="M177" i="8"/>
  <c r="Y177" i="8"/>
  <c r="T177" i="8"/>
  <c r="AA178" i="8"/>
  <c r="AD178" i="8"/>
  <c r="Q178" i="8"/>
  <c r="AE120" i="17"/>
  <c r="AD120" i="17"/>
  <c r="AC120" i="17"/>
  <c r="AJ120" i="17"/>
  <c r="AI120" i="17"/>
  <c r="AH120" i="17"/>
  <c r="BI117" i="17"/>
  <c r="I107" i="19" s="1"/>
  <c r="BF117" i="17"/>
  <c r="F107" i="19" s="1"/>
  <c r="J178" i="8"/>
  <c r="AL118" i="17"/>
  <c r="AH94" i="19"/>
  <c r="AK94" i="19" s="1"/>
  <c r="AJ184" i="17"/>
  <c r="B275" i="9"/>
  <c r="B241" i="9"/>
  <c r="H241" i="9" s="1"/>
  <c r="AF119" i="17"/>
  <c r="AX119" i="17"/>
  <c r="AV119" i="17"/>
  <c r="AU119" i="17"/>
  <c r="AW119" i="17"/>
  <c r="AS119" i="17"/>
  <c r="AR119" i="17"/>
  <c r="AT119" i="17"/>
  <c r="AY119" i="17"/>
  <c r="AZ119" i="17"/>
  <c r="BB119" i="17"/>
  <c r="BA119" i="17"/>
  <c r="AG119" i="17"/>
  <c r="AK119" i="17" s="1"/>
  <c r="AP119" i="17" s="1"/>
  <c r="B180" i="8" s="1"/>
  <c r="O177" i="8"/>
  <c r="P177" i="8"/>
  <c r="AO118" i="17"/>
  <c r="BY118" i="17"/>
  <c r="BX50" i="6" s="1"/>
  <c r="H179" i="8"/>
  <c r="AF179" i="8" s="1"/>
  <c r="I179" i="8"/>
  <c r="E179" i="8"/>
  <c r="AC179" i="8" s="1"/>
  <c r="D179" i="8"/>
  <c r="L179" i="8" s="1"/>
  <c r="G179" i="8"/>
  <c r="O179" i="8" s="1"/>
  <c r="F179" i="8"/>
  <c r="C179" i="8"/>
  <c r="S179" i="8" s="1"/>
  <c r="T124" i="17"/>
  <c r="S124" i="17"/>
  <c r="Q124" i="17"/>
  <c r="R124" i="17"/>
  <c r="AF177" i="8"/>
  <c r="AG177" i="8"/>
  <c r="N177" i="8"/>
  <c r="BK117" i="17"/>
  <c r="K107" i="19" s="1"/>
  <c r="BY48" i="6"/>
  <c r="K177" i="8"/>
  <c r="V177" i="8"/>
  <c r="Q177" i="8"/>
  <c r="AC177" i="8"/>
  <c r="W177" i="8"/>
  <c r="P178" i="8"/>
  <c r="AB178" i="8"/>
  <c r="BC118" i="17"/>
  <c r="BG118" i="17" s="1"/>
  <c r="G108" i="19" s="1"/>
  <c r="BH102" i="16"/>
  <c r="BD102" i="16"/>
  <c r="BG102" i="16"/>
  <c r="G92" i="18" s="1"/>
  <c r="BH108" i="16"/>
  <c r="H98" i="18" s="1"/>
  <c r="J129" i="8"/>
  <c r="J135" i="8"/>
  <c r="BZ115" i="16"/>
  <c r="BS47" i="6" s="1"/>
  <c r="T124" i="16"/>
  <c r="Q124" i="16"/>
  <c r="U124" i="16"/>
  <c r="R124" i="16"/>
  <c r="S124" i="16"/>
  <c r="B199" i="9"/>
  <c r="B165" i="9"/>
  <c r="AL103" i="16"/>
  <c r="H130" i="8"/>
  <c r="G130" i="8"/>
  <c r="D130" i="8"/>
  <c r="F130" i="8"/>
  <c r="E130" i="8"/>
  <c r="I130" i="8"/>
  <c r="C130" i="8"/>
  <c r="BJ102" i="16"/>
  <c r="J92" i="18" s="1"/>
  <c r="BK102" i="16"/>
  <c r="K92" i="18" s="1"/>
  <c r="AQ115" i="16"/>
  <c r="J198" i="9"/>
  <c r="W198" i="9" s="1"/>
  <c r="F145" i="6" s="1"/>
  <c r="H198" i="9"/>
  <c r="U198" i="9" s="1"/>
  <c r="E145" i="6" s="1"/>
  <c r="G198" i="9"/>
  <c r="T198" i="9" s="1"/>
  <c r="D145" i="6" s="1"/>
  <c r="BI102" i="16"/>
  <c r="BE102" i="16"/>
  <c r="G136" i="8"/>
  <c r="H136" i="8"/>
  <c r="I136" i="8"/>
  <c r="D136" i="8"/>
  <c r="F136" i="8"/>
  <c r="E136" i="8"/>
  <c r="C136" i="8"/>
  <c r="AL104" i="16"/>
  <c r="E131" i="8"/>
  <c r="H131" i="8"/>
  <c r="D131" i="8"/>
  <c r="I131" i="8"/>
  <c r="F131" i="8"/>
  <c r="G131" i="8"/>
  <c r="C131" i="8"/>
  <c r="H164" i="9"/>
  <c r="J164" i="9"/>
  <c r="G164" i="9"/>
  <c r="J102" i="8"/>
  <c r="G98" i="8"/>
  <c r="E98" i="8"/>
  <c r="AF187" i="11"/>
  <c r="X95" i="3"/>
  <c r="AA95" i="3" s="1"/>
  <c r="AC95" i="3" s="1"/>
  <c r="J94" i="9"/>
  <c r="I98" i="8"/>
  <c r="BC105" i="11"/>
  <c r="BJ105" i="11" s="1"/>
  <c r="J95" i="3" s="1"/>
  <c r="C98" i="8"/>
  <c r="AL98" i="3"/>
  <c r="AM98" i="3"/>
  <c r="G135" i="9"/>
  <c r="T135" i="9" s="1"/>
  <c r="D82" i="6" s="1"/>
  <c r="M82" i="6" s="1"/>
  <c r="H135" i="9"/>
  <c r="U135" i="9" s="1"/>
  <c r="E82" i="6" s="1"/>
  <c r="J135" i="9"/>
  <c r="W135" i="9" s="1"/>
  <c r="F82" i="6" s="1"/>
  <c r="H94" i="9"/>
  <c r="AE187" i="11"/>
  <c r="AH97" i="3" s="1"/>
  <c r="AK97" i="3" s="1"/>
  <c r="AE195" i="11"/>
  <c r="BZ115" i="11" s="1"/>
  <c r="BM47" i="6" s="1"/>
  <c r="G128" i="9"/>
  <c r="T128" i="9" s="1"/>
  <c r="D75" i="6" s="1"/>
  <c r="M75" i="6" s="1"/>
  <c r="H128" i="9"/>
  <c r="U128" i="9" s="1"/>
  <c r="E75" i="6" s="1"/>
  <c r="J128" i="9"/>
  <c r="W128" i="9" s="1"/>
  <c r="F75" i="6" s="1"/>
  <c r="AC186" i="17"/>
  <c r="AH186" i="17" s="1"/>
  <c r="AL95" i="3"/>
  <c r="AN95" i="3" s="1"/>
  <c r="AM95" i="3"/>
  <c r="AO95" i="3" s="1"/>
  <c r="AP95" i="3" s="1"/>
  <c r="BJ95" i="3" s="1"/>
  <c r="AE113" i="11"/>
  <c r="AD113" i="11"/>
  <c r="AC113" i="11"/>
  <c r="AD107" i="11"/>
  <c r="AC107" i="11"/>
  <c r="AE107" i="11"/>
  <c r="AN103" i="16"/>
  <c r="A280" i="9"/>
  <c r="A212" i="9"/>
  <c r="A246" i="9"/>
  <c r="A178" i="9"/>
  <c r="A144" i="9"/>
  <c r="B96" i="9"/>
  <c r="H96" i="9" s="1"/>
  <c r="B130" i="9"/>
  <c r="AE107" i="17"/>
  <c r="AJ107" i="17"/>
  <c r="AD107" i="17"/>
  <c r="AI107" i="17"/>
  <c r="AC107" i="17"/>
  <c r="AH107" i="17"/>
  <c r="AC187" i="17"/>
  <c r="BZ102" i="17"/>
  <c r="BY34" i="6" s="1"/>
  <c r="B260" i="9"/>
  <c r="B226" i="9"/>
  <c r="B261" i="9"/>
  <c r="B227" i="9"/>
  <c r="H192" i="9"/>
  <c r="G192" i="9"/>
  <c r="J192" i="9"/>
  <c r="BC103" i="17"/>
  <c r="BH103" i="17" s="1"/>
  <c r="H93" i="19" s="1"/>
  <c r="AM93" i="19"/>
  <c r="AO93" i="19" s="1"/>
  <c r="AP93" i="19" s="1"/>
  <c r="BJ93" i="19" s="1"/>
  <c r="AL93" i="19"/>
  <c r="AN93" i="19" s="1"/>
  <c r="H191" i="9"/>
  <c r="J191" i="9"/>
  <c r="G191" i="9"/>
  <c r="J163" i="9"/>
  <c r="H163" i="9"/>
  <c r="G163" i="9"/>
  <c r="B95" i="9"/>
  <c r="G95" i="9" s="1"/>
  <c r="B129" i="9"/>
  <c r="BZ109" i="11"/>
  <c r="BM41" i="6" s="1"/>
  <c r="AD187" i="11"/>
  <c r="BZ104" i="11"/>
  <c r="BM36" i="6" s="1"/>
  <c r="H157" i="9"/>
  <c r="J157" i="9"/>
  <c r="G157" i="9"/>
  <c r="H197" i="9"/>
  <c r="U197" i="9" s="1"/>
  <c r="E144" i="6" s="1"/>
  <c r="J197" i="9"/>
  <c r="W197" i="9" s="1"/>
  <c r="F144" i="6" s="1"/>
  <c r="G197" i="9"/>
  <c r="T197" i="9" s="1"/>
  <c r="D144" i="6" s="1"/>
  <c r="B90" i="9"/>
  <c r="J90" i="9" s="1"/>
  <c r="W90" i="9" s="1"/>
  <c r="F37" i="6" s="1"/>
  <c r="R21" i="23" s="1"/>
  <c r="B124" i="9"/>
  <c r="AD106" i="17"/>
  <c r="C96" i="19" s="1"/>
  <c r="AJ106" i="17"/>
  <c r="AC106" i="17"/>
  <c r="AI106" i="17"/>
  <c r="AE106" i="17"/>
  <c r="AH106" i="17"/>
  <c r="BY103" i="17"/>
  <c r="BX35" i="6" s="1"/>
  <c r="AM108" i="16"/>
  <c r="BZ108" i="16" s="1"/>
  <c r="BS40" i="6" s="1"/>
  <c r="BY108" i="16"/>
  <c r="BR40" i="6" s="1"/>
  <c r="AF104" i="17"/>
  <c r="AW104" i="17"/>
  <c r="AV104" i="17"/>
  <c r="AU104" i="17"/>
  <c r="AX104" i="17"/>
  <c r="AS104" i="17"/>
  <c r="AR104" i="17"/>
  <c r="AY104" i="17"/>
  <c r="AT104" i="17"/>
  <c r="AZ104" i="17"/>
  <c r="BA104" i="17"/>
  <c r="BB104" i="17"/>
  <c r="AG104" i="17"/>
  <c r="AK104" i="17" s="1"/>
  <c r="AF105" i="17"/>
  <c r="AU105" i="17"/>
  <c r="AX105" i="17"/>
  <c r="AS105" i="17"/>
  <c r="AW105" i="17"/>
  <c r="AV105" i="17"/>
  <c r="AR105" i="17"/>
  <c r="AY105" i="17"/>
  <c r="AT105" i="17"/>
  <c r="BB105" i="17"/>
  <c r="BA105" i="17"/>
  <c r="AZ105" i="17"/>
  <c r="AG105" i="17"/>
  <c r="AK105" i="17" s="1"/>
  <c r="G123" i="9"/>
  <c r="T123" i="9" s="1"/>
  <c r="D70" i="6" s="1"/>
  <c r="M70" i="6" s="1"/>
  <c r="J123" i="9"/>
  <c r="W123" i="9" s="1"/>
  <c r="F70" i="6" s="1"/>
  <c r="H123" i="9"/>
  <c r="U123" i="9" s="1"/>
  <c r="E70" i="6" s="1"/>
  <c r="S130" i="9"/>
  <c r="P130" i="9"/>
  <c r="Q130" i="9"/>
  <c r="AC190" i="11"/>
  <c r="AG190" i="11" s="1"/>
  <c r="AG195" i="11"/>
  <c r="BW104" i="11"/>
  <c r="BJ36" i="6" s="1"/>
  <c r="AL103" i="17"/>
  <c r="AD189" i="11"/>
  <c r="AH99" i="3"/>
  <c r="AK99" i="3" s="1"/>
  <c r="AV106" i="11"/>
  <c r="AF106" i="11"/>
  <c r="I99" i="8" s="1"/>
  <c r="AU106" i="11"/>
  <c r="AX106" i="11"/>
  <c r="AS106" i="11"/>
  <c r="AW106" i="11"/>
  <c r="AR106" i="11"/>
  <c r="BA106" i="11"/>
  <c r="AY106" i="11"/>
  <c r="AT106" i="11"/>
  <c r="AZ106" i="11"/>
  <c r="BB106" i="11"/>
  <c r="AG106" i="11"/>
  <c r="AK106" i="11" s="1"/>
  <c r="U192" i="11"/>
  <c r="CE112" i="11" s="1"/>
  <c r="CE44" i="6" s="1"/>
  <c r="T192" i="11"/>
  <c r="AI44" i="6" s="1"/>
  <c r="V192" i="11"/>
  <c r="AD195" i="11"/>
  <c r="AH195" i="11"/>
  <c r="AI195" i="11"/>
  <c r="W191" i="11"/>
  <c r="BY111" i="11" s="1"/>
  <c r="BL43" i="6" s="1"/>
  <c r="AB191" i="11"/>
  <c r="X191" i="11"/>
  <c r="AA191" i="11"/>
  <c r="Z191" i="11"/>
  <c r="K131" i="9" s="1"/>
  <c r="Y191" i="11"/>
  <c r="H158" i="9"/>
  <c r="J158" i="9"/>
  <c r="G158" i="9"/>
  <c r="AD185" i="17"/>
  <c r="AG185" i="17"/>
  <c r="AE185" i="17"/>
  <c r="AI185" i="17"/>
  <c r="AX112" i="11"/>
  <c r="AG112" i="11"/>
  <c r="AK112" i="11" s="1"/>
  <c r="AW112" i="11"/>
  <c r="AV112" i="11"/>
  <c r="AF112" i="11"/>
  <c r="D105" i="8" s="1"/>
  <c r="AY112" i="11"/>
  <c r="AU112" i="11"/>
  <c r="AZ112" i="11"/>
  <c r="AS112" i="11"/>
  <c r="BA112" i="11"/>
  <c r="AT112" i="11"/>
  <c r="AR112" i="11"/>
  <c r="BB112" i="11"/>
  <c r="AH185" i="17"/>
  <c r="J238" i="9"/>
  <c r="S178" i="8"/>
  <c r="X178" i="8"/>
  <c r="AE178" i="8"/>
  <c r="O178" i="8"/>
  <c r="T178" i="8"/>
  <c r="AG178" i="8"/>
  <c r="V178" i="8"/>
  <c r="AF178" i="8"/>
  <c r="U178" i="8"/>
  <c r="O182" i="6"/>
  <c r="S182" i="6" s="1"/>
  <c r="AX45" i="6" s="1"/>
  <c r="R128" i="8"/>
  <c r="G136" i="6" s="1"/>
  <c r="AO104" i="16"/>
  <c r="AP104" i="16"/>
  <c r="B131" i="8" s="1"/>
  <c r="Z128" i="8"/>
  <c r="H102" i="6" s="1"/>
  <c r="AH128" i="8"/>
  <c r="I102" i="6" s="1"/>
  <c r="AC105" i="16"/>
  <c r="AE105" i="16"/>
  <c r="AD105" i="16"/>
  <c r="AK109" i="16"/>
  <c r="AL109" i="16" s="1"/>
  <c r="BC103" i="16"/>
  <c r="BJ103" i="16" s="1"/>
  <c r="J93" i="18" s="1"/>
  <c r="E105" i="18"/>
  <c r="BL115" i="16"/>
  <c r="BD108" i="16"/>
  <c r="BI108" i="16"/>
  <c r="I98" i="18" s="1"/>
  <c r="BJ108" i="16"/>
  <c r="J98" i="18" s="1"/>
  <c r="BF108" i="16"/>
  <c r="F98" i="18" s="1"/>
  <c r="BE108" i="16"/>
  <c r="AO103" i="16"/>
  <c r="BK108" i="16"/>
  <c r="K98" i="18" s="1"/>
  <c r="AP108" i="16"/>
  <c r="B135" i="8" s="1"/>
  <c r="AN108" i="16"/>
  <c r="AO108" i="16"/>
  <c r="AD111" i="16"/>
  <c r="AC111" i="16"/>
  <c r="AE111" i="16"/>
  <c r="AE142" i="8"/>
  <c r="X142" i="8"/>
  <c r="N142" i="8"/>
  <c r="K142" i="8"/>
  <c r="S142" i="8"/>
  <c r="W142" i="8"/>
  <c r="AA142" i="8"/>
  <c r="O142" i="8"/>
  <c r="AD142" i="8"/>
  <c r="AC142" i="8"/>
  <c r="AG142" i="8"/>
  <c r="L142" i="8"/>
  <c r="P142" i="8"/>
  <c r="AB142" i="8"/>
  <c r="AF142" i="8"/>
  <c r="Y142" i="8"/>
  <c r="M142" i="8"/>
  <c r="U142" i="8"/>
  <c r="Q142" i="8"/>
  <c r="T142" i="8"/>
  <c r="V142" i="8"/>
  <c r="AP103" i="16"/>
  <c r="B130" i="8" s="1"/>
  <c r="AB130" i="8" s="1"/>
  <c r="BC109" i="16"/>
  <c r="BE109" i="16" s="1"/>
  <c r="E99" i="18" s="1"/>
  <c r="AM103" i="16"/>
  <c r="D93" i="18" s="1"/>
  <c r="N93" i="18" s="1"/>
  <c r="AN104" i="16"/>
  <c r="AF110" i="16"/>
  <c r="AU110" i="16"/>
  <c r="AR110" i="16"/>
  <c r="AV110" i="16"/>
  <c r="AS110" i="16"/>
  <c r="AW110" i="16"/>
  <c r="BA110" i="16"/>
  <c r="BB110" i="16"/>
  <c r="AT110" i="16"/>
  <c r="AX110" i="16"/>
  <c r="AZ110" i="16"/>
  <c r="AY110" i="16"/>
  <c r="AG110" i="16"/>
  <c r="AM104" i="16"/>
  <c r="D94" i="18" s="1"/>
  <c r="N94" i="18" s="1"/>
  <c r="BC104" i="16"/>
  <c r="BE104" i="16" s="1"/>
  <c r="E94" i="18" s="1"/>
  <c r="BY105" i="11"/>
  <c r="BL37" i="6" s="1"/>
  <c r="BV105" i="11"/>
  <c r="BI37" i="6" s="1"/>
  <c r="BY49" i="6"/>
  <c r="O216" i="6"/>
  <c r="S216" i="6" s="1"/>
  <c r="BD45" i="6" s="1"/>
  <c r="O202" i="6"/>
  <c r="S202" i="6" s="1"/>
  <c r="BD31" i="6" s="1"/>
  <c r="O168" i="6"/>
  <c r="S168" i="6" s="1"/>
  <c r="AX31" i="6" s="1"/>
  <c r="A204" i="17"/>
  <c r="A227" i="6"/>
  <c r="A159" i="6"/>
  <c r="A91" i="6"/>
  <c r="O183" i="6"/>
  <c r="S183" i="6" s="1"/>
  <c r="AX46" i="6" s="1"/>
  <c r="G170" i="6"/>
  <c r="G204" i="6"/>
  <c r="I184" i="6"/>
  <c r="I218" i="6"/>
  <c r="I169" i="6"/>
  <c r="I203" i="6"/>
  <c r="G169" i="6"/>
  <c r="G203" i="6"/>
  <c r="I170" i="6"/>
  <c r="I204" i="6"/>
  <c r="H184" i="6"/>
  <c r="H218" i="6"/>
  <c r="H169" i="6"/>
  <c r="H203" i="6"/>
  <c r="H170" i="6"/>
  <c r="H204" i="6"/>
  <c r="G184" i="6"/>
  <c r="G218" i="6"/>
  <c r="AB107" i="16"/>
  <c r="AB106" i="16"/>
  <c r="AB112" i="16"/>
  <c r="O135" i="6"/>
  <c r="S135" i="6" s="1"/>
  <c r="AR32" i="6" s="1"/>
  <c r="O101" i="6"/>
  <c r="S101" i="6" s="1"/>
  <c r="AL32" i="6" s="1"/>
  <c r="T90" i="18"/>
  <c r="BI89" i="18"/>
  <c r="BB89" i="18"/>
  <c r="BI90" i="18"/>
  <c r="BB90" i="18"/>
  <c r="O34" i="6"/>
  <c r="S34" i="6" s="1"/>
  <c r="Z33" i="6" s="1"/>
  <c r="H35" i="6"/>
  <c r="P19" i="23" s="1"/>
  <c r="H69" i="6"/>
  <c r="I35" i="6"/>
  <c r="P22" i="23" s="1"/>
  <c r="I69" i="6"/>
  <c r="G35" i="6"/>
  <c r="P16" i="23" s="1"/>
  <c r="G69" i="6"/>
  <c r="O68" i="6"/>
  <c r="S68" i="6" s="1"/>
  <c r="AF33" i="6" s="1"/>
  <c r="BB91" i="3"/>
  <c r="BI91" i="3"/>
  <c r="A114" i="19"/>
  <c r="A204" i="11"/>
  <c r="A204" i="16"/>
  <c r="AH108" i="8"/>
  <c r="H193" i="11"/>
  <c r="R193" i="11"/>
  <c r="S193" i="11" s="1"/>
  <c r="R108" i="8"/>
  <c r="AI113" i="11"/>
  <c r="AI107" i="11"/>
  <c r="AH96" i="8"/>
  <c r="Z108" i="8"/>
  <c r="Z96" i="8"/>
  <c r="R96" i="8"/>
  <c r="M179" i="8"/>
  <c r="Q179" i="8"/>
  <c r="AG179" i="8"/>
  <c r="V179" i="8"/>
  <c r="Y179" i="8"/>
  <c r="N179" i="8"/>
  <c r="AD179" i="8"/>
  <c r="S105" i="19"/>
  <c r="R105" i="19"/>
  <c r="I124" i="11"/>
  <c r="I124" i="17"/>
  <c r="I124" i="16"/>
  <c r="V123" i="16"/>
  <c r="Y123" i="16" s="1"/>
  <c r="Z123" i="16" s="1"/>
  <c r="G240" i="9"/>
  <c r="H240" i="9"/>
  <c r="J240" i="9"/>
  <c r="D106" i="19"/>
  <c r="AQ116" i="17"/>
  <c r="AM118" i="17"/>
  <c r="AB121" i="17"/>
  <c r="E106" i="19"/>
  <c r="BL116" i="17"/>
  <c r="AN118" i="17"/>
  <c r="X124" i="16"/>
  <c r="H125" i="17"/>
  <c r="H125" i="16"/>
  <c r="AL111" i="11"/>
  <c r="Q105" i="3"/>
  <c r="S105" i="3" s="1"/>
  <c r="V123" i="17"/>
  <c r="D107" i="19"/>
  <c r="AQ117" i="17"/>
  <c r="X124" i="17"/>
  <c r="U124" i="17"/>
  <c r="Y163" i="8"/>
  <c r="AQ102" i="17"/>
  <c r="AG163" i="8"/>
  <c r="AM103" i="17"/>
  <c r="D93" i="19" s="1"/>
  <c r="N93" i="19" s="1"/>
  <c r="AP103" i="17"/>
  <c r="B164" i="8" s="1"/>
  <c r="L163" i="8"/>
  <c r="AA163" i="8"/>
  <c r="N163" i="8"/>
  <c r="Q163" i="8"/>
  <c r="AD163" i="8"/>
  <c r="S163" i="8"/>
  <c r="AB163" i="8"/>
  <c r="V163" i="8"/>
  <c r="M163" i="8"/>
  <c r="P163" i="8"/>
  <c r="AC163" i="8"/>
  <c r="O163" i="8"/>
  <c r="U163" i="8"/>
  <c r="W163" i="8"/>
  <c r="AF163" i="8"/>
  <c r="X163" i="8"/>
  <c r="T163" i="8"/>
  <c r="K163" i="8"/>
  <c r="AN103" i="17"/>
  <c r="AO103" i="17"/>
  <c r="H225" i="9" s="1"/>
  <c r="BD103" i="17"/>
  <c r="BF103" i="17"/>
  <c r="F93" i="19" s="1"/>
  <c r="P91" i="18"/>
  <c r="Q91" i="18" s="1"/>
  <c r="S91" i="18" s="1"/>
  <c r="L91" i="19"/>
  <c r="P91" i="19"/>
  <c r="L98" i="19"/>
  <c r="P98" i="19"/>
  <c r="Q98" i="19" s="1"/>
  <c r="BJ103" i="17"/>
  <c r="J93" i="19" s="1"/>
  <c r="E92" i="18"/>
  <c r="H92" i="18"/>
  <c r="S100" i="19"/>
  <c r="R100" i="19"/>
  <c r="BI103" i="17"/>
  <c r="I93" i="19" s="1"/>
  <c r="L91" i="18"/>
  <c r="A222" i="7"/>
  <c r="A185" i="8"/>
  <c r="A193" i="6"/>
  <c r="A151" i="8"/>
  <c r="A117" i="8"/>
  <c r="AF129" i="8"/>
  <c r="M129" i="8"/>
  <c r="N129" i="8"/>
  <c r="S129" i="8"/>
  <c r="X129" i="8"/>
  <c r="U129" i="8"/>
  <c r="AD129" i="8"/>
  <c r="L129" i="8"/>
  <c r="AB129" i="8"/>
  <c r="AC129" i="8"/>
  <c r="K129" i="8"/>
  <c r="P129" i="8"/>
  <c r="Y129" i="8"/>
  <c r="AA129" i="8"/>
  <c r="AG129" i="8"/>
  <c r="V129" i="8"/>
  <c r="AE129" i="8"/>
  <c r="Q129" i="8"/>
  <c r="W129" i="8"/>
  <c r="O129" i="8"/>
  <c r="T129" i="8"/>
  <c r="AH101" i="8"/>
  <c r="G105" i="8"/>
  <c r="AA102" i="8"/>
  <c r="AB102" i="8"/>
  <c r="AF102" i="8"/>
  <c r="AG102" i="8"/>
  <c r="AE102" i="8"/>
  <c r="AD102" i="8"/>
  <c r="O102" i="8"/>
  <c r="M102" i="8"/>
  <c r="P102" i="8"/>
  <c r="U102" i="8"/>
  <c r="X102" i="8"/>
  <c r="N102" i="8"/>
  <c r="T102" i="8"/>
  <c r="Q102" i="8"/>
  <c r="L102" i="8"/>
  <c r="W102" i="8"/>
  <c r="S102" i="8"/>
  <c r="V102" i="8"/>
  <c r="Y102" i="8"/>
  <c r="AC102" i="8"/>
  <c r="K102" i="8"/>
  <c r="AF103" i="8"/>
  <c r="AE103" i="8"/>
  <c r="AB103" i="8"/>
  <c r="Q103" i="8"/>
  <c r="K103" i="8"/>
  <c r="AD103" i="8"/>
  <c r="AG103" i="8"/>
  <c r="AA103" i="8"/>
  <c r="AC103" i="8"/>
  <c r="L103" i="8"/>
  <c r="X103" i="8"/>
  <c r="S103" i="8"/>
  <c r="M103" i="8"/>
  <c r="V103" i="8"/>
  <c r="P103" i="8"/>
  <c r="N103" i="8"/>
  <c r="T103" i="8"/>
  <c r="Y103" i="8"/>
  <c r="U103" i="8"/>
  <c r="O103" i="8"/>
  <c r="W103" i="8"/>
  <c r="AC97" i="8"/>
  <c r="O97" i="8"/>
  <c r="AD97" i="8"/>
  <c r="AB97" i="8"/>
  <c r="AF97" i="8"/>
  <c r="P97" i="8"/>
  <c r="AG97" i="8"/>
  <c r="AA97" i="8"/>
  <c r="N97" i="8"/>
  <c r="Q97" i="8"/>
  <c r="Y97" i="8"/>
  <c r="L97" i="8"/>
  <c r="T97" i="8"/>
  <c r="S97" i="8"/>
  <c r="U97" i="8"/>
  <c r="V97" i="8"/>
  <c r="W97" i="8"/>
  <c r="X97" i="8"/>
  <c r="AE97" i="8"/>
  <c r="K97" i="8"/>
  <c r="M97" i="8"/>
  <c r="Z101" i="8"/>
  <c r="R101" i="8"/>
  <c r="A114" i="18"/>
  <c r="D99" i="3"/>
  <c r="N99" i="3" s="1"/>
  <c r="F100" i="3"/>
  <c r="F94" i="3"/>
  <c r="P98" i="3"/>
  <c r="Q98" i="3" s="1"/>
  <c r="D100" i="3"/>
  <c r="N100" i="3" s="1"/>
  <c r="K94" i="3"/>
  <c r="D94" i="3"/>
  <c r="N94" i="3" s="1"/>
  <c r="E99" i="3"/>
  <c r="K99" i="3"/>
  <c r="E100" i="3"/>
  <c r="I94" i="3"/>
  <c r="S92" i="3"/>
  <c r="U92" i="3" s="1"/>
  <c r="V92" i="3" s="1"/>
  <c r="R92" i="3"/>
  <c r="T92" i="3" s="1"/>
  <c r="P93" i="3"/>
  <c r="Q93" i="3" s="1"/>
  <c r="L93" i="3"/>
  <c r="F101" i="3"/>
  <c r="I99" i="3"/>
  <c r="I100" i="3"/>
  <c r="J94" i="3"/>
  <c r="K100" i="3"/>
  <c r="G94" i="3"/>
  <c r="AQ102" i="16"/>
  <c r="H94" i="3"/>
  <c r="G100" i="3"/>
  <c r="J95" i="9"/>
  <c r="U89" i="9"/>
  <c r="E36" i="6" s="1"/>
  <c r="N36" i="6" s="1"/>
  <c r="T89" i="9"/>
  <c r="D36" i="6" s="1"/>
  <c r="A188" i="7"/>
  <c r="A164" i="17"/>
  <c r="A124" i="17"/>
  <c r="A125" i="6"/>
  <c r="Q92" i="9"/>
  <c r="P92" i="9"/>
  <c r="S92" i="9"/>
  <c r="AJ105" i="16"/>
  <c r="BE103" i="16"/>
  <c r="BH103" i="16"/>
  <c r="BL104" i="11"/>
  <c r="AI105" i="16"/>
  <c r="BL110" i="11"/>
  <c r="BI111" i="11"/>
  <c r="BK103" i="16"/>
  <c r="AH105" i="16"/>
  <c r="AA113" i="16"/>
  <c r="A164" i="16"/>
  <c r="A124" i="16"/>
  <c r="BH111" i="11"/>
  <c r="A124" i="11"/>
  <c r="A164" i="11"/>
  <c r="BD111" i="11"/>
  <c r="AQ104" i="11"/>
  <c r="AM111" i="11"/>
  <c r="N101" i="19" s="1"/>
  <c r="Q101" i="19" s="1"/>
  <c r="AN111" i="11"/>
  <c r="AO111" i="11"/>
  <c r="AP111" i="11"/>
  <c r="B104" i="8" s="1"/>
  <c r="AQ110" i="11"/>
  <c r="AO105" i="11"/>
  <c r="AP105" i="11"/>
  <c r="B98" i="8" s="1"/>
  <c r="AM105" i="11"/>
  <c r="BW105" i="11" s="1"/>
  <c r="AN105" i="11"/>
  <c r="Z121" i="11"/>
  <c r="AJ113" i="11"/>
  <c r="AH113" i="11"/>
  <c r="AL105" i="11"/>
  <c r="AJ107" i="11"/>
  <c r="AH107" i="11"/>
  <c r="AQ109" i="11"/>
  <c r="AB114" i="11"/>
  <c r="Y122" i="11"/>
  <c r="X124" i="11"/>
  <c r="U124" i="11"/>
  <c r="S124" i="11"/>
  <c r="T124" i="11"/>
  <c r="R124" i="11"/>
  <c r="V123" i="11"/>
  <c r="H125" i="11"/>
  <c r="Q125" i="11" s="1"/>
  <c r="K145" i="4"/>
  <c r="A154" i="7"/>
  <c r="A57" i="6"/>
  <c r="W56" i="6" s="1"/>
  <c r="BH56" i="6" s="1"/>
  <c r="A110" i="9"/>
  <c r="A145" i="4"/>
  <c r="A114" i="3"/>
  <c r="G241" i="9" l="1"/>
  <c r="AA179" i="8"/>
  <c r="K179" i="8"/>
  <c r="AH177" i="8"/>
  <c r="O217" i="6"/>
  <c r="S217" i="6" s="1"/>
  <c r="BD46" i="6" s="1"/>
  <c r="M36" i="6"/>
  <c r="Q18" i="23"/>
  <c r="J104" i="8"/>
  <c r="BL102" i="17"/>
  <c r="J131" i="8"/>
  <c r="AJ189" i="11"/>
  <c r="C96" i="3"/>
  <c r="C99" i="8"/>
  <c r="G99" i="8"/>
  <c r="BL109" i="11"/>
  <c r="J96" i="9"/>
  <c r="E99" i="8"/>
  <c r="I105" i="8"/>
  <c r="AM96" i="3"/>
  <c r="AO96" i="3" s="1"/>
  <c r="AP96" i="3" s="1"/>
  <c r="BJ96" i="3" s="1"/>
  <c r="BG105" i="11"/>
  <c r="G95" i="3" s="1"/>
  <c r="Z177" i="8"/>
  <c r="J241" i="9"/>
  <c r="AA122" i="17"/>
  <c r="BE118" i="17"/>
  <c r="E108" i="19" s="1"/>
  <c r="CD107" i="17"/>
  <c r="CL39" i="6" s="1"/>
  <c r="CB107" i="17"/>
  <c r="CJ39" i="6" s="1"/>
  <c r="AM119" i="17"/>
  <c r="AN119" i="17"/>
  <c r="J179" i="8"/>
  <c r="CB120" i="17"/>
  <c r="CD120" i="17"/>
  <c r="BI118" i="17"/>
  <c r="I108" i="19" s="1"/>
  <c r="C97" i="19"/>
  <c r="CB106" i="17"/>
  <c r="CJ38" i="6" s="1"/>
  <c r="CD106" i="17"/>
  <c r="CL38" i="6" s="1"/>
  <c r="BK118" i="17"/>
  <c r="K108" i="19" s="1"/>
  <c r="T179" i="8"/>
  <c r="BJ118" i="17"/>
  <c r="J108" i="19" s="1"/>
  <c r="R178" i="8"/>
  <c r="G186" i="6" s="1"/>
  <c r="R177" i="8"/>
  <c r="G185" i="6" s="1"/>
  <c r="J164" i="8"/>
  <c r="BI104" i="16"/>
  <c r="I94" i="18" s="1"/>
  <c r="BK104" i="16"/>
  <c r="K94" i="18" s="1"/>
  <c r="CD105" i="16"/>
  <c r="CH37" i="6" s="1"/>
  <c r="CB105" i="16"/>
  <c r="CF37" i="6" s="1"/>
  <c r="C101" i="18"/>
  <c r="CD111" i="16"/>
  <c r="CB111" i="16"/>
  <c r="D98" i="18"/>
  <c r="N98" i="18" s="1"/>
  <c r="J99" i="3"/>
  <c r="P99" i="3" s="1"/>
  <c r="Q99" i="3" s="1"/>
  <c r="C102" i="3"/>
  <c r="E105" i="8"/>
  <c r="C105" i="8"/>
  <c r="AJ146" i="11"/>
  <c r="H105" i="8"/>
  <c r="N70" i="6"/>
  <c r="F105" i="8"/>
  <c r="AD94" i="3"/>
  <c r="AE95" i="3" s="1"/>
  <c r="AF95" i="3" s="1"/>
  <c r="BC95" i="3" s="1"/>
  <c r="BE111" i="11"/>
  <c r="J98" i="8"/>
  <c r="BJ111" i="11"/>
  <c r="J101" i="3" s="1"/>
  <c r="BG111" i="11"/>
  <c r="G101" i="3" s="1"/>
  <c r="BK111" i="11"/>
  <c r="AH190" i="11"/>
  <c r="AB95" i="3"/>
  <c r="AN96" i="3"/>
  <c r="BC112" i="11"/>
  <c r="BH112" i="11" s="1"/>
  <c r="H102" i="3" s="1"/>
  <c r="CB113" i="11"/>
  <c r="CB45" i="6" s="1"/>
  <c r="CD113" i="11"/>
  <c r="CD45" i="6" s="1"/>
  <c r="AJ187" i="11"/>
  <c r="H90" i="9"/>
  <c r="U90" i="9" s="1"/>
  <c r="E37" i="6" s="1"/>
  <c r="N37" i="6" s="1"/>
  <c r="CB107" i="11"/>
  <c r="CB39" i="6" s="1"/>
  <c r="CD107" i="11"/>
  <c r="CD39" i="6" s="1"/>
  <c r="BK103" i="17"/>
  <c r="K93" i="19" s="1"/>
  <c r="BE103" i="17"/>
  <c r="E93" i="19" s="1"/>
  <c r="BG103" i="17"/>
  <c r="G93" i="19" s="1"/>
  <c r="BH118" i="17"/>
  <c r="H108" i="19" s="1"/>
  <c r="AB179" i="8"/>
  <c r="P179" i="8"/>
  <c r="BF118" i="17"/>
  <c r="F108" i="19" s="1"/>
  <c r="AG164" i="8"/>
  <c r="BD118" i="17"/>
  <c r="U179" i="8"/>
  <c r="I166" i="8"/>
  <c r="H166" i="8"/>
  <c r="E166" i="8"/>
  <c r="F166" i="8"/>
  <c r="G166" i="8"/>
  <c r="D166" i="8"/>
  <c r="C166" i="8"/>
  <c r="Q125" i="17"/>
  <c r="T125" i="17"/>
  <c r="S125" i="17"/>
  <c r="R125" i="17"/>
  <c r="BL117" i="17"/>
  <c r="X179" i="8"/>
  <c r="Z178" i="8"/>
  <c r="H186" i="6" s="1"/>
  <c r="BC119" i="17"/>
  <c r="BI119" i="17" s="1"/>
  <c r="I109" i="19" s="1"/>
  <c r="AF120" i="17"/>
  <c r="AV120" i="17"/>
  <c r="AU120" i="17"/>
  <c r="AW120" i="17"/>
  <c r="AX120" i="17"/>
  <c r="BB120" i="17"/>
  <c r="AR120" i="17"/>
  <c r="AT120" i="17"/>
  <c r="BA120" i="17"/>
  <c r="AS120" i="17"/>
  <c r="AY120" i="17"/>
  <c r="AZ120" i="17"/>
  <c r="AG120" i="17"/>
  <c r="W179" i="8"/>
  <c r="AE179" i="8"/>
  <c r="BZ118" i="17"/>
  <c r="BY50" i="6" s="1"/>
  <c r="AO119" i="17"/>
  <c r="BY119" i="17"/>
  <c r="BX51" i="6" s="1"/>
  <c r="BZ119" i="17"/>
  <c r="BY51" i="6" s="1"/>
  <c r="G180" i="8"/>
  <c r="O180" i="8" s="1"/>
  <c r="D180" i="8"/>
  <c r="AB180" i="8" s="1"/>
  <c r="I180" i="8"/>
  <c r="AG180" i="8" s="1"/>
  <c r="H180" i="8"/>
  <c r="P180" i="8" s="1"/>
  <c r="F180" i="8"/>
  <c r="V180" i="8" s="1"/>
  <c r="E180" i="8"/>
  <c r="AC180" i="8" s="1"/>
  <c r="C180" i="8"/>
  <c r="AA180" i="8" s="1"/>
  <c r="AL119" i="17"/>
  <c r="AL94" i="19"/>
  <c r="AN94" i="19" s="1"/>
  <c r="AM94" i="19"/>
  <c r="AO94" i="19" s="1"/>
  <c r="AP94" i="19" s="1"/>
  <c r="BJ94" i="19" s="1"/>
  <c r="B276" i="9"/>
  <c r="B242" i="9"/>
  <c r="F165" i="8"/>
  <c r="D165" i="8"/>
  <c r="G165" i="8"/>
  <c r="E165" i="8"/>
  <c r="H165" i="8"/>
  <c r="I165" i="8"/>
  <c r="C165" i="8"/>
  <c r="AE121" i="17"/>
  <c r="AD121" i="17"/>
  <c r="AC121" i="17"/>
  <c r="AJ121" i="17"/>
  <c r="AI121" i="17"/>
  <c r="AH121" i="17"/>
  <c r="H136" i="6"/>
  <c r="BL102" i="16"/>
  <c r="J130" i="8"/>
  <c r="T125" i="16"/>
  <c r="Q125" i="16"/>
  <c r="R125" i="16"/>
  <c r="S125" i="16"/>
  <c r="U125" i="16"/>
  <c r="BG109" i="16"/>
  <c r="G99" i="18" s="1"/>
  <c r="F137" i="8"/>
  <c r="I137" i="8"/>
  <c r="E137" i="8"/>
  <c r="G137" i="8"/>
  <c r="H137" i="8"/>
  <c r="D137" i="8"/>
  <c r="C137" i="8"/>
  <c r="J199" i="9"/>
  <c r="W199" i="9" s="1"/>
  <c r="F146" i="6" s="1"/>
  <c r="H199" i="9"/>
  <c r="U199" i="9" s="1"/>
  <c r="E146" i="6" s="1"/>
  <c r="G199" i="9"/>
  <c r="T199" i="9" s="1"/>
  <c r="D146" i="6" s="1"/>
  <c r="I92" i="18"/>
  <c r="L92" i="18" s="1"/>
  <c r="BI109" i="16"/>
  <c r="I99" i="18" s="1"/>
  <c r="J136" i="8"/>
  <c r="H165" i="9"/>
  <c r="J165" i="9"/>
  <c r="G165" i="9"/>
  <c r="BF105" i="11"/>
  <c r="F95" i="3" s="1"/>
  <c r="H99" i="8"/>
  <c r="F99" i="8"/>
  <c r="AI190" i="11"/>
  <c r="AF190" i="11"/>
  <c r="BC106" i="11"/>
  <c r="BH106" i="11" s="1"/>
  <c r="N75" i="6"/>
  <c r="R75" i="6" s="1"/>
  <c r="AE40" i="6" s="1"/>
  <c r="BI105" i="11"/>
  <c r="I95" i="3" s="1"/>
  <c r="N82" i="6"/>
  <c r="R82" i="6" s="1"/>
  <c r="AE47" i="6" s="1"/>
  <c r="BK105" i="11"/>
  <c r="K95" i="3" s="1"/>
  <c r="BH105" i="11"/>
  <c r="BE105" i="11"/>
  <c r="BD105" i="11"/>
  <c r="D99" i="8"/>
  <c r="AE190" i="11"/>
  <c r="BZ110" i="11" s="1"/>
  <c r="BM42" i="6" s="1"/>
  <c r="G90" i="9"/>
  <c r="H95" i="9"/>
  <c r="AH105" i="3"/>
  <c r="AK105" i="3" s="1"/>
  <c r="AL105" i="3" s="1"/>
  <c r="G96" i="9"/>
  <c r="AH178" i="8"/>
  <c r="I220" i="6" s="1"/>
  <c r="R142" i="8"/>
  <c r="G150" i="6" s="1"/>
  <c r="O169" i="6"/>
  <c r="S169" i="6" s="1"/>
  <c r="AX32" i="6" s="1"/>
  <c r="AC191" i="11"/>
  <c r="AF191" i="11" s="1"/>
  <c r="AJ195" i="11"/>
  <c r="AD186" i="17"/>
  <c r="AG186" i="17"/>
  <c r="AI186" i="17"/>
  <c r="AE186" i="17"/>
  <c r="AH96" i="19" s="1"/>
  <c r="AK96" i="19" s="1"/>
  <c r="AF186" i="17"/>
  <c r="AL99" i="3"/>
  <c r="AM99" i="3"/>
  <c r="AH95" i="19"/>
  <c r="AK95" i="19" s="1"/>
  <c r="AJ185" i="17"/>
  <c r="AL104" i="17"/>
  <c r="G129" i="9"/>
  <c r="T129" i="9" s="1"/>
  <c r="D76" i="6" s="1"/>
  <c r="M76" i="6" s="1"/>
  <c r="H129" i="9"/>
  <c r="U129" i="9" s="1"/>
  <c r="E76" i="6" s="1"/>
  <c r="J129" i="9"/>
  <c r="W129" i="9" s="1"/>
  <c r="F76" i="6" s="1"/>
  <c r="B263" i="9"/>
  <c r="B229" i="9"/>
  <c r="AU107" i="11"/>
  <c r="AX107" i="11"/>
  <c r="AF107" i="11"/>
  <c r="C100" i="8" s="1"/>
  <c r="AW107" i="11"/>
  <c r="AV107" i="11"/>
  <c r="AR107" i="11"/>
  <c r="AS107" i="11"/>
  <c r="BB107" i="11"/>
  <c r="AY107" i="11"/>
  <c r="BA107" i="11"/>
  <c r="AT107" i="11"/>
  <c r="AZ107" i="11"/>
  <c r="AG107" i="11"/>
  <c r="BY105" i="17"/>
  <c r="AQ108" i="16"/>
  <c r="AM109" i="16"/>
  <c r="BZ109" i="16" s="1"/>
  <c r="BS41" i="6" s="1"/>
  <c r="BY109" i="16"/>
  <c r="BR41" i="6" s="1"/>
  <c r="BC105" i="17"/>
  <c r="BH105" i="17" s="1"/>
  <c r="H95" i="19" s="1"/>
  <c r="AF106" i="17"/>
  <c r="AW106" i="17"/>
  <c r="AV106" i="17"/>
  <c r="AU106" i="17"/>
  <c r="AX106" i="17"/>
  <c r="AS106" i="17"/>
  <c r="AR106" i="17"/>
  <c r="AY106" i="17"/>
  <c r="BA106" i="17"/>
  <c r="AT106" i="17"/>
  <c r="BB106" i="17"/>
  <c r="AZ106" i="17"/>
  <c r="AG106" i="17"/>
  <c r="AK106" i="17" s="1"/>
  <c r="AD187" i="17"/>
  <c r="AE187" i="17"/>
  <c r="AI187" i="17"/>
  <c r="AH187" i="17"/>
  <c r="AG187" i="17"/>
  <c r="AF187" i="17"/>
  <c r="AF107" i="17"/>
  <c r="AU107" i="17"/>
  <c r="AX107" i="17"/>
  <c r="AS107" i="17"/>
  <c r="AW107" i="17"/>
  <c r="AV107" i="17"/>
  <c r="AR107" i="17"/>
  <c r="AY107" i="17"/>
  <c r="BA107" i="17"/>
  <c r="BB107" i="17"/>
  <c r="AT107" i="17"/>
  <c r="AZ107" i="17"/>
  <c r="AG107" i="17"/>
  <c r="AK107" i="17" s="1"/>
  <c r="G130" i="9"/>
  <c r="T130" i="9" s="1"/>
  <c r="D77" i="6" s="1"/>
  <c r="M77" i="6" s="1"/>
  <c r="J130" i="9"/>
  <c r="W130" i="9" s="1"/>
  <c r="F77" i="6" s="1"/>
  <c r="H130" i="9"/>
  <c r="U130" i="9" s="1"/>
  <c r="E77" i="6" s="1"/>
  <c r="A213" i="9"/>
  <c r="A247" i="9"/>
  <c r="A179" i="9"/>
  <c r="A145" i="9"/>
  <c r="A281" i="9"/>
  <c r="B91" i="9"/>
  <c r="J91" i="9" s="1"/>
  <c r="W91" i="9" s="1"/>
  <c r="F38" i="6" s="1"/>
  <c r="S21" i="23" s="1"/>
  <c r="B125" i="9"/>
  <c r="AC114" i="11"/>
  <c r="AE114" i="11"/>
  <c r="AD114" i="11"/>
  <c r="B97" i="9"/>
  <c r="H97" i="9" s="1"/>
  <c r="B131" i="9"/>
  <c r="BY104" i="17"/>
  <c r="BX36" i="6" s="1"/>
  <c r="V193" i="11"/>
  <c r="U193" i="11"/>
  <c r="CE113" i="11" s="1"/>
  <c r="CE45" i="6" s="1"/>
  <c r="T193" i="11"/>
  <c r="AI45" i="6" s="1"/>
  <c r="BF109" i="16"/>
  <c r="F99" i="18" s="1"/>
  <c r="AD190" i="11"/>
  <c r="BC104" i="17"/>
  <c r="BF104" i="17" s="1"/>
  <c r="F94" i="19" s="1"/>
  <c r="B262" i="9"/>
  <c r="B228" i="9"/>
  <c r="G124" i="9"/>
  <c r="T124" i="9" s="1"/>
  <c r="D71" i="6" s="1"/>
  <c r="M71" i="6" s="1"/>
  <c r="H124" i="9"/>
  <c r="U124" i="9" s="1"/>
  <c r="E71" i="6" s="1"/>
  <c r="J124" i="9"/>
  <c r="W124" i="9" s="1"/>
  <c r="F71" i="6" s="1"/>
  <c r="BZ105" i="11"/>
  <c r="BM37" i="6" s="1"/>
  <c r="AV113" i="11"/>
  <c r="AZ113" i="11"/>
  <c r="AU113" i="11"/>
  <c r="AG113" i="11"/>
  <c r="AK113" i="11" s="1"/>
  <c r="AX113" i="11"/>
  <c r="AR113" i="11"/>
  <c r="AF113" i="11"/>
  <c r="H106" i="8" s="1"/>
  <c r="AW113" i="11"/>
  <c r="BB113" i="11"/>
  <c r="AY113" i="11"/>
  <c r="AS113" i="11"/>
  <c r="BA113" i="11"/>
  <c r="AT113" i="11"/>
  <c r="B193" i="9"/>
  <c r="B159" i="9"/>
  <c r="BK109" i="16"/>
  <c r="K99" i="18" s="1"/>
  <c r="S131" i="9"/>
  <c r="P131" i="9"/>
  <c r="Q131" i="9"/>
  <c r="W192" i="11"/>
  <c r="BY112" i="11" s="1"/>
  <c r="BL44" i="6" s="1"/>
  <c r="AB192" i="11"/>
  <c r="Z192" i="11"/>
  <c r="K132" i="9" s="1"/>
  <c r="AA192" i="11"/>
  <c r="Y192" i="11"/>
  <c r="X192" i="11"/>
  <c r="AL105" i="17"/>
  <c r="BZ103" i="17"/>
  <c r="BY35" i="6" s="1"/>
  <c r="BI103" i="16"/>
  <c r="I93" i="18" s="1"/>
  <c r="BF103" i="16"/>
  <c r="F93" i="18" s="1"/>
  <c r="BG104" i="16"/>
  <c r="BJ104" i="16"/>
  <c r="J94" i="18" s="1"/>
  <c r="BF104" i="16"/>
  <c r="F94" i="18" s="1"/>
  <c r="BD103" i="16"/>
  <c r="BG103" i="16"/>
  <c r="G93" i="18" s="1"/>
  <c r="BD104" i="16"/>
  <c r="BH104" i="16"/>
  <c r="H94" i="18" s="1"/>
  <c r="G102" i="6"/>
  <c r="O102" i="6" s="1"/>
  <c r="S102" i="6" s="1"/>
  <c r="AL33" i="6" s="1"/>
  <c r="I136" i="6"/>
  <c r="O136" i="6" s="1"/>
  <c r="S136" i="6" s="1"/>
  <c r="AR33" i="6" s="1"/>
  <c r="AE112" i="16"/>
  <c r="AD112" i="16"/>
  <c r="AC112" i="16"/>
  <c r="P105" i="18"/>
  <c r="Q105" i="18" s="1"/>
  <c r="L105" i="18"/>
  <c r="AC106" i="16"/>
  <c r="AD106" i="16"/>
  <c r="AE106" i="16"/>
  <c r="AK110" i="16"/>
  <c r="AL110" i="16" s="1"/>
  <c r="Z142" i="8"/>
  <c r="AF111" i="16"/>
  <c r="AR111" i="16"/>
  <c r="AV111" i="16"/>
  <c r="AX111" i="16"/>
  <c r="AY111" i="16"/>
  <c r="AS111" i="16"/>
  <c r="AZ111" i="16"/>
  <c r="AU111" i="16"/>
  <c r="BA111" i="16"/>
  <c r="AW111" i="16"/>
  <c r="AT111" i="16"/>
  <c r="BB111" i="16"/>
  <c r="AG111" i="16"/>
  <c r="AD107" i="16"/>
  <c r="AC107" i="16"/>
  <c r="AE107" i="16"/>
  <c r="G116" i="6"/>
  <c r="AE135" i="8"/>
  <c r="W135" i="8"/>
  <c r="AB135" i="8"/>
  <c r="N135" i="8"/>
  <c r="AF135" i="8"/>
  <c r="P135" i="8"/>
  <c r="O135" i="8"/>
  <c r="AG135" i="8"/>
  <c r="M135" i="8"/>
  <c r="K135" i="8"/>
  <c r="AD135" i="8"/>
  <c r="U135" i="8"/>
  <c r="AC135" i="8"/>
  <c r="L135" i="8"/>
  <c r="Q135" i="8"/>
  <c r="S135" i="8"/>
  <c r="AA135" i="8"/>
  <c r="V135" i="8"/>
  <c r="T135" i="8"/>
  <c r="X135" i="8"/>
  <c r="Y135" i="8"/>
  <c r="E98" i="18"/>
  <c r="BL108" i="16"/>
  <c r="M150" i="6"/>
  <c r="AF105" i="16"/>
  <c r="AT105" i="16"/>
  <c r="AX105" i="16"/>
  <c r="BB105" i="16"/>
  <c r="AU105" i="16"/>
  <c r="AY105" i="16"/>
  <c r="AR105" i="16"/>
  <c r="AV105" i="16"/>
  <c r="AW105" i="16"/>
  <c r="BA105" i="16"/>
  <c r="AS105" i="16"/>
  <c r="AZ105" i="16"/>
  <c r="AG105" i="16"/>
  <c r="AK105" i="16" s="1"/>
  <c r="AP109" i="16"/>
  <c r="B136" i="8" s="1"/>
  <c r="AO109" i="16"/>
  <c r="AN109" i="16"/>
  <c r="BC110" i="16"/>
  <c r="BK110" i="16" s="1"/>
  <c r="K100" i="18" s="1"/>
  <c r="BJ109" i="16"/>
  <c r="J99" i="18" s="1"/>
  <c r="BD109" i="16"/>
  <c r="AH142" i="8"/>
  <c r="N150" i="6"/>
  <c r="BH109" i="16"/>
  <c r="H99" i="18" s="1"/>
  <c r="BY106" i="11"/>
  <c r="BL38" i="6" s="1"/>
  <c r="BV106" i="11"/>
  <c r="BI38" i="6" s="1"/>
  <c r="BH119" i="17"/>
  <c r="H109" i="19" s="1"/>
  <c r="AK120" i="17"/>
  <c r="AN120" i="17" s="1"/>
  <c r="O204" i="6"/>
  <c r="S204" i="6" s="1"/>
  <c r="BD33" i="6" s="1"/>
  <c r="H48" i="6"/>
  <c r="AC19" i="23" s="1"/>
  <c r="H82" i="6"/>
  <c r="G48" i="6"/>
  <c r="AC16" i="23" s="1"/>
  <c r="G82" i="6"/>
  <c r="I48" i="6"/>
  <c r="AC22" i="23" s="1"/>
  <c r="I82" i="6"/>
  <c r="A205" i="17"/>
  <c r="A228" i="6"/>
  <c r="A160" i="6"/>
  <c r="A92" i="6"/>
  <c r="O170" i="6"/>
  <c r="S170" i="6" s="1"/>
  <c r="AX33" i="6" s="1"/>
  <c r="AL97" i="3"/>
  <c r="AM97" i="3"/>
  <c r="O184" i="6"/>
  <c r="S184" i="6" s="1"/>
  <c r="AX47" i="6" s="1"/>
  <c r="H185" i="6"/>
  <c r="H219" i="6"/>
  <c r="I186" i="6"/>
  <c r="I185" i="6"/>
  <c r="I219" i="6"/>
  <c r="H220" i="6"/>
  <c r="O218" i="6"/>
  <c r="S218" i="6" s="1"/>
  <c r="BD47" i="6" s="1"/>
  <c r="O203" i="6"/>
  <c r="S203" i="6" s="1"/>
  <c r="BD32" i="6" s="1"/>
  <c r="AJ112" i="16"/>
  <c r="AI112" i="16"/>
  <c r="AH112" i="16"/>
  <c r="AB113" i="16"/>
  <c r="AJ113" i="16" s="1"/>
  <c r="M130" i="8"/>
  <c r="U91" i="18"/>
  <c r="V91" i="18" s="1"/>
  <c r="BI91" i="18" s="1"/>
  <c r="O35" i="6"/>
  <c r="S35" i="6" s="1"/>
  <c r="Z34" i="6" s="1"/>
  <c r="R70" i="6"/>
  <c r="AE35" i="6" s="1"/>
  <c r="BJ37" i="6"/>
  <c r="I36" i="6"/>
  <c r="Q22" i="23" s="1"/>
  <c r="I70" i="6"/>
  <c r="G36" i="6"/>
  <c r="Q16" i="23" s="1"/>
  <c r="G70" i="6"/>
  <c r="O69" i="6"/>
  <c r="S69" i="6" s="1"/>
  <c r="AF34" i="6" s="1"/>
  <c r="H36" i="6"/>
  <c r="Q19" i="23" s="1"/>
  <c r="H70" i="6"/>
  <c r="H41" i="6"/>
  <c r="V19" i="23" s="1"/>
  <c r="H75" i="6"/>
  <c r="G41" i="6"/>
  <c r="V16" i="23" s="1"/>
  <c r="G75" i="6"/>
  <c r="I41" i="6"/>
  <c r="V22" i="23" s="1"/>
  <c r="I75" i="6"/>
  <c r="BB92" i="3"/>
  <c r="BI92" i="3"/>
  <c r="Y164" i="8"/>
  <c r="W130" i="8"/>
  <c r="L164" i="8"/>
  <c r="AO104" i="17"/>
  <c r="BX37" i="6"/>
  <c r="A115" i="19"/>
  <c r="A205" i="11"/>
  <c r="A205" i="16"/>
  <c r="H194" i="11"/>
  <c r="R194" i="11"/>
  <c r="S194" i="11" s="1"/>
  <c r="M164" i="8"/>
  <c r="T130" i="8"/>
  <c r="C110" i="19"/>
  <c r="AD164" i="8"/>
  <c r="AF130" i="8"/>
  <c r="AI114" i="11"/>
  <c r="AB122" i="17"/>
  <c r="R105" i="3"/>
  <c r="P106" i="19"/>
  <c r="L106" i="19"/>
  <c r="H126" i="17"/>
  <c r="H126" i="16"/>
  <c r="X125" i="16"/>
  <c r="V124" i="16"/>
  <c r="Y124" i="16" s="1"/>
  <c r="Z124" i="16" s="1"/>
  <c r="AM120" i="17"/>
  <c r="V124" i="17"/>
  <c r="I125" i="11"/>
  <c r="I125" i="17"/>
  <c r="I125" i="16"/>
  <c r="X125" i="17"/>
  <c r="U125" i="17"/>
  <c r="P107" i="19"/>
  <c r="L107" i="19"/>
  <c r="D108" i="19"/>
  <c r="AQ118" i="17"/>
  <c r="R179" i="8"/>
  <c r="AP106" i="11"/>
  <c r="B99" i="8" s="1"/>
  <c r="AO112" i="11"/>
  <c r="AI107" i="16"/>
  <c r="D109" i="19"/>
  <c r="Y123" i="17"/>
  <c r="V130" i="8"/>
  <c r="O130" i="8"/>
  <c r="P130" i="8"/>
  <c r="N130" i="8"/>
  <c r="AA130" i="8"/>
  <c r="S130" i="8"/>
  <c r="Y130" i="8"/>
  <c r="AC130" i="8"/>
  <c r="AG130" i="8"/>
  <c r="Q130" i="8"/>
  <c r="AD130" i="8"/>
  <c r="AE130" i="8"/>
  <c r="AP104" i="17"/>
  <c r="B165" i="8" s="1"/>
  <c r="AM104" i="17"/>
  <c r="D94" i="19" s="1"/>
  <c r="N94" i="19" s="1"/>
  <c r="AN104" i="17"/>
  <c r="Q164" i="8"/>
  <c r="U164" i="8"/>
  <c r="AC164" i="8"/>
  <c r="O164" i="8"/>
  <c r="AA164" i="8"/>
  <c r="X164" i="8"/>
  <c r="AQ103" i="17"/>
  <c r="K164" i="8"/>
  <c r="AE164" i="8"/>
  <c r="V164" i="8"/>
  <c r="S164" i="8"/>
  <c r="W164" i="8"/>
  <c r="T164" i="8"/>
  <c r="G225" i="9"/>
  <c r="AF164" i="8"/>
  <c r="N164" i="8"/>
  <c r="AB164" i="8"/>
  <c r="P164" i="8"/>
  <c r="AM105" i="17"/>
  <c r="D95" i="19" s="1"/>
  <c r="N95" i="19" s="1"/>
  <c r="R163" i="8"/>
  <c r="J225" i="9"/>
  <c r="Z163" i="8"/>
  <c r="AH163" i="8"/>
  <c r="X130" i="8"/>
  <c r="U130" i="8"/>
  <c r="K130" i="8"/>
  <c r="L130" i="8"/>
  <c r="AQ104" i="16"/>
  <c r="AQ103" i="16"/>
  <c r="R91" i="18"/>
  <c r="T91" i="18" s="1"/>
  <c r="AH129" i="8"/>
  <c r="E93" i="18"/>
  <c r="R98" i="19"/>
  <c r="S98" i="19"/>
  <c r="K93" i="18"/>
  <c r="L92" i="19"/>
  <c r="P92" i="19"/>
  <c r="H93" i="18"/>
  <c r="S101" i="19"/>
  <c r="R101" i="19"/>
  <c r="AH107" i="16"/>
  <c r="L99" i="19"/>
  <c r="P99" i="19"/>
  <c r="Q99" i="19" s="1"/>
  <c r="AC131" i="8"/>
  <c r="AB131" i="8"/>
  <c r="AF131" i="8"/>
  <c r="L131" i="8"/>
  <c r="K131" i="8"/>
  <c r="N131" i="8"/>
  <c r="M131" i="8"/>
  <c r="Y131" i="8"/>
  <c r="X131" i="8"/>
  <c r="AA131" i="8"/>
  <c r="AE131" i="8"/>
  <c r="AG131" i="8"/>
  <c r="Q131" i="8"/>
  <c r="V131" i="8"/>
  <c r="W131" i="8"/>
  <c r="AD131" i="8"/>
  <c r="O131" i="8"/>
  <c r="T131" i="8"/>
  <c r="S131" i="8"/>
  <c r="U131" i="8"/>
  <c r="P131" i="8"/>
  <c r="Z103" i="8"/>
  <c r="AH103" i="8"/>
  <c r="R102" i="8"/>
  <c r="Z102" i="8"/>
  <c r="AH102" i="8"/>
  <c r="R129" i="8"/>
  <c r="C95" i="18"/>
  <c r="A186" i="8"/>
  <c r="A223" i="7"/>
  <c r="A194" i="6"/>
  <c r="A118" i="8"/>
  <c r="A152" i="8"/>
  <c r="Z129" i="8"/>
  <c r="F100" i="8"/>
  <c r="D100" i="8"/>
  <c r="Z97" i="8"/>
  <c r="N104" i="8"/>
  <c r="P104" i="8"/>
  <c r="AG104" i="8"/>
  <c r="O104" i="8"/>
  <c r="K104" i="8"/>
  <c r="AE104" i="8"/>
  <c r="AA104" i="8"/>
  <c r="AD104" i="8"/>
  <c r="AF104" i="8"/>
  <c r="AB104" i="8"/>
  <c r="Y104" i="8"/>
  <c r="T104" i="8"/>
  <c r="U104" i="8"/>
  <c r="Q104" i="8"/>
  <c r="V104" i="8"/>
  <c r="L104" i="8"/>
  <c r="X104" i="8"/>
  <c r="W104" i="8"/>
  <c r="AC104" i="8"/>
  <c r="S104" i="8"/>
  <c r="M104" i="8"/>
  <c r="D106" i="8"/>
  <c r="F106" i="8"/>
  <c r="AG98" i="8"/>
  <c r="AB98" i="8"/>
  <c r="AC98" i="8"/>
  <c r="AF98" i="8"/>
  <c r="L98" i="8"/>
  <c r="AD98" i="8"/>
  <c r="O98" i="8"/>
  <c r="M98" i="8"/>
  <c r="U98" i="8"/>
  <c r="T98" i="8"/>
  <c r="X98" i="8"/>
  <c r="Q98" i="8"/>
  <c r="S98" i="8"/>
  <c r="Y98" i="8"/>
  <c r="AE98" i="8"/>
  <c r="AA98" i="8"/>
  <c r="K98" i="8"/>
  <c r="P98" i="8"/>
  <c r="V98" i="8"/>
  <c r="N98" i="8"/>
  <c r="W98" i="8"/>
  <c r="R97" i="8"/>
  <c r="AH97" i="8"/>
  <c r="R103" i="8"/>
  <c r="L94" i="3"/>
  <c r="AP105" i="17"/>
  <c r="B166" i="8" s="1"/>
  <c r="R36" i="6"/>
  <c r="Y35" i="6" s="1"/>
  <c r="R93" i="3"/>
  <c r="T93" i="3" s="1"/>
  <c r="S93" i="3"/>
  <c r="U93" i="3" s="1"/>
  <c r="V93" i="3" s="1"/>
  <c r="I101" i="3"/>
  <c r="AB96" i="3"/>
  <c r="AC96" i="3"/>
  <c r="E95" i="3"/>
  <c r="AJ107" i="16"/>
  <c r="S98" i="3"/>
  <c r="R98" i="3"/>
  <c r="P94" i="3"/>
  <c r="Q94" i="3" s="1"/>
  <c r="D95" i="3"/>
  <c r="N95" i="3" s="1"/>
  <c r="K101" i="3"/>
  <c r="C103" i="3"/>
  <c r="H101" i="3"/>
  <c r="A115" i="18"/>
  <c r="D101" i="3"/>
  <c r="N101" i="3" s="1"/>
  <c r="E101" i="3"/>
  <c r="L100" i="3"/>
  <c r="P100" i="3"/>
  <c r="Q100" i="3" s="1"/>
  <c r="AN105" i="17"/>
  <c r="G226" i="9"/>
  <c r="H226" i="9"/>
  <c r="J226" i="9"/>
  <c r="A189" i="7"/>
  <c r="A165" i="17"/>
  <c r="A125" i="17"/>
  <c r="A126" i="6"/>
  <c r="T90" i="9"/>
  <c r="D37" i="6" s="1"/>
  <c r="AO105" i="17"/>
  <c r="BE105" i="17"/>
  <c r="E95" i="19" s="1"/>
  <c r="AJ106" i="16"/>
  <c r="AI106" i="16"/>
  <c r="AH106" i="16"/>
  <c r="AA114" i="16"/>
  <c r="A165" i="16"/>
  <c r="A125" i="16"/>
  <c r="BL111" i="11"/>
  <c r="A125" i="11"/>
  <c r="A165" i="11"/>
  <c r="AM106" i="11"/>
  <c r="BZ106" i="11" s="1"/>
  <c r="AL106" i="11"/>
  <c r="AQ111" i="11"/>
  <c r="AN112" i="11"/>
  <c r="AN106" i="11"/>
  <c r="AO106" i="11"/>
  <c r="AP112" i="11"/>
  <c r="B105" i="8" s="1"/>
  <c r="AL112" i="11"/>
  <c r="AM112" i="11"/>
  <c r="N102" i="19" s="1"/>
  <c r="Q102" i="19" s="1"/>
  <c r="AK107" i="11"/>
  <c r="AQ105" i="11"/>
  <c r="Z122" i="11"/>
  <c r="AJ114" i="11"/>
  <c r="AH114" i="11"/>
  <c r="X125" i="11"/>
  <c r="Y123" i="11"/>
  <c r="U125" i="11"/>
  <c r="S125" i="11"/>
  <c r="R125" i="11"/>
  <c r="T125" i="11"/>
  <c r="V124" i="11"/>
  <c r="K146" i="4"/>
  <c r="H126" i="11"/>
  <c r="Q126" i="11" s="1"/>
  <c r="K125" i="11"/>
  <c r="A155" i="7"/>
  <c r="A146" i="4"/>
  <c r="A58" i="6"/>
  <c r="W57" i="6" s="1"/>
  <c r="BH57" i="6" s="1"/>
  <c r="A111" i="9"/>
  <c r="A115" i="3"/>
  <c r="G220" i="6" l="1"/>
  <c r="J105" i="8"/>
  <c r="M37" i="6"/>
  <c r="R18" i="23"/>
  <c r="BE104" i="17"/>
  <c r="E94" i="19" s="1"/>
  <c r="BJ112" i="11"/>
  <c r="BE112" i="11"/>
  <c r="BI112" i="11"/>
  <c r="BF112" i="11"/>
  <c r="BG112" i="11"/>
  <c r="BK112" i="11"/>
  <c r="BD112" i="11"/>
  <c r="N76" i="6"/>
  <c r="AD95" i="3"/>
  <c r="AE96" i="3" s="1"/>
  <c r="AF96" i="3" s="1"/>
  <c r="BC96" i="3" s="1"/>
  <c r="BE106" i="11"/>
  <c r="E96" i="3" s="1"/>
  <c r="BK106" i="11"/>
  <c r="K96" i="3" s="1"/>
  <c r="BK105" i="17"/>
  <c r="K95" i="19" s="1"/>
  <c r="L99" i="3"/>
  <c r="I100" i="8"/>
  <c r="G100" i="8"/>
  <c r="BF106" i="11"/>
  <c r="C97" i="3"/>
  <c r="H100" i="8"/>
  <c r="BD106" i="11"/>
  <c r="E100" i="8"/>
  <c r="J99" i="8"/>
  <c r="AQ119" i="17"/>
  <c r="AO120" i="17"/>
  <c r="BK104" i="17"/>
  <c r="K94" i="19" s="1"/>
  <c r="AH179" i="8"/>
  <c r="I187" i="6" s="1"/>
  <c r="BG104" i="17"/>
  <c r="G94" i="19" s="1"/>
  <c r="BK119" i="17"/>
  <c r="K109" i="19" s="1"/>
  <c r="N180" i="8"/>
  <c r="Z179" i="8"/>
  <c r="H187" i="6" s="1"/>
  <c r="BD104" i="17"/>
  <c r="BJ104" i="17"/>
  <c r="J94" i="19" s="1"/>
  <c r="AE180" i="8"/>
  <c r="G242" i="9"/>
  <c r="G219" i="6"/>
  <c r="O219" i="6" s="1"/>
  <c r="S219" i="6" s="1"/>
  <c r="BD48" i="6" s="1"/>
  <c r="BG119" i="17"/>
  <c r="G109" i="19" s="1"/>
  <c r="BJ119" i="17"/>
  <c r="J109" i="19" s="1"/>
  <c r="AF180" i="8"/>
  <c r="J166" i="8"/>
  <c r="BL103" i="17"/>
  <c r="X180" i="8"/>
  <c r="BE119" i="17"/>
  <c r="E109" i="19" s="1"/>
  <c r="BF119" i="17"/>
  <c r="F109" i="19" s="1"/>
  <c r="BD119" i="17"/>
  <c r="CB121" i="17"/>
  <c r="CD121" i="17"/>
  <c r="AH113" i="16"/>
  <c r="P92" i="18"/>
  <c r="Q92" i="18" s="1"/>
  <c r="R92" i="18" s="1"/>
  <c r="T92" i="18" s="1"/>
  <c r="AI113" i="16"/>
  <c r="B201" i="9" s="1"/>
  <c r="D99" i="18"/>
  <c r="N99" i="18" s="1"/>
  <c r="CB106" i="16"/>
  <c r="CF38" i="6" s="1"/>
  <c r="CD106" i="16"/>
  <c r="CH38" i="6" s="1"/>
  <c r="BL104" i="16"/>
  <c r="CD107" i="16"/>
  <c r="CH39" i="6" s="1"/>
  <c r="CB107" i="16"/>
  <c r="CF39" i="6" s="1"/>
  <c r="L99" i="18"/>
  <c r="CB112" i="16"/>
  <c r="CD112" i="16"/>
  <c r="J137" i="8"/>
  <c r="J97" i="9"/>
  <c r="AO97" i="3"/>
  <c r="AP97" i="3" s="1"/>
  <c r="BJ97" i="3" s="1"/>
  <c r="N77" i="6"/>
  <c r="AN97" i="3"/>
  <c r="AO98" i="3" s="1"/>
  <c r="AP98" i="3" s="1"/>
  <c r="BJ98" i="3" s="1"/>
  <c r="AJ190" i="11"/>
  <c r="BL105" i="11"/>
  <c r="CD114" i="11"/>
  <c r="CD46" i="6" s="1"/>
  <c r="CB114" i="11"/>
  <c r="CB46" i="6" s="1"/>
  <c r="H91" i="9"/>
  <c r="H95" i="3"/>
  <c r="L95" i="3" s="1"/>
  <c r="AD191" i="11"/>
  <c r="AE191" i="11"/>
  <c r="AH101" i="3" s="1"/>
  <c r="AK101" i="3" s="1"/>
  <c r="AH100" i="3"/>
  <c r="AK100" i="3" s="1"/>
  <c r="AM100" i="3" s="1"/>
  <c r="BL118" i="17"/>
  <c r="Q180" i="8"/>
  <c r="S180" i="8"/>
  <c r="Y180" i="8"/>
  <c r="K180" i="8"/>
  <c r="BG105" i="17"/>
  <c r="G95" i="19" s="1"/>
  <c r="U180" i="8"/>
  <c r="J165" i="8"/>
  <c r="BH104" i="17"/>
  <c r="H94" i="19" s="1"/>
  <c r="BI104" i="17"/>
  <c r="I94" i="19" s="1"/>
  <c r="M180" i="8"/>
  <c r="L180" i="8"/>
  <c r="T180" i="8"/>
  <c r="AC122" i="17"/>
  <c r="AE122" i="17"/>
  <c r="AD122" i="17"/>
  <c r="AJ122" i="17"/>
  <c r="AI122" i="17"/>
  <c r="AH122" i="17"/>
  <c r="BC120" i="17"/>
  <c r="BH120" i="17" s="1"/>
  <c r="H110" i="19" s="1"/>
  <c r="BJ105" i="17"/>
  <c r="J95" i="19" s="1"/>
  <c r="AD180" i="8"/>
  <c r="W180" i="8"/>
  <c r="D168" i="8"/>
  <c r="I168" i="8"/>
  <c r="F168" i="8"/>
  <c r="E168" i="8"/>
  <c r="G168" i="8"/>
  <c r="H168" i="8"/>
  <c r="C168" i="8"/>
  <c r="Y124" i="17"/>
  <c r="Z124" i="17" s="1"/>
  <c r="BI105" i="17"/>
  <c r="I95" i="19" s="1"/>
  <c r="BD105" i="17"/>
  <c r="BF105" i="17"/>
  <c r="F95" i="19" s="1"/>
  <c r="BY120" i="17"/>
  <c r="BX52" i="6" s="1"/>
  <c r="BZ120" i="17"/>
  <c r="BY52" i="6" s="1"/>
  <c r="D181" i="8"/>
  <c r="H181" i="8"/>
  <c r="G181" i="8"/>
  <c r="I181" i="8"/>
  <c r="F181" i="8"/>
  <c r="E181" i="8"/>
  <c r="C181" i="8"/>
  <c r="AF121" i="17"/>
  <c r="AV121" i="17"/>
  <c r="AU121" i="17"/>
  <c r="AX121" i="17"/>
  <c r="AW121" i="17"/>
  <c r="AY121" i="17"/>
  <c r="AS121" i="17"/>
  <c r="AR121" i="17"/>
  <c r="AZ121" i="17"/>
  <c r="BB121" i="17"/>
  <c r="BA121" i="17"/>
  <c r="AT121" i="17"/>
  <c r="AG121" i="17"/>
  <c r="AK121" i="17" s="1"/>
  <c r="J180" i="8"/>
  <c r="AL120" i="17"/>
  <c r="F167" i="8"/>
  <c r="E167" i="8"/>
  <c r="G167" i="8"/>
  <c r="D167" i="8"/>
  <c r="I167" i="8"/>
  <c r="H167" i="8"/>
  <c r="C167" i="8"/>
  <c r="V165" i="8"/>
  <c r="R126" i="17"/>
  <c r="Q126" i="17"/>
  <c r="S126" i="17"/>
  <c r="T126" i="17"/>
  <c r="B243" i="9"/>
  <c r="B277" i="9"/>
  <c r="BL103" i="16"/>
  <c r="G94" i="18"/>
  <c r="P94" i="18" s="1"/>
  <c r="Q94" i="18" s="1"/>
  <c r="R94" i="18" s="1"/>
  <c r="I138" i="8"/>
  <c r="E138" i="8"/>
  <c r="F138" i="8"/>
  <c r="D138" i="8"/>
  <c r="G138" i="8"/>
  <c r="H138" i="8"/>
  <c r="C138" i="8"/>
  <c r="S126" i="16"/>
  <c r="Q126" i="16"/>
  <c r="R126" i="16"/>
  <c r="T126" i="16"/>
  <c r="U126" i="16"/>
  <c r="B200" i="9"/>
  <c r="B166" i="9"/>
  <c r="AL105" i="16"/>
  <c r="D132" i="8"/>
  <c r="G132" i="8"/>
  <c r="F132" i="8"/>
  <c r="H132" i="8"/>
  <c r="E132" i="8"/>
  <c r="I132" i="8"/>
  <c r="C132" i="8"/>
  <c r="BH110" i="16"/>
  <c r="H100" i="18" s="1"/>
  <c r="BF110" i="16"/>
  <c r="F100" i="18" s="1"/>
  <c r="BC111" i="16"/>
  <c r="BH111" i="16" s="1"/>
  <c r="H101" i="18" s="1"/>
  <c r="BY110" i="16"/>
  <c r="BR42" i="6" s="1"/>
  <c r="AI191" i="11"/>
  <c r="BC107" i="11"/>
  <c r="BI107" i="11" s="1"/>
  <c r="BG106" i="11"/>
  <c r="BI106" i="11"/>
  <c r="L99" i="8"/>
  <c r="AG191" i="11"/>
  <c r="AM105" i="3"/>
  <c r="AH191" i="11"/>
  <c r="BJ106" i="11"/>
  <c r="J96" i="3" s="1"/>
  <c r="BC113" i="11"/>
  <c r="BE113" i="11" s="1"/>
  <c r="E103" i="3" s="1"/>
  <c r="N71" i="6"/>
  <c r="R71" i="6" s="1"/>
  <c r="AE36" i="6" s="1"/>
  <c r="O41" i="6"/>
  <c r="S41" i="6" s="1"/>
  <c r="Z40" i="6" s="1"/>
  <c r="G91" i="9"/>
  <c r="T91" i="9" s="1"/>
  <c r="D38" i="6" s="1"/>
  <c r="G97" i="9"/>
  <c r="G106" i="8"/>
  <c r="E106" i="8"/>
  <c r="I106" i="8"/>
  <c r="C106" i="8"/>
  <c r="AH180" i="8"/>
  <c r="I188" i="6" s="1"/>
  <c r="AM96" i="19"/>
  <c r="AL96" i="19"/>
  <c r="AJ186" i="17"/>
  <c r="AC192" i="11"/>
  <c r="AH192" i="11" s="1"/>
  <c r="BW106" i="11"/>
  <c r="BJ38" i="6" s="1"/>
  <c r="G125" i="9"/>
  <c r="T125" i="9" s="1"/>
  <c r="D72" i="6" s="1"/>
  <c r="M72" i="6" s="1"/>
  <c r="J125" i="9"/>
  <c r="W125" i="9" s="1"/>
  <c r="F72" i="6" s="1"/>
  <c r="H125" i="9"/>
  <c r="U125" i="9" s="1"/>
  <c r="E72" i="6" s="1"/>
  <c r="BC107" i="17"/>
  <c r="BI107" i="17" s="1"/>
  <c r="I97" i="19" s="1"/>
  <c r="A282" i="9"/>
  <c r="A214" i="9"/>
  <c r="A248" i="9"/>
  <c r="A180" i="9"/>
  <c r="A146" i="9"/>
  <c r="V194" i="11"/>
  <c r="U194" i="11"/>
  <c r="CE114" i="11" s="1"/>
  <c r="CE46" i="6" s="1"/>
  <c r="T194" i="11"/>
  <c r="AI46" i="6" s="1"/>
  <c r="AQ109" i="16"/>
  <c r="G131" i="9"/>
  <c r="T131" i="9" s="1"/>
  <c r="D78" i="6" s="1"/>
  <c r="M78" i="6" s="1"/>
  <c r="H131" i="9"/>
  <c r="U131" i="9" s="1"/>
  <c r="E78" i="6" s="1"/>
  <c r="J131" i="9"/>
  <c r="W131" i="9" s="1"/>
  <c r="F78" i="6" s="1"/>
  <c r="AX114" i="11"/>
  <c r="AS114" i="11"/>
  <c r="AF114" i="11"/>
  <c r="G107" i="8" s="1"/>
  <c r="AW114" i="11"/>
  <c r="AV114" i="11"/>
  <c r="AG114" i="11"/>
  <c r="AU114" i="11"/>
  <c r="BA114" i="11"/>
  <c r="BB114" i="11"/>
  <c r="AY114" i="11"/>
  <c r="AR114" i="11"/>
  <c r="AZ114" i="11"/>
  <c r="AT114" i="11"/>
  <c r="BC106" i="17"/>
  <c r="BG106" i="17" s="1"/>
  <c r="G96" i="19" s="1"/>
  <c r="BZ105" i="17"/>
  <c r="BY37" i="6" s="1"/>
  <c r="AM95" i="19"/>
  <c r="AO95" i="19" s="1"/>
  <c r="AP95" i="19" s="1"/>
  <c r="BJ95" i="19" s="1"/>
  <c r="AL95" i="19"/>
  <c r="AN95" i="19" s="1"/>
  <c r="B92" i="9"/>
  <c r="H92" i="9" s="1"/>
  <c r="B126" i="9"/>
  <c r="J159" i="9"/>
  <c r="H159" i="9"/>
  <c r="G159" i="9"/>
  <c r="AL107" i="17"/>
  <c r="B194" i="9"/>
  <c r="B160" i="9"/>
  <c r="BY107" i="17"/>
  <c r="BX39" i="6" s="1"/>
  <c r="B98" i="9"/>
  <c r="G98" i="9" s="1"/>
  <c r="B132" i="9"/>
  <c r="AP105" i="16"/>
  <c r="B132" i="8" s="1"/>
  <c r="BY106" i="17"/>
  <c r="B161" i="9"/>
  <c r="B195" i="9"/>
  <c r="S132" i="9"/>
  <c r="P132" i="9"/>
  <c r="Q132" i="9"/>
  <c r="J193" i="9"/>
  <c r="G193" i="9"/>
  <c r="H193" i="9"/>
  <c r="W193" i="11"/>
  <c r="BY113" i="11" s="1"/>
  <c r="BL45" i="6" s="1"/>
  <c r="AA193" i="11"/>
  <c r="Z193" i="11"/>
  <c r="K133" i="9" s="1"/>
  <c r="Y193" i="11"/>
  <c r="AB193" i="11"/>
  <c r="X193" i="11"/>
  <c r="BZ104" i="17"/>
  <c r="BY36" i="6" s="1"/>
  <c r="AH97" i="19"/>
  <c r="AK97" i="19" s="1"/>
  <c r="AJ187" i="17"/>
  <c r="AL106" i="17"/>
  <c r="O185" i="6"/>
  <c r="S185" i="6" s="1"/>
  <c r="AX48" i="6" s="1"/>
  <c r="AB165" i="8"/>
  <c r="AO105" i="16"/>
  <c r="AN105" i="16"/>
  <c r="BF111" i="16"/>
  <c r="F101" i="18" s="1"/>
  <c r="AF106" i="16"/>
  <c r="AU106" i="16"/>
  <c r="AR106" i="16"/>
  <c r="AV106" i="16"/>
  <c r="AZ106" i="16"/>
  <c r="AS106" i="16"/>
  <c r="AW106" i="16"/>
  <c r="BA106" i="16"/>
  <c r="BB106" i="16"/>
  <c r="AT106" i="16"/>
  <c r="AX106" i="16"/>
  <c r="AY106" i="16"/>
  <c r="AG106" i="16"/>
  <c r="AK106" i="16" s="1"/>
  <c r="AF112" i="16"/>
  <c r="AU112" i="16"/>
  <c r="AY112" i="16"/>
  <c r="AS112" i="16"/>
  <c r="AX112" i="16"/>
  <c r="AT112" i="16"/>
  <c r="AZ112" i="16"/>
  <c r="AV112" i="16"/>
  <c r="AR112" i="16"/>
  <c r="AW112" i="16"/>
  <c r="BB112" i="16"/>
  <c r="BA112" i="16"/>
  <c r="AG112" i="16"/>
  <c r="P99" i="18"/>
  <c r="C102" i="18"/>
  <c r="AM105" i="16"/>
  <c r="D95" i="18" s="1"/>
  <c r="N95" i="18" s="1"/>
  <c r="P98" i="18"/>
  <c r="Q98" i="18" s="1"/>
  <c r="L98" i="18"/>
  <c r="R135" i="8"/>
  <c r="AK111" i="16"/>
  <c r="AN110" i="16"/>
  <c r="AP110" i="16"/>
  <c r="B137" i="8" s="1"/>
  <c r="AO110" i="16"/>
  <c r="BJ110" i="16"/>
  <c r="J100" i="18" s="1"/>
  <c r="I150" i="6"/>
  <c r="I116" i="6"/>
  <c r="BG111" i="16"/>
  <c r="G101" i="18" s="1"/>
  <c r="AC113" i="16"/>
  <c r="AE113" i="16"/>
  <c r="AD113" i="16"/>
  <c r="K136" i="8"/>
  <c r="W136" i="8"/>
  <c r="Q136" i="8"/>
  <c r="U136" i="8"/>
  <c r="M136" i="8"/>
  <c r="AA136" i="8"/>
  <c r="AD136" i="8"/>
  <c r="T136" i="8"/>
  <c r="N136" i="8"/>
  <c r="AE136" i="8"/>
  <c r="O136" i="8"/>
  <c r="S136" i="8"/>
  <c r="L136" i="8"/>
  <c r="V136" i="8"/>
  <c r="AB136" i="8"/>
  <c r="AG136" i="8"/>
  <c r="P136" i="8"/>
  <c r="AF136" i="8"/>
  <c r="X136" i="8"/>
  <c r="AC136" i="8"/>
  <c r="Y136" i="8"/>
  <c r="AH135" i="8"/>
  <c r="H116" i="6"/>
  <c r="H150" i="6"/>
  <c r="AM110" i="16"/>
  <c r="BZ110" i="16" s="1"/>
  <c r="M143" i="6"/>
  <c r="N143" i="6"/>
  <c r="BE111" i="16"/>
  <c r="E101" i="18" s="1"/>
  <c r="BL109" i="16"/>
  <c r="BI110" i="16"/>
  <c r="I100" i="18" s="1"/>
  <c r="BE110" i="16"/>
  <c r="BD110" i="16"/>
  <c r="BG110" i="16"/>
  <c r="G100" i="18" s="1"/>
  <c r="BC105" i="16"/>
  <c r="BI105" i="16" s="1"/>
  <c r="I95" i="18" s="1"/>
  <c r="R150" i="6"/>
  <c r="AQ47" i="6" s="1"/>
  <c r="Z135" i="8"/>
  <c r="AF107" i="16"/>
  <c r="AR107" i="16"/>
  <c r="AV107" i="16"/>
  <c r="AZ107" i="16"/>
  <c r="AS107" i="16"/>
  <c r="AW107" i="16"/>
  <c r="BA107" i="16"/>
  <c r="AX107" i="16"/>
  <c r="AU107" i="16"/>
  <c r="AY107" i="16"/>
  <c r="BB107" i="16"/>
  <c r="AT107" i="16"/>
  <c r="AG107" i="16"/>
  <c r="AK107" i="16" s="1"/>
  <c r="S105" i="18"/>
  <c r="R105" i="18"/>
  <c r="O82" i="6"/>
  <c r="S82" i="6" s="1"/>
  <c r="AF47" i="6" s="1"/>
  <c r="BY107" i="11"/>
  <c r="BL39" i="6" s="1"/>
  <c r="O48" i="6"/>
  <c r="S48" i="6" s="1"/>
  <c r="Z47" i="6" s="1"/>
  <c r="AP120" i="17"/>
  <c r="B181" i="8" s="1"/>
  <c r="AP107" i="17"/>
  <c r="B168" i="8" s="1"/>
  <c r="AE168" i="8" s="1"/>
  <c r="A206" i="17"/>
  <c r="A161" i="6"/>
  <c r="A93" i="6"/>
  <c r="A229" i="6"/>
  <c r="O186" i="6"/>
  <c r="S186" i="6" s="1"/>
  <c r="AX49" i="6" s="1"/>
  <c r="I171" i="6"/>
  <c r="I205" i="6"/>
  <c r="H242" i="9"/>
  <c r="O220" i="6"/>
  <c r="S220" i="6" s="1"/>
  <c r="BD49" i="6" s="1"/>
  <c r="H171" i="6"/>
  <c r="H205" i="6"/>
  <c r="G187" i="6"/>
  <c r="G221" i="6"/>
  <c r="G171" i="6"/>
  <c r="G205" i="6"/>
  <c r="AB114" i="16"/>
  <c r="AH114" i="16" s="1"/>
  <c r="BB91" i="18"/>
  <c r="G103" i="6"/>
  <c r="G137" i="6"/>
  <c r="I103" i="6"/>
  <c r="I137" i="6"/>
  <c r="H103" i="6"/>
  <c r="H137" i="6"/>
  <c r="U99" i="8"/>
  <c r="AB99" i="8"/>
  <c r="O70" i="6"/>
  <c r="S70" i="6" s="1"/>
  <c r="AF35" i="6" s="1"/>
  <c r="BM38" i="6"/>
  <c r="O36" i="6"/>
  <c r="S36" i="6" s="1"/>
  <c r="Z35" i="6" s="1"/>
  <c r="I37" i="6"/>
  <c r="R22" i="23" s="1"/>
  <c r="I71" i="6"/>
  <c r="G37" i="6"/>
  <c r="R16" i="23" s="1"/>
  <c r="G71" i="6"/>
  <c r="H37" i="6"/>
  <c r="R19" i="23" s="1"/>
  <c r="H71" i="6"/>
  <c r="I43" i="6"/>
  <c r="X22" i="23" s="1"/>
  <c r="I77" i="6"/>
  <c r="O75" i="6"/>
  <c r="S75" i="6" s="1"/>
  <c r="AF40" i="6" s="1"/>
  <c r="G43" i="6"/>
  <c r="X16" i="23" s="1"/>
  <c r="G77" i="6"/>
  <c r="I42" i="6"/>
  <c r="W22" i="23" s="1"/>
  <c r="I76" i="6"/>
  <c r="H43" i="6"/>
  <c r="X19" i="23" s="1"/>
  <c r="H77" i="6"/>
  <c r="R76" i="6"/>
  <c r="AE41" i="6" s="1"/>
  <c r="G42" i="6"/>
  <c r="W16" i="23" s="1"/>
  <c r="G76" i="6"/>
  <c r="H42" i="6"/>
  <c r="W19" i="23" s="1"/>
  <c r="H76" i="6"/>
  <c r="R77" i="6"/>
  <c r="AE42" i="6" s="1"/>
  <c r="BB93" i="3"/>
  <c r="BI93" i="3"/>
  <c r="AO107" i="17"/>
  <c r="S165" i="8"/>
  <c r="AF165" i="8"/>
  <c r="Y165" i="8"/>
  <c r="X165" i="8"/>
  <c r="AN107" i="17"/>
  <c r="BX38" i="6"/>
  <c r="A116" i="19"/>
  <c r="A206" i="16"/>
  <c r="A206" i="11"/>
  <c r="AE99" i="8"/>
  <c r="Q99" i="8"/>
  <c r="W99" i="8"/>
  <c r="O99" i="8"/>
  <c r="BE120" i="17"/>
  <c r="E110" i="19" s="1"/>
  <c r="N165" i="8"/>
  <c r="P165" i="8"/>
  <c r="U165" i="8"/>
  <c r="Q165" i="8"/>
  <c r="T165" i="8"/>
  <c r="AC165" i="8"/>
  <c r="K165" i="8"/>
  <c r="AG165" i="8"/>
  <c r="M165" i="8"/>
  <c r="AD165" i="8"/>
  <c r="J242" i="9"/>
  <c r="O165" i="8"/>
  <c r="L165" i="8"/>
  <c r="W165" i="8"/>
  <c r="AA165" i="8"/>
  <c r="AE165" i="8"/>
  <c r="AQ104" i="17"/>
  <c r="AH130" i="8"/>
  <c r="AD99" i="8"/>
  <c r="Y99" i="8"/>
  <c r="N99" i="8"/>
  <c r="M99" i="8"/>
  <c r="AF99" i="8"/>
  <c r="AC99" i="8"/>
  <c r="X99" i="8"/>
  <c r="T99" i="8"/>
  <c r="K99" i="8"/>
  <c r="P99" i="8"/>
  <c r="AA99" i="8"/>
  <c r="V99" i="8"/>
  <c r="S99" i="8"/>
  <c r="AG99" i="8"/>
  <c r="AN113" i="11"/>
  <c r="I126" i="11"/>
  <c r="I126" i="17"/>
  <c r="I126" i="16"/>
  <c r="R164" i="8"/>
  <c r="Z123" i="17"/>
  <c r="AA123" i="17"/>
  <c r="C111" i="19"/>
  <c r="X126" i="17"/>
  <c r="U126" i="17"/>
  <c r="H127" i="17"/>
  <c r="H127" i="16"/>
  <c r="AP107" i="11"/>
  <c r="B100" i="8" s="1"/>
  <c r="AE100" i="8" s="1"/>
  <c r="J116" i="11"/>
  <c r="K116" i="11" s="1"/>
  <c r="AA116" i="11" s="1"/>
  <c r="BH107" i="17"/>
  <c r="H97" i="19" s="1"/>
  <c r="V125" i="17"/>
  <c r="P108" i="19"/>
  <c r="L108" i="19"/>
  <c r="V125" i="16"/>
  <c r="X126" i="16"/>
  <c r="C112" i="19"/>
  <c r="D110" i="19"/>
  <c r="AH164" i="8"/>
  <c r="Z164" i="8"/>
  <c r="AM107" i="17"/>
  <c r="D97" i="19" s="1"/>
  <c r="AM106" i="17"/>
  <c r="D96" i="19" s="1"/>
  <c r="N96" i="19" s="1"/>
  <c r="R130" i="8"/>
  <c r="Z130" i="8"/>
  <c r="P93" i="18"/>
  <c r="Q93" i="18" s="1"/>
  <c r="R93" i="18" s="1"/>
  <c r="BD107" i="17"/>
  <c r="BJ107" i="17"/>
  <c r="J97" i="19" s="1"/>
  <c r="BF107" i="17"/>
  <c r="F97" i="19" s="1"/>
  <c r="BK107" i="17"/>
  <c r="K97" i="19" s="1"/>
  <c r="BE107" i="17"/>
  <c r="E97" i="19" s="1"/>
  <c r="BG107" i="17"/>
  <c r="G97" i="19" s="1"/>
  <c r="C97" i="18"/>
  <c r="S99" i="19"/>
  <c r="R99" i="19"/>
  <c r="P93" i="19"/>
  <c r="L93" i="19"/>
  <c r="L93" i="18"/>
  <c r="S102" i="19"/>
  <c r="R102" i="19"/>
  <c r="Z131" i="8"/>
  <c r="A224" i="7"/>
  <c r="A187" i="8"/>
  <c r="A195" i="6"/>
  <c r="A119" i="8"/>
  <c r="A153" i="8"/>
  <c r="C96" i="18"/>
  <c r="R98" i="8"/>
  <c r="AH131" i="8"/>
  <c r="R131" i="8"/>
  <c r="Z98" i="8"/>
  <c r="AE105" i="8"/>
  <c r="AF105" i="8"/>
  <c r="AD105" i="8"/>
  <c r="AG105" i="8"/>
  <c r="AB105" i="8"/>
  <c r="AC105" i="8"/>
  <c r="K105" i="8"/>
  <c r="M105" i="8"/>
  <c r="AA105" i="8"/>
  <c r="N105" i="8"/>
  <c r="P105" i="8"/>
  <c r="T105" i="8"/>
  <c r="V105" i="8"/>
  <c r="S105" i="8"/>
  <c r="O105" i="8"/>
  <c r="Y105" i="8"/>
  <c r="X105" i="8"/>
  <c r="W105" i="8"/>
  <c r="U105" i="8"/>
  <c r="L105" i="8"/>
  <c r="Q105" i="8"/>
  <c r="AH98" i="8"/>
  <c r="R104" i="8"/>
  <c r="J100" i="8"/>
  <c r="Z104" i="8"/>
  <c r="AH104" i="8"/>
  <c r="S166" i="8"/>
  <c r="W166" i="8"/>
  <c r="AA166" i="8"/>
  <c r="AE166" i="8"/>
  <c r="U166" i="8"/>
  <c r="AF166" i="8"/>
  <c r="N166" i="8"/>
  <c r="Y166" i="8"/>
  <c r="AG166" i="8"/>
  <c r="T166" i="8"/>
  <c r="AB166" i="8"/>
  <c r="V166" i="8"/>
  <c r="X166" i="8"/>
  <c r="K166" i="8"/>
  <c r="P166" i="8"/>
  <c r="AC166" i="8"/>
  <c r="L166" i="8"/>
  <c r="AD166" i="8"/>
  <c r="M166" i="8"/>
  <c r="O166" i="8"/>
  <c r="Q166" i="8"/>
  <c r="R37" i="6"/>
  <c r="Y36" i="6" s="1"/>
  <c r="S99" i="3"/>
  <c r="R99" i="3"/>
  <c r="S94" i="3"/>
  <c r="U94" i="3" s="1"/>
  <c r="V94" i="3" s="1"/>
  <c r="R94" i="3"/>
  <c r="T94" i="3" s="1"/>
  <c r="S100" i="3"/>
  <c r="R100" i="3"/>
  <c r="A116" i="18"/>
  <c r="E102" i="3"/>
  <c r="J102" i="3"/>
  <c r="K102" i="3"/>
  <c r="I102" i="3"/>
  <c r="F96" i="3"/>
  <c r="F102" i="3"/>
  <c r="D102" i="3"/>
  <c r="N102" i="3" s="1"/>
  <c r="P101" i="3"/>
  <c r="Q101" i="3" s="1"/>
  <c r="L101" i="3"/>
  <c r="D96" i="3"/>
  <c r="N96" i="3" s="1"/>
  <c r="G102" i="3"/>
  <c r="I96" i="3"/>
  <c r="H96" i="3"/>
  <c r="AN106" i="17"/>
  <c r="AQ105" i="17"/>
  <c r="G92" i="9"/>
  <c r="J92" i="9"/>
  <c r="W92" i="9" s="1"/>
  <c r="F39" i="6" s="1"/>
  <c r="T21" i="23" s="1"/>
  <c r="A190" i="7"/>
  <c r="A166" i="17"/>
  <c r="A126" i="17"/>
  <c r="A127" i="6"/>
  <c r="U91" i="9"/>
  <c r="E38" i="6" s="1"/>
  <c r="N38" i="6" s="1"/>
  <c r="AO106" i="17"/>
  <c r="AP106" i="17"/>
  <c r="B167" i="8" s="1"/>
  <c r="A166" i="16"/>
  <c r="A126" i="16"/>
  <c r="BL112" i="11"/>
  <c r="AJ114" i="16"/>
  <c r="A126" i="11"/>
  <c r="A166" i="11"/>
  <c r="BD113" i="11"/>
  <c r="AQ106" i="11"/>
  <c r="AM107" i="11"/>
  <c r="BZ107" i="11" s="1"/>
  <c r="AQ112" i="11"/>
  <c r="AL113" i="11"/>
  <c r="AN107" i="11"/>
  <c r="AL107" i="11"/>
  <c r="AO107" i="11"/>
  <c r="AP113" i="11"/>
  <c r="B106" i="8" s="1"/>
  <c r="AM113" i="11"/>
  <c r="N103" i="19" s="1"/>
  <c r="Q103" i="19" s="1"/>
  <c r="AO113" i="11"/>
  <c r="AK114" i="11"/>
  <c r="Z123" i="11"/>
  <c r="Y124" i="11"/>
  <c r="X126" i="11"/>
  <c r="U126" i="11"/>
  <c r="T126" i="11"/>
  <c r="S126" i="11"/>
  <c r="R126" i="11"/>
  <c r="V125" i="11"/>
  <c r="K126" i="11"/>
  <c r="H127" i="11"/>
  <c r="Q127" i="11" s="1"/>
  <c r="K147" i="4"/>
  <c r="A156" i="7"/>
  <c r="A59" i="6"/>
  <c r="W58" i="6" s="1"/>
  <c r="BH58" i="6" s="1"/>
  <c r="A112" i="9"/>
  <c r="A147" i="4"/>
  <c r="A116" i="3"/>
  <c r="AD181" i="8" l="1"/>
  <c r="N72" i="6"/>
  <c r="O150" i="6"/>
  <c r="S150" i="6" s="1"/>
  <c r="AR47" i="6" s="1"/>
  <c r="M38" i="6"/>
  <c r="S18" i="23"/>
  <c r="S92" i="18"/>
  <c r="U92" i="18" s="1"/>
  <c r="V92" i="18" s="1"/>
  <c r="D107" i="8"/>
  <c r="C104" i="3"/>
  <c r="F107" i="8"/>
  <c r="AD96" i="3"/>
  <c r="AG192" i="11"/>
  <c r="AN98" i="3"/>
  <c r="AO99" i="3" s="1"/>
  <c r="AP99" i="3" s="1"/>
  <c r="BJ99" i="3" s="1"/>
  <c r="AF192" i="11"/>
  <c r="AE192" i="11"/>
  <c r="AH102" i="3" s="1"/>
  <c r="AK102" i="3" s="1"/>
  <c r="AL102" i="3" s="1"/>
  <c r="H107" i="8"/>
  <c r="I107" i="8"/>
  <c r="AI192" i="11"/>
  <c r="AC168" i="8"/>
  <c r="C107" i="8"/>
  <c r="E107" i="8"/>
  <c r="AJ191" i="11"/>
  <c r="J98" i="9"/>
  <c r="BK107" i="11"/>
  <c r="BF106" i="17"/>
  <c r="F96" i="19" s="1"/>
  <c r="BF113" i="11"/>
  <c r="F103" i="3" s="1"/>
  <c r="N78" i="6"/>
  <c r="R78" i="6" s="1"/>
  <c r="AE43" i="6" s="1"/>
  <c r="M168" i="8"/>
  <c r="I222" i="6"/>
  <c r="BD106" i="17"/>
  <c r="AB168" i="8"/>
  <c r="H221" i="6"/>
  <c r="I221" i="6"/>
  <c r="O221" i="6" s="1"/>
  <c r="S221" i="6" s="1"/>
  <c r="BD50" i="6" s="1"/>
  <c r="P168" i="8"/>
  <c r="Q168" i="8"/>
  <c r="P94" i="19"/>
  <c r="P109" i="19"/>
  <c r="BJ106" i="17"/>
  <c r="J96" i="19" s="1"/>
  <c r="BE106" i="17"/>
  <c r="E96" i="19" s="1"/>
  <c r="L94" i="19"/>
  <c r="J167" i="8"/>
  <c r="O168" i="8"/>
  <c r="T168" i="8"/>
  <c r="CB122" i="17"/>
  <c r="CD122" i="17"/>
  <c r="R180" i="8"/>
  <c r="G222" i="6" s="1"/>
  <c r="BL119" i="17"/>
  <c r="L109" i="19"/>
  <c r="J181" i="8"/>
  <c r="BL104" i="17"/>
  <c r="BF105" i="16"/>
  <c r="BH105" i="16"/>
  <c r="H95" i="18" s="1"/>
  <c r="Q99" i="18"/>
  <c r="BK105" i="16"/>
  <c r="K95" i="18" s="1"/>
  <c r="B167" i="9"/>
  <c r="H167" i="9" s="1"/>
  <c r="P132" i="8"/>
  <c r="L94" i="18"/>
  <c r="C103" i="18"/>
  <c r="CD113" i="16"/>
  <c r="CB113" i="16"/>
  <c r="J132" i="8"/>
  <c r="AL101" i="3"/>
  <c r="AM101" i="3"/>
  <c r="BZ111" i="11"/>
  <c r="BM43" i="6" s="1"/>
  <c r="BF107" i="11"/>
  <c r="BJ107" i="11"/>
  <c r="J97" i="3" s="1"/>
  <c r="BD107" i="11"/>
  <c r="BJ113" i="11"/>
  <c r="J103" i="3" s="1"/>
  <c r="BG107" i="11"/>
  <c r="G97" i="3" s="1"/>
  <c r="BH107" i="11"/>
  <c r="H97" i="3" s="1"/>
  <c r="BE107" i="11"/>
  <c r="E97" i="3" s="1"/>
  <c r="BH113" i="11"/>
  <c r="BG113" i="11"/>
  <c r="BC114" i="11"/>
  <c r="BJ114" i="11" s="1"/>
  <c r="BK113" i="11"/>
  <c r="BI113" i="11"/>
  <c r="I103" i="3" s="1"/>
  <c r="AL100" i="3"/>
  <c r="BL106" i="11"/>
  <c r="P95" i="3"/>
  <c r="Q95" i="3" s="1"/>
  <c r="R95" i="3" s="1"/>
  <c r="T95" i="3" s="1"/>
  <c r="G96" i="3"/>
  <c r="P96" i="3" s="1"/>
  <c r="Q96" i="3" s="1"/>
  <c r="L168" i="8"/>
  <c r="AQ120" i="17"/>
  <c r="Z180" i="8"/>
  <c r="H222" i="6" s="1"/>
  <c r="BK106" i="17"/>
  <c r="K96" i="19" s="1"/>
  <c r="BI106" i="17"/>
  <c r="I96" i="19" s="1"/>
  <c r="N168" i="8"/>
  <c r="W168" i="8"/>
  <c r="AG168" i="8"/>
  <c r="X168" i="8"/>
  <c r="AA124" i="17"/>
  <c r="AB124" i="17" s="1"/>
  <c r="BK120" i="17"/>
  <c r="K110" i="19" s="1"/>
  <c r="J168" i="8"/>
  <c r="V168" i="8"/>
  <c r="V181" i="8"/>
  <c r="BL105" i="17"/>
  <c r="AF168" i="8"/>
  <c r="U168" i="8"/>
  <c r="Y168" i="8"/>
  <c r="BH106" i="17"/>
  <c r="H96" i="19" s="1"/>
  <c r="AF122" i="17"/>
  <c r="AW122" i="17"/>
  <c r="AX122" i="17"/>
  <c r="AV122" i="17"/>
  <c r="AU122" i="17"/>
  <c r="AZ122" i="17"/>
  <c r="BA122" i="17"/>
  <c r="AT122" i="17"/>
  <c r="AS122" i="17"/>
  <c r="BB122" i="17"/>
  <c r="AR122" i="17"/>
  <c r="AY122" i="17"/>
  <c r="AG122" i="17"/>
  <c r="AK122" i="17" s="1"/>
  <c r="AO122" i="17" s="1"/>
  <c r="AD168" i="8"/>
  <c r="AA168" i="8"/>
  <c r="BF120" i="17"/>
  <c r="F110" i="19" s="1"/>
  <c r="BI120" i="17"/>
  <c r="I110" i="19" s="1"/>
  <c r="BC121" i="17"/>
  <c r="BE121" i="17" s="1"/>
  <c r="S127" i="17"/>
  <c r="R127" i="17"/>
  <c r="T127" i="17"/>
  <c r="K168" i="8"/>
  <c r="BG120" i="17"/>
  <c r="G110" i="19" s="1"/>
  <c r="BJ120" i="17"/>
  <c r="J110" i="19" s="1"/>
  <c r="AL121" i="17"/>
  <c r="B244" i="9"/>
  <c r="B278" i="9"/>
  <c r="S168" i="8"/>
  <c r="BY121" i="17"/>
  <c r="BX53" i="6" s="1"/>
  <c r="F182" i="8"/>
  <c r="E182" i="8"/>
  <c r="G182" i="8"/>
  <c r="D182" i="8"/>
  <c r="I182" i="8"/>
  <c r="H182" i="8"/>
  <c r="C182" i="8"/>
  <c r="Y125" i="17"/>
  <c r="Z125" i="17" s="1"/>
  <c r="BD120" i="17"/>
  <c r="AI114" i="16"/>
  <c r="B202" i="9" s="1"/>
  <c r="BC112" i="16"/>
  <c r="J138" i="8"/>
  <c r="AL106" i="16"/>
  <c r="E133" i="8"/>
  <c r="G133" i="8"/>
  <c r="I133" i="8"/>
  <c r="D133" i="8"/>
  <c r="F133" i="8"/>
  <c r="H133" i="8"/>
  <c r="C133" i="8"/>
  <c r="J167" i="9"/>
  <c r="G167" i="9"/>
  <c r="AL107" i="16"/>
  <c r="F134" i="8"/>
  <c r="I134" i="8"/>
  <c r="D134" i="8"/>
  <c r="G134" i="8"/>
  <c r="E134" i="8"/>
  <c r="H134" i="8"/>
  <c r="C134" i="8"/>
  <c r="J201" i="9"/>
  <c r="W201" i="9" s="1"/>
  <c r="F148" i="6" s="1"/>
  <c r="H201" i="9"/>
  <c r="U201" i="9" s="1"/>
  <c r="E148" i="6" s="1"/>
  <c r="G201" i="9"/>
  <c r="T201" i="9" s="1"/>
  <c r="D148" i="6" s="1"/>
  <c r="J166" i="9"/>
  <c r="H166" i="9"/>
  <c r="G166" i="9"/>
  <c r="R127" i="16"/>
  <c r="Q127" i="16"/>
  <c r="S127" i="16"/>
  <c r="U127" i="16"/>
  <c r="T127" i="16"/>
  <c r="BD111" i="16"/>
  <c r="BI111" i="16"/>
  <c r="BK111" i="16"/>
  <c r="K101" i="18" s="1"/>
  <c r="J200" i="9"/>
  <c r="W200" i="9" s="1"/>
  <c r="F147" i="6" s="1"/>
  <c r="H200" i="9"/>
  <c r="U200" i="9" s="1"/>
  <c r="E147" i="6" s="1"/>
  <c r="G200" i="9"/>
  <c r="T200" i="9" s="1"/>
  <c r="D147" i="6" s="1"/>
  <c r="BY111" i="16"/>
  <c r="BR43" i="6" s="1"/>
  <c r="BK112" i="16"/>
  <c r="K102" i="18" s="1"/>
  <c r="F139" i="8"/>
  <c r="E139" i="8"/>
  <c r="H139" i="8"/>
  <c r="G139" i="8"/>
  <c r="I139" i="8"/>
  <c r="D139" i="8"/>
  <c r="C139" i="8"/>
  <c r="BJ111" i="16"/>
  <c r="J101" i="18" s="1"/>
  <c r="AL111" i="16"/>
  <c r="J106" i="8"/>
  <c r="H98" i="9"/>
  <c r="O116" i="6"/>
  <c r="S116" i="6" s="1"/>
  <c r="AL47" i="6" s="1"/>
  <c r="O187" i="6"/>
  <c r="S187" i="6" s="1"/>
  <c r="AX50" i="6" s="1"/>
  <c r="AC193" i="11"/>
  <c r="AI193" i="11" s="1"/>
  <c r="BZ107" i="17"/>
  <c r="BY39" i="6" s="1"/>
  <c r="J160" i="9"/>
  <c r="H160" i="9"/>
  <c r="G160" i="9"/>
  <c r="AO96" i="19"/>
  <c r="AP96" i="19" s="1"/>
  <c r="BJ96" i="19" s="1"/>
  <c r="AN96" i="19"/>
  <c r="AD192" i="11"/>
  <c r="B93" i="9"/>
  <c r="G93" i="9" s="1"/>
  <c r="B127" i="9"/>
  <c r="AN107" i="16"/>
  <c r="A283" i="9"/>
  <c r="A215" i="9"/>
  <c r="A249" i="9"/>
  <c r="A181" i="9"/>
  <c r="A147" i="9"/>
  <c r="BM39" i="6"/>
  <c r="AP106" i="16"/>
  <c r="B133" i="8" s="1"/>
  <c r="AL97" i="19"/>
  <c r="AM97" i="19"/>
  <c r="J195" i="9"/>
  <c r="G195" i="9"/>
  <c r="H195" i="9"/>
  <c r="H194" i="9"/>
  <c r="G194" i="9"/>
  <c r="J194" i="9"/>
  <c r="B99" i="9"/>
  <c r="J99" i="9" s="1"/>
  <c r="B133" i="9"/>
  <c r="H161" i="9"/>
  <c r="J161" i="9"/>
  <c r="G161" i="9"/>
  <c r="BZ106" i="17"/>
  <c r="BY38" i="6" s="1"/>
  <c r="G132" i="9"/>
  <c r="T132" i="9" s="1"/>
  <c r="D79" i="6" s="1"/>
  <c r="M79" i="6" s="1"/>
  <c r="J132" i="9"/>
  <c r="W132" i="9" s="1"/>
  <c r="F79" i="6" s="1"/>
  <c r="H132" i="9"/>
  <c r="U132" i="9" s="1"/>
  <c r="E79" i="6" s="1"/>
  <c r="G126" i="9"/>
  <c r="T126" i="9" s="1"/>
  <c r="D73" i="6" s="1"/>
  <c r="M73" i="6" s="1"/>
  <c r="J126" i="9"/>
  <c r="W126" i="9" s="1"/>
  <c r="F73" i="6" s="1"/>
  <c r="H126" i="9"/>
  <c r="U126" i="9" s="1"/>
  <c r="E73" i="6" s="1"/>
  <c r="W194" i="11"/>
  <c r="Z194" i="11"/>
  <c r="K134" i="9" s="1"/>
  <c r="Y194" i="11"/>
  <c r="AB194" i="11"/>
  <c r="X194" i="11"/>
  <c r="AA194" i="11"/>
  <c r="S133" i="9"/>
  <c r="Q133" i="9"/>
  <c r="P133" i="9"/>
  <c r="BG105" i="16"/>
  <c r="G95" i="18" s="1"/>
  <c r="BJ105" i="16"/>
  <c r="J95" i="18" s="1"/>
  <c r="BD105" i="16"/>
  <c r="BE105" i="16"/>
  <c r="E95" i="18" s="1"/>
  <c r="AO107" i="16"/>
  <c r="I143" i="6"/>
  <c r="I109" i="6"/>
  <c r="S98" i="18"/>
  <c r="R98" i="18"/>
  <c r="AK112" i="16"/>
  <c r="BD112" i="16"/>
  <c r="H143" i="6"/>
  <c r="H109" i="6"/>
  <c r="AP107" i="16"/>
  <c r="B134" i="8" s="1"/>
  <c r="D100" i="18"/>
  <c r="N100" i="18" s="1"/>
  <c r="BS42" i="6"/>
  <c r="AQ110" i="16"/>
  <c r="AH136" i="8"/>
  <c r="AC137" i="8"/>
  <c r="Y137" i="8"/>
  <c r="AE137" i="8"/>
  <c r="T137" i="8"/>
  <c r="N137" i="8"/>
  <c r="W137" i="8"/>
  <c r="K137" i="8"/>
  <c r="P137" i="8"/>
  <c r="S137" i="8"/>
  <c r="M137" i="8"/>
  <c r="L137" i="8"/>
  <c r="U137" i="8"/>
  <c r="V137" i="8"/>
  <c r="Q137" i="8"/>
  <c r="AB137" i="8"/>
  <c r="X137" i="8"/>
  <c r="O137" i="8"/>
  <c r="AD137" i="8"/>
  <c r="AA137" i="8"/>
  <c r="AF137" i="8"/>
  <c r="AG137" i="8"/>
  <c r="AM111" i="16"/>
  <c r="BZ111" i="16" s="1"/>
  <c r="N144" i="6"/>
  <c r="AM106" i="16"/>
  <c r="D96" i="18" s="1"/>
  <c r="N96" i="18" s="1"/>
  <c r="BC107" i="16"/>
  <c r="BH107" i="16" s="1"/>
  <c r="H97" i="18" s="1"/>
  <c r="E100" i="18"/>
  <c r="BL110" i="16"/>
  <c r="AO106" i="16"/>
  <c r="R136" i="8"/>
  <c r="AN106" i="16"/>
  <c r="G109" i="6"/>
  <c r="G143" i="6"/>
  <c r="AO111" i="16"/>
  <c r="AN111" i="16"/>
  <c r="AP111" i="16"/>
  <c r="B138" i="8" s="1"/>
  <c r="BF112" i="16"/>
  <c r="F102" i="18" s="1"/>
  <c r="AC114" i="16"/>
  <c r="AD114" i="16"/>
  <c r="AE114" i="16"/>
  <c r="AM107" i="16"/>
  <c r="D97" i="18" s="1"/>
  <c r="N97" i="18" s="1"/>
  <c r="R143" i="6"/>
  <c r="AQ40" i="6" s="1"/>
  <c r="Z136" i="8"/>
  <c r="AF113" i="16"/>
  <c r="AR113" i="16"/>
  <c r="AV113" i="16"/>
  <c r="AS113" i="16"/>
  <c r="AX113" i="16"/>
  <c r="AT113" i="16"/>
  <c r="AY113" i="16"/>
  <c r="AU113" i="16"/>
  <c r="BA113" i="16"/>
  <c r="BB113" i="16"/>
  <c r="AW113" i="16"/>
  <c r="AZ113" i="16"/>
  <c r="AG113" i="16"/>
  <c r="M144" i="6"/>
  <c r="BC106" i="16"/>
  <c r="BG106" i="16" s="1"/>
  <c r="G96" i="18" s="1"/>
  <c r="BY114" i="11"/>
  <c r="BL46" i="6" s="1"/>
  <c r="AF181" i="8"/>
  <c r="O181" i="8"/>
  <c r="X181" i="8"/>
  <c r="M181" i="8"/>
  <c r="K181" i="8"/>
  <c r="AG181" i="8"/>
  <c r="AC181" i="8"/>
  <c r="P181" i="8"/>
  <c r="L181" i="8"/>
  <c r="W181" i="8"/>
  <c r="AB181" i="8"/>
  <c r="T181" i="8"/>
  <c r="Y181" i="8"/>
  <c r="AA181" i="8"/>
  <c r="Q181" i="8"/>
  <c r="N181" i="8"/>
  <c r="U181" i="8"/>
  <c r="AE181" i="8"/>
  <c r="S181" i="8"/>
  <c r="O205" i="6"/>
  <c r="S205" i="6" s="1"/>
  <c r="BD34" i="6" s="1"/>
  <c r="O171" i="6"/>
  <c r="S171" i="6" s="1"/>
  <c r="AX34" i="6" s="1"/>
  <c r="A207" i="17"/>
  <c r="A230" i="6"/>
  <c r="A162" i="6"/>
  <c r="A94" i="6"/>
  <c r="Z165" i="8"/>
  <c r="H207" i="6" s="1"/>
  <c r="H172" i="6"/>
  <c r="H206" i="6"/>
  <c r="I172" i="6"/>
  <c r="I206" i="6"/>
  <c r="G172" i="6"/>
  <c r="G206" i="6"/>
  <c r="AG132" i="8"/>
  <c r="W132" i="8"/>
  <c r="AF132" i="8"/>
  <c r="Y132" i="8"/>
  <c r="O137" i="6"/>
  <c r="S137" i="6" s="1"/>
  <c r="AR34" i="6" s="1"/>
  <c r="O103" i="6"/>
  <c r="S103" i="6" s="1"/>
  <c r="AL34" i="6" s="1"/>
  <c r="U132" i="8"/>
  <c r="BB92" i="18"/>
  <c r="BI92" i="18"/>
  <c r="H105" i="6"/>
  <c r="H139" i="6"/>
  <c r="I105" i="6"/>
  <c r="I139" i="6"/>
  <c r="G105" i="6"/>
  <c r="G139" i="6"/>
  <c r="G104" i="6"/>
  <c r="G138" i="6"/>
  <c r="I104" i="6"/>
  <c r="I138" i="6"/>
  <c r="H104" i="6"/>
  <c r="H138" i="6"/>
  <c r="O43" i="6"/>
  <c r="S43" i="6" s="1"/>
  <c r="Z42" i="6" s="1"/>
  <c r="O37" i="6"/>
  <c r="S37" i="6" s="1"/>
  <c r="Z36" i="6" s="1"/>
  <c r="R72" i="6"/>
  <c r="AE37" i="6" s="1"/>
  <c r="G38" i="6"/>
  <c r="S16" i="23" s="1"/>
  <c r="G72" i="6"/>
  <c r="O42" i="6"/>
  <c r="S42" i="6" s="1"/>
  <c r="Z41" i="6" s="1"/>
  <c r="H38" i="6"/>
  <c r="S19" i="23" s="1"/>
  <c r="H72" i="6"/>
  <c r="I38" i="6"/>
  <c r="S22" i="23" s="1"/>
  <c r="I72" i="6"/>
  <c r="O71" i="6"/>
  <c r="S71" i="6" s="1"/>
  <c r="AF36" i="6" s="1"/>
  <c r="G44" i="6"/>
  <c r="Y16" i="23" s="1"/>
  <c r="G78" i="6"/>
  <c r="O77" i="6"/>
  <c r="S77" i="6" s="1"/>
  <c r="AF42" i="6" s="1"/>
  <c r="I44" i="6"/>
  <c r="Y22" i="23" s="1"/>
  <c r="I78" i="6"/>
  <c r="H44" i="6"/>
  <c r="Y19" i="23" s="1"/>
  <c r="H78" i="6"/>
  <c r="O76" i="6"/>
  <c r="S76" i="6" s="1"/>
  <c r="AF41" i="6" s="1"/>
  <c r="BB94" i="3"/>
  <c r="BI94" i="3"/>
  <c r="X100" i="8"/>
  <c r="O100" i="8"/>
  <c r="Z99" i="8"/>
  <c r="R165" i="8"/>
  <c r="A117" i="19"/>
  <c r="A207" i="16"/>
  <c r="A207" i="11"/>
  <c r="P100" i="8"/>
  <c r="AC100" i="8"/>
  <c r="V100" i="8"/>
  <c r="AF100" i="8"/>
  <c r="S100" i="8"/>
  <c r="K100" i="8"/>
  <c r="L100" i="8"/>
  <c r="M100" i="8"/>
  <c r="AA100" i="8"/>
  <c r="H196" i="11"/>
  <c r="R196" i="11"/>
  <c r="S196" i="11" s="1"/>
  <c r="AG193" i="11"/>
  <c r="AH165" i="8"/>
  <c r="AH99" i="8"/>
  <c r="V132" i="8"/>
  <c r="S132" i="8"/>
  <c r="BH121" i="17"/>
  <c r="H111" i="19" s="1"/>
  <c r="K132" i="8"/>
  <c r="N132" i="8"/>
  <c r="BF121" i="17"/>
  <c r="F111" i="19" s="1"/>
  <c r="AB123" i="17"/>
  <c r="R99" i="8"/>
  <c r="W100" i="8"/>
  <c r="U100" i="8"/>
  <c r="Y100" i="8"/>
  <c r="AD100" i="8"/>
  <c r="AB100" i="8"/>
  <c r="N100" i="8"/>
  <c r="Q100" i="8"/>
  <c r="T100" i="8"/>
  <c r="AG100" i="8"/>
  <c r="M132" i="8"/>
  <c r="V126" i="16"/>
  <c r="Y126" i="16" s="1"/>
  <c r="I127" i="11"/>
  <c r="I127" i="17"/>
  <c r="I127" i="16"/>
  <c r="AO121" i="17"/>
  <c r="AM121" i="17"/>
  <c r="D111" i="19" s="1"/>
  <c r="BI121" i="17"/>
  <c r="I111" i="19" s="1"/>
  <c r="BK121" i="17"/>
  <c r="K111" i="19" s="1"/>
  <c r="BD121" i="17"/>
  <c r="Q127" i="17"/>
  <c r="X127" i="17"/>
  <c r="U127" i="17"/>
  <c r="AN121" i="17"/>
  <c r="BG121" i="17"/>
  <c r="G111" i="19" s="1"/>
  <c r="V126" i="17"/>
  <c r="Y125" i="16"/>
  <c r="E111" i="19"/>
  <c r="X127" i="16"/>
  <c r="J117" i="11"/>
  <c r="K117" i="11" s="1"/>
  <c r="AA117" i="11" s="1"/>
  <c r="H128" i="17"/>
  <c r="H128" i="16"/>
  <c r="AO114" i="11"/>
  <c r="BJ121" i="17"/>
  <c r="J111" i="19" s="1"/>
  <c r="AP121" i="17"/>
  <c r="B182" i="8" s="1"/>
  <c r="N97" i="19"/>
  <c r="AQ107" i="17"/>
  <c r="S93" i="18"/>
  <c r="U93" i="18" s="1"/>
  <c r="V93" i="18" s="1"/>
  <c r="O132" i="8"/>
  <c r="X132" i="8"/>
  <c r="AA132" i="8"/>
  <c r="AD132" i="8"/>
  <c r="AC132" i="8"/>
  <c r="Q132" i="8"/>
  <c r="L132" i="8"/>
  <c r="AE132" i="8"/>
  <c r="T132" i="8"/>
  <c r="AB132" i="8"/>
  <c r="C104" i="18"/>
  <c r="S94" i="18"/>
  <c r="AQ105" i="16"/>
  <c r="BL107" i="17"/>
  <c r="F95" i="18"/>
  <c r="R103" i="19"/>
  <c r="S103" i="19"/>
  <c r="T93" i="18"/>
  <c r="AH105" i="8"/>
  <c r="A196" i="6"/>
  <c r="A225" i="7"/>
  <c r="A188" i="8"/>
  <c r="A154" i="8"/>
  <c r="A120" i="8"/>
  <c r="R105" i="8"/>
  <c r="AD106" i="8"/>
  <c r="AG106" i="8"/>
  <c r="AB106" i="8"/>
  <c r="L106" i="8"/>
  <c r="AC106" i="8"/>
  <c r="AE106" i="8"/>
  <c r="Q106" i="8"/>
  <c r="K106" i="8"/>
  <c r="O106" i="8"/>
  <c r="X106" i="8"/>
  <c r="S106" i="8"/>
  <c r="V106" i="8"/>
  <c r="T106" i="8"/>
  <c r="N106" i="8"/>
  <c r="AF106" i="8"/>
  <c r="U106" i="8"/>
  <c r="Y106" i="8"/>
  <c r="M106" i="8"/>
  <c r="AA106" i="8"/>
  <c r="P106" i="8"/>
  <c r="W106" i="8"/>
  <c r="Z105" i="8"/>
  <c r="AH166" i="8"/>
  <c r="Z166" i="8"/>
  <c r="T167" i="8"/>
  <c r="X167" i="8"/>
  <c r="AC167" i="8"/>
  <c r="AG167" i="8"/>
  <c r="V167" i="8"/>
  <c r="AB167" i="8"/>
  <c r="K167" i="8"/>
  <c r="O167" i="8"/>
  <c r="Y167" i="8"/>
  <c r="AF167" i="8"/>
  <c r="S167" i="8"/>
  <c r="AA167" i="8"/>
  <c r="U167" i="8"/>
  <c r="W167" i="8"/>
  <c r="N167" i="8"/>
  <c r="L167" i="8"/>
  <c r="M167" i="8"/>
  <c r="AD167" i="8"/>
  <c r="P167" i="8"/>
  <c r="AE167" i="8"/>
  <c r="Q167" i="8"/>
  <c r="R166" i="8"/>
  <c r="R38" i="6"/>
  <c r="Y37" i="6" s="1"/>
  <c r="R101" i="3"/>
  <c r="S101" i="3"/>
  <c r="S95" i="3"/>
  <c r="U95" i="3" s="1"/>
  <c r="V95" i="3" s="1"/>
  <c r="G103" i="3"/>
  <c r="A117" i="18"/>
  <c r="K103" i="3"/>
  <c r="H103" i="3"/>
  <c r="L102" i="3"/>
  <c r="P102" i="3"/>
  <c r="Q102" i="3" s="1"/>
  <c r="D97" i="3"/>
  <c r="N97" i="3" s="1"/>
  <c r="I97" i="3"/>
  <c r="D103" i="3"/>
  <c r="N103" i="3" s="1"/>
  <c r="K97" i="3"/>
  <c r="J104" i="3"/>
  <c r="AQ106" i="17"/>
  <c r="G229" i="9"/>
  <c r="J229" i="9"/>
  <c r="H229" i="9"/>
  <c r="G228" i="9"/>
  <c r="J228" i="9"/>
  <c r="H228" i="9"/>
  <c r="G227" i="9"/>
  <c r="J227" i="9"/>
  <c r="H227" i="9"/>
  <c r="T92" i="9"/>
  <c r="D39" i="6" s="1"/>
  <c r="A191" i="7"/>
  <c r="A167" i="17"/>
  <c r="A127" i="17"/>
  <c r="A128" i="6"/>
  <c r="U92" i="9"/>
  <c r="E39" i="6" s="1"/>
  <c r="N39" i="6" s="1"/>
  <c r="BI106" i="16"/>
  <c r="AA117" i="16"/>
  <c r="A167" i="16"/>
  <c r="A127" i="16"/>
  <c r="AA116" i="16"/>
  <c r="BG114" i="11"/>
  <c r="BI114" i="11"/>
  <c r="A127" i="11"/>
  <c r="A167" i="11"/>
  <c r="BE114" i="11"/>
  <c r="BD114" i="11"/>
  <c r="BK114" i="11"/>
  <c r="BH114" i="11"/>
  <c r="BF114" i="11"/>
  <c r="AQ107" i="11"/>
  <c r="AQ113" i="11"/>
  <c r="AN114" i="11"/>
  <c r="AP114" i="11"/>
  <c r="B107" i="8" s="1"/>
  <c r="AM114" i="11"/>
  <c r="N104" i="19" s="1"/>
  <c r="Q104" i="19" s="1"/>
  <c r="AL114" i="11"/>
  <c r="Z124" i="11"/>
  <c r="AB116" i="11"/>
  <c r="X127" i="11"/>
  <c r="Y125" i="11"/>
  <c r="U127" i="11"/>
  <c r="S127" i="11"/>
  <c r="T127" i="11"/>
  <c r="R127" i="11"/>
  <c r="V126" i="11"/>
  <c r="H128" i="11"/>
  <c r="Q128" i="11" s="1"/>
  <c r="K148" i="4"/>
  <c r="K127" i="11"/>
  <c r="A157" i="7"/>
  <c r="A113" i="9"/>
  <c r="A60" i="6"/>
  <c r="W59" i="6" s="1"/>
  <c r="BH59" i="6" s="1"/>
  <c r="A117" i="3"/>
  <c r="A148" i="4"/>
  <c r="AN99" i="3" l="1"/>
  <c r="H188" i="6"/>
  <c r="J107" i="8"/>
  <c r="M39" i="6"/>
  <c r="T18" i="23"/>
  <c r="AJ192" i="11"/>
  <c r="V133" i="8"/>
  <c r="BZ112" i="11"/>
  <c r="BM44" i="6" s="1"/>
  <c r="AH193" i="11"/>
  <c r="AF193" i="11"/>
  <c r="BL107" i="11"/>
  <c r="R144" i="6"/>
  <c r="AQ41" i="6" s="1"/>
  <c r="AH168" i="8"/>
  <c r="O222" i="6"/>
  <c r="S222" i="6" s="1"/>
  <c r="BD51" i="6" s="1"/>
  <c r="L110" i="19"/>
  <c r="AA125" i="17"/>
  <c r="AB125" i="17" s="1"/>
  <c r="J182" i="8"/>
  <c r="Z168" i="8"/>
  <c r="H176" i="6" s="1"/>
  <c r="R168" i="8"/>
  <c r="G210" i="6" s="1"/>
  <c r="AP122" i="17"/>
  <c r="B183" i="8" s="1"/>
  <c r="G188" i="6"/>
  <c r="O188" i="6" s="1"/>
  <c r="S188" i="6" s="1"/>
  <c r="AX51" i="6" s="1"/>
  <c r="P110" i="19"/>
  <c r="H244" i="9"/>
  <c r="R99" i="18"/>
  <c r="S99" i="18"/>
  <c r="J134" i="8"/>
  <c r="J133" i="8"/>
  <c r="BE106" i="16"/>
  <c r="CD114" i="16"/>
  <c r="CB114" i="16"/>
  <c r="BL105" i="16"/>
  <c r="B168" i="9"/>
  <c r="J168" i="9" s="1"/>
  <c r="AE193" i="11"/>
  <c r="BZ113" i="11" s="1"/>
  <c r="BM45" i="6" s="1"/>
  <c r="BL113" i="11"/>
  <c r="F97" i="3"/>
  <c r="N79" i="6"/>
  <c r="R79" i="6" s="1"/>
  <c r="AE44" i="6" s="1"/>
  <c r="L96" i="3"/>
  <c r="BL106" i="17"/>
  <c r="AN97" i="19"/>
  <c r="BZ121" i="17"/>
  <c r="BY53" i="6" s="1"/>
  <c r="AD123" i="17"/>
  <c r="AC123" i="17"/>
  <c r="AE123" i="17"/>
  <c r="AJ123" i="17"/>
  <c r="AI123" i="17"/>
  <c r="AH123" i="17"/>
  <c r="BY122" i="17"/>
  <c r="BX54" i="6" s="1"/>
  <c r="E183" i="8"/>
  <c r="AC183" i="8" s="1"/>
  <c r="F183" i="8"/>
  <c r="AD183" i="8" s="1"/>
  <c r="H183" i="8"/>
  <c r="AF183" i="8" s="1"/>
  <c r="D183" i="8"/>
  <c r="L183" i="8" s="1"/>
  <c r="I183" i="8"/>
  <c r="G183" i="8"/>
  <c r="W183" i="8" s="1"/>
  <c r="C183" i="8"/>
  <c r="S183" i="8" s="1"/>
  <c r="AN122" i="17"/>
  <c r="AE124" i="17"/>
  <c r="AD124" i="17"/>
  <c r="AC124" i="17"/>
  <c r="AJ124" i="17"/>
  <c r="AI124" i="17"/>
  <c r="AH124" i="17"/>
  <c r="BL120" i="17"/>
  <c r="BC122" i="17"/>
  <c r="BJ122" i="17" s="1"/>
  <c r="J112" i="19" s="1"/>
  <c r="AL122" i="17"/>
  <c r="AM122" i="17"/>
  <c r="T128" i="17"/>
  <c r="S128" i="17"/>
  <c r="R128" i="17"/>
  <c r="Y126" i="17"/>
  <c r="Z126" i="17" s="1"/>
  <c r="BJ106" i="16"/>
  <c r="J96" i="18" s="1"/>
  <c r="BJ112" i="16"/>
  <c r="J102" i="18" s="1"/>
  <c r="BE112" i="16"/>
  <c r="E102" i="18" s="1"/>
  <c r="BH112" i="16"/>
  <c r="H102" i="18" s="1"/>
  <c r="BF106" i="16"/>
  <c r="BH106" i="16"/>
  <c r="X134" i="8"/>
  <c r="BG112" i="16"/>
  <c r="G102" i="18" s="1"/>
  <c r="BK106" i="16"/>
  <c r="K96" i="18" s="1"/>
  <c r="J139" i="8"/>
  <c r="BD106" i="16"/>
  <c r="BI112" i="16"/>
  <c r="I102" i="18" s="1"/>
  <c r="Q128" i="16"/>
  <c r="U128" i="16"/>
  <c r="R128" i="16"/>
  <c r="S128" i="16"/>
  <c r="T128" i="16"/>
  <c r="F140" i="8"/>
  <c r="H140" i="8"/>
  <c r="I140" i="8"/>
  <c r="E140" i="8"/>
  <c r="D140" i="8"/>
  <c r="G140" i="8"/>
  <c r="C140" i="8"/>
  <c r="BY112" i="16"/>
  <c r="BR44" i="6" s="1"/>
  <c r="I101" i="18"/>
  <c r="BL111" i="16"/>
  <c r="AM112" i="16"/>
  <c r="D102" i="18" s="1"/>
  <c r="N102" i="18" s="1"/>
  <c r="AL112" i="16"/>
  <c r="J202" i="9"/>
  <c r="W202" i="9" s="1"/>
  <c r="F149" i="6" s="1"/>
  <c r="H202" i="9"/>
  <c r="U202" i="9" s="1"/>
  <c r="E149" i="6" s="1"/>
  <c r="G202" i="9"/>
  <c r="T202" i="9" s="1"/>
  <c r="D149" i="6" s="1"/>
  <c r="H99" i="9"/>
  <c r="G99" i="9"/>
  <c r="N73" i="6"/>
  <c r="R73" i="6" s="1"/>
  <c r="AE38" i="6" s="1"/>
  <c r="H93" i="9"/>
  <c r="AM102" i="3"/>
  <c r="J93" i="9"/>
  <c r="O109" i="6"/>
  <c r="S109" i="6" s="1"/>
  <c r="AL40" i="6" s="1"/>
  <c r="AH137" i="8"/>
  <c r="B100" i="9"/>
  <c r="J100" i="9" s="1"/>
  <c r="B134" i="9"/>
  <c r="A284" i="9"/>
  <c r="A216" i="9"/>
  <c r="A250" i="9"/>
  <c r="A182" i="9"/>
  <c r="A148" i="9"/>
  <c r="S134" i="9"/>
  <c r="P134" i="9"/>
  <c r="Q134" i="9"/>
  <c r="G133" i="9"/>
  <c r="T133" i="9" s="1"/>
  <c r="D80" i="6" s="1"/>
  <c r="M80" i="6" s="1"/>
  <c r="J133" i="9"/>
  <c r="W133" i="9" s="1"/>
  <c r="F80" i="6" s="1"/>
  <c r="H133" i="9"/>
  <c r="U133" i="9" s="1"/>
  <c r="E80" i="6" s="1"/>
  <c r="U196" i="11"/>
  <c r="CE116" i="11" s="1"/>
  <c r="CE48" i="6" s="1"/>
  <c r="T196" i="11"/>
  <c r="AI48" i="6" s="1"/>
  <c r="V196" i="11"/>
  <c r="AE116" i="11"/>
  <c r="AD116" i="11"/>
  <c r="AC116" i="11"/>
  <c r="AC194" i="11"/>
  <c r="AG194" i="11" s="1"/>
  <c r="G127" i="9"/>
  <c r="T127" i="9" s="1"/>
  <c r="D74" i="6" s="1"/>
  <c r="M74" i="6" s="1"/>
  <c r="J127" i="9"/>
  <c r="W127" i="9" s="1"/>
  <c r="F74" i="6" s="1"/>
  <c r="H127" i="9"/>
  <c r="U127" i="9" s="1"/>
  <c r="E74" i="6" s="1"/>
  <c r="AO97" i="19"/>
  <c r="AP97" i="19" s="1"/>
  <c r="BJ97" i="19" s="1"/>
  <c r="AD193" i="11"/>
  <c r="G244" i="9"/>
  <c r="J244" i="9"/>
  <c r="BI107" i="16"/>
  <c r="I97" i="18" s="1"/>
  <c r="AF114" i="16"/>
  <c r="AS114" i="16"/>
  <c r="AW114" i="16"/>
  <c r="BA114" i="16"/>
  <c r="AR114" i="16"/>
  <c r="AX114" i="16"/>
  <c r="AT114" i="16"/>
  <c r="AU114" i="16"/>
  <c r="AZ114" i="16"/>
  <c r="AV114" i="16"/>
  <c r="BB114" i="16"/>
  <c r="AY114" i="16"/>
  <c r="AG114" i="16"/>
  <c r="M145" i="6"/>
  <c r="R137" i="8"/>
  <c r="BJ107" i="16"/>
  <c r="J97" i="18" s="1"/>
  <c r="BK107" i="16"/>
  <c r="K97" i="18" s="1"/>
  <c r="BF107" i="16"/>
  <c r="F97" i="18" s="1"/>
  <c r="AK113" i="16"/>
  <c r="AG138" i="8"/>
  <c r="P138" i="8"/>
  <c r="AA138" i="8"/>
  <c r="N138" i="8"/>
  <c r="AB138" i="8"/>
  <c r="W138" i="8"/>
  <c r="AF138" i="8"/>
  <c r="K138" i="8"/>
  <c r="M138" i="8"/>
  <c r="L138" i="8"/>
  <c r="AD138" i="8"/>
  <c r="T138" i="8"/>
  <c r="V138" i="8"/>
  <c r="Q138" i="8"/>
  <c r="Y138" i="8"/>
  <c r="S138" i="8"/>
  <c r="U138" i="8"/>
  <c r="AC138" i="8"/>
  <c r="AE138" i="8"/>
  <c r="O138" i="8"/>
  <c r="X138" i="8"/>
  <c r="O143" i="6"/>
  <c r="S143" i="6" s="1"/>
  <c r="AR40" i="6" s="1"/>
  <c r="D101" i="18"/>
  <c r="N101" i="18" s="1"/>
  <c r="AQ111" i="16"/>
  <c r="BD107" i="16"/>
  <c r="H110" i="6"/>
  <c r="H144" i="6"/>
  <c r="Z137" i="8"/>
  <c r="BS43" i="6"/>
  <c r="BC113" i="16"/>
  <c r="BF113" i="16" s="1"/>
  <c r="F103" i="18" s="1"/>
  <c r="G144" i="6"/>
  <c r="G110" i="6"/>
  <c r="BE107" i="16"/>
  <c r="E97" i="18" s="1"/>
  <c r="BG107" i="16"/>
  <c r="G97" i="18" s="1"/>
  <c r="L100" i="18"/>
  <c r="P100" i="18"/>
  <c r="Q100" i="18" s="1"/>
  <c r="N145" i="6"/>
  <c r="I144" i="6"/>
  <c r="I110" i="6"/>
  <c r="AO112" i="16"/>
  <c r="AP112" i="16"/>
  <c r="B139" i="8" s="1"/>
  <c r="AN112" i="16"/>
  <c r="Z181" i="8"/>
  <c r="AH181" i="8"/>
  <c r="R181" i="8"/>
  <c r="O172" i="6"/>
  <c r="S172" i="6" s="1"/>
  <c r="AX35" i="6" s="1"/>
  <c r="H173" i="6"/>
  <c r="AN100" i="3"/>
  <c r="AO100" i="3"/>
  <c r="AP100" i="3" s="1"/>
  <c r="BJ100" i="3" s="1"/>
  <c r="A208" i="17"/>
  <c r="A231" i="6"/>
  <c r="A163" i="6"/>
  <c r="A95" i="6"/>
  <c r="I176" i="6"/>
  <c r="I210" i="6"/>
  <c r="O206" i="6"/>
  <c r="S206" i="6" s="1"/>
  <c r="BD35" i="6" s="1"/>
  <c r="G174" i="6"/>
  <c r="G208" i="6"/>
  <c r="H174" i="6"/>
  <c r="H208" i="6"/>
  <c r="G173" i="6"/>
  <c r="G207" i="6"/>
  <c r="I174" i="6"/>
  <c r="I208" i="6"/>
  <c r="I173" i="6"/>
  <c r="I207" i="6"/>
  <c r="AB116" i="16"/>
  <c r="AJ116" i="16" s="1"/>
  <c r="AB117" i="16"/>
  <c r="AH117" i="16" s="1"/>
  <c r="AA133" i="8"/>
  <c r="O105" i="6"/>
  <c r="S105" i="6" s="1"/>
  <c r="AL36" i="6" s="1"/>
  <c r="O104" i="6"/>
  <c r="S104" i="6" s="1"/>
  <c r="AL35" i="6" s="1"/>
  <c r="O139" i="6"/>
  <c r="S139" i="6" s="1"/>
  <c r="AR36" i="6" s="1"/>
  <c r="BI93" i="18"/>
  <c r="BB93" i="18"/>
  <c r="O138" i="6"/>
  <c r="S138" i="6" s="1"/>
  <c r="AR35" i="6" s="1"/>
  <c r="O38" i="6"/>
  <c r="S38" i="6" s="1"/>
  <c r="Z37" i="6" s="1"/>
  <c r="O72" i="6"/>
  <c r="S72" i="6" s="1"/>
  <c r="AF37" i="6" s="1"/>
  <c r="O44" i="6"/>
  <c r="S44" i="6" s="1"/>
  <c r="Z43" i="6" s="1"/>
  <c r="G39" i="6"/>
  <c r="T16" i="23" s="1"/>
  <c r="G73" i="6"/>
  <c r="I39" i="6"/>
  <c r="T22" i="23" s="1"/>
  <c r="I73" i="6"/>
  <c r="H39" i="6"/>
  <c r="T19" i="23" s="1"/>
  <c r="H73" i="6"/>
  <c r="I45" i="6"/>
  <c r="Z22" i="23" s="1"/>
  <c r="I79" i="6"/>
  <c r="H45" i="6"/>
  <c r="Z19" i="23" s="1"/>
  <c r="H79" i="6"/>
  <c r="O78" i="6"/>
  <c r="S78" i="6" s="1"/>
  <c r="AF43" i="6" s="1"/>
  <c r="G45" i="6"/>
  <c r="Z16" i="23" s="1"/>
  <c r="G79" i="6"/>
  <c r="BB95" i="3"/>
  <c r="BI95" i="3"/>
  <c r="S133" i="8"/>
  <c r="K133" i="8"/>
  <c r="W134" i="8"/>
  <c r="N133" i="8"/>
  <c r="AE133" i="8"/>
  <c r="A118" i="19"/>
  <c r="A208" i="11"/>
  <c r="A208" i="16"/>
  <c r="J118" i="11"/>
  <c r="J119" i="11" s="1"/>
  <c r="AE194" i="11"/>
  <c r="BZ114" i="11" s="1"/>
  <c r="H197" i="11"/>
  <c r="R197" i="11"/>
  <c r="S197" i="11" s="1"/>
  <c r="AF194" i="11"/>
  <c r="R100" i="8"/>
  <c r="H100" i="9"/>
  <c r="AI116" i="11"/>
  <c r="R132" i="8"/>
  <c r="Z100" i="8"/>
  <c r="AH100" i="8"/>
  <c r="G100" i="9"/>
  <c r="X182" i="8"/>
  <c r="W182" i="8"/>
  <c r="U182" i="8"/>
  <c r="M182" i="8"/>
  <c r="L182" i="8"/>
  <c r="AG182" i="8"/>
  <c r="V182" i="8"/>
  <c r="AE182" i="8"/>
  <c r="P182" i="8"/>
  <c r="AC182" i="8"/>
  <c r="AD182" i="8"/>
  <c r="AF182" i="8"/>
  <c r="AB182" i="8"/>
  <c r="Y182" i="8"/>
  <c r="O182" i="8"/>
  <c r="T182" i="8"/>
  <c r="N182" i="8"/>
  <c r="Q182" i="8"/>
  <c r="K182" i="8"/>
  <c r="S182" i="8"/>
  <c r="AA182" i="8"/>
  <c r="Q128" i="17"/>
  <c r="X128" i="17"/>
  <c r="U128" i="17"/>
  <c r="BL121" i="17"/>
  <c r="Z125" i="16"/>
  <c r="AA125" i="16"/>
  <c r="AQ121" i="17"/>
  <c r="H158" i="11"/>
  <c r="AI116" i="16"/>
  <c r="Z126" i="16"/>
  <c r="AA126" i="16"/>
  <c r="L111" i="19"/>
  <c r="P111" i="19"/>
  <c r="M183" i="8"/>
  <c r="U183" i="8"/>
  <c r="AG183" i="8"/>
  <c r="Q183" i="8"/>
  <c r="Y183" i="8"/>
  <c r="G243" i="9"/>
  <c r="H243" i="9"/>
  <c r="J243" i="9"/>
  <c r="I128" i="11"/>
  <c r="I128" i="17"/>
  <c r="I128" i="16"/>
  <c r="X128" i="16"/>
  <c r="V127" i="16"/>
  <c r="V127" i="17"/>
  <c r="Z132" i="8"/>
  <c r="L133" i="8"/>
  <c r="W133" i="8"/>
  <c r="AD133" i="8"/>
  <c r="Y133" i="8"/>
  <c r="AG133" i="8"/>
  <c r="AB133" i="8"/>
  <c r="Q134" i="8"/>
  <c r="X133" i="8"/>
  <c r="T133" i="8"/>
  <c r="AF133" i="8"/>
  <c r="O133" i="8"/>
  <c r="Q133" i="8"/>
  <c r="K134" i="8"/>
  <c r="L134" i="8"/>
  <c r="AH132" i="8"/>
  <c r="U133" i="8"/>
  <c r="P133" i="8"/>
  <c r="AC133" i="8"/>
  <c r="M133" i="8"/>
  <c r="AC134" i="8"/>
  <c r="AD134" i="8"/>
  <c r="AE134" i="8"/>
  <c r="M134" i="8"/>
  <c r="AG134" i="8"/>
  <c r="N134" i="8"/>
  <c r="Y134" i="8"/>
  <c r="U134" i="8"/>
  <c r="T134" i="8"/>
  <c r="P134" i="8"/>
  <c r="AF134" i="8"/>
  <c r="AB134" i="8"/>
  <c r="V134" i="8"/>
  <c r="AA134" i="8"/>
  <c r="S134" i="8"/>
  <c r="O134" i="8"/>
  <c r="AQ107" i="16"/>
  <c r="U94" i="18"/>
  <c r="V94" i="18" s="1"/>
  <c r="AQ106" i="16"/>
  <c r="L95" i="18"/>
  <c r="S104" i="19"/>
  <c r="R104" i="19"/>
  <c r="T94" i="18"/>
  <c r="H96" i="18"/>
  <c r="I96" i="18"/>
  <c r="E96" i="18"/>
  <c r="P95" i="18"/>
  <c r="Q95" i="18" s="1"/>
  <c r="L97" i="19"/>
  <c r="P97" i="19"/>
  <c r="L95" i="19"/>
  <c r="P95" i="19"/>
  <c r="A189" i="8"/>
  <c r="A197" i="6"/>
  <c r="A226" i="7"/>
  <c r="A155" i="8"/>
  <c r="A121" i="8"/>
  <c r="AF107" i="8"/>
  <c r="AC107" i="8"/>
  <c r="AD107" i="8"/>
  <c r="AA107" i="8"/>
  <c r="N107" i="8"/>
  <c r="AB107" i="8"/>
  <c r="AG107" i="8"/>
  <c r="AE107" i="8"/>
  <c r="W107" i="8"/>
  <c r="U107" i="8"/>
  <c r="P107" i="8"/>
  <c r="L107" i="8"/>
  <c r="M107" i="8"/>
  <c r="Q107" i="8"/>
  <c r="K107" i="8"/>
  <c r="V107" i="8"/>
  <c r="Y107" i="8"/>
  <c r="T107" i="8"/>
  <c r="X107" i="8"/>
  <c r="O107" i="8"/>
  <c r="S107" i="8"/>
  <c r="R106" i="8"/>
  <c r="AH106" i="8"/>
  <c r="Z106" i="8"/>
  <c r="P103" i="3"/>
  <c r="Q103" i="3" s="1"/>
  <c r="Z167" i="8"/>
  <c r="R167" i="8"/>
  <c r="AH167" i="8"/>
  <c r="R39" i="6"/>
  <c r="Y38" i="6" s="1"/>
  <c r="S96" i="3"/>
  <c r="U96" i="3" s="1"/>
  <c r="V96" i="3" s="1"/>
  <c r="R96" i="3"/>
  <c r="T96" i="3" s="1"/>
  <c r="S102" i="3"/>
  <c r="R102" i="3"/>
  <c r="A118" i="18"/>
  <c r="D104" i="3"/>
  <c r="N104" i="3" s="1"/>
  <c r="H104" i="3"/>
  <c r="E104" i="3"/>
  <c r="G104" i="3"/>
  <c r="L103" i="3"/>
  <c r="K104" i="3"/>
  <c r="F104" i="3"/>
  <c r="I104" i="3"/>
  <c r="P97" i="3"/>
  <c r="Q97" i="3" s="1"/>
  <c r="L97" i="3"/>
  <c r="A192" i="7"/>
  <c r="A168" i="17"/>
  <c r="A128" i="17"/>
  <c r="A129" i="6"/>
  <c r="A168" i="16"/>
  <c r="A128" i="16"/>
  <c r="AA118" i="16"/>
  <c r="A128" i="11"/>
  <c r="F96" i="11" s="1"/>
  <c r="A168" i="11"/>
  <c r="BL114" i="11"/>
  <c r="AQ114" i="11"/>
  <c r="AJ116" i="11"/>
  <c r="AH116" i="11"/>
  <c r="AB117" i="11"/>
  <c r="AA125" i="11"/>
  <c r="Z125" i="11"/>
  <c r="Y126" i="11"/>
  <c r="X128" i="11"/>
  <c r="V127" i="11"/>
  <c r="U128" i="11"/>
  <c r="R128" i="11"/>
  <c r="T128" i="11"/>
  <c r="S128" i="11"/>
  <c r="K128" i="11"/>
  <c r="A158" i="7"/>
  <c r="A61" i="6"/>
  <c r="W60" i="6" s="1"/>
  <c r="BH60" i="6" s="1"/>
  <c r="A114" i="9"/>
  <c r="A118" i="3"/>
  <c r="AI194" i="11" l="1"/>
  <c r="AH103" i="3"/>
  <c r="AK103" i="3" s="1"/>
  <c r="AH194" i="11"/>
  <c r="G168" i="9"/>
  <c r="H168" i="9"/>
  <c r="N80" i="6"/>
  <c r="H210" i="6"/>
  <c r="G176" i="6"/>
  <c r="AJ193" i="11"/>
  <c r="T183" i="8"/>
  <c r="P183" i="8"/>
  <c r="X183" i="8"/>
  <c r="K183" i="8"/>
  <c r="AA183" i="8"/>
  <c r="AA126" i="17"/>
  <c r="AQ122" i="17"/>
  <c r="CB124" i="17"/>
  <c r="CD124" i="17"/>
  <c r="CD123" i="17"/>
  <c r="CB123" i="17"/>
  <c r="D112" i="19"/>
  <c r="AB183" i="8"/>
  <c r="BL106" i="16"/>
  <c r="AH116" i="16"/>
  <c r="F96" i="18"/>
  <c r="P96" i="18" s="1"/>
  <c r="Q96" i="18" s="1"/>
  <c r="S96" i="18" s="1"/>
  <c r="L102" i="18"/>
  <c r="BL112" i="16"/>
  <c r="AI117" i="16"/>
  <c r="AJ117" i="16"/>
  <c r="P102" i="18"/>
  <c r="Q102" i="18" s="1"/>
  <c r="R102" i="18" s="1"/>
  <c r="N74" i="6"/>
  <c r="R74" i="6" s="1"/>
  <c r="AE39" i="6" s="1"/>
  <c r="CD116" i="11"/>
  <c r="CD48" i="6" s="1"/>
  <c r="CB116" i="11"/>
  <c r="CB48" i="6" s="1"/>
  <c r="V183" i="8"/>
  <c r="N183" i="8"/>
  <c r="AN98" i="19"/>
  <c r="AO98" i="19"/>
  <c r="AP98" i="19" s="1"/>
  <c r="BJ98" i="19" s="1"/>
  <c r="AF123" i="17"/>
  <c r="AU123" i="17"/>
  <c r="AX123" i="17"/>
  <c r="AW123" i="17"/>
  <c r="AV123" i="17"/>
  <c r="AZ123" i="17"/>
  <c r="BB123" i="17"/>
  <c r="AS123" i="17"/>
  <c r="AY123" i="17"/>
  <c r="BA123" i="17"/>
  <c r="AT123" i="17"/>
  <c r="AR123" i="17"/>
  <c r="AG123" i="17"/>
  <c r="AK123" i="17" s="1"/>
  <c r="AN123" i="17" s="1"/>
  <c r="C113" i="19"/>
  <c r="BE122" i="17"/>
  <c r="BI122" i="17"/>
  <c r="I112" i="19" s="1"/>
  <c r="BD122" i="17"/>
  <c r="BK122" i="17"/>
  <c r="K112" i="19" s="1"/>
  <c r="BG122" i="17"/>
  <c r="G112" i="19" s="1"/>
  <c r="BF122" i="17"/>
  <c r="F112" i="19" s="1"/>
  <c r="AE125" i="17"/>
  <c r="AD125" i="17"/>
  <c r="AC125" i="17"/>
  <c r="AJ125" i="17"/>
  <c r="AI125" i="17"/>
  <c r="AH125" i="17"/>
  <c r="B279" i="9"/>
  <c r="B245" i="9"/>
  <c r="O183" i="8"/>
  <c r="AE183" i="8"/>
  <c r="BH122" i="17"/>
  <c r="H112" i="19" s="1"/>
  <c r="B280" i="9"/>
  <c r="B246" i="9"/>
  <c r="AF124" i="17"/>
  <c r="AU124" i="17"/>
  <c r="AV124" i="17"/>
  <c r="AX124" i="17"/>
  <c r="AW124" i="17"/>
  <c r="AY124" i="17"/>
  <c r="BB124" i="17"/>
  <c r="AZ124" i="17"/>
  <c r="AR124" i="17"/>
  <c r="AS124" i="17"/>
  <c r="BA124" i="17"/>
  <c r="AT124" i="17"/>
  <c r="AG124" i="17"/>
  <c r="AK124" i="17" s="1"/>
  <c r="J183" i="8"/>
  <c r="BZ122" i="17"/>
  <c r="BY54" i="6" s="1"/>
  <c r="AQ112" i="16"/>
  <c r="B204" i="9"/>
  <c r="B170" i="9"/>
  <c r="P101" i="18"/>
  <c r="L101" i="18"/>
  <c r="B205" i="9"/>
  <c r="B171" i="9"/>
  <c r="BY113" i="16"/>
  <c r="BR45" i="6" s="1"/>
  <c r="D141" i="8"/>
  <c r="I141" i="8"/>
  <c r="H141" i="8"/>
  <c r="E141" i="8"/>
  <c r="F141" i="8"/>
  <c r="G141" i="8"/>
  <c r="C141" i="8"/>
  <c r="AL113" i="16"/>
  <c r="Q101" i="18"/>
  <c r="S101" i="18" s="1"/>
  <c r="BZ112" i="16"/>
  <c r="BS44" i="6" s="1"/>
  <c r="J140" i="8"/>
  <c r="I145" i="6"/>
  <c r="I111" i="6"/>
  <c r="AL103" i="3"/>
  <c r="AM103" i="3"/>
  <c r="G204" i="11"/>
  <c r="G200" i="11"/>
  <c r="G162" i="11"/>
  <c r="G167" i="11"/>
  <c r="G207" i="11"/>
  <c r="G203" i="11"/>
  <c r="G199" i="11"/>
  <c r="G163" i="11"/>
  <c r="G201" i="11"/>
  <c r="G206" i="11"/>
  <c r="G202" i="11"/>
  <c r="G166" i="11"/>
  <c r="G205" i="11"/>
  <c r="G159" i="11"/>
  <c r="H159" i="11" s="1"/>
  <c r="G161" i="11"/>
  <c r="G160" i="11"/>
  <c r="G165" i="11"/>
  <c r="G164" i="11"/>
  <c r="V197" i="11"/>
  <c r="U197" i="11"/>
  <c r="CE117" i="11" s="1"/>
  <c r="CE49" i="6" s="1"/>
  <c r="T197" i="11"/>
  <c r="AI49" i="6" s="1"/>
  <c r="AD194" i="11"/>
  <c r="AH104" i="3"/>
  <c r="AK104" i="3" s="1"/>
  <c r="AL104" i="3" s="1"/>
  <c r="AW116" i="11"/>
  <c r="AG116" i="11"/>
  <c r="AK116" i="11" s="1"/>
  <c r="AV116" i="11"/>
  <c r="AY116" i="11"/>
  <c r="AU116" i="11"/>
  <c r="AF116" i="11"/>
  <c r="H109" i="8" s="1"/>
  <c r="AX116" i="11"/>
  <c r="AS116" i="11"/>
  <c r="BA116" i="11"/>
  <c r="AT116" i="11"/>
  <c r="AR116" i="11"/>
  <c r="BB116" i="11"/>
  <c r="AZ116" i="11"/>
  <c r="AE117" i="11"/>
  <c r="AD117" i="11"/>
  <c r="AC117" i="11"/>
  <c r="W196" i="11"/>
  <c r="AB196" i="11"/>
  <c r="X196" i="11"/>
  <c r="AA196" i="11"/>
  <c r="Z196" i="11"/>
  <c r="K136" i="9" s="1"/>
  <c r="Y196" i="11"/>
  <c r="G134" i="9"/>
  <c r="T134" i="9" s="1"/>
  <c r="D81" i="6" s="1"/>
  <c r="M81" i="6" s="1"/>
  <c r="J134" i="9"/>
  <c r="W134" i="9" s="1"/>
  <c r="F81" i="6" s="1"/>
  <c r="H134" i="9"/>
  <c r="U134" i="9" s="1"/>
  <c r="E81" i="6" s="1"/>
  <c r="P97" i="18"/>
  <c r="Q97" i="18" s="1"/>
  <c r="S97" i="18" s="1"/>
  <c r="AN113" i="16"/>
  <c r="AP113" i="16"/>
  <c r="B140" i="8" s="1"/>
  <c r="AO113" i="16"/>
  <c r="G145" i="6"/>
  <c r="G111" i="6"/>
  <c r="AB125" i="16"/>
  <c r="BL107" i="16"/>
  <c r="R100" i="18"/>
  <c r="S100" i="18"/>
  <c r="M146" i="6"/>
  <c r="BE113" i="16"/>
  <c r="AM113" i="16"/>
  <c r="BZ113" i="16" s="1"/>
  <c r="R145" i="6"/>
  <c r="AQ42" i="6" s="1"/>
  <c r="L97" i="18"/>
  <c r="AC117" i="16"/>
  <c r="AE117" i="16"/>
  <c r="AD117" i="16"/>
  <c r="T139" i="8"/>
  <c r="P139" i="8"/>
  <c r="K139" i="8"/>
  <c r="L139" i="8"/>
  <c r="AG139" i="8"/>
  <c r="AA139" i="8"/>
  <c r="AD139" i="8"/>
  <c r="AB139" i="8"/>
  <c r="AF139" i="8"/>
  <c r="W139" i="8"/>
  <c r="X139" i="8"/>
  <c r="M139" i="8"/>
  <c r="N139" i="8"/>
  <c r="AC139" i="8"/>
  <c r="AE139" i="8"/>
  <c r="O139" i="8"/>
  <c r="Q139" i="8"/>
  <c r="Y139" i="8"/>
  <c r="S139" i="8"/>
  <c r="V139" i="8"/>
  <c r="U139" i="8"/>
  <c r="O110" i="6"/>
  <c r="S110" i="6" s="1"/>
  <c r="AL41" i="6" s="1"/>
  <c r="H111" i="6"/>
  <c r="H145" i="6"/>
  <c r="BJ113" i="16"/>
  <c r="J103" i="18" s="1"/>
  <c r="BD113" i="16"/>
  <c r="BI113" i="16"/>
  <c r="I103" i="18" s="1"/>
  <c r="BG113" i="16"/>
  <c r="G103" i="18" s="1"/>
  <c r="BH113" i="16"/>
  <c r="H103" i="18" s="1"/>
  <c r="BK113" i="16"/>
  <c r="K103" i="18" s="1"/>
  <c r="AH138" i="8"/>
  <c r="AB126" i="16"/>
  <c r="AI126" i="16" s="1"/>
  <c r="AE116" i="16"/>
  <c r="AD116" i="16"/>
  <c r="AC116" i="16"/>
  <c r="N146" i="6"/>
  <c r="O144" i="6"/>
  <c r="S144" i="6" s="1"/>
  <c r="AR41" i="6" s="1"/>
  <c r="Z138" i="8"/>
  <c r="R138" i="8"/>
  <c r="AK114" i="16"/>
  <c r="AL114" i="16" s="1"/>
  <c r="BC114" i="16"/>
  <c r="BH114" i="16" s="1"/>
  <c r="H104" i="18" s="1"/>
  <c r="G189" i="6"/>
  <c r="G223" i="6"/>
  <c r="I189" i="6"/>
  <c r="I223" i="6"/>
  <c r="H189" i="6"/>
  <c r="H223" i="6"/>
  <c r="O176" i="6"/>
  <c r="S176" i="6" s="1"/>
  <c r="AX39" i="6" s="1"/>
  <c r="AO101" i="3"/>
  <c r="AP101" i="3" s="1"/>
  <c r="BJ101" i="3" s="1"/>
  <c r="AN101" i="3"/>
  <c r="O174" i="6"/>
  <c r="S174" i="6" s="1"/>
  <c r="AX37" i="6" s="1"/>
  <c r="I175" i="6"/>
  <c r="I209" i="6"/>
  <c r="G175" i="6"/>
  <c r="G209" i="6"/>
  <c r="O207" i="6"/>
  <c r="S207" i="6" s="1"/>
  <c r="BD36" i="6" s="1"/>
  <c r="O210" i="6"/>
  <c r="S210" i="6" s="1"/>
  <c r="BD39" i="6" s="1"/>
  <c r="H175" i="6"/>
  <c r="H209" i="6"/>
  <c r="O208" i="6"/>
  <c r="S208" i="6" s="1"/>
  <c r="BD37" i="6" s="1"/>
  <c r="O173" i="6"/>
  <c r="S173" i="6" s="1"/>
  <c r="AX36" i="6" s="1"/>
  <c r="AB118" i="16"/>
  <c r="O39" i="6"/>
  <c r="S39" i="6" s="1"/>
  <c r="Z38" i="6" s="1"/>
  <c r="I106" i="6"/>
  <c r="I140" i="6"/>
  <c r="BB94" i="18"/>
  <c r="BI94" i="18"/>
  <c r="H106" i="6"/>
  <c r="H140" i="6"/>
  <c r="G106" i="6"/>
  <c r="G140" i="6"/>
  <c r="O45" i="6"/>
  <c r="S45" i="6" s="1"/>
  <c r="Z44" i="6" s="1"/>
  <c r="G40" i="6"/>
  <c r="U16" i="23" s="1"/>
  <c r="G74" i="6"/>
  <c r="O73" i="6"/>
  <c r="S73" i="6" s="1"/>
  <c r="AF38" i="6" s="1"/>
  <c r="I40" i="6"/>
  <c r="U22" i="23" s="1"/>
  <c r="I74" i="6"/>
  <c r="H40" i="6"/>
  <c r="U19" i="23" s="1"/>
  <c r="H74" i="6"/>
  <c r="I46" i="6"/>
  <c r="AA22" i="23" s="1"/>
  <c r="I80" i="6"/>
  <c r="G46" i="6"/>
  <c r="AA16" i="23" s="1"/>
  <c r="G80" i="6"/>
  <c r="O79" i="6"/>
  <c r="S79" i="6" s="1"/>
  <c r="AF44" i="6" s="1"/>
  <c r="H46" i="6"/>
  <c r="AA19" i="23" s="1"/>
  <c r="H80" i="6"/>
  <c r="R80" i="6"/>
  <c r="AE45" i="6" s="1"/>
  <c r="BM46" i="6"/>
  <c r="BB96" i="3"/>
  <c r="BI96" i="3"/>
  <c r="K118" i="11"/>
  <c r="AA118" i="11" s="1"/>
  <c r="AB118" i="11" s="1"/>
  <c r="H198" i="11"/>
  <c r="R198" i="11"/>
  <c r="S198" i="11" s="1"/>
  <c r="AJ194" i="11"/>
  <c r="AH182" i="8"/>
  <c r="Z182" i="8"/>
  <c r="AB126" i="17"/>
  <c r="AH133" i="8"/>
  <c r="AI117" i="11"/>
  <c r="R182" i="8"/>
  <c r="R133" i="8"/>
  <c r="Y127" i="16"/>
  <c r="Y127" i="17"/>
  <c r="AI118" i="16"/>
  <c r="V128" i="16"/>
  <c r="C114" i="19"/>
  <c r="Z183" i="8"/>
  <c r="V128" i="17"/>
  <c r="Z133" i="8"/>
  <c r="R134" i="8"/>
  <c r="AH134" i="8"/>
  <c r="Z134" i="8"/>
  <c r="P96" i="19"/>
  <c r="L96" i="19"/>
  <c r="S95" i="18"/>
  <c r="U95" i="18" s="1"/>
  <c r="V95" i="18" s="1"/>
  <c r="R95" i="18"/>
  <c r="T95" i="18" s="1"/>
  <c r="AH107" i="8"/>
  <c r="L96" i="18"/>
  <c r="R107" i="8"/>
  <c r="Z107" i="8"/>
  <c r="S97" i="3"/>
  <c r="U97" i="3" s="1"/>
  <c r="V97" i="3" s="1"/>
  <c r="R97" i="3"/>
  <c r="T97" i="3" s="1"/>
  <c r="S103" i="3"/>
  <c r="R103" i="3"/>
  <c r="P104" i="3"/>
  <c r="Q104" i="3" s="1"/>
  <c r="L104" i="3"/>
  <c r="Y126" i="7"/>
  <c r="AS126" i="7" s="1"/>
  <c r="L126" i="7"/>
  <c r="AD126" i="7" s="1"/>
  <c r="V126" i="7"/>
  <c r="AP126" i="7" s="1"/>
  <c r="W126" i="7"/>
  <c r="AQ126" i="7" s="1"/>
  <c r="X126" i="7"/>
  <c r="X127" i="7" s="1"/>
  <c r="X128" i="7" s="1"/>
  <c r="X129" i="7" s="1"/>
  <c r="X130" i="7" s="1"/>
  <c r="X131" i="7" s="1"/>
  <c r="X132" i="7" s="1"/>
  <c r="X133" i="7" s="1"/>
  <c r="X134" i="7" s="1"/>
  <c r="X135" i="7" s="1"/>
  <c r="X136" i="7" s="1"/>
  <c r="X137" i="7" s="1"/>
  <c r="X138" i="7" s="1"/>
  <c r="X139" i="7" s="1"/>
  <c r="X140" i="7" s="1"/>
  <c r="X141" i="7" s="1"/>
  <c r="X142" i="7" s="1"/>
  <c r="X143" i="7" s="1"/>
  <c r="X144" i="7" s="1"/>
  <c r="X145" i="7" s="1"/>
  <c r="X146" i="7" s="1"/>
  <c r="X147" i="7" s="1"/>
  <c r="X148" i="7" s="1"/>
  <c r="X149" i="7" s="1"/>
  <c r="X150" i="7" s="1"/>
  <c r="X151" i="7" s="1"/>
  <c r="X152" i="7" s="1"/>
  <c r="X153" i="7" s="1"/>
  <c r="X154" i="7" s="1"/>
  <c r="X155" i="7" s="1"/>
  <c r="X156" i="7" s="1"/>
  <c r="X157" i="7" s="1"/>
  <c r="M126" i="7"/>
  <c r="H126" i="7"/>
  <c r="J126" i="7"/>
  <c r="T126" i="7"/>
  <c r="G96" i="11"/>
  <c r="AR86" i="3" s="1"/>
  <c r="AU86" i="3" s="1"/>
  <c r="D126" i="7"/>
  <c r="AA119" i="16"/>
  <c r="G96" i="16"/>
  <c r="AJ118" i="16"/>
  <c r="AH118" i="16"/>
  <c r="F97" i="11"/>
  <c r="E96" i="11"/>
  <c r="Z126" i="11"/>
  <c r="AJ117" i="11"/>
  <c r="AH117" i="11"/>
  <c r="AB125" i="11"/>
  <c r="AA126" i="11"/>
  <c r="Y127" i="11"/>
  <c r="J120" i="11"/>
  <c r="J121" i="11" s="1"/>
  <c r="V128" i="11"/>
  <c r="K119" i="11"/>
  <c r="AA119" i="11" s="1"/>
  <c r="AH183" i="8" l="1"/>
  <c r="R183" i="8"/>
  <c r="CD125" i="17"/>
  <c r="CB125" i="17"/>
  <c r="AM123" i="17"/>
  <c r="D113" i="19" s="1"/>
  <c r="AO123" i="17"/>
  <c r="S102" i="18"/>
  <c r="R97" i="18"/>
  <c r="CD117" i="16"/>
  <c r="CB117" i="16"/>
  <c r="AJ126" i="16"/>
  <c r="CB116" i="16"/>
  <c r="CD116" i="16"/>
  <c r="C106" i="3"/>
  <c r="F109" i="8"/>
  <c r="D109" i="8"/>
  <c r="CD117" i="11"/>
  <c r="CD49" i="6" s="1"/>
  <c r="CB117" i="11"/>
  <c r="CB49" i="6" s="1"/>
  <c r="BC124" i="17"/>
  <c r="BH124" i="17" s="1"/>
  <c r="H114" i="19" s="1"/>
  <c r="AO99" i="19"/>
  <c r="AP99" i="19" s="1"/>
  <c r="BJ99" i="19" s="1"/>
  <c r="AN99" i="19"/>
  <c r="BY124" i="17"/>
  <c r="BX56" i="6" s="1"/>
  <c r="H185" i="8"/>
  <c r="F185" i="8"/>
  <c r="D185" i="8"/>
  <c r="E185" i="8"/>
  <c r="I185" i="8"/>
  <c r="G185" i="8"/>
  <c r="C185" i="8"/>
  <c r="AL124" i="17"/>
  <c r="B247" i="9"/>
  <c r="B281" i="9"/>
  <c r="Y128" i="17"/>
  <c r="Z128" i="17" s="1"/>
  <c r="E112" i="19"/>
  <c r="BL122" i="17"/>
  <c r="BY123" i="17"/>
  <c r="BX55" i="6" s="1"/>
  <c r="BZ123" i="17"/>
  <c r="BY55" i="6" s="1"/>
  <c r="I184" i="8"/>
  <c r="D184" i="8"/>
  <c r="G184" i="8"/>
  <c r="H184" i="8"/>
  <c r="F184" i="8"/>
  <c r="E184" i="8"/>
  <c r="C184" i="8"/>
  <c r="AP123" i="17"/>
  <c r="B184" i="8" s="1"/>
  <c r="AL123" i="17"/>
  <c r="AC126" i="17"/>
  <c r="AE126" i="17"/>
  <c r="AD126" i="17"/>
  <c r="AJ126" i="17"/>
  <c r="AI126" i="17"/>
  <c r="AH126" i="17"/>
  <c r="AF125" i="17"/>
  <c r="AV125" i="17"/>
  <c r="AX125" i="17"/>
  <c r="AW125" i="17"/>
  <c r="AU125" i="17"/>
  <c r="AY125" i="17"/>
  <c r="AZ125" i="17"/>
  <c r="BB125" i="17"/>
  <c r="BA125" i="17"/>
  <c r="AS125" i="17"/>
  <c r="AR125" i="17"/>
  <c r="AT125" i="17"/>
  <c r="AG125" i="17"/>
  <c r="AK125" i="17" s="1"/>
  <c r="BC123" i="17"/>
  <c r="AH126" i="16"/>
  <c r="R101" i="18"/>
  <c r="B214" i="9"/>
  <c r="B180" i="9"/>
  <c r="BY114" i="16"/>
  <c r="BR46" i="6" s="1"/>
  <c r="J141" i="8"/>
  <c r="J171" i="9"/>
  <c r="H171" i="9"/>
  <c r="G171" i="9"/>
  <c r="H170" i="9"/>
  <c r="J170" i="9"/>
  <c r="G170" i="9"/>
  <c r="B206" i="9"/>
  <c r="B172" i="9"/>
  <c r="AM114" i="16"/>
  <c r="D104" i="18" s="1"/>
  <c r="N104" i="18" s="1"/>
  <c r="H205" i="9"/>
  <c r="U205" i="9" s="1"/>
  <c r="E152" i="6" s="1"/>
  <c r="G205" i="9"/>
  <c r="T205" i="9" s="1"/>
  <c r="D152" i="6" s="1"/>
  <c r="J205" i="9"/>
  <c r="W205" i="9" s="1"/>
  <c r="F152" i="6" s="1"/>
  <c r="J204" i="9"/>
  <c r="W204" i="9" s="1"/>
  <c r="F151" i="6" s="1"/>
  <c r="G204" i="9"/>
  <c r="T204" i="9" s="1"/>
  <c r="D151" i="6" s="1"/>
  <c r="H204" i="9"/>
  <c r="U204" i="9" s="1"/>
  <c r="E151" i="6" s="1"/>
  <c r="AM104" i="3"/>
  <c r="N81" i="6"/>
  <c r="R81" i="6" s="1"/>
  <c r="AE46" i="6" s="1"/>
  <c r="AD125" i="11"/>
  <c r="AC125" i="11"/>
  <c r="AE125" i="11"/>
  <c r="U198" i="11"/>
  <c r="CE118" i="11" s="1"/>
  <c r="CE50" i="6" s="1"/>
  <c r="V198" i="11"/>
  <c r="T198" i="11"/>
  <c r="AI50" i="6" s="1"/>
  <c r="E109" i="8"/>
  <c r="I109" i="8"/>
  <c r="C109" i="8"/>
  <c r="G109" i="8"/>
  <c r="Z139" i="8"/>
  <c r="H113" i="6" s="1"/>
  <c r="R139" i="8"/>
  <c r="G113" i="6" s="1"/>
  <c r="BC116" i="11"/>
  <c r="BI116" i="11" s="1"/>
  <c r="I106" i="3" s="1"/>
  <c r="S136" i="9"/>
  <c r="P136" i="9"/>
  <c r="Q136" i="9"/>
  <c r="AC118" i="11"/>
  <c r="AE118" i="11"/>
  <c r="AD118" i="11"/>
  <c r="AC196" i="11"/>
  <c r="AF196" i="11" s="1"/>
  <c r="W197" i="11"/>
  <c r="AA197" i="11"/>
  <c r="Z197" i="11"/>
  <c r="K137" i="9" s="1"/>
  <c r="Y197" i="11"/>
  <c r="AB197" i="11"/>
  <c r="X197" i="11"/>
  <c r="AZ117" i="11"/>
  <c r="AU117" i="11"/>
  <c r="AX117" i="11"/>
  <c r="AR117" i="11"/>
  <c r="AG117" i="11"/>
  <c r="AK117" i="11" s="1"/>
  <c r="AW117" i="11"/>
  <c r="AV117" i="11"/>
  <c r="AF117" i="11"/>
  <c r="I110" i="8" s="1"/>
  <c r="AS117" i="11"/>
  <c r="BA117" i="11"/>
  <c r="AT117" i="11"/>
  <c r="BB117" i="11"/>
  <c r="AY117" i="11"/>
  <c r="O175" i="6"/>
  <c r="S175" i="6" s="1"/>
  <c r="AX38" i="6" s="1"/>
  <c r="G147" i="6"/>
  <c r="AH139" i="8"/>
  <c r="M147" i="6"/>
  <c r="R146" i="6"/>
  <c r="AQ43" i="6" s="1"/>
  <c r="O111" i="6"/>
  <c r="S111" i="6" s="1"/>
  <c r="AL42" i="6" s="1"/>
  <c r="C106" i="18"/>
  <c r="AC118" i="16"/>
  <c r="AE118" i="16"/>
  <c r="AD118" i="16"/>
  <c r="C108" i="18" s="1"/>
  <c r="BE114" i="16"/>
  <c r="BJ114" i="16"/>
  <c r="J104" i="18" s="1"/>
  <c r="BI114" i="16"/>
  <c r="I104" i="18" s="1"/>
  <c r="BF114" i="16"/>
  <c r="F104" i="18" s="1"/>
  <c r="BG114" i="16"/>
  <c r="G104" i="18" s="1"/>
  <c r="BD114" i="16"/>
  <c r="G112" i="6"/>
  <c r="G146" i="6"/>
  <c r="AC126" i="16"/>
  <c r="AD126" i="16"/>
  <c r="AE126" i="16"/>
  <c r="I112" i="6"/>
  <c r="I146" i="6"/>
  <c r="N147" i="6"/>
  <c r="D103" i="18"/>
  <c r="N103" i="18" s="1"/>
  <c r="AQ113" i="16"/>
  <c r="AC125" i="16"/>
  <c r="AE125" i="16"/>
  <c r="AD125" i="16"/>
  <c r="O145" i="6"/>
  <c r="S145" i="6" s="1"/>
  <c r="AR42" i="6" s="1"/>
  <c r="AF140" i="8"/>
  <c r="M140" i="8"/>
  <c r="N140" i="8"/>
  <c r="X140" i="8"/>
  <c r="Q140" i="8"/>
  <c r="S140" i="8"/>
  <c r="Y140" i="8"/>
  <c r="AG140" i="8"/>
  <c r="AB140" i="8"/>
  <c r="L140" i="8"/>
  <c r="AD140" i="8"/>
  <c r="W140" i="8"/>
  <c r="AC140" i="8"/>
  <c r="U140" i="8"/>
  <c r="K140" i="8"/>
  <c r="V140" i="8"/>
  <c r="P140" i="8"/>
  <c r="AA140" i="8"/>
  <c r="AE140" i="8"/>
  <c r="O140" i="8"/>
  <c r="T140" i="8"/>
  <c r="AF116" i="16"/>
  <c r="AU116" i="16"/>
  <c r="AY116" i="16"/>
  <c r="AR116" i="16"/>
  <c r="AW116" i="16"/>
  <c r="BB116" i="16"/>
  <c r="AS116" i="16"/>
  <c r="AX116" i="16"/>
  <c r="AT116" i="16"/>
  <c r="AZ116" i="16"/>
  <c r="AV116" i="16"/>
  <c r="BA116" i="16"/>
  <c r="AG116" i="16"/>
  <c r="AF117" i="16"/>
  <c r="AR117" i="16"/>
  <c r="AV117" i="16"/>
  <c r="AW117" i="16"/>
  <c r="BB117" i="16"/>
  <c r="AS117" i="16"/>
  <c r="AX117" i="16"/>
  <c r="AT117" i="16"/>
  <c r="AY117" i="16"/>
  <c r="BA117" i="16"/>
  <c r="AU117" i="16"/>
  <c r="AZ117" i="16"/>
  <c r="AG117" i="16"/>
  <c r="C107" i="18"/>
  <c r="AN114" i="16"/>
  <c r="AP114" i="16"/>
  <c r="B141" i="8" s="1"/>
  <c r="AO114" i="16"/>
  <c r="H146" i="6"/>
  <c r="H112" i="6"/>
  <c r="BS45" i="6"/>
  <c r="E103" i="18"/>
  <c r="BL113" i="16"/>
  <c r="BK114" i="16"/>
  <c r="K104" i="18" s="1"/>
  <c r="BY116" i="11"/>
  <c r="BL48" i="6" s="1"/>
  <c r="AO124" i="17"/>
  <c r="H246" i="9" s="1"/>
  <c r="O223" i="6"/>
  <c r="S223" i="6" s="1"/>
  <c r="BD52" i="6" s="1"/>
  <c r="O189" i="6"/>
  <c r="S189" i="6" s="1"/>
  <c r="AX52" i="6" s="1"/>
  <c r="O46" i="6"/>
  <c r="S46" i="6" s="1"/>
  <c r="Z45" i="6" s="1"/>
  <c r="BF124" i="17"/>
  <c r="F114" i="19" s="1"/>
  <c r="H165" i="11"/>
  <c r="AN102" i="3"/>
  <c r="AO102" i="3"/>
  <c r="AP102" i="3" s="1"/>
  <c r="BJ102" i="3" s="1"/>
  <c r="H205" i="11"/>
  <c r="R205" i="11"/>
  <c r="S205" i="11" s="1"/>
  <c r="H167" i="11"/>
  <c r="H166" i="11"/>
  <c r="I191" i="6"/>
  <c r="I225" i="6"/>
  <c r="O209" i="6"/>
  <c r="S209" i="6" s="1"/>
  <c r="BD38" i="6" s="1"/>
  <c r="H191" i="6"/>
  <c r="H225" i="6"/>
  <c r="G191" i="6"/>
  <c r="G225" i="6"/>
  <c r="I190" i="6"/>
  <c r="I224" i="6"/>
  <c r="G190" i="6"/>
  <c r="G224" i="6"/>
  <c r="H190" i="6"/>
  <c r="H224" i="6"/>
  <c r="AB119" i="16"/>
  <c r="AJ119" i="16" s="1"/>
  <c r="O106" i="6"/>
  <c r="S106" i="6" s="1"/>
  <c r="AL37" i="6" s="1"/>
  <c r="O140" i="6"/>
  <c r="S140" i="6" s="1"/>
  <c r="AR37" i="6" s="1"/>
  <c r="I108" i="6"/>
  <c r="I142" i="6"/>
  <c r="G107" i="6"/>
  <c r="G141" i="6"/>
  <c r="H108" i="6"/>
  <c r="H142" i="6"/>
  <c r="G108" i="6"/>
  <c r="G142" i="6"/>
  <c r="H107" i="6"/>
  <c r="H141" i="6"/>
  <c r="I107" i="6"/>
  <c r="I141" i="6"/>
  <c r="BI95" i="18"/>
  <c r="BB95" i="18"/>
  <c r="O40" i="6"/>
  <c r="S40" i="6" s="1"/>
  <c r="Z39" i="6" s="1"/>
  <c r="O74" i="6"/>
  <c r="S74" i="6" s="1"/>
  <c r="AF39" i="6" s="1"/>
  <c r="O80" i="6"/>
  <c r="S80" i="6" s="1"/>
  <c r="AF45" i="6" s="1"/>
  <c r="G47" i="6"/>
  <c r="AB16" i="23" s="1"/>
  <c r="G81" i="6"/>
  <c r="H47" i="6"/>
  <c r="AB19" i="23" s="1"/>
  <c r="H81" i="6"/>
  <c r="I47" i="6"/>
  <c r="AB22" i="23" s="1"/>
  <c r="I81" i="6"/>
  <c r="BB97" i="3"/>
  <c r="BI97" i="3"/>
  <c r="H199" i="11"/>
  <c r="R199" i="11"/>
  <c r="S199" i="11" s="1"/>
  <c r="AI125" i="11"/>
  <c r="AI118" i="11"/>
  <c r="J246" i="9"/>
  <c r="AM124" i="17"/>
  <c r="BZ124" i="17" s="1"/>
  <c r="AN124" i="17"/>
  <c r="AI125" i="16"/>
  <c r="AJ125" i="16"/>
  <c r="AH125" i="16"/>
  <c r="G245" i="9"/>
  <c r="H245" i="9"/>
  <c r="J245" i="9"/>
  <c r="BJ124" i="17"/>
  <c r="J114" i="19" s="1"/>
  <c r="R96" i="18"/>
  <c r="T96" i="18" s="1"/>
  <c r="T97" i="18" s="1"/>
  <c r="AP124" i="17"/>
  <c r="B185" i="8" s="1"/>
  <c r="Z127" i="17"/>
  <c r="AA127" i="17"/>
  <c r="C115" i="19"/>
  <c r="Y128" i="16"/>
  <c r="AP116" i="11"/>
  <c r="B109" i="8" s="1"/>
  <c r="BD124" i="17"/>
  <c r="Z127" i="16"/>
  <c r="AA127" i="16"/>
  <c r="AV86" i="3"/>
  <c r="AX86" i="3" s="1"/>
  <c r="AW86" i="3"/>
  <c r="AY86" i="3" s="1"/>
  <c r="AZ86" i="3" s="1"/>
  <c r="U96" i="18"/>
  <c r="V96" i="18" s="1"/>
  <c r="AR86" i="18"/>
  <c r="AU86" i="18" s="1"/>
  <c r="AW86" i="18" s="1"/>
  <c r="AY86" i="18" s="1"/>
  <c r="AZ86" i="18" s="1"/>
  <c r="AU86" i="19"/>
  <c r="E110" i="8"/>
  <c r="L127" i="7"/>
  <c r="AD127" i="7" s="1"/>
  <c r="Y127" i="7"/>
  <c r="AS127" i="7" s="1"/>
  <c r="S104" i="3"/>
  <c r="R104" i="3"/>
  <c r="T98" i="3"/>
  <c r="U98" i="3"/>
  <c r="V98" i="3" s="1"/>
  <c r="AR160" i="7"/>
  <c r="H127" i="7"/>
  <c r="Z126" i="7"/>
  <c r="M127" i="7"/>
  <c r="AE126" i="7"/>
  <c r="V127" i="7"/>
  <c r="T127" i="7"/>
  <c r="AN126" i="7"/>
  <c r="W127" i="7"/>
  <c r="J127" i="7"/>
  <c r="AB126" i="7"/>
  <c r="F98" i="11"/>
  <c r="D128" i="7" s="1"/>
  <c r="D127" i="7"/>
  <c r="E97" i="11"/>
  <c r="C126" i="7"/>
  <c r="AA120" i="16"/>
  <c r="G97" i="11"/>
  <c r="AR87" i="3" s="1"/>
  <c r="AU87" i="3" s="1"/>
  <c r="BD116" i="11"/>
  <c r="BE116" i="11"/>
  <c r="BF116" i="11"/>
  <c r="BH116" i="11"/>
  <c r="AM116" i="11"/>
  <c r="N106" i="19" s="1"/>
  <c r="Q106" i="19" s="1"/>
  <c r="AO116" i="11"/>
  <c r="AL116" i="11"/>
  <c r="AN116" i="11"/>
  <c r="AB126" i="11"/>
  <c r="Y128" i="11"/>
  <c r="AJ125" i="11"/>
  <c r="AH125" i="11"/>
  <c r="AJ118" i="11"/>
  <c r="AH118" i="11"/>
  <c r="AB119" i="11"/>
  <c r="AA127" i="11"/>
  <c r="Z127" i="11"/>
  <c r="K120" i="11"/>
  <c r="AA120" i="11" s="1"/>
  <c r="J122" i="11"/>
  <c r="K121" i="11"/>
  <c r="AA121" i="11" s="1"/>
  <c r="AC109" i="8" l="1"/>
  <c r="BI124" i="17"/>
  <c r="I114" i="19" s="1"/>
  <c r="BG124" i="17"/>
  <c r="G114" i="19" s="1"/>
  <c r="BK124" i="17"/>
  <c r="K114" i="19" s="1"/>
  <c r="BE124" i="17"/>
  <c r="E114" i="19" s="1"/>
  <c r="L114" i="19" s="1"/>
  <c r="J185" i="8"/>
  <c r="C116" i="19"/>
  <c r="CB126" i="17"/>
  <c r="CD126" i="17"/>
  <c r="CD126" i="16"/>
  <c r="CB126" i="16"/>
  <c r="CB118" i="16"/>
  <c r="CD118" i="16"/>
  <c r="C116" i="18"/>
  <c r="CD125" i="16"/>
  <c r="CB125" i="16"/>
  <c r="AG196" i="11"/>
  <c r="CD118" i="11"/>
  <c r="CD50" i="6" s="1"/>
  <c r="CB118" i="11"/>
  <c r="CB50" i="6" s="1"/>
  <c r="AE196" i="11"/>
  <c r="BZ116" i="11" s="1"/>
  <c r="BM48" i="6" s="1"/>
  <c r="CD125" i="11"/>
  <c r="CB125" i="11"/>
  <c r="AN100" i="19"/>
  <c r="AO100" i="19"/>
  <c r="AP100" i="19" s="1"/>
  <c r="BJ100" i="19" s="1"/>
  <c r="AQ123" i="17"/>
  <c r="BY125" i="17"/>
  <c r="BX57" i="6" s="1"/>
  <c r="E186" i="8"/>
  <c r="I186" i="8"/>
  <c r="F186" i="8"/>
  <c r="G186" i="8"/>
  <c r="H186" i="8"/>
  <c r="D186" i="8"/>
  <c r="C186" i="8"/>
  <c r="AF126" i="17"/>
  <c r="AX126" i="17"/>
  <c r="AU126" i="17"/>
  <c r="AV126" i="17"/>
  <c r="AW126" i="17"/>
  <c r="BA126" i="17"/>
  <c r="BB126" i="17"/>
  <c r="AZ126" i="17"/>
  <c r="AR126" i="17"/>
  <c r="AS126" i="17"/>
  <c r="AT126" i="17"/>
  <c r="AY126" i="17"/>
  <c r="AG126" i="17"/>
  <c r="AK126" i="17" s="1"/>
  <c r="AO126" i="17" s="1"/>
  <c r="AA128" i="17"/>
  <c r="B248" i="9"/>
  <c r="B282" i="9"/>
  <c r="AL125" i="17"/>
  <c r="L184" i="8"/>
  <c r="AE184" i="8"/>
  <c r="M184" i="8"/>
  <c r="Y184" i="8"/>
  <c r="AA184" i="8"/>
  <c r="W184" i="8"/>
  <c r="V184" i="8"/>
  <c r="U184" i="8"/>
  <c r="AC184" i="8"/>
  <c r="Q184" i="8"/>
  <c r="T184" i="8"/>
  <c r="X184" i="8"/>
  <c r="P184" i="8"/>
  <c r="O184" i="8"/>
  <c r="AD184" i="8"/>
  <c r="S184" i="8"/>
  <c r="N184" i="8"/>
  <c r="AF184" i="8"/>
  <c r="K184" i="8"/>
  <c r="AB184" i="8"/>
  <c r="AG184" i="8"/>
  <c r="J184" i="8"/>
  <c r="L112" i="19"/>
  <c r="P112" i="19"/>
  <c r="BJ123" i="17"/>
  <c r="J113" i="19" s="1"/>
  <c r="BK123" i="17"/>
  <c r="K113" i="19" s="1"/>
  <c r="BF123" i="17"/>
  <c r="F113" i="19" s="1"/>
  <c r="BD123" i="17"/>
  <c r="BE123" i="17"/>
  <c r="BI123" i="17"/>
  <c r="I113" i="19" s="1"/>
  <c r="BH123" i="17"/>
  <c r="H113" i="19" s="1"/>
  <c r="BC125" i="17"/>
  <c r="BE125" i="17" s="1"/>
  <c r="BG123" i="17"/>
  <c r="G113" i="19" s="1"/>
  <c r="AH119" i="16"/>
  <c r="AI119" i="16"/>
  <c r="B207" i="9" s="1"/>
  <c r="H147" i="6"/>
  <c r="B179" i="9"/>
  <c r="B213" i="9"/>
  <c r="J172" i="9"/>
  <c r="H172" i="9"/>
  <c r="G172" i="9"/>
  <c r="E144" i="8"/>
  <c r="H144" i="8"/>
  <c r="F144" i="8"/>
  <c r="I144" i="8"/>
  <c r="D144" i="8"/>
  <c r="G144" i="8"/>
  <c r="C144" i="8"/>
  <c r="AQ114" i="16"/>
  <c r="G206" i="9"/>
  <c r="T206" i="9" s="1"/>
  <c r="D153" i="6" s="1"/>
  <c r="J206" i="9"/>
  <c r="W206" i="9" s="1"/>
  <c r="F153" i="6" s="1"/>
  <c r="H206" i="9"/>
  <c r="U206" i="9" s="1"/>
  <c r="E153" i="6" s="1"/>
  <c r="E143" i="8"/>
  <c r="D143" i="8"/>
  <c r="F143" i="8"/>
  <c r="G143" i="8"/>
  <c r="H143" i="8"/>
  <c r="I143" i="8"/>
  <c r="C143" i="8"/>
  <c r="J180" i="9"/>
  <c r="H180" i="9"/>
  <c r="G180" i="9"/>
  <c r="BZ114" i="16"/>
  <c r="BS46" i="6" s="1"/>
  <c r="H214" i="9"/>
  <c r="U214" i="9" s="1"/>
  <c r="E161" i="6" s="1"/>
  <c r="G214" i="9"/>
  <c r="T214" i="9" s="1"/>
  <c r="D161" i="6" s="1"/>
  <c r="J214" i="9"/>
  <c r="W214" i="9" s="1"/>
  <c r="F161" i="6" s="1"/>
  <c r="BG116" i="11"/>
  <c r="G106" i="3" s="1"/>
  <c r="BJ116" i="11"/>
  <c r="J106" i="3" s="1"/>
  <c r="G110" i="8"/>
  <c r="S109" i="8"/>
  <c r="BC117" i="11"/>
  <c r="BG117" i="11" s="1"/>
  <c r="G107" i="3" s="1"/>
  <c r="H110" i="8"/>
  <c r="BK116" i="11"/>
  <c r="K106" i="3" s="1"/>
  <c r="C110" i="8"/>
  <c r="J109" i="8"/>
  <c r="AC126" i="11"/>
  <c r="AE126" i="11"/>
  <c r="AD126" i="11"/>
  <c r="W198" i="11"/>
  <c r="AA198" i="11"/>
  <c r="Y198" i="11"/>
  <c r="AB198" i="11"/>
  <c r="Z198" i="11"/>
  <c r="K138" i="9" s="1"/>
  <c r="X198" i="11"/>
  <c r="F110" i="8"/>
  <c r="D110" i="8"/>
  <c r="M109" i="8"/>
  <c r="C107" i="3"/>
  <c r="AW125" i="11"/>
  <c r="AF125" i="11"/>
  <c r="E118" i="8" s="1"/>
  <c r="AU125" i="11"/>
  <c r="AV125" i="11"/>
  <c r="AX125" i="11"/>
  <c r="AT125" i="11"/>
  <c r="AR125" i="11"/>
  <c r="AZ125" i="11"/>
  <c r="BB125" i="11"/>
  <c r="AY125" i="11"/>
  <c r="BA125" i="11"/>
  <c r="AS125" i="11"/>
  <c r="AG125" i="11"/>
  <c r="AK125" i="11" s="1"/>
  <c r="AC197" i="11"/>
  <c r="AI197" i="11" s="1"/>
  <c r="AD119" i="11"/>
  <c r="AC119" i="11"/>
  <c r="AE119" i="11"/>
  <c r="B102" i="9"/>
  <c r="H102" i="9" s="1"/>
  <c r="B136" i="9"/>
  <c r="Q137" i="9"/>
  <c r="P137" i="9"/>
  <c r="S137" i="9"/>
  <c r="AW118" i="11"/>
  <c r="AF118" i="11"/>
  <c r="AV118" i="11"/>
  <c r="BA118" i="11"/>
  <c r="AU118" i="11"/>
  <c r="AG118" i="11"/>
  <c r="AK118" i="11" s="1"/>
  <c r="AS118" i="11"/>
  <c r="AX118" i="11"/>
  <c r="AY118" i="11"/>
  <c r="AR118" i="11"/>
  <c r="AZ118" i="11"/>
  <c r="AT118" i="11"/>
  <c r="BB118" i="11"/>
  <c r="T199" i="11"/>
  <c r="AI51" i="6" s="1"/>
  <c r="V199" i="11"/>
  <c r="U199" i="11"/>
  <c r="CE119" i="11" s="1"/>
  <c r="CE51" i="6" s="1"/>
  <c r="V205" i="11"/>
  <c r="U205" i="11"/>
  <c r="CE125" i="11" s="1"/>
  <c r="CE57" i="6" s="1"/>
  <c r="T205" i="11"/>
  <c r="AI57" i="6" s="1"/>
  <c r="AD197" i="11"/>
  <c r="AD196" i="11"/>
  <c r="AI196" i="11"/>
  <c r="AH196" i="11"/>
  <c r="G246" i="9"/>
  <c r="O225" i="6"/>
  <c r="S225" i="6" s="1"/>
  <c r="BD54" i="6" s="1"/>
  <c r="E104" i="18"/>
  <c r="BL114" i="16"/>
  <c r="AK117" i="16"/>
  <c r="AL117" i="16" s="1"/>
  <c r="R140" i="8"/>
  <c r="AF125" i="16"/>
  <c r="AR125" i="16"/>
  <c r="AV125" i="16"/>
  <c r="AT125" i="16"/>
  <c r="AY125" i="16"/>
  <c r="AU125" i="16"/>
  <c r="BA125" i="16"/>
  <c r="AW125" i="16"/>
  <c r="BB125" i="16"/>
  <c r="AX125" i="16"/>
  <c r="AS125" i="16"/>
  <c r="AZ125" i="16"/>
  <c r="AG125" i="16"/>
  <c r="AK125" i="16" s="1"/>
  <c r="O146" i="6"/>
  <c r="S146" i="6" s="1"/>
  <c r="AR43" i="6" s="1"/>
  <c r="AF118" i="16"/>
  <c r="AS118" i="16"/>
  <c r="AW118" i="16"/>
  <c r="BA118" i="16"/>
  <c r="AV118" i="16"/>
  <c r="BB118" i="16"/>
  <c r="AR118" i="16"/>
  <c r="AX118" i="16"/>
  <c r="AT118" i="16"/>
  <c r="AU118" i="16"/>
  <c r="AZ118" i="16"/>
  <c r="AY118" i="16"/>
  <c r="AG118" i="16"/>
  <c r="I147" i="6"/>
  <c r="O147" i="6" s="1"/>
  <c r="S147" i="6" s="1"/>
  <c r="AR44" i="6" s="1"/>
  <c r="I113" i="6"/>
  <c r="O113" i="6" s="1"/>
  <c r="S113" i="6" s="1"/>
  <c r="AL44" i="6" s="1"/>
  <c r="AD141" i="8"/>
  <c r="U141" i="8"/>
  <c r="Q141" i="8"/>
  <c r="M141" i="8"/>
  <c r="K141" i="8"/>
  <c r="L141" i="8"/>
  <c r="N141" i="8"/>
  <c r="AG141" i="8"/>
  <c r="AE141" i="8"/>
  <c r="T141" i="8"/>
  <c r="X141" i="8"/>
  <c r="Y141" i="8"/>
  <c r="AB141" i="8"/>
  <c r="AC141" i="8"/>
  <c r="V141" i="8"/>
  <c r="AF141" i="8"/>
  <c r="P141" i="8"/>
  <c r="W141" i="8"/>
  <c r="S141" i="8"/>
  <c r="AA141" i="8"/>
  <c r="O141" i="8"/>
  <c r="AK116" i="16"/>
  <c r="AH140" i="8"/>
  <c r="Z140" i="8"/>
  <c r="O112" i="6"/>
  <c r="S112" i="6" s="1"/>
  <c r="AL43" i="6" s="1"/>
  <c r="AD119" i="16"/>
  <c r="AC119" i="16"/>
  <c r="AE119" i="16"/>
  <c r="BC117" i="16"/>
  <c r="N148" i="6"/>
  <c r="P103" i="18"/>
  <c r="Q103" i="18" s="1"/>
  <c r="L103" i="18"/>
  <c r="BC116" i="16"/>
  <c r="BK116" i="16" s="1"/>
  <c r="K106" i="18" s="1"/>
  <c r="AF126" i="16"/>
  <c r="AS126" i="16"/>
  <c r="AW126" i="16"/>
  <c r="BA126" i="16"/>
  <c r="AT126" i="16"/>
  <c r="AU126" i="16"/>
  <c r="AZ126" i="16"/>
  <c r="AV126" i="16"/>
  <c r="BB126" i="16"/>
  <c r="AR126" i="16"/>
  <c r="AX126" i="16"/>
  <c r="AY126" i="16"/>
  <c r="AG126" i="16"/>
  <c r="AK126" i="16" s="1"/>
  <c r="AP126" i="16" s="1"/>
  <c r="B153" i="8" s="1"/>
  <c r="M148" i="6"/>
  <c r="R147" i="6"/>
  <c r="AQ44" i="6" s="1"/>
  <c r="BY117" i="11"/>
  <c r="BL49" i="6" s="1"/>
  <c r="O190" i="6"/>
  <c r="S190" i="6" s="1"/>
  <c r="AX53" i="6" s="1"/>
  <c r="BY56" i="6"/>
  <c r="AN125" i="17"/>
  <c r="O191" i="6"/>
  <c r="S191" i="6" s="1"/>
  <c r="AX54" i="6" s="1"/>
  <c r="AE109" i="8"/>
  <c r="AN103" i="3"/>
  <c r="AO103" i="3"/>
  <c r="AP103" i="3" s="1"/>
  <c r="BJ103" i="3" s="1"/>
  <c r="H206" i="11"/>
  <c r="R206" i="11"/>
  <c r="S206" i="11" s="1"/>
  <c r="O224" i="6"/>
  <c r="S224" i="6" s="1"/>
  <c r="BD53" i="6" s="1"/>
  <c r="AB127" i="16"/>
  <c r="AB120" i="16"/>
  <c r="AJ120" i="16" s="1"/>
  <c r="O108" i="6"/>
  <c r="S108" i="6" s="1"/>
  <c r="AL39" i="6" s="1"/>
  <c r="O107" i="6"/>
  <c r="S107" i="6" s="1"/>
  <c r="AL38" i="6" s="1"/>
  <c r="BI96" i="18"/>
  <c r="BB96" i="18"/>
  <c r="O142" i="6"/>
  <c r="S142" i="6" s="1"/>
  <c r="AR39" i="6" s="1"/>
  <c r="O141" i="6"/>
  <c r="S141" i="6" s="1"/>
  <c r="AR38" i="6" s="1"/>
  <c r="O47" i="6"/>
  <c r="S47" i="6" s="1"/>
  <c r="Z46" i="6" s="1"/>
  <c r="O81" i="6"/>
  <c r="S81" i="6" s="1"/>
  <c r="AF46" i="6" s="1"/>
  <c r="H160" i="11"/>
  <c r="BB98" i="3"/>
  <c r="BI98" i="3"/>
  <c r="BD86" i="3"/>
  <c r="BE86" i="3" s="1"/>
  <c r="BG86" i="3" s="1"/>
  <c r="C29" i="6" s="1"/>
  <c r="BK86" i="3"/>
  <c r="BL86" i="3" s="1"/>
  <c r="BN86" i="3" s="1"/>
  <c r="C63" i="6" s="1"/>
  <c r="L63" i="6" s="1"/>
  <c r="Q63" i="6" s="1"/>
  <c r="BD86" i="18"/>
  <c r="BK86" i="18"/>
  <c r="O109" i="8"/>
  <c r="T109" i="8"/>
  <c r="H200" i="11"/>
  <c r="R200" i="11"/>
  <c r="S200" i="11" s="1"/>
  <c r="AI119" i="11"/>
  <c r="AI126" i="11"/>
  <c r="AP125" i="17"/>
  <c r="B186" i="8" s="1"/>
  <c r="L109" i="8"/>
  <c r="AF109" i="8"/>
  <c r="N109" i="8"/>
  <c r="AA109" i="8"/>
  <c r="W109" i="8"/>
  <c r="AD109" i="8"/>
  <c r="AG109" i="8"/>
  <c r="V109" i="8"/>
  <c r="Q109" i="8"/>
  <c r="P109" i="8"/>
  <c r="AB109" i="8"/>
  <c r="Y109" i="8"/>
  <c r="U109" i="8"/>
  <c r="X109" i="8"/>
  <c r="K109" i="8"/>
  <c r="E115" i="19"/>
  <c r="AI120" i="16"/>
  <c r="AM125" i="17"/>
  <c r="C115" i="18"/>
  <c r="D114" i="19"/>
  <c r="AQ124" i="17"/>
  <c r="AG185" i="8"/>
  <c r="AB185" i="8"/>
  <c r="U185" i="8"/>
  <c r="N185" i="8"/>
  <c r="Q185" i="8"/>
  <c r="P185" i="8"/>
  <c r="Y185" i="8"/>
  <c r="T185" i="8"/>
  <c r="M185" i="8"/>
  <c r="W185" i="8"/>
  <c r="AF185" i="8"/>
  <c r="O185" i="8"/>
  <c r="X185" i="8"/>
  <c r="AD185" i="8"/>
  <c r="L185" i="8"/>
  <c r="AC185" i="8"/>
  <c r="V185" i="8"/>
  <c r="AE185" i="8"/>
  <c r="K185" i="8"/>
  <c r="AA185" i="8"/>
  <c r="S185" i="8"/>
  <c r="BD125" i="17"/>
  <c r="Z128" i="16"/>
  <c r="AA128" i="16"/>
  <c r="AO125" i="17"/>
  <c r="AB127" i="17"/>
  <c r="AO117" i="11"/>
  <c r="H161" i="11"/>
  <c r="AB128" i="17"/>
  <c r="U97" i="18"/>
  <c r="V97" i="18" s="1"/>
  <c r="AV87" i="3"/>
  <c r="AX87" i="3" s="1"/>
  <c r="AW87" i="3"/>
  <c r="AY87" i="3" s="1"/>
  <c r="AZ87" i="3" s="1"/>
  <c r="AV86" i="18"/>
  <c r="AX86" i="18" s="1"/>
  <c r="U98" i="18"/>
  <c r="V98" i="18" s="1"/>
  <c r="T98" i="18"/>
  <c r="U99" i="18" s="1"/>
  <c r="V99" i="18" s="1"/>
  <c r="AW86" i="19"/>
  <c r="AY86" i="19" s="1"/>
  <c r="AZ86" i="19" s="1"/>
  <c r="AV86" i="19"/>
  <c r="AX86" i="19" s="1"/>
  <c r="L128" i="7"/>
  <c r="AD128" i="7" s="1"/>
  <c r="S106" i="19"/>
  <c r="R106" i="19"/>
  <c r="E111" i="8"/>
  <c r="I111" i="8"/>
  <c r="F111" i="8"/>
  <c r="C111" i="8"/>
  <c r="G111" i="8"/>
  <c r="D111" i="8"/>
  <c r="H111" i="8"/>
  <c r="Y128" i="7"/>
  <c r="Y129" i="7" s="1"/>
  <c r="Y130" i="7" s="1"/>
  <c r="C118" i="8"/>
  <c r="D106" i="3"/>
  <c r="N106" i="3" s="1"/>
  <c r="E106" i="3"/>
  <c r="F106" i="3"/>
  <c r="H106" i="3"/>
  <c r="C108" i="3"/>
  <c r="T99" i="3"/>
  <c r="U99" i="3"/>
  <c r="V99" i="3" s="1"/>
  <c r="G98" i="11"/>
  <c r="AR88" i="3" s="1"/>
  <c r="AU88" i="3" s="1"/>
  <c r="F99" i="11"/>
  <c r="D129" i="7" s="1"/>
  <c r="AQ127" i="7"/>
  <c r="W128" i="7"/>
  <c r="E98" i="11"/>
  <c r="C127" i="7"/>
  <c r="J128" i="7"/>
  <c r="AB127" i="7"/>
  <c r="H128" i="7"/>
  <c r="Z127" i="7"/>
  <c r="AN127" i="7"/>
  <c r="T128" i="7"/>
  <c r="AR161" i="7"/>
  <c r="AP127" i="7"/>
  <c r="V128" i="7"/>
  <c r="AE127" i="7"/>
  <c r="M128" i="7"/>
  <c r="G97" i="16"/>
  <c r="AA121" i="16"/>
  <c r="BK117" i="11"/>
  <c r="AQ116" i="11"/>
  <c r="AH126" i="11"/>
  <c r="AJ126" i="11"/>
  <c r="AL117" i="11"/>
  <c r="AN117" i="11"/>
  <c r="AP117" i="11"/>
  <c r="B110" i="8" s="1"/>
  <c r="AM117" i="11"/>
  <c r="N107" i="19" s="1"/>
  <c r="Q107" i="19" s="1"/>
  <c r="Z128" i="11"/>
  <c r="AA128" i="11"/>
  <c r="AJ119" i="11"/>
  <c r="AH119" i="11"/>
  <c r="AB127" i="11"/>
  <c r="AB121" i="11"/>
  <c r="AB120" i="11"/>
  <c r="J123" i="11"/>
  <c r="K122" i="11"/>
  <c r="AA122" i="11" s="1"/>
  <c r="L29" i="6" l="1"/>
  <c r="Q29" i="6" s="1"/>
  <c r="X28" i="6" s="1"/>
  <c r="J17" i="23"/>
  <c r="BI117" i="11"/>
  <c r="BF117" i="11"/>
  <c r="BH117" i="11"/>
  <c r="BD117" i="11"/>
  <c r="BJ117" i="11"/>
  <c r="BE117" i="11"/>
  <c r="K186" i="8"/>
  <c r="P114" i="19"/>
  <c r="BL124" i="17"/>
  <c r="X186" i="8"/>
  <c r="J186" i="8"/>
  <c r="Z184" i="8"/>
  <c r="CD119" i="16"/>
  <c r="CB119" i="16"/>
  <c r="B173" i="9"/>
  <c r="H173" i="9" s="1"/>
  <c r="C109" i="18"/>
  <c r="AO126" i="16"/>
  <c r="AN126" i="16"/>
  <c r="AM126" i="16"/>
  <c r="BZ126" i="16" s="1"/>
  <c r="BS58" i="6" s="1"/>
  <c r="J143" i="8"/>
  <c r="AH106" i="3"/>
  <c r="AK106" i="3" s="1"/>
  <c r="AM106" i="3" s="1"/>
  <c r="BL116" i="11"/>
  <c r="CB119" i="11"/>
  <c r="CB51" i="6" s="1"/>
  <c r="CD119" i="11"/>
  <c r="CD51" i="6" s="1"/>
  <c r="AJ196" i="11"/>
  <c r="BC125" i="11"/>
  <c r="BI125" i="11" s="1"/>
  <c r="I115" i="3" s="1"/>
  <c r="CD126" i="11"/>
  <c r="CB126" i="11"/>
  <c r="J110" i="8"/>
  <c r="BK125" i="17"/>
  <c r="K115" i="19" s="1"/>
  <c r="BF125" i="17"/>
  <c r="F115" i="19" s="1"/>
  <c r="N186" i="8"/>
  <c r="BG125" i="17"/>
  <c r="G115" i="19" s="1"/>
  <c r="BJ125" i="17"/>
  <c r="J115" i="19" s="1"/>
  <c r="AN101" i="19"/>
  <c r="AO101" i="19"/>
  <c r="AP101" i="19" s="1"/>
  <c r="BJ101" i="19" s="1"/>
  <c r="AD128" i="17"/>
  <c r="AE128" i="17"/>
  <c r="AC128" i="17"/>
  <c r="AJ128" i="17"/>
  <c r="AI128" i="17"/>
  <c r="AH128" i="17"/>
  <c r="AD127" i="17"/>
  <c r="AC127" i="17"/>
  <c r="AE127" i="17"/>
  <c r="AJ127" i="17"/>
  <c r="AI127" i="17"/>
  <c r="AH127" i="17"/>
  <c r="AH184" i="8"/>
  <c r="BZ125" i="17"/>
  <c r="BY57" i="6" s="1"/>
  <c r="G248" i="9"/>
  <c r="AP126" i="17"/>
  <c r="B187" i="8" s="1"/>
  <c r="BY126" i="17"/>
  <c r="BX58" i="6" s="1"/>
  <c r="G187" i="8"/>
  <c r="F187" i="8"/>
  <c r="H187" i="8"/>
  <c r="D187" i="8"/>
  <c r="E187" i="8"/>
  <c r="I187" i="8"/>
  <c r="C187" i="8"/>
  <c r="BC126" i="17"/>
  <c r="AL126" i="17"/>
  <c r="BL123" i="17"/>
  <c r="E113" i="19"/>
  <c r="R184" i="8"/>
  <c r="AN126" i="17"/>
  <c r="AM126" i="17"/>
  <c r="BZ126" i="17" s="1"/>
  <c r="BI125" i="17"/>
  <c r="I115" i="19" s="1"/>
  <c r="BH125" i="17"/>
  <c r="H115" i="19" s="1"/>
  <c r="BC126" i="16"/>
  <c r="BF126" i="16" s="1"/>
  <c r="F116" i="18" s="1"/>
  <c r="BG126" i="16"/>
  <c r="G116" i="18" s="1"/>
  <c r="B208" i="9"/>
  <c r="B174" i="9"/>
  <c r="BE126" i="16"/>
  <c r="E116" i="18" s="1"/>
  <c r="BY125" i="16"/>
  <c r="BR57" i="6" s="1"/>
  <c r="BH126" i="16"/>
  <c r="H116" i="18" s="1"/>
  <c r="AL125" i="16"/>
  <c r="F152" i="8"/>
  <c r="I152" i="8"/>
  <c r="G152" i="8"/>
  <c r="E152" i="8"/>
  <c r="D152" i="8"/>
  <c r="H152" i="8"/>
  <c r="C152" i="8"/>
  <c r="J144" i="8"/>
  <c r="J173" i="9"/>
  <c r="G173" i="9"/>
  <c r="BY126" i="16"/>
  <c r="BR58" i="6" s="1"/>
  <c r="AL126" i="16"/>
  <c r="G153" i="8"/>
  <c r="AE153" i="8" s="1"/>
  <c r="H153" i="8"/>
  <c r="P153" i="8" s="1"/>
  <c r="E153" i="8"/>
  <c r="U153" i="8" s="1"/>
  <c r="I153" i="8"/>
  <c r="Q153" i="8" s="1"/>
  <c r="F153" i="8"/>
  <c r="N153" i="8" s="1"/>
  <c r="D153" i="8"/>
  <c r="L153" i="8" s="1"/>
  <c r="C153" i="8"/>
  <c r="S153" i="8" s="1"/>
  <c r="BI116" i="16"/>
  <c r="I106" i="18" s="1"/>
  <c r="J207" i="9"/>
  <c r="W207" i="9" s="1"/>
  <c r="F154" i="6" s="1"/>
  <c r="G207" i="9"/>
  <c r="T207" i="9" s="1"/>
  <c r="D154" i="6" s="1"/>
  <c r="H207" i="9"/>
  <c r="U207" i="9" s="1"/>
  <c r="E154" i="6" s="1"/>
  <c r="J213" i="9"/>
  <c r="W213" i="9" s="1"/>
  <c r="F160" i="6" s="1"/>
  <c r="G213" i="9"/>
  <c r="T213" i="9" s="1"/>
  <c r="D160" i="6" s="1"/>
  <c r="H213" i="9"/>
  <c r="U213" i="9" s="1"/>
  <c r="E160" i="6" s="1"/>
  <c r="BY116" i="16"/>
  <c r="BR48" i="6" s="1"/>
  <c r="E145" i="8"/>
  <c r="H145" i="8"/>
  <c r="I145" i="8"/>
  <c r="F145" i="8"/>
  <c r="D145" i="8"/>
  <c r="G145" i="8"/>
  <c r="C145" i="8"/>
  <c r="BC125" i="16"/>
  <c r="BH125" i="16" s="1"/>
  <c r="H115" i="18" s="1"/>
  <c r="BY117" i="16"/>
  <c r="BR49" i="6" s="1"/>
  <c r="AL116" i="16"/>
  <c r="H179" i="9"/>
  <c r="J179" i="9"/>
  <c r="G179" i="9"/>
  <c r="H118" i="8"/>
  <c r="AE197" i="11"/>
  <c r="AH107" i="3" s="1"/>
  <c r="AK107" i="3" s="1"/>
  <c r="AF197" i="11"/>
  <c r="D118" i="8"/>
  <c r="AW126" i="11"/>
  <c r="AU126" i="11"/>
  <c r="AF126" i="11"/>
  <c r="F119" i="8" s="1"/>
  <c r="AX126" i="11"/>
  <c r="AV126" i="11"/>
  <c r="AT126" i="11"/>
  <c r="AY126" i="11"/>
  <c r="AZ126" i="11"/>
  <c r="BA126" i="11"/>
  <c r="AR126" i="11"/>
  <c r="AS126" i="11"/>
  <c r="BB126" i="11"/>
  <c r="AG126" i="11"/>
  <c r="AK126" i="11" s="1"/>
  <c r="AD127" i="11"/>
  <c r="AE127" i="11"/>
  <c r="AC127" i="11"/>
  <c r="C115" i="3"/>
  <c r="I118" i="8"/>
  <c r="AG197" i="11"/>
  <c r="AC198" i="11"/>
  <c r="AF198" i="11" s="1"/>
  <c r="S138" i="9"/>
  <c r="P138" i="9"/>
  <c r="Q138" i="9"/>
  <c r="F118" i="8"/>
  <c r="AH197" i="11"/>
  <c r="G102" i="9"/>
  <c r="G118" i="8"/>
  <c r="BC118" i="11"/>
  <c r="BF118" i="11" s="1"/>
  <c r="F108" i="3" s="1"/>
  <c r="W205" i="11"/>
  <c r="BY125" i="11" s="1"/>
  <c r="BL57" i="6" s="1"/>
  <c r="AA205" i="11"/>
  <c r="Z205" i="11"/>
  <c r="K145" i="9" s="1"/>
  <c r="Y205" i="11"/>
  <c r="AB205" i="11"/>
  <c r="X205" i="11"/>
  <c r="AE120" i="11"/>
  <c r="AD120" i="11"/>
  <c r="AC120" i="11"/>
  <c r="U200" i="11"/>
  <c r="CE120" i="11" s="1"/>
  <c r="CE52" i="6" s="1"/>
  <c r="T200" i="11"/>
  <c r="AI52" i="6" s="1"/>
  <c r="V200" i="11"/>
  <c r="J102" i="9"/>
  <c r="AE121" i="11"/>
  <c r="AD121" i="11"/>
  <c r="AC121" i="11"/>
  <c r="B103" i="9"/>
  <c r="B137" i="9"/>
  <c r="V206" i="11"/>
  <c r="U206" i="11"/>
  <c r="CE126" i="11" s="1"/>
  <c r="CE58" i="6" s="1"/>
  <c r="T206" i="11"/>
  <c r="AI58" i="6" s="1"/>
  <c r="W199" i="11"/>
  <c r="Y199" i="11"/>
  <c r="AB199" i="11"/>
  <c r="X199" i="11"/>
  <c r="AA199" i="11"/>
  <c r="Z199" i="11"/>
  <c r="K139" i="9" s="1"/>
  <c r="G136" i="9"/>
  <c r="T136" i="9" s="1"/>
  <c r="D83" i="6" s="1"/>
  <c r="M83" i="6" s="1"/>
  <c r="J136" i="9"/>
  <c r="W136" i="9" s="1"/>
  <c r="F83" i="6" s="1"/>
  <c r="H136" i="9"/>
  <c r="U136" i="9" s="1"/>
  <c r="E83" i="6" s="1"/>
  <c r="AV119" i="11"/>
  <c r="AU119" i="11"/>
  <c r="AF119" i="11"/>
  <c r="D112" i="8" s="1"/>
  <c r="AX119" i="11"/>
  <c r="AG119" i="11"/>
  <c r="AK119" i="11" s="1"/>
  <c r="AW119" i="11"/>
  <c r="AY119" i="11"/>
  <c r="AR119" i="11"/>
  <c r="BB119" i="11"/>
  <c r="AZ119" i="11"/>
  <c r="AS119" i="11"/>
  <c r="AT119" i="11"/>
  <c r="BA119" i="11"/>
  <c r="R148" i="6"/>
  <c r="AQ45" i="6" s="1"/>
  <c r="J248" i="9"/>
  <c r="H248" i="9"/>
  <c r="Q186" i="8"/>
  <c r="BD117" i="16"/>
  <c r="BG117" i="16"/>
  <c r="G107" i="18" s="1"/>
  <c r="BH117" i="16"/>
  <c r="H107" i="18" s="1"/>
  <c r="BI117" i="16"/>
  <c r="I107" i="18" s="1"/>
  <c r="BK117" i="16"/>
  <c r="K107" i="18" s="1"/>
  <c r="BJ117" i="16"/>
  <c r="J107" i="18" s="1"/>
  <c r="AH141" i="8"/>
  <c r="BI126" i="16"/>
  <c r="I116" i="18" s="1"/>
  <c r="AE120" i="16"/>
  <c r="AD120" i="16"/>
  <c r="C110" i="18" s="1"/>
  <c r="AC120" i="16"/>
  <c r="AO116" i="16"/>
  <c r="AP116" i="16"/>
  <c r="B143" i="8" s="1"/>
  <c r="AN116" i="16"/>
  <c r="Z141" i="8"/>
  <c r="AO117" i="16"/>
  <c r="AN117" i="16"/>
  <c r="AP117" i="16"/>
  <c r="B144" i="8" s="1"/>
  <c r="M149" i="6"/>
  <c r="S103" i="18"/>
  <c r="R103" i="18"/>
  <c r="AD127" i="16"/>
  <c r="AC127" i="16"/>
  <c r="AE127" i="16"/>
  <c r="BE116" i="16"/>
  <c r="BH116" i="16"/>
  <c r="H106" i="18" s="1"/>
  <c r="BD116" i="16"/>
  <c r="BJ116" i="16"/>
  <c r="J106" i="18" s="1"/>
  <c r="BG116" i="16"/>
  <c r="G106" i="18" s="1"/>
  <c r="BF116" i="16"/>
  <c r="F106" i="18" s="1"/>
  <c r="H148" i="6"/>
  <c r="H114" i="6"/>
  <c r="AM116" i="16"/>
  <c r="BZ116" i="16" s="1"/>
  <c r="BC118" i="16"/>
  <c r="BI118" i="16" s="1"/>
  <c r="I108" i="18" s="1"/>
  <c r="AM117" i="16"/>
  <c r="BZ117" i="16" s="1"/>
  <c r="BF117" i="16"/>
  <c r="F107" i="18" s="1"/>
  <c r="AK118" i="16"/>
  <c r="BD126" i="16"/>
  <c r="BJ126" i="16"/>
  <c r="J116" i="18" s="1"/>
  <c r="BE117" i="16"/>
  <c r="AF119" i="16"/>
  <c r="AX119" i="16"/>
  <c r="AV119" i="16"/>
  <c r="BA119" i="16"/>
  <c r="AR119" i="16"/>
  <c r="AW119" i="16"/>
  <c r="AS119" i="16"/>
  <c r="AY119" i="16"/>
  <c r="AZ119" i="16"/>
  <c r="AU119" i="16"/>
  <c r="BB119" i="16"/>
  <c r="AT119" i="16"/>
  <c r="AG119" i="16"/>
  <c r="I114" i="6"/>
  <c r="I148" i="6"/>
  <c r="R141" i="8"/>
  <c r="G148" i="6"/>
  <c r="G114" i="6"/>
  <c r="N149" i="6"/>
  <c r="L104" i="18"/>
  <c r="P104" i="18"/>
  <c r="Q104" i="18" s="1"/>
  <c r="BY118" i="11"/>
  <c r="BL50" i="6" s="1"/>
  <c r="H207" i="11"/>
  <c r="R207" i="11"/>
  <c r="S207" i="11" s="1"/>
  <c r="AO104" i="3"/>
  <c r="AP104" i="3" s="1"/>
  <c r="BJ104" i="3" s="1"/>
  <c r="AN104" i="3"/>
  <c r="P186" i="8"/>
  <c r="AH185" i="8"/>
  <c r="AB186" i="8"/>
  <c r="AF153" i="8"/>
  <c r="AB153" i="8"/>
  <c r="T153" i="8"/>
  <c r="X153" i="8"/>
  <c r="AH120" i="16"/>
  <c r="Y153" i="8"/>
  <c r="AB121" i="16"/>
  <c r="AJ121" i="16" s="1"/>
  <c r="AB128" i="16"/>
  <c r="AJ128" i="16" s="1"/>
  <c r="BI97" i="18"/>
  <c r="BB97" i="18"/>
  <c r="AN125" i="16"/>
  <c r="BB98" i="18"/>
  <c r="BI98" i="18"/>
  <c r="BI99" i="18"/>
  <c r="BB99" i="18"/>
  <c r="BB99" i="3"/>
  <c r="BI99" i="3"/>
  <c r="BK86" i="19"/>
  <c r="BD86" i="19"/>
  <c r="BD87" i="3"/>
  <c r="BE87" i="3" s="1"/>
  <c r="BG87" i="3" s="1"/>
  <c r="C30" i="6" s="1"/>
  <c r="BK87" i="3"/>
  <c r="BL87" i="3" s="1"/>
  <c r="BN87" i="3" s="1"/>
  <c r="C64" i="6" s="1"/>
  <c r="L64" i="6" s="1"/>
  <c r="Q64" i="6" s="1"/>
  <c r="AD28" i="6"/>
  <c r="R109" i="8"/>
  <c r="H201" i="11"/>
  <c r="R201" i="11"/>
  <c r="S201" i="11" s="1"/>
  <c r="AA186" i="8"/>
  <c r="T186" i="8"/>
  <c r="AC186" i="8"/>
  <c r="L186" i="8"/>
  <c r="M186" i="8"/>
  <c r="AF186" i="8"/>
  <c r="W186" i="8"/>
  <c r="V186" i="8"/>
  <c r="O186" i="8"/>
  <c r="AE186" i="8"/>
  <c r="AP125" i="16"/>
  <c r="B152" i="8" s="1"/>
  <c r="S186" i="8"/>
  <c r="Y186" i="8"/>
  <c r="AG186" i="8"/>
  <c r="U186" i="8"/>
  <c r="AD186" i="8"/>
  <c r="AI120" i="11"/>
  <c r="Z185" i="8"/>
  <c r="Z109" i="8"/>
  <c r="AH109" i="8"/>
  <c r="AI127" i="11"/>
  <c r="AI121" i="11"/>
  <c r="R185" i="8"/>
  <c r="AL118" i="11"/>
  <c r="D116" i="18"/>
  <c r="AQ126" i="16"/>
  <c r="H162" i="11"/>
  <c r="G247" i="9"/>
  <c r="J247" i="9"/>
  <c r="H247" i="9"/>
  <c r="AI127" i="16"/>
  <c r="AJ127" i="16"/>
  <c r="AH127" i="16"/>
  <c r="AO125" i="11"/>
  <c r="L129" i="7"/>
  <c r="AD129" i="7" s="1"/>
  <c r="AM125" i="16"/>
  <c r="BE125" i="16"/>
  <c r="M161" i="6"/>
  <c r="N161" i="6"/>
  <c r="AO125" i="16"/>
  <c r="AH128" i="16"/>
  <c r="D115" i="19"/>
  <c r="N115" i="19" s="1"/>
  <c r="AQ125" i="17"/>
  <c r="T99" i="18"/>
  <c r="T100" i="18" s="1"/>
  <c r="AV88" i="3"/>
  <c r="AX88" i="3" s="1"/>
  <c r="AW88" i="3"/>
  <c r="AY88" i="3" s="1"/>
  <c r="AZ88" i="3" s="1"/>
  <c r="AR87" i="18"/>
  <c r="AU87" i="18" s="1"/>
  <c r="AV87" i="18" s="1"/>
  <c r="AX87" i="18" s="1"/>
  <c r="AU87" i="19"/>
  <c r="R107" i="19"/>
  <c r="S107" i="19"/>
  <c r="BH118" i="11"/>
  <c r="H108" i="3" s="1"/>
  <c r="J111" i="8"/>
  <c r="AG110" i="8"/>
  <c r="N110" i="8"/>
  <c r="AA110" i="8"/>
  <c r="AE110" i="8"/>
  <c r="O110" i="8"/>
  <c r="AD110" i="8"/>
  <c r="AF110" i="8"/>
  <c r="AB110" i="8"/>
  <c r="T110" i="8"/>
  <c r="W110" i="8"/>
  <c r="X110" i="8"/>
  <c r="V110" i="8"/>
  <c r="S110" i="8"/>
  <c r="L110" i="8"/>
  <c r="U110" i="8"/>
  <c r="P110" i="8"/>
  <c r="Q110" i="8"/>
  <c r="Y110" i="8"/>
  <c r="AC110" i="8"/>
  <c r="K110" i="8"/>
  <c r="M110" i="8"/>
  <c r="G99" i="11"/>
  <c r="AR89" i="3" s="1"/>
  <c r="AU89" i="3" s="1"/>
  <c r="AS129" i="7"/>
  <c r="G112" i="8"/>
  <c r="F100" i="11"/>
  <c r="D130" i="7" s="1"/>
  <c r="D119" i="8"/>
  <c r="AS128" i="7"/>
  <c r="H107" i="3"/>
  <c r="D107" i="3"/>
  <c r="N107" i="3" s="1"/>
  <c r="J107" i="3"/>
  <c r="E107" i="3"/>
  <c r="U100" i="3"/>
  <c r="V100" i="3" s="1"/>
  <c r="T100" i="3"/>
  <c r="K107" i="3"/>
  <c r="L106" i="3"/>
  <c r="P106" i="3"/>
  <c r="Q106" i="3" s="1"/>
  <c r="F107" i="3"/>
  <c r="I107" i="3"/>
  <c r="Y131" i="7"/>
  <c r="AS130" i="7"/>
  <c r="E99" i="11"/>
  <c r="C128" i="7"/>
  <c r="AN128" i="7"/>
  <c r="T129" i="7"/>
  <c r="V129" i="7"/>
  <c r="AP128" i="7"/>
  <c r="W129" i="7"/>
  <c r="AQ128" i="7"/>
  <c r="M129" i="7"/>
  <c r="AE128" i="7"/>
  <c r="AR162" i="7"/>
  <c r="H129" i="7"/>
  <c r="Z128" i="7"/>
  <c r="J129" i="7"/>
  <c r="AB128" i="7"/>
  <c r="G98" i="16"/>
  <c r="AA122" i="16"/>
  <c r="BD125" i="11"/>
  <c r="BK125" i="11"/>
  <c r="K115" i="3" s="1"/>
  <c r="BE125" i="11"/>
  <c r="E115" i="3" s="1"/>
  <c r="BF125" i="11"/>
  <c r="F115" i="3" s="1"/>
  <c r="BJ125" i="11"/>
  <c r="J115" i="3" s="1"/>
  <c r="BL117" i="11"/>
  <c r="BG125" i="11"/>
  <c r="G115" i="3" s="1"/>
  <c r="BH125" i="11"/>
  <c r="H115" i="3" s="1"/>
  <c r="AM118" i="11"/>
  <c r="N108" i="19" s="1"/>
  <c r="Q108" i="19" s="1"/>
  <c r="AN118" i="11"/>
  <c r="AO118" i="11"/>
  <c r="AP118" i="11"/>
  <c r="B111" i="8" s="1"/>
  <c r="AN125" i="11"/>
  <c r="AQ117" i="11"/>
  <c r="AM125" i="11"/>
  <c r="AB128" i="11"/>
  <c r="AP125" i="11"/>
  <c r="B118" i="8" s="1"/>
  <c r="AL125" i="11"/>
  <c r="AJ121" i="11"/>
  <c r="AH121" i="11"/>
  <c r="AJ120" i="11"/>
  <c r="AH120" i="11"/>
  <c r="AJ127" i="11"/>
  <c r="AH127" i="11"/>
  <c r="AB122" i="11"/>
  <c r="J124" i="11"/>
  <c r="K123" i="11"/>
  <c r="AA123" i="11" s="1"/>
  <c r="AD153" i="8" l="1"/>
  <c r="J152" i="8"/>
  <c r="L30" i="6"/>
  <c r="Q30" i="6" s="1"/>
  <c r="X29" i="6" s="1"/>
  <c r="K17" i="23"/>
  <c r="AL106" i="3"/>
  <c r="AI198" i="11"/>
  <c r="C112" i="8"/>
  <c r="I112" i="8"/>
  <c r="E112" i="8"/>
  <c r="D116" i="19"/>
  <c r="N116" i="19" s="1"/>
  <c r="P115" i="19"/>
  <c r="H226" i="6"/>
  <c r="H192" i="6"/>
  <c r="CB128" i="17"/>
  <c r="CD128" i="17"/>
  <c r="CD127" i="17"/>
  <c r="CB127" i="17"/>
  <c r="AC153" i="8"/>
  <c r="M153" i="8"/>
  <c r="BK125" i="16"/>
  <c r="K115" i="18" s="1"/>
  <c r="BI125" i="16"/>
  <c r="I115" i="18" s="1"/>
  <c r="BD125" i="16"/>
  <c r="BJ125" i="16"/>
  <c r="J115" i="18" s="1"/>
  <c r="K153" i="8"/>
  <c r="AA153" i="8"/>
  <c r="BG125" i="16"/>
  <c r="G115" i="18" s="1"/>
  <c r="BF125" i="16"/>
  <c r="F115" i="18" s="1"/>
  <c r="AG153" i="8"/>
  <c r="W153" i="8"/>
  <c r="O153" i="8"/>
  <c r="CD127" i="16"/>
  <c r="CB127" i="16"/>
  <c r="CD120" i="16"/>
  <c r="CB120" i="16"/>
  <c r="N83" i="6"/>
  <c r="R83" i="6" s="1"/>
  <c r="AE48" i="6" s="1"/>
  <c r="CB127" i="11"/>
  <c r="CD127" i="11"/>
  <c r="BZ117" i="11"/>
  <c r="BM49" i="6" s="1"/>
  <c r="CD121" i="11"/>
  <c r="CD53" i="6" s="1"/>
  <c r="CB121" i="11"/>
  <c r="CB53" i="6" s="1"/>
  <c r="CD120" i="11"/>
  <c r="CD52" i="6" s="1"/>
  <c r="CB120" i="11"/>
  <c r="CB52" i="6" s="1"/>
  <c r="L115" i="19"/>
  <c r="BL125" i="17"/>
  <c r="AN102" i="19"/>
  <c r="AO102" i="19"/>
  <c r="AP102" i="19" s="1"/>
  <c r="BJ102" i="19" s="1"/>
  <c r="AQ126" i="17"/>
  <c r="BI126" i="17"/>
  <c r="I116" i="19" s="1"/>
  <c r="BD126" i="17"/>
  <c r="BJ126" i="17"/>
  <c r="J116" i="19" s="1"/>
  <c r="BF126" i="17"/>
  <c r="F116" i="19" s="1"/>
  <c r="BK126" i="17"/>
  <c r="K116" i="19" s="1"/>
  <c r="BE126" i="17"/>
  <c r="BH126" i="17"/>
  <c r="H116" i="19" s="1"/>
  <c r="AF128" i="17"/>
  <c r="AV128" i="17"/>
  <c r="AU128" i="17"/>
  <c r="AW128" i="17"/>
  <c r="AX128" i="17"/>
  <c r="BA128" i="17"/>
  <c r="AT128" i="17"/>
  <c r="AR128" i="17"/>
  <c r="BB128" i="17"/>
  <c r="AY128" i="17"/>
  <c r="AS128" i="17"/>
  <c r="AZ128" i="17"/>
  <c r="AG128" i="17"/>
  <c r="AK128" i="17" s="1"/>
  <c r="AO128" i="17" s="1"/>
  <c r="P113" i="19"/>
  <c r="L113" i="19"/>
  <c r="J187" i="8"/>
  <c r="BG126" i="17"/>
  <c r="G116" i="19" s="1"/>
  <c r="I192" i="6"/>
  <c r="I226" i="6"/>
  <c r="G192" i="6"/>
  <c r="G226" i="6"/>
  <c r="X187" i="8"/>
  <c r="AD187" i="8"/>
  <c r="O187" i="8"/>
  <c r="T187" i="8"/>
  <c r="K187" i="8"/>
  <c r="AC187" i="8"/>
  <c r="AB187" i="8"/>
  <c r="U187" i="8"/>
  <c r="N187" i="8"/>
  <c r="S187" i="8"/>
  <c r="AF187" i="8"/>
  <c r="V187" i="8"/>
  <c r="W187" i="8"/>
  <c r="M187" i="8"/>
  <c r="Y187" i="8"/>
  <c r="AA187" i="8"/>
  <c r="AE187" i="8"/>
  <c r="AG187" i="8"/>
  <c r="L187" i="8"/>
  <c r="Q187" i="8"/>
  <c r="P187" i="8"/>
  <c r="B284" i="9"/>
  <c r="B250" i="9"/>
  <c r="BY58" i="6"/>
  <c r="B283" i="9"/>
  <c r="B249" i="9"/>
  <c r="AF127" i="17"/>
  <c r="AW127" i="17"/>
  <c r="AV127" i="17"/>
  <c r="AU127" i="17"/>
  <c r="AX127" i="17"/>
  <c r="AZ127" i="17"/>
  <c r="BA127" i="17"/>
  <c r="AY127" i="17"/>
  <c r="AS127" i="17"/>
  <c r="BB127" i="17"/>
  <c r="AR127" i="17"/>
  <c r="AT127" i="17"/>
  <c r="AG127" i="17"/>
  <c r="AK127" i="17" s="1"/>
  <c r="AG152" i="8"/>
  <c r="V153" i="8"/>
  <c r="J145" i="8"/>
  <c r="BK126" i="16"/>
  <c r="K116" i="18" s="1"/>
  <c r="P116" i="18" s="1"/>
  <c r="B215" i="9"/>
  <c r="B181" i="9"/>
  <c r="I146" i="8"/>
  <c r="D146" i="8"/>
  <c r="F146" i="8"/>
  <c r="G146" i="8"/>
  <c r="H146" i="8"/>
  <c r="E146" i="8"/>
  <c r="C146" i="8"/>
  <c r="BZ125" i="16"/>
  <c r="BS57" i="6" s="1"/>
  <c r="H174" i="9"/>
  <c r="J174" i="9"/>
  <c r="G174" i="9"/>
  <c r="BY118" i="16"/>
  <c r="BR50" i="6" s="1"/>
  <c r="AL118" i="16"/>
  <c r="J153" i="8"/>
  <c r="J208" i="9"/>
  <c r="W208" i="9" s="1"/>
  <c r="F155" i="6" s="1"/>
  <c r="H208" i="9"/>
  <c r="U208" i="9" s="1"/>
  <c r="E155" i="6" s="1"/>
  <c r="G208" i="9"/>
  <c r="T208" i="9" s="1"/>
  <c r="D155" i="6" s="1"/>
  <c r="AM118" i="16"/>
  <c r="D108" i="18" s="1"/>
  <c r="N108" i="18" s="1"/>
  <c r="BJ118" i="11"/>
  <c r="BG118" i="11"/>
  <c r="AG198" i="11"/>
  <c r="BK118" i="11"/>
  <c r="K108" i="3" s="1"/>
  <c r="BI118" i="11"/>
  <c r="I108" i="3" s="1"/>
  <c r="I119" i="8"/>
  <c r="AE198" i="11"/>
  <c r="AH108" i="3" s="1"/>
  <c r="AK108" i="3" s="1"/>
  <c r="J118" i="8"/>
  <c r="BC126" i="11"/>
  <c r="BI126" i="11" s="1"/>
  <c r="I116" i="3" s="1"/>
  <c r="BD118" i="11"/>
  <c r="BE118" i="11"/>
  <c r="AH198" i="11"/>
  <c r="AJ197" i="11"/>
  <c r="G119" i="8"/>
  <c r="E119" i="8"/>
  <c r="AX127" i="11"/>
  <c r="AF127" i="11"/>
  <c r="C120" i="8" s="1"/>
  <c r="AW127" i="11"/>
  <c r="AU127" i="11"/>
  <c r="AV127" i="11"/>
  <c r="AT127" i="11"/>
  <c r="AY127" i="11"/>
  <c r="AZ127" i="11"/>
  <c r="BA127" i="11"/>
  <c r="BB127" i="11"/>
  <c r="AS127" i="11"/>
  <c r="AR127" i="11"/>
  <c r="AG127" i="11"/>
  <c r="AK127" i="11" s="1"/>
  <c r="C116" i="3"/>
  <c r="C119" i="8"/>
  <c r="H112" i="8"/>
  <c r="F112" i="8"/>
  <c r="J112" i="8" s="1"/>
  <c r="B111" i="9"/>
  <c r="G111" i="9" s="1"/>
  <c r="B145" i="9"/>
  <c r="AD198" i="11"/>
  <c r="AE128" i="11"/>
  <c r="AC128" i="11"/>
  <c r="AD128" i="11"/>
  <c r="C109" i="3"/>
  <c r="H119" i="8"/>
  <c r="O114" i="6"/>
  <c r="S114" i="6" s="1"/>
  <c r="AL45" i="6" s="1"/>
  <c r="O148" i="6"/>
  <c r="S148" i="6" s="1"/>
  <c r="AR45" i="6" s="1"/>
  <c r="BC119" i="11"/>
  <c r="BH119" i="11" s="1"/>
  <c r="H109" i="3" s="1"/>
  <c r="AC205" i="11"/>
  <c r="AE205" i="11" s="1"/>
  <c r="AH115" i="3" s="1"/>
  <c r="AM107" i="3"/>
  <c r="AL107" i="3"/>
  <c r="G103" i="9"/>
  <c r="J103" i="9"/>
  <c r="AV120" i="11"/>
  <c r="AG120" i="11"/>
  <c r="AK120" i="11" s="1"/>
  <c r="AY120" i="11"/>
  <c r="AU120" i="11"/>
  <c r="AX120" i="11"/>
  <c r="AF120" i="11"/>
  <c r="H113" i="8" s="1"/>
  <c r="AW120" i="11"/>
  <c r="BA120" i="11"/>
  <c r="AT120" i="11"/>
  <c r="AR120" i="11"/>
  <c r="BB120" i="11"/>
  <c r="AZ120" i="11"/>
  <c r="AS120" i="11"/>
  <c r="H103" i="9"/>
  <c r="V201" i="11"/>
  <c r="U201" i="11"/>
  <c r="CE121" i="11" s="1"/>
  <c r="CE53" i="6" s="1"/>
  <c r="T201" i="11"/>
  <c r="AI53" i="6" s="1"/>
  <c r="Q139" i="9"/>
  <c r="S139" i="9"/>
  <c r="P139" i="9"/>
  <c r="W206" i="11"/>
  <c r="BY126" i="11" s="1"/>
  <c r="BL58" i="6" s="1"/>
  <c r="Z206" i="11"/>
  <c r="K146" i="9" s="1"/>
  <c r="Y206" i="11"/>
  <c r="AB206" i="11"/>
  <c r="X206" i="11"/>
  <c r="AA206" i="11"/>
  <c r="AX121" i="11"/>
  <c r="AR121" i="11"/>
  <c r="AW121" i="11"/>
  <c r="AG121" i="11"/>
  <c r="AK121" i="11" s="1"/>
  <c r="AV121" i="11"/>
  <c r="AU121" i="11"/>
  <c r="AZ121" i="11"/>
  <c r="AF121" i="11"/>
  <c r="D114" i="8" s="1"/>
  <c r="BA121" i="11"/>
  <c r="AT121" i="11"/>
  <c r="BB121" i="11"/>
  <c r="AY121" i="11"/>
  <c r="AS121" i="11"/>
  <c r="W200" i="11"/>
  <c r="AB200" i="11"/>
  <c r="X200" i="11"/>
  <c r="AA200" i="11"/>
  <c r="Z200" i="11"/>
  <c r="K140" i="9" s="1"/>
  <c r="Y200" i="11"/>
  <c r="B104" i="9"/>
  <c r="B138" i="9"/>
  <c r="AC122" i="11"/>
  <c r="AE122" i="11"/>
  <c r="AD122" i="11"/>
  <c r="T207" i="11"/>
  <c r="AI59" i="6" s="1"/>
  <c r="V207" i="11"/>
  <c r="U207" i="11"/>
  <c r="CE127" i="11" s="1"/>
  <c r="CE59" i="6" s="1"/>
  <c r="AC199" i="11"/>
  <c r="AF199" i="11" s="1"/>
  <c r="G137" i="9"/>
  <c r="T137" i="9" s="1"/>
  <c r="D84" i="6" s="1"/>
  <c r="M84" i="6" s="1"/>
  <c r="H137" i="9"/>
  <c r="U137" i="9" s="1"/>
  <c r="E84" i="6" s="1"/>
  <c r="J137" i="9"/>
  <c r="W137" i="9" s="1"/>
  <c r="F84" i="6" s="1"/>
  <c r="S145" i="9"/>
  <c r="Q145" i="9"/>
  <c r="P145" i="9"/>
  <c r="E107" i="18"/>
  <c r="P107" i="18" s="1"/>
  <c r="BL117" i="16"/>
  <c r="AN118" i="16"/>
  <c r="AO118" i="16"/>
  <c r="AP118" i="16"/>
  <c r="B145" i="8" s="1"/>
  <c r="D107" i="18"/>
  <c r="N107" i="18" s="1"/>
  <c r="AQ117" i="16"/>
  <c r="BS49" i="6"/>
  <c r="D106" i="18"/>
  <c r="N106" i="18" s="1"/>
  <c r="BS48" i="6"/>
  <c r="AQ116" i="16"/>
  <c r="E106" i="18"/>
  <c r="BL116" i="16"/>
  <c r="AC121" i="16"/>
  <c r="AE121" i="16"/>
  <c r="AD121" i="16"/>
  <c r="AF127" i="16"/>
  <c r="AX127" i="16"/>
  <c r="AS127" i="16"/>
  <c r="AY127" i="16"/>
  <c r="AU127" i="16"/>
  <c r="AZ127" i="16"/>
  <c r="AV127" i="16"/>
  <c r="BA127" i="16"/>
  <c r="AW127" i="16"/>
  <c r="AR127" i="16"/>
  <c r="AT127" i="16"/>
  <c r="BB127" i="16"/>
  <c r="AG127" i="16"/>
  <c r="AK127" i="16" s="1"/>
  <c r="AI121" i="16"/>
  <c r="S104" i="18"/>
  <c r="R104" i="18"/>
  <c r="H115" i="6"/>
  <c r="H149" i="6"/>
  <c r="AA143" i="8"/>
  <c r="U143" i="8"/>
  <c r="AC143" i="8"/>
  <c r="O143" i="8"/>
  <c r="W143" i="8"/>
  <c r="AD143" i="8"/>
  <c r="Q143" i="8"/>
  <c r="N143" i="8"/>
  <c r="V143" i="8"/>
  <c r="AF143" i="8"/>
  <c r="K143" i="8"/>
  <c r="AG143" i="8"/>
  <c r="P143" i="8"/>
  <c r="X143" i="8"/>
  <c r="AB143" i="8"/>
  <c r="M143" i="8"/>
  <c r="AE143" i="8"/>
  <c r="L143" i="8"/>
  <c r="T143" i="8"/>
  <c r="Y143" i="8"/>
  <c r="S143" i="8"/>
  <c r="AF120" i="16"/>
  <c r="AU120" i="16"/>
  <c r="AY120" i="16"/>
  <c r="AV120" i="16"/>
  <c r="AR120" i="16"/>
  <c r="AW120" i="16"/>
  <c r="BB120" i="16"/>
  <c r="AS120" i="16"/>
  <c r="AX120" i="16"/>
  <c r="AT120" i="16"/>
  <c r="AZ120" i="16"/>
  <c r="BA120" i="16"/>
  <c r="AG120" i="16"/>
  <c r="G149" i="6"/>
  <c r="G115" i="6"/>
  <c r="BJ118" i="16"/>
  <c r="J108" i="18" s="1"/>
  <c r="BF118" i="16"/>
  <c r="F108" i="18" s="1"/>
  <c r="BH118" i="16"/>
  <c r="H108" i="18" s="1"/>
  <c r="BD118" i="16"/>
  <c r="BK118" i="16"/>
  <c r="K108" i="18" s="1"/>
  <c r="AH121" i="16"/>
  <c r="AE128" i="16"/>
  <c r="AD128" i="16"/>
  <c r="AC128" i="16"/>
  <c r="AK119" i="16"/>
  <c r="BC119" i="16"/>
  <c r="BJ119" i="16" s="1"/>
  <c r="J109" i="18" s="1"/>
  <c r="BE118" i="16"/>
  <c r="R149" i="6"/>
  <c r="AQ46" i="6" s="1"/>
  <c r="L144" i="8"/>
  <c r="N144" i="8"/>
  <c r="M144" i="8"/>
  <c r="K144" i="8"/>
  <c r="U144" i="8"/>
  <c r="AE144" i="8"/>
  <c r="O144" i="8"/>
  <c r="P144" i="8"/>
  <c r="AF144" i="8"/>
  <c r="S144" i="8"/>
  <c r="V144" i="8"/>
  <c r="W144" i="8"/>
  <c r="X144" i="8"/>
  <c r="AC144" i="8"/>
  <c r="Y144" i="8"/>
  <c r="Q144" i="8"/>
  <c r="AG144" i="8"/>
  <c r="AD144" i="8"/>
  <c r="T144" i="8"/>
  <c r="AA144" i="8"/>
  <c r="AB144" i="8"/>
  <c r="I115" i="6"/>
  <c r="I149" i="6"/>
  <c r="BG118" i="16"/>
  <c r="G108" i="18" s="1"/>
  <c r="AL126" i="11"/>
  <c r="BY119" i="11"/>
  <c r="BL51" i="6" s="1"/>
  <c r="AH186" i="8"/>
  <c r="I228" i="6" s="1"/>
  <c r="R186" i="8"/>
  <c r="G228" i="6" s="1"/>
  <c r="I49" i="6"/>
  <c r="AD22" i="23" s="1"/>
  <c r="I83" i="6"/>
  <c r="AO105" i="3"/>
  <c r="AP105" i="3" s="1"/>
  <c r="BJ105" i="3" s="1"/>
  <c r="AN105" i="3"/>
  <c r="H49" i="6"/>
  <c r="AD19" i="23" s="1"/>
  <c r="H83" i="6"/>
  <c r="G49" i="6"/>
  <c r="AD16" i="23" s="1"/>
  <c r="G83" i="6"/>
  <c r="AC152" i="8"/>
  <c r="U152" i="8"/>
  <c r="AA152" i="8"/>
  <c r="G193" i="6"/>
  <c r="G227" i="6"/>
  <c r="I193" i="6"/>
  <c r="I227" i="6"/>
  <c r="H193" i="6"/>
  <c r="H227" i="6"/>
  <c r="R153" i="8"/>
  <c r="G127" i="6" s="1"/>
  <c r="AI128" i="16"/>
  <c r="T152" i="8"/>
  <c r="AD152" i="8"/>
  <c r="AB122" i="16"/>
  <c r="Y152" i="8"/>
  <c r="N152" i="8"/>
  <c r="O152" i="8"/>
  <c r="P152" i="8"/>
  <c r="AE152" i="8"/>
  <c r="K152" i="8"/>
  <c r="Q152" i="8"/>
  <c r="AF152" i="8"/>
  <c r="AB152" i="8"/>
  <c r="W152" i="8"/>
  <c r="M152" i="8"/>
  <c r="R161" i="6"/>
  <c r="AQ58" i="6" s="1"/>
  <c r="L152" i="8"/>
  <c r="V152" i="8"/>
  <c r="S152" i="8"/>
  <c r="X152" i="8"/>
  <c r="BB100" i="3"/>
  <c r="BI100" i="3"/>
  <c r="BD88" i="3"/>
  <c r="BE88" i="3" s="1"/>
  <c r="BG88" i="3" s="1"/>
  <c r="C31" i="6" s="1"/>
  <c r="BK88" i="3"/>
  <c r="BL88" i="3" s="1"/>
  <c r="BN88" i="3" s="1"/>
  <c r="C65" i="6" s="1"/>
  <c r="L65" i="6" s="1"/>
  <c r="Q65" i="6" s="1"/>
  <c r="AD29" i="6"/>
  <c r="H202" i="11"/>
  <c r="R202" i="11"/>
  <c r="S202" i="11" s="1"/>
  <c r="Z186" i="8"/>
  <c r="AI122" i="11"/>
  <c r="AI128" i="11"/>
  <c r="L130" i="7"/>
  <c r="AI122" i="16"/>
  <c r="N160" i="6"/>
  <c r="M160" i="6"/>
  <c r="AP126" i="11"/>
  <c r="B119" i="8" s="1"/>
  <c r="AG119" i="8" s="1"/>
  <c r="D115" i="18"/>
  <c r="N115" i="18" s="1"/>
  <c r="AQ125" i="16"/>
  <c r="C118" i="19"/>
  <c r="H163" i="11"/>
  <c r="C118" i="18"/>
  <c r="E115" i="18"/>
  <c r="C117" i="19"/>
  <c r="AM119" i="11"/>
  <c r="N109" i="19" s="1"/>
  <c r="Q109" i="19" s="1"/>
  <c r="S109" i="19" s="1"/>
  <c r="Q115" i="19"/>
  <c r="C117" i="18"/>
  <c r="BF126" i="11"/>
  <c r="F116" i="3" s="1"/>
  <c r="U100" i="18"/>
  <c r="V100" i="18" s="1"/>
  <c r="AW87" i="18"/>
  <c r="AY87" i="18" s="1"/>
  <c r="AZ87" i="18" s="1"/>
  <c r="AV89" i="3"/>
  <c r="AX89" i="3" s="1"/>
  <c r="AW89" i="3"/>
  <c r="AY89" i="3" s="1"/>
  <c r="AZ89" i="3" s="1"/>
  <c r="R110" i="8"/>
  <c r="AR88" i="18"/>
  <c r="AU88" i="18" s="1"/>
  <c r="AW88" i="18" s="1"/>
  <c r="AY88" i="18" s="1"/>
  <c r="AZ88" i="18" s="1"/>
  <c r="AU88" i="19"/>
  <c r="S108" i="19"/>
  <c r="R108" i="19"/>
  <c r="F101" i="11"/>
  <c r="D131" i="7" s="1"/>
  <c r="AW87" i="19"/>
  <c r="AY87" i="19" s="1"/>
  <c r="AZ87" i="19" s="1"/>
  <c r="AV87" i="19"/>
  <c r="AX87" i="19" s="1"/>
  <c r="I114" i="8"/>
  <c r="G113" i="8"/>
  <c r="F113" i="8"/>
  <c r="BJ126" i="11"/>
  <c r="J116" i="3" s="1"/>
  <c r="AH110" i="8"/>
  <c r="G100" i="11"/>
  <c r="D115" i="3"/>
  <c r="N115" i="3" s="1"/>
  <c r="P115" i="3"/>
  <c r="L115" i="3"/>
  <c r="AD118" i="8"/>
  <c r="AG118" i="8"/>
  <c r="AC118" i="8"/>
  <c r="AF118" i="8"/>
  <c r="AE118" i="8"/>
  <c r="AB118" i="8"/>
  <c r="P118" i="8"/>
  <c r="V118" i="8"/>
  <c r="O118" i="8"/>
  <c r="S118" i="8"/>
  <c r="T118" i="8"/>
  <c r="AA118" i="8"/>
  <c r="K118" i="8"/>
  <c r="M118" i="8"/>
  <c r="Q118" i="8"/>
  <c r="X118" i="8"/>
  <c r="W118" i="8"/>
  <c r="L118" i="8"/>
  <c r="N118" i="8"/>
  <c r="Y118" i="8"/>
  <c r="U118" i="8"/>
  <c r="AA111" i="8"/>
  <c r="AG111" i="8"/>
  <c r="AB111" i="8"/>
  <c r="AE111" i="8"/>
  <c r="P111" i="8"/>
  <c r="O111" i="8"/>
  <c r="L111" i="8"/>
  <c r="AD111" i="8"/>
  <c r="AF111" i="8"/>
  <c r="W111" i="8"/>
  <c r="AC111" i="8"/>
  <c r="Q111" i="8"/>
  <c r="N111" i="8"/>
  <c r="V111" i="8"/>
  <c r="X111" i="8"/>
  <c r="Y111" i="8"/>
  <c r="S111" i="8"/>
  <c r="T111" i="8"/>
  <c r="U111" i="8"/>
  <c r="K111" i="8"/>
  <c r="M111" i="8"/>
  <c r="Z110" i="8"/>
  <c r="S106" i="3"/>
  <c r="R106" i="3"/>
  <c r="U101" i="3"/>
  <c r="V101" i="3" s="1"/>
  <c r="T101" i="3"/>
  <c r="J108" i="3"/>
  <c r="G108" i="3"/>
  <c r="T101" i="18"/>
  <c r="U101" i="18"/>
  <c r="V101" i="18" s="1"/>
  <c r="P107" i="3"/>
  <c r="Q107" i="3" s="1"/>
  <c r="L107" i="3"/>
  <c r="D108" i="3"/>
  <c r="N108" i="3" s="1"/>
  <c r="E108" i="3"/>
  <c r="L107" i="18"/>
  <c r="J104" i="9"/>
  <c r="G104" i="9"/>
  <c r="H104" i="9"/>
  <c r="AR163" i="7"/>
  <c r="J130" i="7"/>
  <c r="AB129" i="7"/>
  <c r="W130" i="7"/>
  <c r="AQ129" i="7"/>
  <c r="Y132" i="7"/>
  <c r="AS131" i="7"/>
  <c r="AN129" i="7"/>
  <c r="T130" i="7"/>
  <c r="H130" i="7"/>
  <c r="Z129" i="7"/>
  <c r="M130" i="7"/>
  <c r="AE129" i="7"/>
  <c r="V130" i="7"/>
  <c r="AP129" i="7"/>
  <c r="E100" i="11"/>
  <c r="C129" i="7"/>
  <c r="AO126" i="11"/>
  <c r="AJ122" i="16"/>
  <c r="AH122" i="16"/>
  <c r="G99" i="16"/>
  <c r="AA123" i="16"/>
  <c r="AM126" i="11"/>
  <c r="AN126" i="11"/>
  <c r="BK126" i="11"/>
  <c r="BL125" i="11"/>
  <c r="AQ118" i="11"/>
  <c r="AO119" i="11"/>
  <c r="AN119" i="11"/>
  <c r="AL119" i="11"/>
  <c r="AH128" i="11"/>
  <c r="AP119" i="11"/>
  <c r="B112" i="8" s="1"/>
  <c r="AJ128" i="11"/>
  <c r="AQ125" i="11"/>
  <c r="AJ122" i="11"/>
  <c r="AH122" i="11"/>
  <c r="AB123" i="11"/>
  <c r="K124" i="11"/>
  <c r="AA124" i="11" s="1"/>
  <c r="AH153" i="8" l="1"/>
  <c r="I161" i="6" s="1"/>
  <c r="L31" i="6"/>
  <c r="Q31" i="6" s="1"/>
  <c r="X30" i="6" s="1"/>
  <c r="L17" i="23"/>
  <c r="AH205" i="11"/>
  <c r="N84" i="6"/>
  <c r="R84" i="6" s="1"/>
  <c r="AE49" i="6" s="1"/>
  <c r="AP128" i="17"/>
  <c r="B189" i="8" s="1"/>
  <c r="Q107" i="18"/>
  <c r="Z153" i="8"/>
  <c r="H161" i="6" s="1"/>
  <c r="BL125" i="16"/>
  <c r="C111" i="18"/>
  <c r="CD121" i="16"/>
  <c r="CB121" i="16"/>
  <c r="CD128" i="16"/>
  <c r="CB128" i="16"/>
  <c r="BF119" i="11"/>
  <c r="F109" i="3" s="1"/>
  <c r="BE119" i="11"/>
  <c r="E109" i="3" s="1"/>
  <c r="BI119" i="11"/>
  <c r="I109" i="3" s="1"/>
  <c r="BD126" i="11"/>
  <c r="BG126" i="11"/>
  <c r="G116" i="3" s="1"/>
  <c r="H120" i="8"/>
  <c r="AE199" i="11"/>
  <c r="BZ119" i="11" s="1"/>
  <c r="BM51" i="6" s="1"/>
  <c r="AG205" i="11"/>
  <c r="CD122" i="11"/>
  <c r="CD54" i="6" s="1"/>
  <c r="CB122" i="11"/>
  <c r="CB54" i="6" s="1"/>
  <c r="BC121" i="11"/>
  <c r="BF121" i="11" s="1"/>
  <c r="F111" i="3" s="1"/>
  <c r="AD205" i="11"/>
  <c r="AC206" i="11"/>
  <c r="AH206" i="11" s="1"/>
  <c r="BL118" i="11"/>
  <c r="BH126" i="11"/>
  <c r="H116" i="3" s="1"/>
  <c r="BE126" i="11"/>
  <c r="E116" i="3" s="1"/>
  <c r="F120" i="8"/>
  <c r="AI199" i="11"/>
  <c r="CD128" i="11"/>
  <c r="CB128" i="11"/>
  <c r="J119" i="8"/>
  <c r="AJ198" i="11"/>
  <c r="AO103" i="19"/>
  <c r="AP103" i="19" s="1"/>
  <c r="BJ103" i="19" s="1"/>
  <c r="AN103" i="19"/>
  <c r="AH187" i="8"/>
  <c r="I195" i="6" s="1"/>
  <c r="O226" i="6"/>
  <c r="S226" i="6" s="1"/>
  <c r="BD55" i="6" s="1"/>
  <c r="AP127" i="17"/>
  <c r="B188" i="8" s="1"/>
  <c r="BY127" i="17"/>
  <c r="BX59" i="6" s="1"/>
  <c r="G188" i="8"/>
  <c r="D188" i="8"/>
  <c r="AB188" i="8" s="1"/>
  <c r="H188" i="8"/>
  <c r="X188" i="8" s="1"/>
  <c r="I188" i="8"/>
  <c r="Y188" i="8" s="1"/>
  <c r="E188" i="8"/>
  <c r="M188" i="8" s="1"/>
  <c r="F188" i="8"/>
  <c r="AD188" i="8" s="1"/>
  <c r="C188" i="8"/>
  <c r="S188" i="8" s="1"/>
  <c r="BC128" i="17"/>
  <c r="BG128" i="17" s="1"/>
  <c r="G118" i="19" s="1"/>
  <c r="O192" i="6"/>
  <c r="S192" i="6" s="1"/>
  <c r="AX55" i="6" s="1"/>
  <c r="E116" i="19"/>
  <c r="BL126" i="17"/>
  <c r="BC127" i="17"/>
  <c r="BE127" i="17" s="1"/>
  <c r="E117" i="19" s="1"/>
  <c r="Z187" i="8"/>
  <c r="AL127" i="17"/>
  <c r="BY128" i="17"/>
  <c r="BX60" i="6" s="1"/>
  <c r="G189" i="8"/>
  <c r="AE189" i="8" s="1"/>
  <c r="E189" i="8"/>
  <c r="M189" i="8" s="1"/>
  <c r="D189" i="8"/>
  <c r="T189" i="8" s="1"/>
  <c r="I189" i="8"/>
  <c r="AG189" i="8" s="1"/>
  <c r="H189" i="8"/>
  <c r="AF189" i="8" s="1"/>
  <c r="F189" i="8"/>
  <c r="AD189" i="8" s="1"/>
  <c r="C189" i="8"/>
  <c r="AA189" i="8" s="1"/>
  <c r="R187" i="8"/>
  <c r="AL128" i="17"/>
  <c r="BL126" i="16"/>
  <c r="AQ118" i="16"/>
  <c r="L116" i="18"/>
  <c r="B210" i="9"/>
  <c r="B176" i="9"/>
  <c r="BY119" i="16"/>
  <c r="BR51" i="6" s="1"/>
  <c r="R143" i="8"/>
  <c r="G117" i="6" s="1"/>
  <c r="AL127" i="16"/>
  <c r="F154" i="8"/>
  <c r="E154" i="8"/>
  <c r="H154" i="8"/>
  <c r="I154" i="8"/>
  <c r="G154" i="8"/>
  <c r="D154" i="8"/>
  <c r="C154" i="8"/>
  <c r="AL119" i="16"/>
  <c r="B182" i="9"/>
  <c r="B216" i="9"/>
  <c r="AM119" i="16"/>
  <c r="D109" i="18" s="1"/>
  <c r="N109" i="18" s="1"/>
  <c r="E147" i="8"/>
  <c r="G147" i="8"/>
  <c r="H147" i="8"/>
  <c r="F147" i="8"/>
  <c r="D147" i="8"/>
  <c r="I147" i="8"/>
  <c r="C147" i="8"/>
  <c r="J146" i="8"/>
  <c r="H181" i="9"/>
  <c r="J181" i="9"/>
  <c r="G181" i="9"/>
  <c r="BC127" i="16"/>
  <c r="BG127" i="16" s="1"/>
  <c r="G117" i="18" s="1"/>
  <c r="BZ118" i="16"/>
  <c r="BS50" i="6" s="1"/>
  <c r="J215" i="9"/>
  <c r="W215" i="9" s="1"/>
  <c r="F162" i="6" s="1"/>
  <c r="H215" i="9"/>
  <c r="U215" i="9" s="1"/>
  <c r="E162" i="6" s="1"/>
  <c r="G215" i="9"/>
  <c r="T215" i="9" s="1"/>
  <c r="D162" i="6" s="1"/>
  <c r="BY127" i="16"/>
  <c r="B175" i="9"/>
  <c r="B209" i="9"/>
  <c r="C114" i="8"/>
  <c r="C111" i="3"/>
  <c r="I113" i="8"/>
  <c r="G114" i="8"/>
  <c r="H114" i="8"/>
  <c r="BZ118" i="11"/>
  <c r="BM50" i="6" s="1"/>
  <c r="E114" i="8"/>
  <c r="D113" i="8"/>
  <c r="F114" i="8"/>
  <c r="BC127" i="11"/>
  <c r="BI127" i="11" s="1"/>
  <c r="I117" i="3" s="1"/>
  <c r="AL108" i="3"/>
  <c r="AM108" i="3"/>
  <c r="BJ119" i="11"/>
  <c r="J109" i="3" s="1"/>
  <c r="C117" i="3"/>
  <c r="H111" i="9"/>
  <c r="AW128" i="11"/>
  <c r="AU128" i="11"/>
  <c r="AF128" i="11"/>
  <c r="G121" i="8" s="1"/>
  <c r="AV128" i="11"/>
  <c r="AX128" i="11"/>
  <c r="AT128" i="11"/>
  <c r="AS128" i="11"/>
  <c r="AY128" i="11"/>
  <c r="AZ128" i="11"/>
  <c r="BB128" i="11"/>
  <c r="BA128" i="11"/>
  <c r="AR128" i="11"/>
  <c r="AG128" i="11"/>
  <c r="AK128" i="11" s="1"/>
  <c r="BK119" i="11"/>
  <c r="K109" i="3" s="1"/>
  <c r="C110" i="3"/>
  <c r="I120" i="8"/>
  <c r="G120" i="8"/>
  <c r="E113" i="8"/>
  <c r="C113" i="8"/>
  <c r="J111" i="9"/>
  <c r="D120" i="8"/>
  <c r="BG119" i="11"/>
  <c r="BD119" i="11"/>
  <c r="B112" i="9"/>
  <c r="G112" i="9" s="1"/>
  <c r="B146" i="9"/>
  <c r="E120" i="8"/>
  <c r="G145" i="9"/>
  <c r="T145" i="9" s="1"/>
  <c r="D92" i="6" s="1"/>
  <c r="M92" i="6" s="1"/>
  <c r="J145" i="9"/>
  <c r="W145" i="9" s="1"/>
  <c r="F92" i="6" s="1"/>
  <c r="H145" i="9"/>
  <c r="U145" i="9" s="1"/>
  <c r="E92" i="6" s="1"/>
  <c r="AH144" i="8"/>
  <c r="O49" i="6"/>
  <c r="S49" i="6" s="1"/>
  <c r="Z48" i="6" s="1"/>
  <c r="AI205" i="11"/>
  <c r="AF205" i="11"/>
  <c r="BC120" i="11"/>
  <c r="BF120" i="11" s="1"/>
  <c r="F110" i="3" s="1"/>
  <c r="G138" i="9"/>
  <c r="T138" i="9" s="1"/>
  <c r="D85" i="6" s="1"/>
  <c r="M85" i="6" s="1"/>
  <c r="J138" i="9"/>
  <c r="W138" i="9" s="1"/>
  <c r="F85" i="6" s="1"/>
  <c r="H138" i="9"/>
  <c r="U138" i="9" s="1"/>
  <c r="E85" i="6" s="1"/>
  <c r="V202" i="11"/>
  <c r="U202" i="11"/>
  <c r="CE122" i="11" s="1"/>
  <c r="CE54" i="6" s="1"/>
  <c r="T202" i="11"/>
  <c r="AI54" i="6" s="1"/>
  <c r="AV122" i="11"/>
  <c r="AF122" i="11"/>
  <c r="I115" i="8" s="1"/>
  <c r="BA122" i="11"/>
  <c r="AU122" i="11"/>
  <c r="AX122" i="11"/>
  <c r="AS122" i="11"/>
  <c r="AG122" i="11"/>
  <c r="AK122" i="11" s="1"/>
  <c r="AW122" i="11"/>
  <c r="AZ122" i="11"/>
  <c r="AT122" i="11"/>
  <c r="BB122" i="11"/>
  <c r="AY122" i="11"/>
  <c r="AR122" i="11"/>
  <c r="AC200" i="11"/>
  <c r="AE200" i="11" s="1"/>
  <c r="S146" i="9"/>
  <c r="P146" i="9"/>
  <c r="Q146" i="9"/>
  <c r="AH199" i="11"/>
  <c r="AD123" i="11"/>
  <c r="AC123" i="11"/>
  <c r="AE123" i="11"/>
  <c r="B105" i="9"/>
  <c r="G105" i="9" s="1"/>
  <c r="B139" i="9"/>
  <c r="AK115" i="3"/>
  <c r="AL115" i="3" s="1"/>
  <c r="W207" i="11"/>
  <c r="BY127" i="11" s="1"/>
  <c r="BL59" i="6" s="1"/>
  <c r="Y207" i="11"/>
  <c r="AB207" i="11"/>
  <c r="X207" i="11"/>
  <c r="AA207" i="11"/>
  <c r="Z207" i="11"/>
  <c r="K147" i="9" s="1"/>
  <c r="BZ125" i="11"/>
  <c r="BM57" i="6" s="1"/>
  <c r="AD199" i="11"/>
  <c r="AG199" i="11"/>
  <c r="S140" i="9"/>
  <c r="P140" i="9"/>
  <c r="Q140" i="9"/>
  <c r="W201" i="11"/>
  <c r="BY121" i="11" s="1"/>
  <c r="BL53" i="6" s="1"/>
  <c r="AA201" i="11"/>
  <c r="Z201" i="11"/>
  <c r="K141" i="9" s="1"/>
  <c r="Y201" i="11"/>
  <c r="AB201" i="11"/>
  <c r="X201" i="11"/>
  <c r="G194" i="6"/>
  <c r="I194" i="6"/>
  <c r="N151" i="6"/>
  <c r="AC122" i="16"/>
  <c r="AE122" i="16"/>
  <c r="AD122" i="16"/>
  <c r="Z144" i="8"/>
  <c r="AK120" i="16"/>
  <c r="BC120" i="16"/>
  <c r="BJ120" i="16" s="1"/>
  <c r="J110" i="18" s="1"/>
  <c r="N152" i="6"/>
  <c r="BE119" i="16"/>
  <c r="BH119" i="16"/>
  <c r="H109" i="18" s="1"/>
  <c r="BI119" i="16"/>
  <c r="I109" i="18" s="1"/>
  <c r="BK119" i="16"/>
  <c r="K109" i="18" s="1"/>
  <c r="BF119" i="16"/>
  <c r="F109" i="18" s="1"/>
  <c r="BD119" i="16"/>
  <c r="AF128" i="16"/>
  <c r="AR128" i="16"/>
  <c r="AV128" i="16"/>
  <c r="AZ128" i="16"/>
  <c r="AS128" i="16"/>
  <c r="AW128" i="16"/>
  <c r="AT128" i="16"/>
  <c r="AX128" i="16"/>
  <c r="BB128" i="16"/>
  <c r="AU128" i="16"/>
  <c r="AY128" i="16"/>
  <c r="BA128" i="16"/>
  <c r="AG128" i="16"/>
  <c r="AK128" i="16" s="1"/>
  <c r="AO128" i="16" s="1"/>
  <c r="O115" i="6"/>
  <c r="S115" i="6" s="1"/>
  <c r="AL46" i="6" s="1"/>
  <c r="Z143" i="8"/>
  <c r="AH143" i="8"/>
  <c r="M152" i="6"/>
  <c r="L106" i="18"/>
  <c r="P106" i="18"/>
  <c r="Q106" i="18" s="1"/>
  <c r="Q145" i="8"/>
  <c r="AD145" i="8"/>
  <c r="O145" i="8"/>
  <c r="AB145" i="8"/>
  <c r="V145" i="8"/>
  <c r="AE145" i="8"/>
  <c r="AC145" i="8"/>
  <c r="P145" i="8"/>
  <c r="T145" i="8"/>
  <c r="M145" i="8"/>
  <c r="X145" i="8"/>
  <c r="U145" i="8"/>
  <c r="AA145" i="8"/>
  <c r="Y145" i="8"/>
  <c r="AG145" i="8"/>
  <c r="AF145" i="8"/>
  <c r="W145" i="8"/>
  <c r="L145" i="8"/>
  <c r="S145" i="8"/>
  <c r="N145" i="8"/>
  <c r="K145" i="8"/>
  <c r="E108" i="18"/>
  <c r="P108" i="18" s="1"/>
  <c r="Q108" i="18" s="1"/>
  <c r="BL118" i="16"/>
  <c r="M151" i="6"/>
  <c r="R144" i="8"/>
  <c r="AP119" i="16"/>
  <c r="B146" i="8" s="1"/>
  <c r="AN119" i="16"/>
  <c r="AO119" i="16"/>
  <c r="O149" i="6"/>
  <c r="S149" i="6" s="1"/>
  <c r="AR46" i="6" s="1"/>
  <c r="AF121" i="16"/>
  <c r="AR121" i="16"/>
  <c r="AV121" i="16"/>
  <c r="AU121" i="16"/>
  <c r="BA121" i="16"/>
  <c r="AW121" i="16"/>
  <c r="BB121" i="16"/>
  <c r="AS121" i="16"/>
  <c r="AX121" i="16"/>
  <c r="AY121" i="16"/>
  <c r="AT121" i="16"/>
  <c r="AZ121" i="16"/>
  <c r="AG121" i="16"/>
  <c r="AK121" i="16" s="1"/>
  <c r="AO121" i="16" s="1"/>
  <c r="BG119" i="16"/>
  <c r="G109" i="18" s="1"/>
  <c r="I127" i="6"/>
  <c r="AN128" i="16"/>
  <c r="AE119" i="8"/>
  <c r="BY120" i="11"/>
  <c r="BL52" i="6" s="1"/>
  <c r="AE206" i="11"/>
  <c r="AH116" i="3" s="1"/>
  <c r="I50" i="6"/>
  <c r="AE22" i="23" s="1"/>
  <c r="I84" i="6"/>
  <c r="O83" i="6"/>
  <c r="S83" i="6" s="1"/>
  <c r="AF48" i="6" s="1"/>
  <c r="H50" i="6"/>
  <c r="AE19" i="23" s="1"/>
  <c r="H84" i="6"/>
  <c r="G50" i="6"/>
  <c r="AE16" i="23" s="1"/>
  <c r="G84" i="6"/>
  <c r="AN106" i="3"/>
  <c r="AO106" i="3"/>
  <c r="AP106" i="3" s="1"/>
  <c r="BJ106" i="3" s="1"/>
  <c r="O227" i="6"/>
  <c r="S227" i="6" s="1"/>
  <c r="BD56" i="6" s="1"/>
  <c r="R109" i="19"/>
  <c r="O193" i="6"/>
  <c r="S193" i="6" s="1"/>
  <c r="AX56" i="6" s="1"/>
  <c r="H194" i="6"/>
  <c r="H228" i="6"/>
  <c r="O228" i="6" s="1"/>
  <c r="S228" i="6" s="1"/>
  <c r="BD57" i="6" s="1"/>
  <c r="G161" i="6"/>
  <c r="O161" i="6" s="1"/>
  <c r="S161" i="6" s="1"/>
  <c r="AR58" i="6" s="1"/>
  <c r="H127" i="6"/>
  <c r="AB123" i="16"/>
  <c r="AI123" i="16" s="1"/>
  <c r="R152" i="8"/>
  <c r="G126" i="6" s="1"/>
  <c r="Z152" i="8"/>
  <c r="H126" i="6" s="1"/>
  <c r="AH152" i="8"/>
  <c r="I126" i="6" s="1"/>
  <c r="BI101" i="18"/>
  <c r="BB101" i="18"/>
  <c r="BI100" i="18"/>
  <c r="BB100" i="18"/>
  <c r="AP127" i="16"/>
  <c r="B154" i="8" s="1"/>
  <c r="BR59" i="6"/>
  <c r="R160" i="6"/>
  <c r="AQ57" i="6" s="1"/>
  <c r="BB101" i="3"/>
  <c r="BI101" i="3"/>
  <c r="BD88" i="18"/>
  <c r="BK88" i="18"/>
  <c r="BK87" i="18"/>
  <c r="BD87" i="18"/>
  <c r="AD30" i="6"/>
  <c r="BK87" i="19"/>
  <c r="BD87" i="19"/>
  <c r="BD89" i="3"/>
  <c r="BE89" i="3" s="1"/>
  <c r="BG89" i="3" s="1"/>
  <c r="C32" i="6" s="1"/>
  <c r="BK89" i="3"/>
  <c r="BL89" i="3" s="1"/>
  <c r="BN89" i="3" s="1"/>
  <c r="C66" i="6" s="1"/>
  <c r="L66" i="6" s="1"/>
  <c r="Q66" i="6" s="1"/>
  <c r="D109" i="3"/>
  <c r="N109" i="3" s="1"/>
  <c r="W119" i="8"/>
  <c r="BG127" i="11"/>
  <c r="G117" i="3" s="1"/>
  <c r="H203" i="11"/>
  <c r="R203" i="11"/>
  <c r="S203" i="11" s="1"/>
  <c r="AQ126" i="11"/>
  <c r="AI123" i="11"/>
  <c r="AD119" i="8"/>
  <c r="V119" i="8"/>
  <c r="Q119" i="8"/>
  <c r="AA119" i="8"/>
  <c r="L119" i="8"/>
  <c r="S119" i="8"/>
  <c r="N119" i="8"/>
  <c r="X119" i="8"/>
  <c r="AB119" i="8"/>
  <c r="T119" i="8"/>
  <c r="P119" i="8"/>
  <c r="Y119" i="8"/>
  <c r="O119" i="8"/>
  <c r="AF119" i="8"/>
  <c r="K119" i="8"/>
  <c r="M119" i="8"/>
  <c r="U119" i="8"/>
  <c r="AC119" i="8"/>
  <c r="AD130" i="7"/>
  <c r="L131" i="7"/>
  <c r="Q188" i="8"/>
  <c r="AG188" i="8"/>
  <c r="AO121" i="11"/>
  <c r="AL127" i="11"/>
  <c r="BK128" i="17"/>
  <c r="K118" i="19" s="1"/>
  <c r="BD128" i="17"/>
  <c r="R115" i="19"/>
  <c r="S115" i="19"/>
  <c r="AM127" i="16"/>
  <c r="G250" i="9"/>
  <c r="J250" i="9"/>
  <c r="H250" i="9"/>
  <c r="H164" i="11"/>
  <c r="AO127" i="16"/>
  <c r="AM128" i="17"/>
  <c r="AL120" i="11"/>
  <c r="BJ127" i="11"/>
  <c r="J117" i="3" s="1"/>
  <c r="BK127" i="16"/>
  <c r="K117" i="18" s="1"/>
  <c r="AN127" i="16"/>
  <c r="AM127" i="17"/>
  <c r="BZ127" i="17" s="1"/>
  <c r="AO127" i="17"/>
  <c r="BJ127" i="16"/>
  <c r="J117" i="18" s="1"/>
  <c r="AN128" i="17"/>
  <c r="Q189" i="8"/>
  <c r="W189" i="8"/>
  <c r="L115" i="18"/>
  <c r="P115" i="18"/>
  <c r="Q115" i="18" s="1"/>
  <c r="AN127" i="17"/>
  <c r="AP128" i="16"/>
  <c r="B155" i="8" s="1"/>
  <c r="Q115" i="3"/>
  <c r="R115" i="3" s="1"/>
  <c r="R118" i="8"/>
  <c r="AV88" i="18"/>
  <c r="AX88" i="18" s="1"/>
  <c r="AR90" i="3"/>
  <c r="AU90" i="3" s="1"/>
  <c r="G101" i="11"/>
  <c r="AV88" i="19"/>
  <c r="AX88" i="19" s="1"/>
  <c r="AW88" i="19"/>
  <c r="AY88" i="19" s="1"/>
  <c r="AZ88" i="19" s="1"/>
  <c r="F102" i="11"/>
  <c r="D132" i="7" s="1"/>
  <c r="AR89" i="18"/>
  <c r="AU89" i="18" s="1"/>
  <c r="AW89" i="18" s="1"/>
  <c r="AU89" i="19"/>
  <c r="K116" i="3"/>
  <c r="AC112" i="8"/>
  <c r="N112" i="8"/>
  <c r="AD112" i="8"/>
  <c r="AB112" i="8"/>
  <c r="P112" i="8"/>
  <c r="L112" i="8"/>
  <c r="AE112" i="8"/>
  <c r="AA112" i="8"/>
  <c r="K112" i="8"/>
  <c r="V112" i="8"/>
  <c r="Y112" i="8"/>
  <c r="W112" i="8"/>
  <c r="AG112" i="8"/>
  <c r="AF112" i="8"/>
  <c r="T112" i="8"/>
  <c r="Q112" i="8"/>
  <c r="O112" i="8"/>
  <c r="S112" i="8"/>
  <c r="U112" i="8"/>
  <c r="M112" i="8"/>
  <c r="X112" i="8"/>
  <c r="R111" i="8"/>
  <c r="C121" i="8"/>
  <c r="E121" i="8"/>
  <c r="Z111" i="8"/>
  <c r="AH111" i="8"/>
  <c r="AH118" i="8"/>
  <c r="N116" i="18"/>
  <c r="Q116" i="18" s="1"/>
  <c r="D116" i="3"/>
  <c r="N116" i="3" s="1"/>
  <c r="Z118" i="8"/>
  <c r="R107" i="18"/>
  <c r="S107" i="18"/>
  <c r="S107" i="3"/>
  <c r="R107" i="3"/>
  <c r="L108" i="18"/>
  <c r="G109" i="3"/>
  <c r="U102" i="18"/>
  <c r="V102" i="18" s="1"/>
  <c r="T102" i="18"/>
  <c r="T102" i="3"/>
  <c r="U102" i="3"/>
  <c r="V102" i="3" s="1"/>
  <c r="L108" i="3"/>
  <c r="P108" i="3"/>
  <c r="Q108" i="3" s="1"/>
  <c r="V131" i="7"/>
  <c r="AP130" i="7"/>
  <c r="H131" i="7"/>
  <c r="Z130" i="7"/>
  <c r="Y133" i="7"/>
  <c r="AS132" i="7"/>
  <c r="J131" i="7"/>
  <c r="AB130" i="7"/>
  <c r="AN130" i="7"/>
  <c r="T131" i="7"/>
  <c r="AR164" i="7"/>
  <c r="E101" i="11"/>
  <c r="C130" i="7"/>
  <c r="M131" i="7"/>
  <c r="AE130" i="7"/>
  <c r="W131" i="7"/>
  <c r="AQ130" i="7"/>
  <c r="BG120" i="11"/>
  <c r="G100" i="16"/>
  <c r="AA124" i="16"/>
  <c r="AH123" i="16"/>
  <c r="BD127" i="11"/>
  <c r="BE127" i="11"/>
  <c r="BD120" i="11"/>
  <c r="BI120" i="11"/>
  <c r="AQ119" i="11"/>
  <c r="AM121" i="11"/>
  <c r="N111" i="19" s="1"/>
  <c r="Q111" i="19" s="1"/>
  <c r="AM120" i="11"/>
  <c r="N110" i="19" s="1"/>
  <c r="Q110" i="19" s="1"/>
  <c r="AP120" i="11"/>
  <c r="B113" i="8" s="1"/>
  <c r="AO120" i="11"/>
  <c r="AN120" i="11"/>
  <c r="AN121" i="11"/>
  <c r="AP121" i="11"/>
  <c r="B114" i="8" s="1"/>
  <c r="AL121" i="11"/>
  <c r="AJ123" i="11"/>
  <c r="AH123" i="11"/>
  <c r="AB124" i="11"/>
  <c r="AM127" i="11"/>
  <c r="AP127" i="11"/>
  <c r="B120" i="8" s="1"/>
  <c r="AO127" i="11"/>
  <c r="AN127" i="11"/>
  <c r="U188" i="8" l="1"/>
  <c r="L32" i="6"/>
  <c r="Q32" i="6" s="1"/>
  <c r="X31" i="6" s="1"/>
  <c r="M17" i="23"/>
  <c r="AI206" i="11"/>
  <c r="AD206" i="11"/>
  <c r="AG206" i="11"/>
  <c r="AF206" i="11"/>
  <c r="C115" i="8"/>
  <c r="J105" i="9"/>
  <c r="E115" i="8"/>
  <c r="AH200" i="11"/>
  <c r="W188" i="8"/>
  <c r="N188" i="8"/>
  <c r="K189" i="8"/>
  <c r="T188" i="8"/>
  <c r="S189" i="8"/>
  <c r="L189" i="8"/>
  <c r="AB189" i="8"/>
  <c r="V188" i="8"/>
  <c r="AC189" i="8"/>
  <c r="O188" i="8"/>
  <c r="I229" i="6"/>
  <c r="U189" i="8"/>
  <c r="N189" i="8"/>
  <c r="L188" i="8"/>
  <c r="AP121" i="16"/>
  <c r="B148" i="8" s="1"/>
  <c r="AN121" i="16"/>
  <c r="CD122" i="16"/>
  <c r="CB122" i="16"/>
  <c r="U154" i="8"/>
  <c r="J154" i="8"/>
  <c r="AM121" i="16"/>
  <c r="D111" i="18" s="1"/>
  <c r="N111" i="18" s="1"/>
  <c r="H105" i="9"/>
  <c r="G115" i="8"/>
  <c r="AG200" i="11"/>
  <c r="AH109" i="3"/>
  <c r="AK109" i="3" s="1"/>
  <c r="AM109" i="3" s="1"/>
  <c r="BH121" i="11"/>
  <c r="BJ121" i="11"/>
  <c r="J111" i="3" s="1"/>
  <c r="D115" i="8"/>
  <c r="J115" i="8" s="1"/>
  <c r="F115" i="8"/>
  <c r="AF200" i="11"/>
  <c r="C112" i="3"/>
  <c r="H115" i="8"/>
  <c r="AI200" i="11"/>
  <c r="BC128" i="11"/>
  <c r="BH128" i="11" s="1"/>
  <c r="H118" i="3" s="1"/>
  <c r="J114" i="8"/>
  <c r="J113" i="8"/>
  <c r="L116" i="3"/>
  <c r="AJ199" i="11"/>
  <c r="BI121" i="11"/>
  <c r="I111" i="3" s="1"/>
  <c r="BK121" i="11"/>
  <c r="K111" i="3" s="1"/>
  <c r="BL126" i="11"/>
  <c r="CB123" i="11"/>
  <c r="CB55" i="6" s="1"/>
  <c r="CD123" i="11"/>
  <c r="CD55" i="6" s="1"/>
  <c r="BG121" i="11"/>
  <c r="BE121" i="11"/>
  <c r="BD121" i="11"/>
  <c r="H112" i="9"/>
  <c r="P189" i="8"/>
  <c r="AE188" i="8"/>
  <c r="BJ128" i="17"/>
  <c r="J118" i="19" s="1"/>
  <c r="O189" i="8"/>
  <c r="Y189" i="8"/>
  <c r="BF128" i="17"/>
  <c r="F118" i="19" s="1"/>
  <c r="AC188" i="8"/>
  <c r="J189" i="8"/>
  <c r="AN104" i="19"/>
  <c r="AO104" i="19"/>
  <c r="AP104" i="19" s="1"/>
  <c r="BJ104" i="19" s="1"/>
  <c r="BI127" i="17"/>
  <c r="I117" i="19" s="1"/>
  <c r="J188" i="8"/>
  <c r="BE128" i="17"/>
  <c r="BJ127" i="17"/>
  <c r="J117" i="19" s="1"/>
  <c r="BH127" i="17"/>
  <c r="H117" i="19" s="1"/>
  <c r="V189" i="8"/>
  <c r="BK127" i="17"/>
  <c r="K117" i="19" s="1"/>
  <c r="AA188" i="8"/>
  <c r="X189" i="8"/>
  <c r="BD127" i="17"/>
  <c r="BH128" i="17"/>
  <c r="H118" i="19" s="1"/>
  <c r="K188" i="8"/>
  <c r="AF188" i="8"/>
  <c r="G195" i="6"/>
  <c r="G229" i="6"/>
  <c r="BF127" i="17"/>
  <c r="F117" i="19" s="1"/>
  <c r="P188" i="8"/>
  <c r="BG127" i="17"/>
  <c r="G117" i="19" s="1"/>
  <c r="BI128" i="17"/>
  <c r="I118" i="19" s="1"/>
  <c r="BZ128" i="17"/>
  <c r="BY60" i="6" s="1"/>
  <c r="H195" i="6"/>
  <c r="H229" i="6"/>
  <c r="L116" i="19"/>
  <c r="P116" i="19"/>
  <c r="Q116" i="19" s="1"/>
  <c r="BE127" i="16"/>
  <c r="E117" i="18" s="1"/>
  <c r="BZ119" i="16"/>
  <c r="BS51" i="6" s="1"/>
  <c r="AJ123" i="16"/>
  <c r="AM128" i="16"/>
  <c r="BZ128" i="16" s="1"/>
  <c r="BS60" i="6" s="1"/>
  <c r="BF127" i="16"/>
  <c r="F117" i="18" s="1"/>
  <c r="BI127" i="16"/>
  <c r="I117" i="18" s="1"/>
  <c r="BH127" i="16"/>
  <c r="H117" i="18" s="1"/>
  <c r="BD127" i="16"/>
  <c r="P154" i="8"/>
  <c r="AQ119" i="16"/>
  <c r="G151" i="6"/>
  <c r="BY120" i="16"/>
  <c r="BR52" i="6" s="1"/>
  <c r="BZ127" i="16"/>
  <c r="BS59" i="6" s="1"/>
  <c r="AL120" i="16"/>
  <c r="BC128" i="16"/>
  <c r="BH128" i="16" s="1"/>
  <c r="H118" i="18" s="1"/>
  <c r="J209" i="9"/>
  <c r="W209" i="9" s="1"/>
  <c r="F156" i="6" s="1"/>
  <c r="G209" i="9"/>
  <c r="T209" i="9" s="1"/>
  <c r="D156" i="6" s="1"/>
  <c r="M156" i="6" s="1"/>
  <c r="H209" i="9"/>
  <c r="U209" i="9" s="1"/>
  <c r="E156" i="6" s="1"/>
  <c r="J147" i="8"/>
  <c r="B211" i="9"/>
  <c r="B177" i="9"/>
  <c r="R145" i="8"/>
  <c r="G119" i="6" s="1"/>
  <c r="AH145" i="8"/>
  <c r="I119" i="6" s="1"/>
  <c r="BY128" i="16"/>
  <c r="BR60" i="6" s="1"/>
  <c r="AL128" i="16"/>
  <c r="F155" i="8"/>
  <c r="G155" i="8"/>
  <c r="W155" i="8" s="1"/>
  <c r="H155" i="8"/>
  <c r="P155" i="8" s="1"/>
  <c r="I155" i="8"/>
  <c r="Y155" i="8" s="1"/>
  <c r="D155" i="8"/>
  <c r="T155" i="8" s="1"/>
  <c r="E155" i="8"/>
  <c r="U155" i="8" s="1"/>
  <c r="C155" i="8"/>
  <c r="AA155" i="8" s="1"/>
  <c r="J175" i="9"/>
  <c r="H175" i="9"/>
  <c r="G175" i="9"/>
  <c r="J216" i="9"/>
  <c r="W216" i="9" s="1"/>
  <c r="F163" i="6" s="1"/>
  <c r="H216" i="9"/>
  <c r="U216" i="9" s="1"/>
  <c r="E163" i="6" s="1"/>
  <c r="G216" i="9"/>
  <c r="T216" i="9" s="1"/>
  <c r="D163" i="6" s="1"/>
  <c r="M163" i="6" s="1"/>
  <c r="J176" i="9"/>
  <c r="H176" i="9"/>
  <c r="G176" i="9"/>
  <c r="BY121" i="16"/>
  <c r="BR53" i="6" s="1"/>
  <c r="AL121" i="16"/>
  <c r="H148" i="8"/>
  <c r="X148" i="8" s="1"/>
  <c r="D148" i="8"/>
  <c r="AB148" i="8" s="1"/>
  <c r="I148" i="8"/>
  <c r="AG148" i="8" s="1"/>
  <c r="E148" i="8"/>
  <c r="U148" i="8" s="1"/>
  <c r="G148" i="8"/>
  <c r="W148" i="8" s="1"/>
  <c r="F148" i="8"/>
  <c r="N148" i="8" s="1"/>
  <c r="C148" i="8"/>
  <c r="K148" i="8" s="1"/>
  <c r="H182" i="9"/>
  <c r="J182" i="9"/>
  <c r="G182" i="9"/>
  <c r="G210" i="9"/>
  <c r="T210" i="9" s="1"/>
  <c r="D157" i="6" s="1"/>
  <c r="J210" i="9"/>
  <c r="W210" i="9" s="1"/>
  <c r="F157" i="6" s="1"/>
  <c r="H210" i="9"/>
  <c r="U210" i="9" s="1"/>
  <c r="E157" i="6" s="1"/>
  <c r="C118" i="3"/>
  <c r="BE120" i="11"/>
  <c r="E110" i="3" s="1"/>
  <c r="BH120" i="11"/>
  <c r="H110" i="3" s="1"/>
  <c r="BK127" i="11"/>
  <c r="K117" i="3" s="1"/>
  <c r="BJ120" i="11"/>
  <c r="F121" i="8"/>
  <c r="D121" i="8"/>
  <c r="J120" i="8"/>
  <c r="H121" i="8"/>
  <c r="AM115" i="3"/>
  <c r="BK120" i="11"/>
  <c r="K110" i="3" s="1"/>
  <c r="I121" i="8"/>
  <c r="BF127" i="11"/>
  <c r="F117" i="3" s="1"/>
  <c r="BH127" i="11"/>
  <c r="H117" i="3" s="1"/>
  <c r="AJ205" i="11"/>
  <c r="G146" i="9"/>
  <c r="T146" i="9" s="1"/>
  <c r="D93" i="6" s="1"/>
  <c r="M93" i="6" s="1"/>
  <c r="H146" i="9"/>
  <c r="U146" i="9" s="1"/>
  <c r="E93" i="6" s="1"/>
  <c r="J146" i="9"/>
  <c r="W146" i="9" s="1"/>
  <c r="F93" i="6" s="1"/>
  <c r="B113" i="9"/>
  <c r="J113" i="9" s="1"/>
  <c r="B147" i="9"/>
  <c r="BL119" i="11"/>
  <c r="J112" i="9"/>
  <c r="N92" i="6"/>
  <c r="R92" i="6" s="1"/>
  <c r="AE57" i="6" s="1"/>
  <c r="N85" i="6"/>
  <c r="R85" i="6" s="1"/>
  <c r="AE50" i="6" s="1"/>
  <c r="O194" i="6"/>
  <c r="S194" i="6" s="1"/>
  <c r="AX57" i="6" s="1"/>
  <c r="G153" i="6"/>
  <c r="I152" i="6"/>
  <c r="I118" i="6"/>
  <c r="BC122" i="11"/>
  <c r="BG122" i="11" s="1"/>
  <c r="G112" i="3" s="1"/>
  <c r="B106" i="9"/>
  <c r="J106" i="9" s="1"/>
  <c r="B140" i="9"/>
  <c r="B107" i="9"/>
  <c r="G107" i="9" s="1"/>
  <c r="B141" i="9"/>
  <c r="AC207" i="11"/>
  <c r="AH207" i="11" s="1"/>
  <c r="AD200" i="11"/>
  <c r="AH110" i="3"/>
  <c r="AK110" i="3" s="1"/>
  <c r="W202" i="11"/>
  <c r="BY122" i="11" s="1"/>
  <c r="BL54" i="6" s="1"/>
  <c r="Z202" i="11"/>
  <c r="K142" i="9" s="1"/>
  <c r="Y202" i="11"/>
  <c r="AB202" i="11"/>
  <c r="X202" i="11"/>
  <c r="AA202" i="11"/>
  <c r="BZ120" i="11"/>
  <c r="AE124" i="11"/>
  <c r="AD124" i="11"/>
  <c r="AC124" i="11"/>
  <c r="T203" i="11"/>
  <c r="AI55" i="6" s="1"/>
  <c r="V203" i="11"/>
  <c r="U203" i="11"/>
  <c r="CE123" i="11" s="1"/>
  <c r="CE55" i="6" s="1"/>
  <c r="S141" i="9"/>
  <c r="P141" i="9"/>
  <c r="Q141" i="9"/>
  <c r="P147" i="9"/>
  <c r="S147" i="9"/>
  <c r="Q147" i="9"/>
  <c r="AK116" i="3"/>
  <c r="AM116" i="3" s="1"/>
  <c r="AC201" i="11"/>
  <c r="AH201" i="11" s="1"/>
  <c r="G139" i="9"/>
  <c r="T139" i="9" s="1"/>
  <c r="D86" i="6" s="1"/>
  <c r="M86" i="6" s="1"/>
  <c r="H139" i="9"/>
  <c r="U139" i="9" s="1"/>
  <c r="E86" i="6" s="1"/>
  <c r="J139" i="9"/>
  <c r="W139" i="9" s="1"/>
  <c r="F86" i="6" s="1"/>
  <c r="AU123" i="11"/>
  <c r="AX123" i="11"/>
  <c r="AF123" i="11"/>
  <c r="H116" i="8" s="1"/>
  <c r="AW123" i="11"/>
  <c r="AV123" i="11"/>
  <c r="AG123" i="11"/>
  <c r="AK123" i="11" s="1"/>
  <c r="AT123" i="11"/>
  <c r="AR123" i="11"/>
  <c r="BB123" i="11"/>
  <c r="AZ123" i="11"/>
  <c r="AS123" i="11"/>
  <c r="BA123" i="11"/>
  <c r="AY123" i="11"/>
  <c r="BZ126" i="11"/>
  <c r="BM58" i="6" s="1"/>
  <c r="R152" i="6"/>
  <c r="AQ49" i="6" s="1"/>
  <c r="R151" i="6"/>
  <c r="AQ48" i="6" s="1"/>
  <c r="AP120" i="16"/>
  <c r="B147" i="8" s="1"/>
  <c r="AO120" i="16"/>
  <c r="AN120" i="16"/>
  <c r="AD123" i="16"/>
  <c r="AC123" i="16"/>
  <c r="AE123" i="16"/>
  <c r="N153" i="6"/>
  <c r="AC146" i="8"/>
  <c r="AD146" i="8"/>
  <c r="AA146" i="8"/>
  <c r="Q146" i="8"/>
  <c r="W146" i="8"/>
  <c r="AE146" i="8"/>
  <c r="M146" i="8"/>
  <c r="S146" i="8"/>
  <c r="N146" i="8"/>
  <c r="AB146" i="8"/>
  <c r="V146" i="8"/>
  <c r="P146" i="8"/>
  <c r="L146" i="8"/>
  <c r="AG146" i="8"/>
  <c r="AF146" i="8"/>
  <c r="X146" i="8"/>
  <c r="Y146" i="8"/>
  <c r="T146" i="8"/>
  <c r="O146" i="8"/>
  <c r="K146" i="8"/>
  <c r="U146" i="8"/>
  <c r="S106" i="18"/>
  <c r="R106" i="18"/>
  <c r="AM120" i="16"/>
  <c r="BZ120" i="16" s="1"/>
  <c r="BS52" i="6" s="1"/>
  <c r="AF122" i="16"/>
  <c r="AS122" i="16"/>
  <c r="AW122" i="16"/>
  <c r="BA122" i="16"/>
  <c r="AU122" i="16"/>
  <c r="AZ122" i="16"/>
  <c r="AV122" i="16"/>
  <c r="BB122" i="16"/>
  <c r="AR122" i="16"/>
  <c r="AX122" i="16"/>
  <c r="AT122" i="16"/>
  <c r="AY122" i="16"/>
  <c r="AG122" i="16"/>
  <c r="AK122" i="16" s="1"/>
  <c r="BC121" i="16"/>
  <c r="G118" i="6"/>
  <c r="G152" i="6"/>
  <c r="Z145" i="8"/>
  <c r="I151" i="6"/>
  <c r="I117" i="6"/>
  <c r="H118" i="6"/>
  <c r="H152" i="6"/>
  <c r="M153" i="6"/>
  <c r="C112" i="18"/>
  <c r="H117" i="6"/>
  <c r="H151" i="6"/>
  <c r="E109" i="18"/>
  <c r="P109" i="18" s="1"/>
  <c r="Q109" i="18" s="1"/>
  <c r="BL119" i="16"/>
  <c r="BF120" i="16"/>
  <c r="F110" i="18" s="1"/>
  <c r="BD120" i="16"/>
  <c r="BH120" i="16"/>
  <c r="H110" i="18" s="1"/>
  <c r="BI120" i="16"/>
  <c r="I110" i="18" s="1"/>
  <c r="BK120" i="16"/>
  <c r="K110" i="18" s="1"/>
  <c r="BE120" i="16"/>
  <c r="BG120" i="16"/>
  <c r="G110" i="18" s="1"/>
  <c r="O127" i="6"/>
  <c r="S127" i="6" s="1"/>
  <c r="AL58" i="6" s="1"/>
  <c r="BY128" i="11"/>
  <c r="BL60" i="6" s="1"/>
  <c r="BY59" i="6"/>
  <c r="I58" i="6"/>
  <c r="AM22" i="23" s="1"/>
  <c r="I92" i="6"/>
  <c r="G58" i="6"/>
  <c r="AM16" i="23" s="1"/>
  <c r="G92" i="6"/>
  <c r="O50" i="6"/>
  <c r="S50" i="6" s="1"/>
  <c r="Z49" i="6" s="1"/>
  <c r="H58" i="6"/>
  <c r="AM19" i="23" s="1"/>
  <c r="H92" i="6"/>
  <c r="G51" i="6"/>
  <c r="AF16" i="23" s="1"/>
  <c r="G85" i="6"/>
  <c r="I51" i="6"/>
  <c r="AF22" i="23" s="1"/>
  <c r="I85" i="6"/>
  <c r="H51" i="6"/>
  <c r="AF19" i="23" s="1"/>
  <c r="H85" i="6"/>
  <c r="AN107" i="3"/>
  <c r="AO107" i="3"/>
  <c r="AP107" i="3" s="1"/>
  <c r="BJ107" i="3" s="1"/>
  <c r="O84" i="6"/>
  <c r="S84" i="6" s="1"/>
  <c r="AF49" i="6" s="1"/>
  <c r="G160" i="6"/>
  <c r="I160" i="6"/>
  <c r="AB124" i="16"/>
  <c r="AI124" i="16" s="1"/>
  <c r="T154" i="8"/>
  <c r="AA154" i="8"/>
  <c r="AE154" i="8"/>
  <c r="AD154" i="8"/>
  <c r="H160" i="6"/>
  <c r="O126" i="6"/>
  <c r="S126" i="6" s="1"/>
  <c r="AL57" i="6" s="1"/>
  <c r="W154" i="8"/>
  <c r="Y154" i="8"/>
  <c r="AB154" i="8"/>
  <c r="X154" i="8"/>
  <c r="K154" i="8"/>
  <c r="L154" i="8"/>
  <c r="O154" i="8"/>
  <c r="AF154" i="8"/>
  <c r="M154" i="8"/>
  <c r="V154" i="8"/>
  <c r="AG154" i="8"/>
  <c r="S154" i="8"/>
  <c r="AC154" i="8"/>
  <c r="Q154" i="8"/>
  <c r="N154" i="8"/>
  <c r="BB102" i="18"/>
  <c r="BI102" i="18"/>
  <c r="BM52" i="6"/>
  <c r="BB102" i="3"/>
  <c r="BI102" i="3"/>
  <c r="BD88" i="19"/>
  <c r="BK88" i="19"/>
  <c r="AD31" i="6"/>
  <c r="H204" i="11"/>
  <c r="R204" i="11"/>
  <c r="S204" i="11" s="1"/>
  <c r="AH119" i="8"/>
  <c r="Z119" i="8"/>
  <c r="R119" i="8"/>
  <c r="AI124" i="11"/>
  <c r="S115" i="3"/>
  <c r="AD131" i="7"/>
  <c r="L132" i="7"/>
  <c r="R115" i="18"/>
  <c r="S115" i="18"/>
  <c r="AD155" i="8"/>
  <c r="Q155" i="8"/>
  <c r="N155" i="8"/>
  <c r="V155" i="8"/>
  <c r="L155" i="8"/>
  <c r="E118" i="19"/>
  <c r="D117" i="19"/>
  <c r="N117" i="19" s="1"/>
  <c r="AQ127" i="17"/>
  <c r="N162" i="6"/>
  <c r="M162" i="6"/>
  <c r="D117" i="18"/>
  <c r="N117" i="18" s="1"/>
  <c r="AQ127" i="16"/>
  <c r="AQ128" i="16"/>
  <c r="AM128" i="11"/>
  <c r="AL122" i="11"/>
  <c r="G249" i="9"/>
  <c r="H249" i="9"/>
  <c r="J249" i="9"/>
  <c r="D118" i="19"/>
  <c r="N118" i="19" s="1"/>
  <c r="AQ128" i="17"/>
  <c r="AY89" i="18"/>
  <c r="AZ89" i="18" s="1"/>
  <c r="BG128" i="11"/>
  <c r="G118" i="3" s="1"/>
  <c r="BE128" i="11"/>
  <c r="E118" i="3" s="1"/>
  <c r="BF128" i="11"/>
  <c r="F118" i="3" s="1"/>
  <c r="G102" i="11"/>
  <c r="AR92" i="3" s="1"/>
  <c r="AU92" i="3" s="1"/>
  <c r="AV92" i="3" s="1"/>
  <c r="BJ128" i="11"/>
  <c r="J118" i="3" s="1"/>
  <c r="AC148" i="8"/>
  <c r="O148" i="8"/>
  <c r="M148" i="8"/>
  <c r="F103" i="11"/>
  <c r="D133" i="7" s="1"/>
  <c r="AR91" i="3"/>
  <c r="AU91" i="3" s="1"/>
  <c r="AV90" i="3"/>
  <c r="AX90" i="3" s="1"/>
  <c r="AW90" i="3"/>
  <c r="AY90" i="3" s="1"/>
  <c r="AZ90" i="3" s="1"/>
  <c r="AV89" i="18"/>
  <c r="AX89" i="18" s="1"/>
  <c r="S110" i="19"/>
  <c r="R110" i="19"/>
  <c r="AW89" i="19"/>
  <c r="AY89" i="19" s="1"/>
  <c r="AZ89" i="19" s="1"/>
  <c r="AV89" i="19"/>
  <c r="AX89" i="19" s="1"/>
  <c r="R111" i="19"/>
  <c r="S111" i="19"/>
  <c r="AR90" i="18"/>
  <c r="AU90" i="18" s="1"/>
  <c r="AW90" i="18" s="1"/>
  <c r="AU90" i="19"/>
  <c r="AH112" i="8"/>
  <c r="AA120" i="8"/>
  <c r="AE120" i="8"/>
  <c r="AB120" i="8"/>
  <c r="Q120" i="8"/>
  <c r="AC120" i="8"/>
  <c r="AG120" i="8"/>
  <c r="M120" i="8"/>
  <c r="P120" i="8"/>
  <c r="L120" i="8"/>
  <c r="T120" i="8"/>
  <c r="X120" i="8"/>
  <c r="S120" i="8"/>
  <c r="K120" i="8"/>
  <c r="AD120" i="8"/>
  <c r="O120" i="8"/>
  <c r="U120" i="8"/>
  <c r="W120" i="8"/>
  <c r="Y120" i="8"/>
  <c r="V120" i="8"/>
  <c r="AF120" i="8"/>
  <c r="N120" i="8"/>
  <c r="AC113" i="8"/>
  <c r="K113" i="8"/>
  <c r="AE113" i="8"/>
  <c r="AA113" i="8"/>
  <c r="AD113" i="8"/>
  <c r="AB113" i="8"/>
  <c r="AF113" i="8"/>
  <c r="O113" i="8"/>
  <c r="P113" i="8"/>
  <c r="W113" i="8"/>
  <c r="Y113" i="8"/>
  <c r="X113" i="8"/>
  <c r="M113" i="8"/>
  <c r="U113" i="8"/>
  <c r="AG113" i="8"/>
  <c r="L113" i="8"/>
  <c r="Q113" i="8"/>
  <c r="T113" i="8"/>
  <c r="S113" i="8"/>
  <c r="N113" i="8"/>
  <c r="V113" i="8"/>
  <c r="E117" i="3"/>
  <c r="D117" i="3"/>
  <c r="N117" i="3" s="1"/>
  <c r="R116" i="18"/>
  <c r="S116" i="18"/>
  <c r="AD114" i="8"/>
  <c r="AF114" i="8"/>
  <c r="AB114" i="8"/>
  <c r="AE114" i="8"/>
  <c r="AC114" i="8"/>
  <c r="K114" i="8"/>
  <c r="M114" i="8"/>
  <c r="P114" i="8"/>
  <c r="AA114" i="8"/>
  <c r="L114" i="8"/>
  <c r="U114" i="8"/>
  <c r="W114" i="8"/>
  <c r="AG114" i="8"/>
  <c r="Y114" i="8"/>
  <c r="N114" i="8"/>
  <c r="S114" i="8"/>
  <c r="T114" i="8"/>
  <c r="V114" i="8"/>
  <c r="O114" i="8"/>
  <c r="Q114" i="8"/>
  <c r="X114" i="8"/>
  <c r="AO128" i="11"/>
  <c r="Z112" i="8"/>
  <c r="P116" i="3"/>
  <c r="Q116" i="3" s="1"/>
  <c r="R112" i="8"/>
  <c r="R108" i="3"/>
  <c r="S108" i="3"/>
  <c r="D110" i="3"/>
  <c r="N110" i="3" s="1"/>
  <c r="S108" i="18"/>
  <c r="R108" i="18"/>
  <c r="D111" i="3"/>
  <c r="N111" i="3" s="1"/>
  <c r="H111" i="3"/>
  <c r="P109" i="3"/>
  <c r="Q109" i="3" s="1"/>
  <c r="L109" i="3"/>
  <c r="U103" i="3"/>
  <c r="V103" i="3" s="1"/>
  <c r="T103" i="3"/>
  <c r="G110" i="3"/>
  <c r="L109" i="18"/>
  <c r="U103" i="18"/>
  <c r="V103" i="18" s="1"/>
  <c r="T103" i="18"/>
  <c r="E111" i="3"/>
  <c r="I110" i="3"/>
  <c r="J110" i="3"/>
  <c r="AN131" i="7"/>
  <c r="T132" i="7"/>
  <c r="W132" i="7"/>
  <c r="AQ131" i="7"/>
  <c r="E102" i="11"/>
  <c r="C131" i="7"/>
  <c r="Y134" i="7"/>
  <c r="AS133" i="7"/>
  <c r="V132" i="7"/>
  <c r="AP131" i="7"/>
  <c r="AR165" i="7"/>
  <c r="M132" i="7"/>
  <c r="AE131" i="7"/>
  <c r="J132" i="7"/>
  <c r="AB131" i="7"/>
  <c r="H132" i="7"/>
  <c r="Z131" i="7"/>
  <c r="AN128" i="11"/>
  <c r="AN122" i="16"/>
  <c r="G101" i="16"/>
  <c r="BD128" i="11"/>
  <c r="BK128" i="11"/>
  <c r="K118" i="3" s="1"/>
  <c r="BI128" i="11"/>
  <c r="BH122" i="11"/>
  <c r="AL128" i="11"/>
  <c r="AP128" i="11"/>
  <c r="AO122" i="11"/>
  <c r="AQ120" i="11"/>
  <c r="AM122" i="11"/>
  <c r="N112" i="19" s="1"/>
  <c r="Q112" i="19" s="1"/>
  <c r="AP122" i="11"/>
  <c r="B115" i="8" s="1"/>
  <c r="AN122" i="11"/>
  <c r="AQ121" i="11"/>
  <c r="AJ124" i="11"/>
  <c r="AH124" i="11"/>
  <c r="AQ127" i="11"/>
  <c r="AJ206" i="11" l="1"/>
  <c r="AH189" i="8"/>
  <c r="Z188" i="8"/>
  <c r="AL109" i="3"/>
  <c r="N163" i="6"/>
  <c r="AG201" i="11"/>
  <c r="AJ200" i="11"/>
  <c r="AE207" i="11"/>
  <c r="O195" i="6"/>
  <c r="S195" i="6" s="1"/>
  <c r="AX58" i="6" s="1"/>
  <c r="BL128" i="17"/>
  <c r="P117" i="19"/>
  <c r="Z189" i="8"/>
  <c r="H197" i="6" s="1"/>
  <c r="R189" i="8"/>
  <c r="G197" i="6" s="1"/>
  <c r="AH188" i="8"/>
  <c r="I196" i="6" s="1"/>
  <c r="R188" i="8"/>
  <c r="AD148" i="8"/>
  <c r="AG155" i="8"/>
  <c r="V148" i="8"/>
  <c r="L148" i="8"/>
  <c r="AF148" i="8"/>
  <c r="AE148" i="8"/>
  <c r="S155" i="8"/>
  <c r="X155" i="8"/>
  <c r="K155" i="8"/>
  <c r="AF155" i="8"/>
  <c r="BZ121" i="16"/>
  <c r="BS53" i="6" s="1"/>
  <c r="P148" i="8"/>
  <c r="AQ121" i="16"/>
  <c r="O117" i="6"/>
  <c r="S117" i="6" s="1"/>
  <c r="AL48" i="6" s="1"/>
  <c r="AC155" i="8"/>
  <c r="I153" i="6"/>
  <c r="BK128" i="16"/>
  <c r="K118" i="18" s="1"/>
  <c r="C113" i="18"/>
  <c r="CD123" i="16"/>
  <c r="CB123" i="16"/>
  <c r="BD128" i="16"/>
  <c r="Y148" i="8"/>
  <c r="BL127" i="16"/>
  <c r="S148" i="8"/>
  <c r="Q148" i="8"/>
  <c r="BJ128" i="16"/>
  <c r="J118" i="18" s="1"/>
  <c r="BF128" i="16"/>
  <c r="F118" i="18" s="1"/>
  <c r="N156" i="6"/>
  <c r="R156" i="6" s="1"/>
  <c r="AQ53" i="6" s="1"/>
  <c r="G116" i="8"/>
  <c r="G113" i="9"/>
  <c r="AF201" i="11"/>
  <c r="J121" i="8"/>
  <c r="BL120" i="11"/>
  <c r="BL121" i="11"/>
  <c r="H106" i="9"/>
  <c r="CD124" i="11"/>
  <c r="CD56" i="6" s="1"/>
  <c r="CB124" i="11"/>
  <c r="CB56" i="6" s="1"/>
  <c r="BJ122" i="11"/>
  <c r="J112" i="3" s="1"/>
  <c r="G111" i="3"/>
  <c r="L111" i="3" s="1"/>
  <c r="BI122" i="11"/>
  <c r="BK122" i="11"/>
  <c r="N86" i="6"/>
  <c r="R86" i="6" s="1"/>
  <c r="AE51" i="6" s="1"/>
  <c r="L117" i="19"/>
  <c r="AO105" i="19"/>
  <c r="AP105" i="19" s="1"/>
  <c r="BJ105" i="19" s="1"/>
  <c r="AN105" i="19"/>
  <c r="S116" i="19"/>
  <c r="R116" i="19"/>
  <c r="BL127" i="17"/>
  <c r="O229" i="6"/>
  <c r="S229" i="6" s="1"/>
  <c r="BD58" i="6" s="1"/>
  <c r="O155" i="8"/>
  <c r="AH124" i="16"/>
  <c r="T148" i="8"/>
  <c r="AB155" i="8"/>
  <c r="M155" i="8"/>
  <c r="R146" i="8"/>
  <c r="G120" i="6" s="1"/>
  <c r="BE128" i="16"/>
  <c r="E118" i="18" s="1"/>
  <c r="D118" i="18"/>
  <c r="N118" i="18" s="1"/>
  <c r="AE155" i="8"/>
  <c r="AJ124" i="16"/>
  <c r="AA148" i="8"/>
  <c r="BG128" i="16"/>
  <c r="G118" i="18" s="1"/>
  <c r="BI128" i="16"/>
  <c r="I118" i="18" s="1"/>
  <c r="BY122" i="16"/>
  <c r="BR54" i="6" s="1"/>
  <c r="BC122" i="16"/>
  <c r="BJ122" i="16" s="1"/>
  <c r="J112" i="18" s="1"/>
  <c r="AL122" i="16"/>
  <c r="G149" i="8"/>
  <c r="F149" i="8"/>
  <c r="I149" i="8"/>
  <c r="AG149" i="8" s="1"/>
  <c r="H149" i="8"/>
  <c r="D149" i="8"/>
  <c r="E149" i="8"/>
  <c r="C149" i="8"/>
  <c r="J148" i="8"/>
  <c r="G211" i="9"/>
  <c r="T211" i="9" s="1"/>
  <c r="D158" i="6" s="1"/>
  <c r="H211" i="9"/>
  <c r="U211" i="9" s="1"/>
  <c r="E158" i="6" s="1"/>
  <c r="J211" i="9"/>
  <c r="W211" i="9" s="1"/>
  <c r="F158" i="6" s="1"/>
  <c r="R163" i="6"/>
  <c r="AQ60" i="6" s="1"/>
  <c r="J155" i="8"/>
  <c r="B212" i="9"/>
  <c r="B178" i="9"/>
  <c r="H177" i="9"/>
  <c r="J177" i="9"/>
  <c r="G177" i="9"/>
  <c r="C116" i="8"/>
  <c r="H107" i="9"/>
  <c r="BF122" i="11"/>
  <c r="BD122" i="11"/>
  <c r="BE122" i="11"/>
  <c r="E112" i="3" s="1"/>
  <c r="E116" i="8"/>
  <c r="H113" i="9"/>
  <c r="BL127" i="11"/>
  <c r="I116" i="8"/>
  <c r="N93" i="6"/>
  <c r="R93" i="6" s="1"/>
  <c r="AE58" i="6" s="1"/>
  <c r="B114" i="9"/>
  <c r="G114" i="9" s="1"/>
  <c r="B148" i="9"/>
  <c r="G106" i="9"/>
  <c r="AL116" i="3"/>
  <c r="AG207" i="11"/>
  <c r="G147" i="9"/>
  <c r="T147" i="9" s="1"/>
  <c r="D94" i="6" s="1"/>
  <c r="M94" i="6" s="1"/>
  <c r="J147" i="9"/>
  <c r="W147" i="9" s="1"/>
  <c r="F94" i="6" s="1"/>
  <c r="H147" i="9"/>
  <c r="U147" i="9" s="1"/>
  <c r="E94" i="6" s="1"/>
  <c r="C113" i="3"/>
  <c r="D116" i="8"/>
  <c r="F116" i="8"/>
  <c r="AI207" i="11"/>
  <c r="BZ128" i="11"/>
  <c r="BM60" i="6" s="1"/>
  <c r="O151" i="6"/>
  <c r="S151" i="6" s="1"/>
  <c r="AR48" i="6" s="1"/>
  <c r="O152" i="6"/>
  <c r="S152" i="6" s="1"/>
  <c r="AR49" i="6" s="1"/>
  <c r="AF207" i="11"/>
  <c r="BC123" i="11"/>
  <c r="BJ123" i="11" s="1"/>
  <c r="J113" i="3" s="1"/>
  <c r="AL110" i="3"/>
  <c r="AM110" i="3"/>
  <c r="J107" i="9"/>
  <c r="AC202" i="11"/>
  <c r="AH202" i="11" s="1"/>
  <c r="G140" i="9"/>
  <c r="T140" i="9" s="1"/>
  <c r="D87" i="6" s="1"/>
  <c r="M87" i="6" s="1"/>
  <c r="J140" i="9"/>
  <c r="W140" i="9" s="1"/>
  <c r="F87" i="6" s="1"/>
  <c r="H140" i="9"/>
  <c r="U140" i="9" s="1"/>
  <c r="E87" i="6" s="1"/>
  <c r="G141" i="9"/>
  <c r="T141" i="9" s="1"/>
  <c r="D88" i="6" s="1"/>
  <c r="M88" i="6" s="1"/>
  <c r="J141" i="9"/>
  <c r="W141" i="9" s="1"/>
  <c r="F88" i="6" s="1"/>
  <c r="H141" i="9"/>
  <c r="U141" i="9" s="1"/>
  <c r="E88" i="6" s="1"/>
  <c r="AD201" i="11"/>
  <c r="AE201" i="11"/>
  <c r="AH111" i="3" s="1"/>
  <c r="AI201" i="11"/>
  <c r="B108" i="9"/>
  <c r="G108" i="9" s="1"/>
  <c r="B142" i="9"/>
  <c r="U204" i="11"/>
  <c r="CE124" i="11" s="1"/>
  <c r="CE56" i="6" s="1"/>
  <c r="T204" i="11"/>
  <c r="AI56" i="6" s="1"/>
  <c r="V204" i="11"/>
  <c r="W203" i="11"/>
  <c r="BY123" i="11" s="1"/>
  <c r="BL55" i="6" s="1"/>
  <c r="Y203" i="11"/>
  <c r="AB203" i="11"/>
  <c r="X203" i="11"/>
  <c r="AA203" i="11"/>
  <c r="Z203" i="11"/>
  <c r="K143" i="9" s="1"/>
  <c r="AY124" i="11"/>
  <c r="AU124" i="11"/>
  <c r="AG124" i="11"/>
  <c r="AK124" i="11" s="1"/>
  <c r="AX124" i="11"/>
  <c r="AW124" i="11"/>
  <c r="AF124" i="11"/>
  <c r="G117" i="8" s="1"/>
  <c r="AV124" i="11"/>
  <c r="AR124" i="11"/>
  <c r="BB124" i="11"/>
  <c r="AZ124" i="11"/>
  <c r="AS124" i="11"/>
  <c r="BA124" i="11"/>
  <c r="AT124" i="11"/>
  <c r="S142" i="9"/>
  <c r="P142" i="9"/>
  <c r="Q142" i="9"/>
  <c r="AD207" i="11"/>
  <c r="BZ127" i="11"/>
  <c r="BM59" i="6" s="1"/>
  <c r="AH117" i="3"/>
  <c r="AK117" i="3" s="1"/>
  <c r="R153" i="6"/>
  <c r="AQ50" i="6" s="1"/>
  <c r="BG122" i="16"/>
  <c r="G112" i="18" s="1"/>
  <c r="N154" i="6"/>
  <c r="O118" i="6"/>
  <c r="S118" i="6" s="1"/>
  <c r="AL49" i="6" s="1"/>
  <c r="D110" i="18"/>
  <c r="N110" i="18" s="1"/>
  <c r="AQ120" i="16"/>
  <c r="AM122" i="16"/>
  <c r="D112" i="18" s="1"/>
  <c r="N112" i="18" s="1"/>
  <c r="AE124" i="16"/>
  <c r="AD124" i="16"/>
  <c r="C114" i="18" s="1"/>
  <c r="AC124" i="16"/>
  <c r="E110" i="18"/>
  <c r="BL120" i="16"/>
  <c r="BJ121" i="16"/>
  <c r="J111" i="18" s="1"/>
  <c r="BG121" i="16"/>
  <c r="G111" i="18" s="1"/>
  <c r="BI121" i="16"/>
  <c r="I111" i="18" s="1"/>
  <c r="BE121" i="16"/>
  <c r="BD121" i="16"/>
  <c r="BK121" i="16"/>
  <c r="K111" i="18" s="1"/>
  <c r="Z146" i="8"/>
  <c r="AE147" i="8"/>
  <c r="Q147" i="8"/>
  <c r="P147" i="8"/>
  <c r="T147" i="8"/>
  <c r="AB147" i="8"/>
  <c r="M147" i="8"/>
  <c r="N147" i="8"/>
  <c r="S147" i="8"/>
  <c r="K147" i="8"/>
  <c r="AG147" i="8"/>
  <c r="U147" i="8"/>
  <c r="X147" i="8"/>
  <c r="AC147" i="8"/>
  <c r="AF147" i="8"/>
  <c r="L147" i="8"/>
  <c r="AA147" i="8"/>
  <c r="AD147" i="8"/>
  <c r="O147" i="8"/>
  <c r="V147" i="8"/>
  <c r="Y147" i="8"/>
  <c r="W147" i="8"/>
  <c r="AP122" i="16"/>
  <c r="B149" i="8" s="1"/>
  <c r="AO122" i="16"/>
  <c r="M154" i="6"/>
  <c r="H119" i="6"/>
  <c r="O119" i="6" s="1"/>
  <c r="S119" i="6" s="1"/>
  <c r="AL50" i="6" s="1"/>
  <c r="H153" i="6"/>
  <c r="AH146" i="8"/>
  <c r="AF123" i="16"/>
  <c r="AX123" i="16"/>
  <c r="AU123" i="16"/>
  <c r="AZ123" i="16"/>
  <c r="AV123" i="16"/>
  <c r="BA123" i="16"/>
  <c r="AR123" i="16"/>
  <c r="AW123" i="16"/>
  <c r="AY123" i="16"/>
  <c r="AS123" i="16"/>
  <c r="AT123" i="16"/>
  <c r="BB123" i="16"/>
  <c r="AG123" i="16"/>
  <c r="AK123" i="16" s="1"/>
  <c r="AP123" i="16" s="1"/>
  <c r="B150" i="8" s="1"/>
  <c r="BH121" i="16"/>
  <c r="H111" i="18" s="1"/>
  <c r="BF121" i="16"/>
  <c r="F111" i="18" s="1"/>
  <c r="O58" i="6"/>
  <c r="S58" i="6" s="1"/>
  <c r="Z57" i="6" s="1"/>
  <c r="O51" i="6"/>
  <c r="S51" i="6" s="1"/>
  <c r="Z50" i="6" s="1"/>
  <c r="G59" i="6"/>
  <c r="AN16" i="23" s="1"/>
  <c r="G93" i="6"/>
  <c r="H59" i="6"/>
  <c r="AN19" i="23" s="1"/>
  <c r="H93" i="6"/>
  <c r="O92" i="6"/>
  <c r="S92" i="6" s="1"/>
  <c r="AF57" i="6" s="1"/>
  <c r="I59" i="6"/>
  <c r="AN22" i="23" s="1"/>
  <c r="I93" i="6"/>
  <c r="H52" i="6"/>
  <c r="AG19" i="23" s="1"/>
  <c r="H86" i="6"/>
  <c r="O85" i="6"/>
  <c r="S85" i="6" s="1"/>
  <c r="AF50" i="6" s="1"/>
  <c r="I52" i="6"/>
  <c r="AG22" i="23" s="1"/>
  <c r="I86" i="6"/>
  <c r="AN108" i="3"/>
  <c r="AO108" i="3"/>
  <c r="AP108" i="3" s="1"/>
  <c r="BJ108" i="3" s="1"/>
  <c r="G52" i="6"/>
  <c r="AG16" i="23" s="1"/>
  <c r="G86" i="6"/>
  <c r="G196" i="6"/>
  <c r="G230" i="6"/>
  <c r="G231" i="6"/>
  <c r="H196" i="6"/>
  <c r="H230" i="6"/>
  <c r="I197" i="6"/>
  <c r="I231" i="6"/>
  <c r="O160" i="6"/>
  <c r="S160" i="6" s="1"/>
  <c r="AR57" i="6" s="1"/>
  <c r="Z154" i="8"/>
  <c r="H128" i="6" s="1"/>
  <c r="R154" i="8"/>
  <c r="G128" i="6" s="1"/>
  <c r="AH154" i="8"/>
  <c r="I128" i="6" s="1"/>
  <c r="R162" i="6"/>
  <c r="AQ59" i="6" s="1"/>
  <c r="BI103" i="18"/>
  <c r="BB103" i="18"/>
  <c r="BB103" i="3"/>
  <c r="BI103" i="3"/>
  <c r="BK89" i="19"/>
  <c r="BD89" i="19"/>
  <c r="BD90" i="3"/>
  <c r="BE90" i="3" s="1"/>
  <c r="BG90" i="3" s="1"/>
  <c r="C33" i="6" s="1"/>
  <c r="BK90" i="3"/>
  <c r="BL90" i="3" s="1"/>
  <c r="BN90" i="3" s="1"/>
  <c r="C67" i="6" s="1"/>
  <c r="L67" i="6" s="1"/>
  <c r="Q67" i="6" s="1"/>
  <c r="BK89" i="18"/>
  <c r="BD89" i="18"/>
  <c r="Q117" i="19"/>
  <c r="S117" i="19" s="1"/>
  <c r="D118" i="3"/>
  <c r="N118" i="3" s="1"/>
  <c r="Z155" i="8"/>
  <c r="L133" i="7"/>
  <c r="AD132" i="7"/>
  <c r="AW92" i="3"/>
  <c r="AL123" i="11"/>
  <c r="L118" i="19"/>
  <c r="P118" i="19"/>
  <c r="Q118" i="19" s="1"/>
  <c r="P117" i="18"/>
  <c r="Q117" i="18" s="1"/>
  <c r="L117" i="18"/>
  <c r="Z120" i="8"/>
  <c r="G103" i="11"/>
  <c r="AR93" i="3" s="1"/>
  <c r="AU93" i="3" s="1"/>
  <c r="AW93" i="3" s="1"/>
  <c r="F104" i="11"/>
  <c r="D134" i="7" s="1"/>
  <c r="M157" i="6"/>
  <c r="AY90" i="18"/>
  <c r="AZ90" i="18" s="1"/>
  <c r="AV91" i="3"/>
  <c r="AX91" i="3" s="1"/>
  <c r="AW91" i="3"/>
  <c r="AY91" i="3" s="1"/>
  <c r="AZ91" i="3" s="1"/>
  <c r="AR91" i="18"/>
  <c r="AU91" i="18" s="1"/>
  <c r="AV91" i="18" s="1"/>
  <c r="AU91" i="19"/>
  <c r="AV90" i="18"/>
  <c r="AX90" i="18" s="1"/>
  <c r="S112" i="19"/>
  <c r="R112" i="19"/>
  <c r="AW90" i="19"/>
  <c r="AY90" i="19" s="1"/>
  <c r="AZ90" i="19" s="1"/>
  <c r="AV90" i="19"/>
  <c r="AX90" i="19" s="1"/>
  <c r="R114" i="8"/>
  <c r="Z113" i="8"/>
  <c r="S116" i="3"/>
  <c r="R116" i="3"/>
  <c r="R113" i="8"/>
  <c r="Z114" i="8"/>
  <c r="L117" i="3"/>
  <c r="P117" i="3"/>
  <c r="Q117" i="3" s="1"/>
  <c r="BL128" i="11"/>
  <c r="I118" i="3"/>
  <c r="AH114" i="8"/>
  <c r="AQ128" i="11"/>
  <c r="B121" i="8"/>
  <c r="AD115" i="8"/>
  <c r="K115" i="8"/>
  <c r="AB115" i="8"/>
  <c r="AC115" i="8"/>
  <c r="AF115" i="8"/>
  <c r="L115" i="8"/>
  <c r="Q115" i="8"/>
  <c r="P115" i="8"/>
  <c r="Y115" i="8"/>
  <c r="T115" i="8"/>
  <c r="V115" i="8"/>
  <c r="X115" i="8"/>
  <c r="M115" i="8"/>
  <c r="AE115" i="8"/>
  <c r="AG115" i="8"/>
  <c r="AA115" i="8"/>
  <c r="U115" i="8"/>
  <c r="N115" i="8"/>
  <c r="O115" i="8"/>
  <c r="W115" i="8"/>
  <c r="S115" i="8"/>
  <c r="AH113" i="8"/>
  <c r="R120" i="8"/>
  <c r="AH120" i="8"/>
  <c r="H112" i="3"/>
  <c r="L110" i="18"/>
  <c r="P110" i="18"/>
  <c r="T104" i="18"/>
  <c r="U104" i="18"/>
  <c r="V104" i="18" s="1"/>
  <c r="S109" i="18"/>
  <c r="R109" i="18"/>
  <c r="S109" i="3"/>
  <c r="R109" i="3"/>
  <c r="D112" i="3"/>
  <c r="N112" i="3" s="1"/>
  <c r="K112" i="3"/>
  <c r="I112" i="3"/>
  <c r="L110" i="3"/>
  <c r="P110" i="3"/>
  <c r="Q110" i="3" s="1"/>
  <c r="T104" i="3"/>
  <c r="U104" i="3"/>
  <c r="V104" i="3" s="1"/>
  <c r="J108" i="9"/>
  <c r="J133" i="7"/>
  <c r="AB132" i="7"/>
  <c r="Y135" i="7"/>
  <c r="AS134" i="7"/>
  <c r="W133" i="7"/>
  <c r="AQ132" i="7"/>
  <c r="AR166" i="7"/>
  <c r="AN132" i="7"/>
  <c r="T133" i="7"/>
  <c r="H133" i="7"/>
  <c r="Z132" i="7"/>
  <c r="M133" i="7"/>
  <c r="AE132" i="7"/>
  <c r="V133" i="7"/>
  <c r="AP132" i="7"/>
  <c r="E103" i="11"/>
  <c r="C132" i="7"/>
  <c r="G102" i="16"/>
  <c r="AQ122" i="11"/>
  <c r="AN123" i="11"/>
  <c r="AO123" i="11"/>
  <c r="AM123" i="11"/>
  <c r="N113" i="19" s="1"/>
  <c r="Q113" i="19" s="1"/>
  <c r="AP123" i="11"/>
  <c r="B116" i="8" s="1"/>
  <c r="H231" i="6" l="1"/>
  <c r="R155" i="8"/>
  <c r="AH148" i="8"/>
  <c r="R148" i="8"/>
  <c r="G154" i="6"/>
  <c r="L33" i="6"/>
  <c r="Q33" i="6" s="1"/>
  <c r="X32" i="6" s="1"/>
  <c r="N17" i="23"/>
  <c r="I117" i="8"/>
  <c r="P111" i="3"/>
  <c r="Q111" i="3" s="1"/>
  <c r="AE202" i="11"/>
  <c r="AH112" i="3" s="1"/>
  <c r="AK112" i="3" s="1"/>
  <c r="BD123" i="11"/>
  <c r="I230" i="6"/>
  <c r="O230" i="6" s="1"/>
  <c r="S230" i="6" s="1"/>
  <c r="BD59" i="6" s="1"/>
  <c r="Z148" i="8"/>
  <c r="O153" i="6"/>
  <c r="S153" i="6" s="1"/>
  <c r="AR50" i="6" s="1"/>
  <c r="K149" i="8"/>
  <c r="AN123" i="16"/>
  <c r="AM123" i="16"/>
  <c r="D113" i="18" s="1"/>
  <c r="N113" i="18" s="1"/>
  <c r="BK122" i="16"/>
  <c r="K112" i="18" s="1"/>
  <c r="BI122" i="16"/>
  <c r="I112" i="18" s="1"/>
  <c r="AC149" i="8"/>
  <c r="AE149" i="8"/>
  <c r="AH155" i="8"/>
  <c r="P149" i="8"/>
  <c r="CB124" i="16"/>
  <c r="CD124" i="16"/>
  <c r="L118" i="18"/>
  <c r="V149" i="8"/>
  <c r="H114" i="9"/>
  <c r="BL122" i="11"/>
  <c r="AO106" i="19"/>
  <c r="AP106" i="19" s="1"/>
  <c r="BJ106" i="19" s="1"/>
  <c r="AN106" i="19"/>
  <c r="AO123" i="16"/>
  <c r="O149" i="8"/>
  <c r="M149" i="8"/>
  <c r="AB149" i="8"/>
  <c r="AQ122" i="16"/>
  <c r="T149" i="8"/>
  <c r="Y149" i="8"/>
  <c r="N149" i="8"/>
  <c r="L149" i="8"/>
  <c r="W149" i="8"/>
  <c r="P118" i="18"/>
  <c r="Q118" i="18" s="1"/>
  <c r="BF122" i="16"/>
  <c r="F112" i="18" s="1"/>
  <c r="BL128" i="16"/>
  <c r="AF149" i="8"/>
  <c r="AD149" i="8"/>
  <c r="AA149" i="8"/>
  <c r="X149" i="8"/>
  <c r="S149" i="8"/>
  <c r="U149" i="8"/>
  <c r="Q149" i="8"/>
  <c r="BD122" i="16"/>
  <c r="H212" i="9"/>
  <c r="U212" i="9" s="1"/>
  <c r="E159" i="6" s="1"/>
  <c r="G212" i="9"/>
  <c r="T212" i="9" s="1"/>
  <c r="D159" i="6" s="1"/>
  <c r="J212" i="9"/>
  <c r="W212" i="9" s="1"/>
  <c r="F159" i="6" s="1"/>
  <c r="BY123" i="16"/>
  <c r="BR55" i="6" s="1"/>
  <c r="BZ123" i="16"/>
  <c r="BS55" i="6" s="1"/>
  <c r="AL123" i="16"/>
  <c r="I150" i="8"/>
  <c r="Q150" i="8" s="1"/>
  <c r="H150" i="8"/>
  <c r="X150" i="8" s="1"/>
  <c r="G150" i="8"/>
  <c r="O150" i="8" s="1"/>
  <c r="D150" i="8"/>
  <c r="L150" i="8" s="1"/>
  <c r="F150" i="8"/>
  <c r="AD150" i="8" s="1"/>
  <c r="E150" i="8"/>
  <c r="U150" i="8" s="1"/>
  <c r="C150" i="8"/>
  <c r="AA150" i="8" s="1"/>
  <c r="BZ122" i="16"/>
  <c r="BS54" i="6" s="1"/>
  <c r="J178" i="9"/>
  <c r="H178" i="9"/>
  <c r="G178" i="9"/>
  <c r="J149" i="8"/>
  <c r="BE122" i="16"/>
  <c r="E112" i="18" s="1"/>
  <c r="BH122" i="16"/>
  <c r="H112" i="18" s="1"/>
  <c r="H117" i="8"/>
  <c r="J114" i="9"/>
  <c r="H108" i="9"/>
  <c r="F112" i="3"/>
  <c r="P112" i="3" s="1"/>
  <c r="Q112" i="3" s="1"/>
  <c r="D117" i="8"/>
  <c r="J116" i="8"/>
  <c r="C114" i="3"/>
  <c r="F117" i="8"/>
  <c r="C117" i="8"/>
  <c r="AJ207" i="11"/>
  <c r="N94" i="6"/>
  <c r="R94" i="6" s="1"/>
  <c r="AE59" i="6" s="1"/>
  <c r="BE123" i="11"/>
  <c r="BI123" i="11"/>
  <c r="BH123" i="11"/>
  <c r="BG123" i="11"/>
  <c r="G113" i="3" s="1"/>
  <c r="AF202" i="11"/>
  <c r="AG202" i="11"/>
  <c r="G148" i="9"/>
  <c r="T148" i="9" s="1"/>
  <c r="D95" i="6" s="1"/>
  <c r="M95" i="6" s="1"/>
  <c r="J148" i="9"/>
  <c r="W148" i="9" s="1"/>
  <c r="F95" i="6" s="1"/>
  <c r="H148" i="9"/>
  <c r="U148" i="9" s="1"/>
  <c r="E95" i="6" s="1"/>
  <c r="BF123" i="11"/>
  <c r="BK123" i="11"/>
  <c r="AI202" i="11"/>
  <c r="AJ201" i="11"/>
  <c r="R147" i="8"/>
  <c r="BC124" i="11"/>
  <c r="BJ124" i="11" s="1"/>
  <c r="N88" i="6"/>
  <c r="R88" i="6" s="1"/>
  <c r="AE53" i="6" s="1"/>
  <c r="N87" i="6"/>
  <c r="R87" i="6" s="1"/>
  <c r="AE52" i="6" s="1"/>
  <c r="G142" i="9"/>
  <c r="T142" i="9" s="1"/>
  <c r="D89" i="6" s="1"/>
  <c r="M89" i="6" s="1"/>
  <c r="J142" i="9"/>
  <c r="W142" i="9" s="1"/>
  <c r="F89" i="6" s="1"/>
  <c r="H142" i="9"/>
  <c r="U142" i="9" s="1"/>
  <c r="E89" i="6" s="1"/>
  <c r="B109" i="9"/>
  <c r="G109" i="9" s="1"/>
  <c r="B143" i="9"/>
  <c r="AC203" i="11"/>
  <c r="AG203" i="11" s="1"/>
  <c r="E117" i="8"/>
  <c r="AY92" i="3"/>
  <c r="AZ92" i="3" s="1"/>
  <c r="BK92" i="3" s="1"/>
  <c r="BL92" i="3" s="1"/>
  <c r="BN92" i="3" s="1"/>
  <c r="C69" i="6" s="1"/>
  <c r="L69" i="6" s="1"/>
  <c r="Q69" i="6" s="1"/>
  <c r="Q143" i="9"/>
  <c r="P143" i="9"/>
  <c r="S143" i="9"/>
  <c r="W204" i="11"/>
  <c r="BY124" i="11" s="1"/>
  <c r="BL56" i="6" s="1"/>
  <c r="AB204" i="11"/>
  <c r="X204" i="11"/>
  <c r="AA204" i="11"/>
  <c r="Z204" i="11"/>
  <c r="K144" i="9" s="1"/>
  <c r="Y204" i="11"/>
  <c r="AK111" i="3"/>
  <c r="BZ121" i="11"/>
  <c r="BM53" i="6" s="1"/>
  <c r="AD202" i="11"/>
  <c r="O196" i="6"/>
  <c r="S196" i="6" s="1"/>
  <c r="AX59" i="6" s="1"/>
  <c r="E111" i="18"/>
  <c r="BL121" i="16"/>
  <c r="AF124" i="16"/>
  <c r="AU124" i="16"/>
  <c r="AY124" i="16"/>
  <c r="AT124" i="16"/>
  <c r="AZ124" i="16"/>
  <c r="AV124" i="16"/>
  <c r="AR124" i="16"/>
  <c r="AW124" i="16"/>
  <c r="BB124" i="16"/>
  <c r="AS124" i="16"/>
  <c r="AX124" i="16"/>
  <c r="BA124" i="16"/>
  <c r="AG124" i="16"/>
  <c r="AK124" i="16" s="1"/>
  <c r="AN124" i="16" s="1"/>
  <c r="AH147" i="8"/>
  <c r="Z147" i="8"/>
  <c r="H120" i="6"/>
  <c r="H154" i="6"/>
  <c r="N155" i="6"/>
  <c r="I120" i="6"/>
  <c r="I154" i="6"/>
  <c r="M155" i="6"/>
  <c r="Q110" i="18"/>
  <c r="BC123" i="16"/>
  <c r="R154" i="6"/>
  <c r="AQ51" i="6" s="1"/>
  <c r="O59" i="6"/>
  <c r="S59" i="6" s="1"/>
  <c r="Z58" i="6" s="1"/>
  <c r="O52" i="6"/>
  <c r="S52" i="6" s="1"/>
  <c r="Z51" i="6" s="1"/>
  <c r="R117" i="19"/>
  <c r="O197" i="6"/>
  <c r="S197" i="6" s="1"/>
  <c r="AX60" i="6" s="1"/>
  <c r="G60" i="6"/>
  <c r="AO16" i="23" s="1"/>
  <c r="G94" i="6"/>
  <c r="AX92" i="3"/>
  <c r="AY93" i="3" s="1"/>
  <c r="AZ93" i="3" s="1"/>
  <c r="H60" i="6"/>
  <c r="AO19" i="23" s="1"/>
  <c r="H94" i="6"/>
  <c r="O93" i="6"/>
  <c r="S93" i="6" s="1"/>
  <c r="AF58" i="6" s="1"/>
  <c r="I60" i="6"/>
  <c r="AO22" i="23" s="1"/>
  <c r="I94" i="6"/>
  <c r="O86" i="6"/>
  <c r="S86" i="6" s="1"/>
  <c r="AF51" i="6" s="1"/>
  <c r="AL117" i="3"/>
  <c r="AM117" i="3"/>
  <c r="I54" i="6"/>
  <c r="AI22" i="23" s="1"/>
  <c r="I88" i="6"/>
  <c r="I53" i="6"/>
  <c r="AH22" i="23" s="1"/>
  <c r="I87" i="6"/>
  <c r="H54" i="6"/>
  <c r="AI19" i="23" s="1"/>
  <c r="H88" i="6"/>
  <c r="H53" i="6"/>
  <c r="AH19" i="23" s="1"/>
  <c r="H87" i="6"/>
  <c r="G53" i="6"/>
  <c r="AH16" i="23" s="1"/>
  <c r="G87" i="6"/>
  <c r="G54" i="6"/>
  <c r="AI16" i="23" s="1"/>
  <c r="G88" i="6"/>
  <c r="AO109" i="3"/>
  <c r="AP109" i="3" s="1"/>
  <c r="BJ109" i="3" s="1"/>
  <c r="AN109" i="3"/>
  <c r="O231" i="6"/>
  <c r="S231" i="6" s="1"/>
  <c r="BD60" i="6" s="1"/>
  <c r="H162" i="6"/>
  <c r="I162" i="6"/>
  <c r="G162" i="6"/>
  <c r="O128" i="6"/>
  <c r="S128" i="6" s="1"/>
  <c r="AL59" i="6" s="1"/>
  <c r="N157" i="6"/>
  <c r="R157" i="6" s="1"/>
  <c r="AQ54" i="6" s="1"/>
  <c r="H122" i="6"/>
  <c r="H156" i="6"/>
  <c r="BB104" i="18"/>
  <c r="BI104" i="18"/>
  <c r="G122" i="6"/>
  <c r="G156" i="6"/>
  <c r="I129" i="6"/>
  <c r="I163" i="6"/>
  <c r="G129" i="6"/>
  <c r="G163" i="6"/>
  <c r="H129" i="6"/>
  <c r="H163" i="6"/>
  <c r="I122" i="6"/>
  <c r="I156" i="6"/>
  <c r="AE203" i="11"/>
  <c r="AH203" i="11"/>
  <c r="AF203" i="11"/>
  <c r="AI203" i="11"/>
  <c r="BB104" i="3"/>
  <c r="BI104" i="3"/>
  <c r="AD32" i="6"/>
  <c r="BD91" i="3"/>
  <c r="BE91" i="3" s="1"/>
  <c r="BG91" i="3" s="1"/>
  <c r="C34" i="6" s="1"/>
  <c r="BK91" i="3"/>
  <c r="BL91" i="3" s="1"/>
  <c r="BN91" i="3" s="1"/>
  <c r="C68" i="6" s="1"/>
  <c r="L68" i="6" s="1"/>
  <c r="Q68" i="6" s="1"/>
  <c r="BD90" i="19"/>
  <c r="BK90" i="19"/>
  <c r="BD90" i="18"/>
  <c r="BK90" i="18"/>
  <c r="AV93" i="3"/>
  <c r="F105" i="11"/>
  <c r="D135" i="7" s="1"/>
  <c r="AD133" i="7"/>
  <c r="L134" i="7"/>
  <c r="S118" i="18"/>
  <c r="R118" i="18"/>
  <c r="S117" i="18"/>
  <c r="R117" i="18"/>
  <c r="AP124" i="11"/>
  <c r="B117" i="8" s="1"/>
  <c r="R118" i="19"/>
  <c r="S118" i="19"/>
  <c r="AM124" i="16"/>
  <c r="D114" i="18" s="1"/>
  <c r="AW91" i="18"/>
  <c r="AY91" i="18" s="1"/>
  <c r="AZ91" i="18" s="1"/>
  <c r="G104" i="11"/>
  <c r="AR94" i="3" s="1"/>
  <c r="AU94" i="3" s="1"/>
  <c r="AV94" i="3" s="1"/>
  <c r="M158" i="6"/>
  <c r="N158" i="6"/>
  <c r="T150" i="8"/>
  <c r="AX91" i="18"/>
  <c r="AR92" i="18"/>
  <c r="AU92" i="18" s="1"/>
  <c r="AV92" i="18" s="1"/>
  <c r="AU92" i="19"/>
  <c r="AW91" i="19"/>
  <c r="AY91" i="19" s="1"/>
  <c r="AZ91" i="19" s="1"/>
  <c r="AV91" i="19"/>
  <c r="AX91" i="19" s="1"/>
  <c r="S113" i="19"/>
  <c r="R113" i="19"/>
  <c r="R117" i="3"/>
  <c r="S117" i="3"/>
  <c r="Z115" i="8"/>
  <c r="AH115" i="8"/>
  <c r="R115" i="8"/>
  <c r="L118" i="3"/>
  <c r="P118" i="3"/>
  <c r="Q118" i="3" s="1"/>
  <c r="Q116" i="8"/>
  <c r="M116" i="8"/>
  <c r="AA116" i="8"/>
  <c r="O116" i="8"/>
  <c r="AB116" i="8"/>
  <c r="AF116" i="8"/>
  <c r="AG116" i="8"/>
  <c r="AE116" i="8"/>
  <c r="L116" i="8"/>
  <c r="N116" i="8"/>
  <c r="Y116" i="8"/>
  <c r="V116" i="8"/>
  <c r="AC116" i="8"/>
  <c r="P116" i="8"/>
  <c r="U116" i="8"/>
  <c r="W116" i="8"/>
  <c r="S116" i="8"/>
  <c r="X116" i="8"/>
  <c r="AD116" i="8"/>
  <c r="K116" i="8"/>
  <c r="T116" i="8"/>
  <c r="AC121" i="8"/>
  <c r="K121" i="8"/>
  <c r="M121" i="8"/>
  <c r="AA121" i="8"/>
  <c r="AG121" i="8"/>
  <c r="AE121" i="8"/>
  <c r="N121" i="8"/>
  <c r="T121" i="8"/>
  <c r="U121" i="8"/>
  <c r="V121" i="8"/>
  <c r="AF121" i="8"/>
  <c r="Q121" i="8"/>
  <c r="P121" i="8"/>
  <c r="X121" i="8"/>
  <c r="S121" i="8"/>
  <c r="AD121" i="8"/>
  <c r="AB121" i="8"/>
  <c r="O121" i="8"/>
  <c r="L121" i="8"/>
  <c r="Y121" i="8"/>
  <c r="W121" i="8"/>
  <c r="S110" i="18"/>
  <c r="R110" i="18"/>
  <c r="R110" i="3"/>
  <c r="S110" i="3"/>
  <c r="H113" i="3"/>
  <c r="K113" i="3"/>
  <c r="I113" i="3"/>
  <c r="R111" i="3"/>
  <c r="S111" i="3"/>
  <c r="U105" i="3"/>
  <c r="V105" i="3" s="1"/>
  <c r="T105" i="3"/>
  <c r="D113" i="3"/>
  <c r="N113" i="3" s="1"/>
  <c r="J114" i="3"/>
  <c r="F113" i="3"/>
  <c r="T105" i="18"/>
  <c r="U105" i="18"/>
  <c r="V105" i="18" s="1"/>
  <c r="E104" i="11"/>
  <c r="C133" i="7"/>
  <c r="M134" i="7"/>
  <c r="AE133" i="7"/>
  <c r="W134" i="7"/>
  <c r="AQ133" i="7"/>
  <c r="J134" i="7"/>
  <c r="AB133" i="7"/>
  <c r="AN133" i="7"/>
  <c r="T134" i="7"/>
  <c r="AR167" i="7"/>
  <c r="V134" i="7"/>
  <c r="AP133" i="7"/>
  <c r="H134" i="7"/>
  <c r="Z133" i="7"/>
  <c r="Y136" i="7"/>
  <c r="AS135" i="7"/>
  <c r="AN124" i="11"/>
  <c r="G103" i="16"/>
  <c r="BK124" i="11"/>
  <c r="BH124" i="11"/>
  <c r="BF124" i="11"/>
  <c r="BI124" i="11"/>
  <c r="AL124" i="11"/>
  <c r="AM124" i="11"/>
  <c r="N114" i="19" s="1"/>
  <c r="Q114" i="19" s="1"/>
  <c r="AO124" i="11"/>
  <c r="AQ123" i="11"/>
  <c r="BZ122" i="11" l="1"/>
  <c r="BM54" i="6" s="1"/>
  <c r="W150" i="8"/>
  <c r="L34" i="6"/>
  <c r="Q34" i="6" s="1"/>
  <c r="X33" i="6" s="1"/>
  <c r="O17" i="23"/>
  <c r="AD117" i="8"/>
  <c r="AX93" i="3"/>
  <c r="AQ123" i="16"/>
  <c r="P150" i="8"/>
  <c r="AC150" i="8"/>
  <c r="M150" i="8"/>
  <c r="AF150" i="8"/>
  <c r="AE150" i="8"/>
  <c r="L112" i="18"/>
  <c r="AH149" i="8"/>
  <c r="I123" i="6" s="1"/>
  <c r="R149" i="8"/>
  <c r="Z149" i="8"/>
  <c r="H157" i="6" s="1"/>
  <c r="K150" i="8"/>
  <c r="BL122" i="16"/>
  <c r="N150" i="8"/>
  <c r="N95" i="6"/>
  <c r="R95" i="6" s="1"/>
  <c r="AE60" i="6" s="1"/>
  <c r="AJ202" i="11"/>
  <c r="BL123" i="11"/>
  <c r="J117" i="8"/>
  <c r="O53" i="6"/>
  <c r="S53" i="6" s="1"/>
  <c r="Z52" i="6" s="1"/>
  <c r="N89" i="6"/>
  <c r="R89" i="6" s="1"/>
  <c r="AE54" i="6" s="1"/>
  <c r="E113" i="3"/>
  <c r="L113" i="3" s="1"/>
  <c r="AN107" i="19"/>
  <c r="AO107" i="19"/>
  <c r="AP107" i="19" s="1"/>
  <c r="BJ107" i="19" s="1"/>
  <c r="P112" i="18"/>
  <c r="Q112" i="18" s="1"/>
  <c r="R112" i="18" s="1"/>
  <c r="V150" i="8"/>
  <c r="Y150" i="8"/>
  <c r="AG150" i="8"/>
  <c r="AB150" i="8"/>
  <c r="AP124" i="16"/>
  <c r="B151" i="8" s="1"/>
  <c r="X151" i="8" s="1"/>
  <c r="S150" i="8"/>
  <c r="J150" i="8"/>
  <c r="BY124" i="16"/>
  <c r="BR56" i="6" s="1"/>
  <c r="BZ124" i="16"/>
  <c r="BS56" i="6" s="1"/>
  <c r="AL124" i="16"/>
  <c r="E151" i="8"/>
  <c r="F151" i="8"/>
  <c r="H151" i="8"/>
  <c r="I151" i="8"/>
  <c r="G151" i="8"/>
  <c r="D151" i="8"/>
  <c r="C151" i="8"/>
  <c r="L112" i="3"/>
  <c r="BD92" i="3"/>
  <c r="BE92" i="3" s="1"/>
  <c r="BG92" i="3" s="1"/>
  <c r="C35" i="6" s="1"/>
  <c r="BE124" i="11"/>
  <c r="E114" i="3" s="1"/>
  <c r="BD124" i="11"/>
  <c r="BG124" i="11"/>
  <c r="G114" i="3" s="1"/>
  <c r="G155" i="6"/>
  <c r="G121" i="6"/>
  <c r="O154" i="6"/>
  <c r="S154" i="6" s="1"/>
  <c r="AR51" i="6" s="1"/>
  <c r="O120" i="6"/>
  <c r="S120" i="6" s="1"/>
  <c r="AL51" i="6" s="1"/>
  <c r="AL112" i="3"/>
  <c r="AM112" i="3"/>
  <c r="J109" i="9"/>
  <c r="AD203" i="11"/>
  <c r="AH113" i="3"/>
  <c r="AK113" i="3" s="1"/>
  <c r="B110" i="9"/>
  <c r="G110" i="9" s="1"/>
  <c r="B144" i="9"/>
  <c r="BZ123" i="11"/>
  <c r="BM55" i="6" s="1"/>
  <c r="S144" i="9"/>
  <c r="P144" i="9"/>
  <c r="Q144" i="9"/>
  <c r="H109" i="9"/>
  <c r="AL111" i="3"/>
  <c r="AM111" i="3"/>
  <c r="AC204" i="11"/>
  <c r="AE204" i="11" s="1"/>
  <c r="G143" i="9"/>
  <c r="T143" i="9" s="1"/>
  <c r="D90" i="6" s="1"/>
  <c r="M90" i="6" s="1"/>
  <c r="J143" i="9"/>
  <c r="W143" i="9" s="1"/>
  <c r="F90" i="6" s="1"/>
  <c r="H143" i="9"/>
  <c r="U143" i="9" s="1"/>
  <c r="E90" i="6" s="1"/>
  <c r="R155" i="6"/>
  <c r="AQ52" i="6" s="1"/>
  <c r="AO124" i="16"/>
  <c r="H155" i="6"/>
  <c r="H121" i="6"/>
  <c r="BC124" i="16"/>
  <c r="P111" i="18"/>
  <c r="Q111" i="18" s="1"/>
  <c r="L111" i="18"/>
  <c r="BF123" i="16"/>
  <c r="F113" i="18" s="1"/>
  <c r="BH123" i="16"/>
  <c r="H113" i="18" s="1"/>
  <c r="BD123" i="16"/>
  <c r="BI123" i="16"/>
  <c r="I113" i="18" s="1"/>
  <c r="BE123" i="16"/>
  <c r="BG123" i="16"/>
  <c r="G113" i="18" s="1"/>
  <c r="BJ123" i="16"/>
  <c r="J113" i="18" s="1"/>
  <c r="I121" i="6"/>
  <c r="I155" i="6"/>
  <c r="BK123" i="16"/>
  <c r="K113" i="18" s="1"/>
  <c r="O117" i="8"/>
  <c r="V117" i="8"/>
  <c r="AF117" i="8"/>
  <c r="L117" i="8"/>
  <c r="O54" i="6"/>
  <c r="S54" i="6" s="1"/>
  <c r="Z53" i="6" s="1"/>
  <c r="O60" i="6"/>
  <c r="S60" i="6" s="1"/>
  <c r="Z59" i="6" s="1"/>
  <c r="M117" i="8"/>
  <c r="T117" i="8"/>
  <c r="Q117" i="8"/>
  <c r="P117" i="8"/>
  <c r="K117" i="8"/>
  <c r="AA117" i="8"/>
  <c r="X117" i="8"/>
  <c r="W117" i="8"/>
  <c r="AE117" i="8"/>
  <c r="AG117" i="8"/>
  <c r="AB117" i="8"/>
  <c r="O94" i="6"/>
  <c r="S94" i="6" s="1"/>
  <c r="AF59" i="6" s="1"/>
  <c r="Y117" i="8"/>
  <c r="U117" i="8"/>
  <c r="S117" i="8"/>
  <c r="N117" i="8"/>
  <c r="AC117" i="8"/>
  <c r="O87" i="6"/>
  <c r="S87" i="6" s="1"/>
  <c r="AF52" i="6" s="1"/>
  <c r="O88" i="6"/>
  <c r="S88" i="6" s="1"/>
  <c r="AF53" i="6" s="1"/>
  <c r="I55" i="6"/>
  <c r="AJ22" i="23" s="1"/>
  <c r="I89" i="6"/>
  <c r="G105" i="11"/>
  <c r="AR95" i="3" s="1"/>
  <c r="AU95" i="3" s="1"/>
  <c r="AW95" i="3" s="1"/>
  <c r="F106" i="11"/>
  <c r="D136" i="7" s="1"/>
  <c r="G55" i="6"/>
  <c r="AJ16" i="23" s="1"/>
  <c r="G89" i="6"/>
  <c r="H55" i="6"/>
  <c r="H89" i="6"/>
  <c r="AN110" i="3"/>
  <c r="AO110" i="3"/>
  <c r="AP110" i="3" s="1"/>
  <c r="BJ110" i="3" s="1"/>
  <c r="O162" i="6"/>
  <c r="S162" i="6" s="1"/>
  <c r="AR59" i="6" s="1"/>
  <c r="R158" i="6"/>
  <c r="AQ55" i="6" s="1"/>
  <c r="O129" i="6"/>
  <c r="S129" i="6" s="1"/>
  <c r="AL60" i="6" s="1"/>
  <c r="O163" i="6"/>
  <c r="S163" i="6" s="1"/>
  <c r="AR60" i="6" s="1"/>
  <c r="O122" i="6"/>
  <c r="S122" i="6" s="1"/>
  <c r="AL53" i="6" s="1"/>
  <c r="O156" i="6"/>
  <c r="S156" i="6" s="1"/>
  <c r="AR53" i="6" s="1"/>
  <c r="G123" i="6"/>
  <c r="G157" i="6"/>
  <c r="BI105" i="18"/>
  <c r="BB105" i="18"/>
  <c r="AJ203" i="11"/>
  <c r="BB105" i="3"/>
  <c r="BI105" i="3"/>
  <c r="BK91" i="19"/>
  <c r="BD91" i="19"/>
  <c r="AD34" i="6"/>
  <c r="BD93" i="3"/>
  <c r="BE93" i="3" s="1"/>
  <c r="BG93" i="3" s="1"/>
  <c r="C36" i="6" s="1"/>
  <c r="BK93" i="3"/>
  <c r="BL93" i="3" s="1"/>
  <c r="BN93" i="3" s="1"/>
  <c r="C70" i="6" s="1"/>
  <c r="L70" i="6" s="1"/>
  <c r="Q70" i="6" s="1"/>
  <c r="AD33" i="6"/>
  <c r="BD91" i="18"/>
  <c r="BK91" i="18"/>
  <c r="L135" i="7"/>
  <c r="AD134" i="7"/>
  <c r="AW94" i="3"/>
  <c r="AY94" i="3" s="1"/>
  <c r="AZ94" i="3" s="1"/>
  <c r="AX92" i="18"/>
  <c r="AX94" i="3"/>
  <c r="M159" i="6"/>
  <c r="N159" i="6"/>
  <c r="AW92" i="18"/>
  <c r="AY92" i="18" s="1"/>
  <c r="AZ92" i="18" s="1"/>
  <c r="S114" i="19"/>
  <c r="R114" i="19"/>
  <c r="AV92" i="19"/>
  <c r="AX92" i="19" s="1"/>
  <c r="AW92" i="19"/>
  <c r="AY92" i="19" s="1"/>
  <c r="AZ92" i="19" s="1"/>
  <c r="AR93" i="18"/>
  <c r="AU93" i="18" s="1"/>
  <c r="AV93" i="18" s="1"/>
  <c r="AU93" i="19"/>
  <c r="R121" i="8"/>
  <c r="AH116" i="8"/>
  <c r="R118" i="3"/>
  <c r="S118" i="3"/>
  <c r="AH121" i="8"/>
  <c r="Z116" i="8"/>
  <c r="Z121" i="8"/>
  <c r="R116" i="8"/>
  <c r="R112" i="3"/>
  <c r="S112" i="3"/>
  <c r="S112" i="18"/>
  <c r="T106" i="18"/>
  <c r="U106" i="18"/>
  <c r="V106" i="18" s="1"/>
  <c r="I114" i="3"/>
  <c r="H114" i="3"/>
  <c r="N114" i="18"/>
  <c r="D114" i="3"/>
  <c r="N114" i="3" s="1"/>
  <c r="K114" i="3"/>
  <c r="T106" i="3"/>
  <c r="U106" i="3"/>
  <c r="V106" i="3" s="1"/>
  <c r="F114" i="3"/>
  <c r="H135" i="7"/>
  <c r="Z134" i="7"/>
  <c r="J135" i="7"/>
  <c r="AB134" i="7"/>
  <c r="M135" i="7"/>
  <c r="AE134" i="7"/>
  <c r="AN134" i="7"/>
  <c r="T135" i="7"/>
  <c r="AR168" i="7"/>
  <c r="Y137" i="7"/>
  <c r="AS136" i="7"/>
  <c r="V135" i="7"/>
  <c r="AP134" i="7"/>
  <c r="W135" i="7"/>
  <c r="AQ134" i="7"/>
  <c r="E105" i="11"/>
  <c r="C134" i="7"/>
  <c r="G104" i="16"/>
  <c r="AQ124" i="11"/>
  <c r="H123" i="6" l="1"/>
  <c r="O55" i="6"/>
  <c r="S55" i="6" s="1"/>
  <c r="Z54" i="6" s="1"/>
  <c r="AJ19" i="23"/>
  <c r="L35" i="6"/>
  <c r="Q35" i="6" s="1"/>
  <c r="X34" i="6" s="1"/>
  <c r="P17" i="23"/>
  <c r="L36" i="6"/>
  <c r="Q36" i="6" s="1"/>
  <c r="X35" i="6" s="1"/>
  <c r="Q17" i="23"/>
  <c r="AH204" i="11"/>
  <c r="P113" i="3"/>
  <c r="Q113" i="3" s="1"/>
  <c r="N90" i="6"/>
  <c r="R90" i="6" s="1"/>
  <c r="AE55" i="6" s="1"/>
  <c r="AA151" i="8"/>
  <c r="AH150" i="8"/>
  <c r="I124" i="6" s="1"/>
  <c r="R150" i="8"/>
  <c r="K151" i="8"/>
  <c r="I157" i="6"/>
  <c r="AQ124" i="16"/>
  <c r="AC151" i="8"/>
  <c r="AF151" i="8"/>
  <c r="O151" i="8"/>
  <c r="P151" i="8"/>
  <c r="AB151" i="8"/>
  <c r="V151" i="8"/>
  <c r="S151" i="8"/>
  <c r="Y151" i="8"/>
  <c r="Z150" i="8"/>
  <c r="H158" i="6" s="1"/>
  <c r="L151" i="8"/>
  <c r="AD151" i="8"/>
  <c r="T151" i="8"/>
  <c r="AG151" i="8"/>
  <c r="AF204" i="11"/>
  <c r="AG204" i="11"/>
  <c r="AN108" i="19"/>
  <c r="AO108" i="19"/>
  <c r="AP108" i="19" s="1"/>
  <c r="BJ108" i="19" s="1"/>
  <c r="AE151" i="8"/>
  <c r="U151" i="8"/>
  <c r="Q151" i="8"/>
  <c r="W151" i="8"/>
  <c r="N151" i="8"/>
  <c r="M151" i="8"/>
  <c r="J151" i="8"/>
  <c r="J110" i="9"/>
  <c r="BL124" i="11"/>
  <c r="H110" i="9"/>
  <c r="G106" i="11"/>
  <c r="AR96" i="3" s="1"/>
  <c r="AU96" i="3" s="1"/>
  <c r="AW96" i="3" s="1"/>
  <c r="F107" i="11"/>
  <c r="D137" i="7" s="1"/>
  <c r="R117" i="8"/>
  <c r="G91" i="6" s="1"/>
  <c r="O155" i="6"/>
  <c r="S155" i="6" s="1"/>
  <c r="AR52" i="6" s="1"/>
  <c r="AM113" i="3"/>
  <c r="AL113" i="3"/>
  <c r="G144" i="9"/>
  <c r="T144" i="9" s="1"/>
  <c r="D91" i="6" s="1"/>
  <c r="M91" i="6" s="1"/>
  <c r="J144" i="9"/>
  <c r="W144" i="9" s="1"/>
  <c r="F91" i="6" s="1"/>
  <c r="H144" i="9"/>
  <c r="U144" i="9" s="1"/>
  <c r="E91" i="6" s="1"/>
  <c r="AD204" i="11"/>
  <c r="AH114" i="3"/>
  <c r="AK114" i="3" s="1"/>
  <c r="AI204" i="11"/>
  <c r="BZ124" i="11"/>
  <c r="BM56" i="6" s="1"/>
  <c r="R111" i="18"/>
  <c r="S111" i="18"/>
  <c r="BF124" i="16"/>
  <c r="F114" i="18" s="1"/>
  <c r="BE124" i="16"/>
  <c r="BG124" i="16"/>
  <c r="G114" i="18" s="1"/>
  <c r="BI124" i="16"/>
  <c r="I114" i="18" s="1"/>
  <c r="BD124" i="16"/>
  <c r="BJ124" i="16"/>
  <c r="J114" i="18" s="1"/>
  <c r="BH124" i="16"/>
  <c r="H114" i="18" s="1"/>
  <c r="E113" i="18"/>
  <c r="BL123" i="16"/>
  <c r="O121" i="6"/>
  <c r="S121" i="6" s="1"/>
  <c r="AL52" i="6" s="1"/>
  <c r="BK124" i="16"/>
  <c r="K114" i="18" s="1"/>
  <c r="AH117" i="8"/>
  <c r="I91" i="6" s="1"/>
  <c r="Z117" i="8"/>
  <c r="H57" i="6" s="1"/>
  <c r="AL19" i="23" s="1"/>
  <c r="H61" i="6"/>
  <c r="AP19" i="23" s="1"/>
  <c r="H95" i="6"/>
  <c r="AV95" i="3"/>
  <c r="AX95" i="3" s="1"/>
  <c r="I61" i="6"/>
  <c r="AP22" i="23" s="1"/>
  <c r="I95" i="6"/>
  <c r="G61" i="6"/>
  <c r="AP16" i="23" s="1"/>
  <c r="G95" i="6"/>
  <c r="H56" i="6"/>
  <c r="AK19" i="23" s="1"/>
  <c r="H90" i="6"/>
  <c r="AO111" i="3"/>
  <c r="AP111" i="3" s="1"/>
  <c r="BJ111" i="3" s="1"/>
  <c r="AN111" i="3"/>
  <c r="G56" i="6"/>
  <c r="AK16" i="23" s="1"/>
  <c r="G90" i="6"/>
  <c r="I56" i="6"/>
  <c r="AK22" i="23" s="1"/>
  <c r="I90" i="6"/>
  <c r="O89" i="6"/>
  <c r="S89" i="6" s="1"/>
  <c r="AF54" i="6" s="1"/>
  <c r="O123" i="6"/>
  <c r="S123" i="6" s="1"/>
  <c r="AL54" i="6" s="1"/>
  <c r="I158" i="6"/>
  <c r="BI106" i="18"/>
  <c r="BB106" i="18"/>
  <c r="R159" i="6"/>
  <c r="AQ56" i="6" s="1"/>
  <c r="O157" i="6"/>
  <c r="S157" i="6" s="1"/>
  <c r="AR54" i="6" s="1"/>
  <c r="G124" i="6"/>
  <c r="G158" i="6"/>
  <c r="BB106" i="3"/>
  <c r="BI106" i="3"/>
  <c r="BD92" i="19"/>
  <c r="BK92" i="19"/>
  <c r="BK92" i="18"/>
  <c r="BD92" i="18"/>
  <c r="BD94" i="3"/>
  <c r="BE94" i="3" s="1"/>
  <c r="BG94" i="3" s="1"/>
  <c r="C37" i="6" s="1"/>
  <c r="BK94" i="3"/>
  <c r="BL94" i="3" s="1"/>
  <c r="BN94" i="3" s="1"/>
  <c r="C71" i="6" s="1"/>
  <c r="L71" i="6" s="1"/>
  <c r="Q71" i="6" s="1"/>
  <c r="AD35" i="6"/>
  <c r="AX93" i="18"/>
  <c r="L136" i="7"/>
  <c r="AD135" i="7"/>
  <c r="AY95" i="3"/>
  <c r="AZ95" i="3" s="1"/>
  <c r="AW93" i="18"/>
  <c r="AY93" i="18" s="1"/>
  <c r="AZ93" i="18" s="1"/>
  <c r="AW93" i="19"/>
  <c r="AY93" i="19" s="1"/>
  <c r="AZ93" i="19" s="1"/>
  <c r="AV93" i="19"/>
  <c r="AX93" i="19" s="1"/>
  <c r="AR94" i="18"/>
  <c r="AU94" i="18" s="1"/>
  <c r="AV94" i="18" s="1"/>
  <c r="AU94" i="19"/>
  <c r="S113" i="3"/>
  <c r="R113" i="3"/>
  <c r="T107" i="18"/>
  <c r="U107" i="18"/>
  <c r="V107" i="18" s="1"/>
  <c r="T107" i="3"/>
  <c r="U107" i="3"/>
  <c r="V107" i="3" s="1"/>
  <c r="L114" i="3"/>
  <c r="P114" i="3"/>
  <c r="Q114" i="3" s="1"/>
  <c r="E106" i="11"/>
  <c r="C135" i="7"/>
  <c r="V136" i="7"/>
  <c r="AP135" i="7"/>
  <c r="M136" i="7"/>
  <c r="AE135" i="7"/>
  <c r="H136" i="7"/>
  <c r="Z135" i="7"/>
  <c r="AN135" i="7"/>
  <c r="T136" i="7"/>
  <c r="AR169" i="7"/>
  <c r="W136" i="7"/>
  <c r="AQ135" i="7"/>
  <c r="Y138" i="7"/>
  <c r="AS137" i="7"/>
  <c r="J136" i="7"/>
  <c r="AB135" i="7"/>
  <c r="G105" i="16"/>
  <c r="I57" i="6" l="1"/>
  <c r="AL22" i="23" s="1"/>
  <c r="L37" i="6"/>
  <c r="Q37" i="6" s="1"/>
  <c r="X36" i="6" s="1"/>
  <c r="R17" i="23"/>
  <c r="O56" i="6"/>
  <c r="S56" i="6" s="1"/>
  <c r="Z55" i="6" s="1"/>
  <c r="AJ204" i="11"/>
  <c r="Z151" i="8"/>
  <c r="AH151" i="8"/>
  <c r="R151" i="8"/>
  <c r="G125" i="6" s="1"/>
  <c r="H124" i="6"/>
  <c r="O124" i="6" s="1"/>
  <c r="S124" i="6" s="1"/>
  <c r="AL55" i="6" s="1"/>
  <c r="G107" i="11"/>
  <c r="AR97" i="3" s="1"/>
  <c r="AU97" i="3" s="1"/>
  <c r="AW97" i="3" s="1"/>
  <c r="F108" i="11"/>
  <c r="D138" i="7" s="1"/>
  <c r="G57" i="6"/>
  <c r="AN109" i="19"/>
  <c r="AO109" i="19"/>
  <c r="AP109" i="19" s="1"/>
  <c r="BJ109" i="19" s="1"/>
  <c r="AV96" i="3"/>
  <c r="AX96" i="3" s="1"/>
  <c r="H91" i="6"/>
  <c r="O91" i="6" s="1"/>
  <c r="S91" i="6" s="1"/>
  <c r="AF56" i="6" s="1"/>
  <c r="N91" i="6"/>
  <c r="AL114" i="3"/>
  <c r="AM114" i="3"/>
  <c r="R91" i="6"/>
  <c r="AE56" i="6" s="1"/>
  <c r="E114" i="18"/>
  <c r="BL124" i="16"/>
  <c r="P113" i="18"/>
  <c r="Q113" i="18" s="1"/>
  <c r="L113" i="18"/>
  <c r="O95" i="6"/>
  <c r="S95" i="6" s="1"/>
  <c r="AF60" i="6" s="1"/>
  <c r="O61" i="6"/>
  <c r="S61" i="6" s="1"/>
  <c r="Z60" i="6" s="1"/>
  <c r="AY96" i="3"/>
  <c r="AZ96" i="3" s="1"/>
  <c r="BK96" i="3" s="1"/>
  <c r="BL96" i="3" s="1"/>
  <c r="BN96" i="3" s="1"/>
  <c r="C73" i="6" s="1"/>
  <c r="L73" i="6" s="1"/>
  <c r="Q73" i="6" s="1"/>
  <c r="AD38" i="6" s="1"/>
  <c r="O90" i="6"/>
  <c r="S90" i="6" s="1"/>
  <c r="AF55" i="6" s="1"/>
  <c r="AO112" i="3"/>
  <c r="AP112" i="3" s="1"/>
  <c r="BJ112" i="3" s="1"/>
  <c r="AN112" i="3"/>
  <c r="I125" i="6"/>
  <c r="I159" i="6"/>
  <c r="H125" i="6"/>
  <c r="H159" i="6"/>
  <c r="O158" i="6"/>
  <c r="S158" i="6" s="1"/>
  <c r="AR55" i="6" s="1"/>
  <c r="BI107" i="18"/>
  <c r="BB107" i="18"/>
  <c r="BB107" i="3"/>
  <c r="BI107" i="3"/>
  <c r="BD93" i="18"/>
  <c r="BK93" i="18"/>
  <c r="AD36" i="6"/>
  <c r="AX94" i="18"/>
  <c r="BK93" i="19"/>
  <c r="BD93" i="19"/>
  <c r="BD95" i="3"/>
  <c r="BE95" i="3" s="1"/>
  <c r="BG95" i="3" s="1"/>
  <c r="C38" i="6" s="1"/>
  <c r="BK95" i="3"/>
  <c r="BL95" i="3" s="1"/>
  <c r="BN95" i="3" s="1"/>
  <c r="C72" i="6" s="1"/>
  <c r="L72" i="6" s="1"/>
  <c r="Q72" i="6" s="1"/>
  <c r="L137" i="7"/>
  <c r="AD136" i="7"/>
  <c r="AW94" i="19"/>
  <c r="AY94" i="19" s="1"/>
  <c r="AZ94" i="19" s="1"/>
  <c r="AV94" i="19"/>
  <c r="AX94" i="19" s="1"/>
  <c r="AR95" i="18"/>
  <c r="AU95" i="18" s="1"/>
  <c r="AV95" i="18" s="1"/>
  <c r="AU95" i="19"/>
  <c r="AW94" i="18"/>
  <c r="AY94" i="18" s="1"/>
  <c r="AZ94" i="18" s="1"/>
  <c r="R114" i="3"/>
  <c r="S114" i="3"/>
  <c r="U108" i="3"/>
  <c r="V108" i="3" s="1"/>
  <c r="T108" i="3"/>
  <c r="U108" i="18"/>
  <c r="V108" i="18" s="1"/>
  <c r="T108" i="18"/>
  <c r="AR170" i="7"/>
  <c r="AR171" i="7"/>
  <c r="Y139" i="7"/>
  <c r="AS138" i="7"/>
  <c r="H137" i="7"/>
  <c r="Z136" i="7"/>
  <c r="V137" i="7"/>
  <c r="AP136" i="7"/>
  <c r="AN136" i="7"/>
  <c r="T137" i="7"/>
  <c r="J137" i="7"/>
  <c r="AB136" i="7"/>
  <c r="W137" i="7"/>
  <c r="AQ136" i="7"/>
  <c r="M137" i="7"/>
  <c r="AE136" i="7"/>
  <c r="E107" i="11"/>
  <c r="C136" i="7"/>
  <c r="G106" i="16"/>
  <c r="F109" i="11"/>
  <c r="D139" i="7" s="1"/>
  <c r="G108" i="11"/>
  <c r="AR98" i="3" s="1"/>
  <c r="AU98" i="3" s="1"/>
  <c r="O57" i="6" l="1"/>
  <c r="S57" i="6" s="1"/>
  <c r="Z56" i="6" s="1"/>
  <c r="AL16" i="23"/>
  <c r="AV97" i="3"/>
  <c r="G159" i="6"/>
  <c r="L38" i="6"/>
  <c r="Q38" i="6" s="1"/>
  <c r="X37" i="6" s="1"/>
  <c r="S17" i="23"/>
  <c r="AO110" i="19"/>
  <c r="AP110" i="19" s="1"/>
  <c r="BJ110" i="19" s="1"/>
  <c r="AN110" i="19"/>
  <c r="S113" i="18"/>
  <c r="R113" i="18"/>
  <c r="L114" i="18"/>
  <c r="P114" i="18"/>
  <c r="Q114" i="18" s="1"/>
  <c r="BD96" i="3"/>
  <c r="BE96" i="3" s="1"/>
  <c r="BG96" i="3" s="1"/>
  <c r="C39" i="6" s="1"/>
  <c r="AO113" i="3"/>
  <c r="AP113" i="3" s="1"/>
  <c r="BJ113" i="3" s="1"/>
  <c r="AN113" i="3"/>
  <c r="O125" i="6"/>
  <c r="S125" i="6" s="1"/>
  <c r="AL56" i="6" s="1"/>
  <c r="BI108" i="18"/>
  <c r="BB108" i="18"/>
  <c r="O159" i="6"/>
  <c r="S159" i="6" s="1"/>
  <c r="AR56" i="6" s="1"/>
  <c r="BB108" i="3"/>
  <c r="BI108" i="3"/>
  <c r="BK94" i="19"/>
  <c r="BD94" i="19"/>
  <c r="AD37" i="6"/>
  <c r="BD94" i="18"/>
  <c r="BK94" i="18"/>
  <c r="AX95" i="18"/>
  <c r="AY97" i="3"/>
  <c r="AZ97" i="3" s="1"/>
  <c r="L138" i="7"/>
  <c r="AD137" i="7"/>
  <c r="AX97" i="3"/>
  <c r="AW95" i="18"/>
  <c r="AY95" i="18" s="1"/>
  <c r="AZ95" i="18" s="1"/>
  <c r="AW98" i="3"/>
  <c r="AV98" i="3"/>
  <c r="AV95" i="19"/>
  <c r="AX95" i="19" s="1"/>
  <c r="AW95" i="19"/>
  <c r="AY95" i="19" s="1"/>
  <c r="AZ95" i="19" s="1"/>
  <c r="AR96" i="18"/>
  <c r="AU96" i="18" s="1"/>
  <c r="AV96" i="18" s="1"/>
  <c r="AU96" i="19"/>
  <c r="T109" i="3"/>
  <c r="U109" i="3"/>
  <c r="V109" i="3" s="1"/>
  <c r="T109" i="18"/>
  <c r="U109" i="18"/>
  <c r="V109" i="18" s="1"/>
  <c r="AN137" i="7"/>
  <c r="T138" i="7"/>
  <c r="E108" i="11"/>
  <c r="C137" i="7"/>
  <c r="W138" i="7"/>
  <c r="AQ137" i="7"/>
  <c r="H138" i="7"/>
  <c r="Z137" i="7"/>
  <c r="M138" i="7"/>
  <c r="AE137" i="7"/>
  <c r="J138" i="7"/>
  <c r="AB137" i="7"/>
  <c r="V138" i="7"/>
  <c r="AP137" i="7"/>
  <c r="Y140" i="7"/>
  <c r="AS139" i="7"/>
  <c r="G107" i="16"/>
  <c r="F110" i="11"/>
  <c r="D140" i="7" s="1"/>
  <c r="G109" i="11"/>
  <c r="AR99" i="3" s="1"/>
  <c r="AU99" i="3" s="1"/>
  <c r="L39" i="6" l="1"/>
  <c r="Q39" i="6" s="1"/>
  <c r="X38" i="6" s="1"/>
  <c r="T17" i="23"/>
  <c r="AN111" i="19"/>
  <c r="AO111" i="19"/>
  <c r="AP111" i="19" s="1"/>
  <c r="BJ111" i="19" s="1"/>
  <c r="AX96" i="18"/>
  <c r="S114" i="18"/>
  <c r="R114" i="18"/>
  <c r="AO114" i="3"/>
  <c r="AP114" i="3" s="1"/>
  <c r="BJ114" i="3" s="1"/>
  <c r="AN114" i="3"/>
  <c r="BB109" i="18"/>
  <c r="BI109" i="18"/>
  <c r="BB109" i="3"/>
  <c r="BI109" i="3"/>
  <c r="BD97" i="3"/>
  <c r="BK97" i="3"/>
  <c r="BL97" i="3" s="1"/>
  <c r="BN97" i="3" s="1"/>
  <c r="C74" i="6" s="1"/>
  <c r="L74" i="6" s="1"/>
  <c r="Q74" i="6" s="1"/>
  <c r="BK95" i="19"/>
  <c r="BD95" i="19"/>
  <c r="BK95" i="18"/>
  <c r="BD95" i="18"/>
  <c r="AX98" i="3"/>
  <c r="AY98" i="3"/>
  <c r="AZ98" i="3" s="1"/>
  <c r="AD138" i="7"/>
  <c r="L139" i="7"/>
  <c r="AW99" i="3"/>
  <c r="AV99" i="3"/>
  <c r="AR97" i="18"/>
  <c r="AU97" i="18" s="1"/>
  <c r="AV97" i="18" s="1"/>
  <c r="AU97" i="19"/>
  <c r="AW96" i="18"/>
  <c r="AY96" i="18" s="1"/>
  <c r="AZ96" i="18" s="1"/>
  <c r="AW96" i="19"/>
  <c r="AY96" i="19" s="1"/>
  <c r="AZ96" i="19" s="1"/>
  <c r="AV96" i="19"/>
  <c r="AX96" i="19" s="1"/>
  <c r="U110" i="3"/>
  <c r="V110" i="3" s="1"/>
  <c r="T110" i="3"/>
  <c r="T110" i="18"/>
  <c r="U110" i="18"/>
  <c r="V110" i="18" s="1"/>
  <c r="V139" i="7"/>
  <c r="AP138" i="7"/>
  <c r="H139" i="7"/>
  <c r="Z138" i="7"/>
  <c r="AN138" i="7"/>
  <c r="T139" i="7"/>
  <c r="M139" i="7"/>
  <c r="AE138" i="7"/>
  <c r="E109" i="11"/>
  <c r="C138" i="7"/>
  <c r="Y141" i="7"/>
  <c r="AS140" i="7"/>
  <c r="J139" i="7"/>
  <c r="AB138" i="7"/>
  <c r="W139" i="7"/>
  <c r="AQ138" i="7"/>
  <c r="G108" i="16"/>
  <c r="AR98" i="18" s="1"/>
  <c r="AU98" i="18" s="1"/>
  <c r="F111" i="11"/>
  <c r="D141" i="7" s="1"/>
  <c r="G110" i="11"/>
  <c r="AR100" i="3" s="1"/>
  <c r="AU100" i="3" s="1"/>
  <c r="AO112" i="19" l="1"/>
  <c r="AP112" i="19" s="1"/>
  <c r="BJ112" i="19" s="1"/>
  <c r="AN112" i="19"/>
  <c r="AX97" i="18"/>
  <c r="AN115" i="3"/>
  <c r="AO115" i="3"/>
  <c r="AP115" i="3" s="1"/>
  <c r="BJ115" i="3" s="1"/>
  <c r="BI110" i="18"/>
  <c r="BB110" i="18"/>
  <c r="BB110" i="3"/>
  <c r="BI110" i="3"/>
  <c r="BD96" i="18"/>
  <c r="BK96" i="18"/>
  <c r="BD98" i="3"/>
  <c r="BK98" i="3"/>
  <c r="BL98" i="3" s="1"/>
  <c r="BN98" i="3" s="1"/>
  <c r="C75" i="6" s="1"/>
  <c r="L75" i="6" s="1"/>
  <c r="Q75" i="6" s="1"/>
  <c r="AD39" i="6"/>
  <c r="BD96" i="19"/>
  <c r="BK96" i="19"/>
  <c r="AY99" i="3"/>
  <c r="AZ99" i="3" s="1"/>
  <c r="BK99" i="3" s="1"/>
  <c r="BL99" i="3" s="1"/>
  <c r="BN99" i="3" s="1"/>
  <c r="C76" i="6" s="1"/>
  <c r="L76" i="6" s="1"/>
  <c r="Q76" i="6" s="1"/>
  <c r="AX99" i="3"/>
  <c r="L140" i="7"/>
  <c r="AD139" i="7"/>
  <c r="AW97" i="18"/>
  <c r="AY97" i="18" s="1"/>
  <c r="AZ97" i="18" s="1"/>
  <c r="AV100" i="3"/>
  <c r="AX100" i="3" s="1"/>
  <c r="AW100" i="3"/>
  <c r="AW97" i="19"/>
  <c r="AY97" i="19" s="1"/>
  <c r="AZ97" i="19" s="1"/>
  <c r="AV97" i="19"/>
  <c r="AX97" i="19" s="1"/>
  <c r="AW98" i="18"/>
  <c r="AV98" i="18"/>
  <c r="AX98" i="18" s="1"/>
  <c r="U111" i="18"/>
  <c r="V111" i="18" s="1"/>
  <c r="T111" i="18"/>
  <c r="T111" i="3"/>
  <c r="U111" i="3"/>
  <c r="V111" i="3" s="1"/>
  <c r="Y142" i="7"/>
  <c r="AS141" i="7"/>
  <c r="H140" i="7"/>
  <c r="Z139" i="7"/>
  <c r="AN139" i="7"/>
  <c r="T140" i="7"/>
  <c r="M140" i="7"/>
  <c r="AE139" i="7"/>
  <c r="W140" i="7"/>
  <c r="AQ139" i="7"/>
  <c r="J140" i="7"/>
  <c r="AB139" i="7"/>
  <c r="E110" i="11"/>
  <c r="C139" i="7"/>
  <c r="V140" i="7"/>
  <c r="AP139" i="7"/>
  <c r="G109" i="16"/>
  <c r="AR99" i="18" s="1"/>
  <c r="AU99" i="18" s="1"/>
  <c r="F112" i="11"/>
  <c r="D142" i="7" s="1"/>
  <c r="G111" i="11"/>
  <c r="AR101" i="3" s="1"/>
  <c r="AU101" i="3" s="1"/>
  <c r="AN113" i="19" l="1"/>
  <c r="AO113" i="19"/>
  <c r="AP113" i="19" s="1"/>
  <c r="BJ113" i="19" s="1"/>
  <c r="AY98" i="18"/>
  <c r="AZ98" i="18" s="1"/>
  <c r="BD98" i="18" s="1"/>
  <c r="BD99" i="3"/>
  <c r="AN116" i="3"/>
  <c r="AO116" i="3"/>
  <c r="AP116" i="3" s="1"/>
  <c r="BJ116" i="3" s="1"/>
  <c r="BB111" i="18"/>
  <c r="BI111" i="18"/>
  <c r="BB111" i="3"/>
  <c r="BI111" i="3"/>
  <c r="AD40" i="6"/>
  <c r="BK98" i="18"/>
  <c r="BK97" i="19"/>
  <c r="BD97" i="19"/>
  <c r="BK97" i="18"/>
  <c r="BD97" i="18"/>
  <c r="AD41" i="6"/>
  <c r="AY100" i="3"/>
  <c r="AZ100" i="3" s="1"/>
  <c r="L141" i="7"/>
  <c r="AD140" i="7"/>
  <c r="AV101" i="3"/>
  <c r="AX101" i="3" s="1"/>
  <c r="AW101" i="3"/>
  <c r="AY101" i="3" s="1"/>
  <c r="AZ101" i="3" s="1"/>
  <c r="BK101" i="3" s="1"/>
  <c r="BL101" i="3" s="1"/>
  <c r="BN101" i="3" s="1"/>
  <c r="C78" i="6" s="1"/>
  <c r="L78" i="6" s="1"/>
  <c r="Q78" i="6" s="1"/>
  <c r="AX98" i="19"/>
  <c r="AY98" i="19"/>
  <c r="AZ98" i="19" s="1"/>
  <c r="AW99" i="18"/>
  <c r="AY99" i="18" s="1"/>
  <c r="AZ99" i="18" s="1"/>
  <c r="AV99" i="18"/>
  <c r="AX99" i="18" s="1"/>
  <c r="U112" i="18"/>
  <c r="V112" i="18" s="1"/>
  <c r="T112" i="18"/>
  <c r="U112" i="3"/>
  <c r="V112" i="3" s="1"/>
  <c r="T112" i="3"/>
  <c r="E111" i="11"/>
  <c r="C140" i="7"/>
  <c r="H141" i="7"/>
  <c r="Z140" i="7"/>
  <c r="AN140" i="7"/>
  <c r="T141" i="7"/>
  <c r="W141" i="7"/>
  <c r="AQ140" i="7"/>
  <c r="V141" i="7"/>
  <c r="AP140" i="7"/>
  <c r="J141" i="7"/>
  <c r="AB140" i="7"/>
  <c r="M141" i="7"/>
  <c r="AE140" i="7"/>
  <c r="Y143" i="7"/>
  <c r="AS142" i="7"/>
  <c r="G110" i="16"/>
  <c r="AR100" i="18" s="1"/>
  <c r="AU100" i="18" s="1"/>
  <c r="F113" i="11"/>
  <c r="D143" i="7" s="1"/>
  <c r="G112" i="11"/>
  <c r="AR102" i="3" s="1"/>
  <c r="AU102" i="3" s="1"/>
  <c r="AN114" i="19" l="1"/>
  <c r="AO114" i="19"/>
  <c r="AP114" i="19" s="1"/>
  <c r="BJ114" i="19" s="1"/>
  <c r="AN117" i="3"/>
  <c r="AO117" i="3"/>
  <c r="AP117" i="3" s="1"/>
  <c r="BJ117" i="3" s="1"/>
  <c r="BI112" i="18"/>
  <c r="BB112" i="18"/>
  <c r="BB112" i="3"/>
  <c r="BI112" i="3"/>
  <c r="BD99" i="18"/>
  <c r="BK99" i="18"/>
  <c r="AD43" i="6"/>
  <c r="BD100" i="3"/>
  <c r="BK100" i="3"/>
  <c r="BL100" i="3" s="1"/>
  <c r="BN100" i="3" s="1"/>
  <c r="C77" i="6" s="1"/>
  <c r="L77" i="6" s="1"/>
  <c r="Q77" i="6" s="1"/>
  <c r="BD98" i="19"/>
  <c r="BK98" i="19"/>
  <c r="AD141" i="7"/>
  <c r="L142" i="7"/>
  <c r="BD101" i="3"/>
  <c r="AV102" i="3"/>
  <c r="AX102" i="3" s="1"/>
  <c r="AW102" i="3"/>
  <c r="AY102" i="3" s="1"/>
  <c r="AZ102" i="3" s="1"/>
  <c r="BK102" i="3" s="1"/>
  <c r="BL102" i="3" s="1"/>
  <c r="BN102" i="3" s="1"/>
  <c r="C79" i="6" s="1"/>
  <c r="L79" i="6" s="1"/>
  <c r="Q79" i="6" s="1"/>
  <c r="AY99" i="19"/>
  <c r="AZ99" i="19" s="1"/>
  <c r="AX99" i="19"/>
  <c r="AW100" i="18"/>
  <c r="AY100" i="18" s="1"/>
  <c r="AZ100" i="18" s="1"/>
  <c r="AV100" i="18"/>
  <c r="AX100" i="18" s="1"/>
  <c r="U113" i="3"/>
  <c r="V113" i="3" s="1"/>
  <c r="T113" i="3"/>
  <c r="T113" i="18"/>
  <c r="U113" i="18"/>
  <c r="V113" i="18" s="1"/>
  <c r="V142" i="7"/>
  <c r="AP141" i="7"/>
  <c r="AN141" i="7"/>
  <c r="T142" i="7"/>
  <c r="M142" i="7"/>
  <c r="AE141" i="7"/>
  <c r="Y144" i="7"/>
  <c r="AS143" i="7"/>
  <c r="J142" i="7"/>
  <c r="AB141" i="7"/>
  <c r="W142" i="7"/>
  <c r="AQ141" i="7"/>
  <c r="H142" i="7"/>
  <c r="Z141" i="7"/>
  <c r="E112" i="11"/>
  <c r="C141" i="7"/>
  <c r="G111" i="16"/>
  <c r="AR101" i="18" s="1"/>
  <c r="AU101" i="18" s="1"/>
  <c r="F114" i="11"/>
  <c r="D144" i="7" s="1"/>
  <c r="G113" i="11"/>
  <c r="AR103" i="3" s="1"/>
  <c r="AU103" i="3" s="1"/>
  <c r="AO115" i="19" l="1"/>
  <c r="AP115" i="19" s="1"/>
  <c r="BJ115" i="19" s="1"/>
  <c r="AN115" i="19"/>
  <c r="AO118" i="3"/>
  <c r="AP118" i="3" s="1"/>
  <c r="BJ118" i="3" s="1"/>
  <c r="AN118" i="3"/>
  <c r="BB113" i="18"/>
  <c r="BI113" i="18"/>
  <c r="BB113" i="3"/>
  <c r="BI113" i="3"/>
  <c r="AD44" i="6"/>
  <c r="AD42" i="6"/>
  <c r="BD99" i="19"/>
  <c r="BK99" i="19"/>
  <c r="BK100" i="18"/>
  <c r="BD100" i="18"/>
  <c r="L143" i="7"/>
  <c r="AD142" i="7"/>
  <c r="AV103" i="3"/>
  <c r="AX103" i="3" s="1"/>
  <c r="AW103" i="3"/>
  <c r="AY103" i="3" s="1"/>
  <c r="AZ103" i="3" s="1"/>
  <c r="BK103" i="3" s="1"/>
  <c r="BL103" i="3" s="1"/>
  <c r="BN103" i="3" s="1"/>
  <c r="C80" i="6" s="1"/>
  <c r="L80" i="6" s="1"/>
  <c r="Q80" i="6" s="1"/>
  <c r="BD102" i="3"/>
  <c r="AY100" i="19"/>
  <c r="AZ100" i="19" s="1"/>
  <c r="AX100" i="19"/>
  <c r="AW101" i="18"/>
  <c r="AY101" i="18" s="1"/>
  <c r="AZ101" i="18" s="1"/>
  <c r="AV101" i="18"/>
  <c r="AX101" i="18" s="1"/>
  <c r="U114" i="18"/>
  <c r="V114" i="18" s="1"/>
  <c r="T114" i="18"/>
  <c r="U114" i="3"/>
  <c r="V114" i="3" s="1"/>
  <c r="T114" i="3"/>
  <c r="J143" i="7"/>
  <c r="AB142" i="7"/>
  <c r="AN142" i="7"/>
  <c r="T143" i="7"/>
  <c r="H143" i="7"/>
  <c r="Z142" i="7"/>
  <c r="M143" i="7"/>
  <c r="AE142" i="7"/>
  <c r="E113" i="11"/>
  <c r="C142" i="7"/>
  <c r="W143" i="7"/>
  <c r="AQ142" i="7"/>
  <c r="Y145" i="7"/>
  <c r="AS144" i="7"/>
  <c r="V143" i="7"/>
  <c r="AP142" i="7"/>
  <c r="G112" i="16"/>
  <c r="AR102" i="18" s="1"/>
  <c r="AU102" i="18" s="1"/>
  <c r="F115" i="11"/>
  <c r="D145" i="7" s="1"/>
  <c r="G114" i="11"/>
  <c r="AR104" i="3" s="1"/>
  <c r="AU104" i="3" s="1"/>
  <c r="AN116" i="19" l="1"/>
  <c r="AO116" i="19"/>
  <c r="AP116" i="19" s="1"/>
  <c r="BJ116" i="19" s="1"/>
  <c r="BI114" i="18"/>
  <c r="BB114" i="18"/>
  <c r="BB114" i="3"/>
  <c r="BI114" i="3"/>
  <c r="AD45" i="6"/>
  <c r="BD100" i="19"/>
  <c r="BK100" i="19"/>
  <c r="BD101" i="18"/>
  <c r="BK101" i="18"/>
  <c r="L144" i="7"/>
  <c r="AD143" i="7"/>
  <c r="BD103" i="3"/>
  <c r="AV104" i="3"/>
  <c r="AX104" i="3" s="1"/>
  <c r="AW104" i="3"/>
  <c r="AY104" i="3" s="1"/>
  <c r="AZ104" i="3" s="1"/>
  <c r="BK104" i="3" s="1"/>
  <c r="BL104" i="3" s="1"/>
  <c r="BN104" i="3" s="1"/>
  <c r="C81" i="6" s="1"/>
  <c r="L81" i="6" s="1"/>
  <c r="Q81" i="6" s="1"/>
  <c r="AY101" i="19"/>
  <c r="AZ101" i="19" s="1"/>
  <c r="AX101" i="19"/>
  <c r="AW102" i="18"/>
  <c r="AY102" i="18" s="1"/>
  <c r="AZ102" i="18" s="1"/>
  <c r="AV102" i="18"/>
  <c r="AX102" i="18" s="1"/>
  <c r="T115" i="3"/>
  <c r="U115" i="3"/>
  <c r="V115" i="3" s="1"/>
  <c r="T115" i="18"/>
  <c r="U115" i="18"/>
  <c r="V115" i="18" s="1"/>
  <c r="Y146" i="7"/>
  <c r="AS145" i="7"/>
  <c r="H144" i="7"/>
  <c r="Z143" i="7"/>
  <c r="AN143" i="7"/>
  <c r="T144" i="7"/>
  <c r="E114" i="11"/>
  <c r="C143" i="7"/>
  <c r="V144" i="7"/>
  <c r="AP143" i="7"/>
  <c r="W144" i="7"/>
  <c r="AQ143" i="7"/>
  <c r="M144" i="7"/>
  <c r="AE143" i="7"/>
  <c r="J144" i="7"/>
  <c r="AB143" i="7"/>
  <c r="G113" i="16"/>
  <c r="AR103" i="18" s="1"/>
  <c r="AU103" i="18" s="1"/>
  <c r="F116" i="11"/>
  <c r="D146" i="7" s="1"/>
  <c r="G115" i="11"/>
  <c r="AR105" i="3" s="1"/>
  <c r="AU105" i="3" s="1"/>
  <c r="AN117" i="19" l="1"/>
  <c r="AO117" i="19"/>
  <c r="AP117" i="19" s="1"/>
  <c r="BJ117" i="19" s="1"/>
  <c r="BB115" i="18"/>
  <c r="BI115" i="18"/>
  <c r="BB115" i="3"/>
  <c r="BI115" i="3"/>
  <c r="BD102" i="18"/>
  <c r="BK102" i="18"/>
  <c r="AD46" i="6"/>
  <c r="BK101" i="19"/>
  <c r="BD101" i="19"/>
  <c r="L145" i="7"/>
  <c r="AD144" i="7"/>
  <c r="BD104" i="3"/>
  <c r="AV105" i="3"/>
  <c r="AX105" i="3" s="1"/>
  <c r="AW105" i="3"/>
  <c r="AY105" i="3" s="1"/>
  <c r="AZ105" i="3" s="1"/>
  <c r="BK105" i="3" s="1"/>
  <c r="BL105" i="3" s="1"/>
  <c r="BN105" i="3" s="1"/>
  <c r="C82" i="6" s="1"/>
  <c r="L82" i="6" s="1"/>
  <c r="Q82" i="6" s="1"/>
  <c r="AX102" i="19"/>
  <c r="AY102" i="19"/>
  <c r="AZ102" i="19" s="1"/>
  <c r="AW103" i="18"/>
  <c r="AY103" i="18" s="1"/>
  <c r="AZ103" i="18" s="1"/>
  <c r="AV103" i="18"/>
  <c r="AX103" i="18" s="1"/>
  <c r="T116" i="18"/>
  <c r="U116" i="18"/>
  <c r="V116" i="18" s="1"/>
  <c r="U116" i="3"/>
  <c r="V116" i="3" s="1"/>
  <c r="T116" i="3"/>
  <c r="V145" i="7"/>
  <c r="AP144" i="7"/>
  <c r="H145" i="7"/>
  <c r="Z144" i="7"/>
  <c r="AN144" i="7"/>
  <c r="T145" i="7"/>
  <c r="M145" i="7"/>
  <c r="AE144" i="7"/>
  <c r="E115" i="11"/>
  <c r="C144" i="7"/>
  <c r="J145" i="7"/>
  <c r="AB144" i="7"/>
  <c r="W145" i="7"/>
  <c r="AQ144" i="7"/>
  <c r="Y147" i="7"/>
  <c r="AS146" i="7"/>
  <c r="G114" i="16"/>
  <c r="AR104" i="18" s="1"/>
  <c r="AU104" i="18" s="1"/>
  <c r="F117" i="11"/>
  <c r="D147" i="7" s="1"/>
  <c r="G116" i="11"/>
  <c r="AR106" i="3" s="1"/>
  <c r="AU106" i="3" s="1"/>
  <c r="AN118" i="19" l="1"/>
  <c r="AO118" i="19"/>
  <c r="AP118" i="19" s="1"/>
  <c r="BJ118" i="19" s="1"/>
  <c r="BI116" i="18"/>
  <c r="BB116" i="18"/>
  <c r="BB116" i="3"/>
  <c r="BI116" i="3"/>
  <c r="BK103" i="18"/>
  <c r="BD103" i="18"/>
  <c r="BK102" i="19"/>
  <c r="BD102" i="19"/>
  <c r="AD47" i="6"/>
  <c r="L146" i="7"/>
  <c r="AD145" i="7"/>
  <c r="BD105" i="3"/>
  <c r="AV106" i="3"/>
  <c r="AX106" i="3" s="1"/>
  <c r="AW106" i="3"/>
  <c r="AY106" i="3" s="1"/>
  <c r="AZ106" i="3" s="1"/>
  <c r="BK106" i="3" s="1"/>
  <c r="BL106" i="3" s="1"/>
  <c r="BN106" i="3" s="1"/>
  <c r="C83" i="6" s="1"/>
  <c r="L83" i="6" s="1"/>
  <c r="Q83" i="6" s="1"/>
  <c r="AX103" i="19"/>
  <c r="AY103" i="19"/>
  <c r="AZ103" i="19" s="1"/>
  <c r="AV104" i="18"/>
  <c r="AX104" i="18" s="1"/>
  <c r="AW104" i="18"/>
  <c r="AY104" i="18" s="1"/>
  <c r="AZ104" i="18" s="1"/>
  <c r="T117" i="3"/>
  <c r="U117" i="3"/>
  <c r="V117" i="3" s="1"/>
  <c r="T117" i="18"/>
  <c r="U117" i="18"/>
  <c r="V117" i="18" s="1"/>
  <c r="J146" i="7"/>
  <c r="AB145" i="7"/>
  <c r="H146" i="7"/>
  <c r="Z145" i="7"/>
  <c r="AN145" i="7"/>
  <c r="T146" i="7"/>
  <c r="M146" i="7"/>
  <c r="AE145" i="7"/>
  <c r="Y148" i="7"/>
  <c r="AS147" i="7"/>
  <c r="W146" i="7"/>
  <c r="AQ145" i="7"/>
  <c r="E116" i="11"/>
  <c r="C145" i="7"/>
  <c r="V146" i="7"/>
  <c r="AP145" i="7"/>
  <c r="G115" i="16"/>
  <c r="AR105" i="18" s="1"/>
  <c r="AU105" i="18" s="1"/>
  <c r="F118" i="11"/>
  <c r="D148" i="7" s="1"/>
  <c r="G117" i="11"/>
  <c r="AR107" i="3" s="1"/>
  <c r="AU107" i="3" s="1"/>
  <c r="BB117" i="18" l="1"/>
  <c r="BI117" i="18"/>
  <c r="BB117" i="3"/>
  <c r="BI117" i="3"/>
  <c r="BD104" i="18"/>
  <c r="BK104" i="18"/>
  <c r="BK103" i="19"/>
  <c r="BD103" i="19"/>
  <c r="AD48" i="6"/>
  <c r="L147" i="7"/>
  <c r="AD146" i="7"/>
  <c r="BD106" i="3"/>
  <c r="AV107" i="3"/>
  <c r="AX107" i="3" s="1"/>
  <c r="AW107" i="3"/>
  <c r="AY107" i="3" s="1"/>
  <c r="AZ107" i="3" s="1"/>
  <c r="BK107" i="3" s="1"/>
  <c r="BL107" i="3" s="1"/>
  <c r="BN107" i="3" s="1"/>
  <c r="C84" i="6" s="1"/>
  <c r="L84" i="6" s="1"/>
  <c r="Q84" i="6" s="1"/>
  <c r="AX104" i="19"/>
  <c r="AY104" i="19"/>
  <c r="AZ104" i="19" s="1"/>
  <c r="AW105" i="18"/>
  <c r="AY105" i="18" s="1"/>
  <c r="AZ105" i="18" s="1"/>
  <c r="AV105" i="18"/>
  <c r="AX105" i="18" s="1"/>
  <c r="U118" i="18"/>
  <c r="V118" i="18" s="1"/>
  <c r="T118" i="18"/>
  <c r="U118" i="3"/>
  <c r="V118" i="3" s="1"/>
  <c r="T118" i="3"/>
  <c r="Y149" i="7"/>
  <c r="AS148" i="7"/>
  <c r="H147" i="7"/>
  <c r="Z146" i="7"/>
  <c r="AN146" i="7"/>
  <c r="T147" i="7"/>
  <c r="E117" i="11"/>
  <c r="C146" i="7"/>
  <c r="V147" i="7"/>
  <c r="AP146" i="7"/>
  <c r="W147" i="7"/>
  <c r="AQ146" i="7"/>
  <c r="M147" i="7"/>
  <c r="AE146" i="7"/>
  <c r="J147" i="7"/>
  <c r="AB146" i="7"/>
  <c r="G116" i="16"/>
  <c r="AR106" i="18" s="1"/>
  <c r="AU106" i="18" s="1"/>
  <c r="F119" i="11"/>
  <c r="D149" i="7" s="1"/>
  <c r="G118" i="11"/>
  <c r="AR108" i="3" s="1"/>
  <c r="AU108" i="3" s="1"/>
  <c r="BI118" i="18" l="1"/>
  <c r="BB118" i="18"/>
  <c r="BB118" i="3"/>
  <c r="BI118" i="3"/>
  <c r="BD104" i="19"/>
  <c r="BK104" i="19"/>
  <c r="AD49" i="6"/>
  <c r="BK105" i="18"/>
  <c r="BD105" i="18"/>
  <c r="AD147" i="7"/>
  <c r="L148" i="7"/>
  <c r="BD107" i="3"/>
  <c r="AW108" i="3"/>
  <c r="AY108" i="3" s="1"/>
  <c r="AZ108" i="3" s="1"/>
  <c r="BK108" i="3" s="1"/>
  <c r="BL108" i="3" s="1"/>
  <c r="BN108" i="3" s="1"/>
  <c r="C85" i="6" s="1"/>
  <c r="L85" i="6" s="1"/>
  <c r="Q85" i="6" s="1"/>
  <c r="AV108" i="3"/>
  <c r="AX108" i="3" s="1"/>
  <c r="AX105" i="19"/>
  <c r="AY105" i="19"/>
  <c r="AZ105" i="19" s="1"/>
  <c r="AW106" i="18"/>
  <c r="AY106" i="18" s="1"/>
  <c r="AZ106" i="18" s="1"/>
  <c r="AV106" i="18"/>
  <c r="AX106" i="18" s="1"/>
  <c r="M148" i="7"/>
  <c r="AE147" i="7"/>
  <c r="E118" i="11"/>
  <c r="C147" i="7"/>
  <c r="AN147" i="7"/>
  <c r="T148" i="7"/>
  <c r="V148" i="7"/>
  <c r="AP147" i="7"/>
  <c r="H148" i="7"/>
  <c r="Z147" i="7"/>
  <c r="J148" i="7"/>
  <c r="AB147" i="7"/>
  <c r="W148" i="7"/>
  <c r="AQ147" i="7"/>
  <c r="Y150" i="7"/>
  <c r="AS149" i="7"/>
  <c r="G117" i="16"/>
  <c r="AR107" i="18" s="1"/>
  <c r="AU107" i="18" s="1"/>
  <c r="F120" i="11"/>
  <c r="D150" i="7" s="1"/>
  <c r="G119" i="11"/>
  <c r="AR109" i="3" s="1"/>
  <c r="AU109" i="3" s="1"/>
  <c r="AD50" i="6" l="1"/>
  <c r="BD106" i="18"/>
  <c r="BK106" i="18"/>
  <c r="BK105" i="19"/>
  <c r="BD105" i="19"/>
  <c r="L149" i="7"/>
  <c r="AD148" i="7"/>
  <c r="BD108" i="3"/>
  <c r="AW109" i="3"/>
  <c r="AY109" i="3" s="1"/>
  <c r="AZ109" i="3" s="1"/>
  <c r="BK109" i="3" s="1"/>
  <c r="BL109" i="3" s="1"/>
  <c r="BN109" i="3" s="1"/>
  <c r="C86" i="6" s="1"/>
  <c r="L86" i="6" s="1"/>
  <c r="Q86" i="6" s="1"/>
  <c r="AV109" i="3"/>
  <c r="AX109" i="3" s="1"/>
  <c r="AY106" i="19"/>
  <c r="AZ106" i="19" s="1"/>
  <c r="AX106" i="19"/>
  <c r="AW107" i="18"/>
  <c r="AY107" i="18" s="1"/>
  <c r="AZ107" i="18" s="1"/>
  <c r="AV107" i="18"/>
  <c r="AX107" i="18" s="1"/>
  <c r="AU118" i="3"/>
  <c r="AW118" i="3" s="1"/>
  <c r="AU118" i="18"/>
  <c r="V149" i="7"/>
  <c r="AP148" i="7"/>
  <c r="AN148" i="7"/>
  <c r="T149" i="7"/>
  <c r="J149" i="7"/>
  <c r="AB148" i="7"/>
  <c r="E119" i="11"/>
  <c r="C148" i="7"/>
  <c r="Y151" i="7"/>
  <c r="AS150" i="7"/>
  <c r="W149" i="7"/>
  <c r="AQ148" i="7"/>
  <c r="H149" i="7"/>
  <c r="Z148" i="7"/>
  <c r="M149" i="7"/>
  <c r="AE148" i="7"/>
  <c r="G118" i="16"/>
  <c r="AR108" i="18" s="1"/>
  <c r="AU108" i="18" s="1"/>
  <c r="F121" i="11"/>
  <c r="D151" i="7" s="1"/>
  <c r="G120" i="11"/>
  <c r="AR110" i="3" s="1"/>
  <c r="AU110" i="3" s="1"/>
  <c r="AD51" i="6" l="1"/>
  <c r="BD107" i="18"/>
  <c r="BK107" i="18"/>
  <c r="BD106" i="19"/>
  <c r="BK106" i="19"/>
  <c r="AD149" i="7"/>
  <c r="L150" i="7"/>
  <c r="AW110" i="3"/>
  <c r="AY110" i="3" s="1"/>
  <c r="AZ110" i="3" s="1"/>
  <c r="BK110" i="3" s="1"/>
  <c r="BL110" i="3" s="1"/>
  <c r="BN110" i="3" s="1"/>
  <c r="C87" i="6" s="1"/>
  <c r="L87" i="6" s="1"/>
  <c r="Q87" i="6" s="1"/>
  <c r="AV110" i="3"/>
  <c r="AX110" i="3" s="1"/>
  <c r="BD109" i="3"/>
  <c r="AY107" i="19"/>
  <c r="AZ107" i="19" s="1"/>
  <c r="AX107" i="19"/>
  <c r="AV118" i="3"/>
  <c r="AV108" i="18"/>
  <c r="AX108" i="18" s="1"/>
  <c r="AW108" i="18"/>
  <c r="AY108" i="18" s="1"/>
  <c r="AZ108" i="18" s="1"/>
  <c r="AW118" i="18"/>
  <c r="AV118" i="18"/>
  <c r="J150" i="7"/>
  <c r="AB149" i="7"/>
  <c r="V150" i="7"/>
  <c r="AP149" i="7"/>
  <c r="H150" i="7"/>
  <c r="Z149" i="7"/>
  <c r="AN149" i="7"/>
  <c r="T150" i="7"/>
  <c r="Y152" i="7"/>
  <c r="AS151" i="7"/>
  <c r="M150" i="7"/>
  <c r="AE149" i="7"/>
  <c r="W150" i="7"/>
  <c r="AQ149" i="7"/>
  <c r="E120" i="11"/>
  <c r="C149" i="7"/>
  <c r="G119" i="16"/>
  <c r="AR109" i="18" s="1"/>
  <c r="AU109" i="18" s="1"/>
  <c r="F122" i="11"/>
  <c r="D152" i="7" s="1"/>
  <c r="G121" i="11"/>
  <c r="AR111" i="3" s="1"/>
  <c r="AU111" i="3" s="1"/>
  <c r="BK108" i="18" l="1"/>
  <c r="BD108" i="18"/>
  <c r="BK107" i="19"/>
  <c r="BD107" i="19"/>
  <c r="AD52" i="6"/>
  <c r="AD150" i="7"/>
  <c r="L151" i="7"/>
  <c r="AV111" i="3"/>
  <c r="AX111" i="3" s="1"/>
  <c r="AW111" i="3"/>
  <c r="AY111" i="3" s="1"/>
  <c r="AZ111" i="3" s="1"/>
  <c r="BK111" i="3" s="1"/>
  <c r="BL111" i="3" s="1"/>
  <c r="BN111" i="3" s="1"/>
  <c r="C88" i="6" s="1"/>
  <c r="L88" i="6" s="1"/>
  <c r="Q88" i="6" s="1"/>
  <c r="BD110" i="3"/>
  <c r="AY108" i="19"/>
  <c r="AZ108" i="19" s="1"/>
  <c r="AX108" i="19"/>
  <c r="AW109" i="18"/>
  <c r="AY109" i="18" s="1"/>
  <c r="AZ109" i="18" s="1"/>
  <c r="AV109" i="18"/>
  <c r="AX109" i="18" s="1"/>
  <c r="M151" i="7"/>
  <c r="AE150" i="7"/>
  <c r="V151" i="7"/>
  <c r="AP150" i="7"/>
  <c r="E121" i="11"/>
  <c r="C150" i="7"/>
  <c r="AN150" i="7"/>
  <c r="T151" i="7"/>
  <c r="W151" i="7"/>
  <c r="AQ150" i="7"/>
  <c r="Y153" i="7"/>
  <c r="AS152" i="7"/>
  <c r="H151" i="7"/>
  <c r="Z150" i="7"/>
  <c r="J151" i="7"/>
  <c r="AB150" i="7"/>
  <c r="G120" i="16"/>
  <c r="AR110" i="18" s="1"/>
  <c r="AU110" i="18" s="1"/>
  <c r="F123" i="11"/>
  <c r="D153" i="7" s="1"/>
  <c r="G122" i="11"/>
  <c r="AR112" i="3" s="1"/>
  <c r="AU112" i="3" s="1"/>
  <c r="BD109" i="18" l="1"/>
  <c r="BK109" i="18"/>
  <c r="AD53" i="6"/>
  <c r="BK108" i="19"/>
  <c r="BD108" i="19"/>
  <c r="AD151" i="7"/>
  <c r="L152" i="7"/>
  <c r="AV112" i="3"/>
  <c r="AX112" i="3" s="1"/>
  <c r="AW112" i="3"/>
  <c r="AY112" i="3" s="1"/>
  <c r="AZ112" i="3" s="1"/>
  <c r="BK112" i="3" s="1"/>
  <c r="BL112" i="3" s="1"/>
  <c r="BN112" i="3" s="1"/>
  <c r="C89" i="6" s="1"/>
  <c r="L89" i="6" s="1"/>
  <c r="Q89" i="6" s="1"/>
  <c r="BD111" i="3"/>
  <c r="AY109" i="19"/>
  <c r="AZ109" i="19" s="1"/>
  <c r="AX109" i="19"/>
  <c r="AW110" i="18"/>
  <c r="AY110" i="18" s="1"/>
  <c r="AZ110" i="18" s="1"/>
  <c r="AV110" i="18"/>
  <c r="AX110" i="18" s="1"/>
  <c r="AN151" i="7"/>
  <c r="T152" i="7"/>
  <c r="H152" i="7"/>
  <c r="Z151" i="7"/>
  <c r="W152" i="7"/>
  <c r="AQ151" i="7"/>
  <c r="V152" i="7"/>
  <c r="AP151" i="7"/>
  <c r="J152" i="7"/>
  <c r="AB151" i="7"/>
  <c r="Y154" i="7"/>
  <c r="AS153" i="7"/>
  <c r="E122" i="11"/>
  <c r="C151" i="7"/>
  <c r="M152" i="7"/>
  <c r="AE151" i="7"/>
  <c r="G121" i="16"/>
  <c r="AR111" i="18" s="1"/>
  <c r="AU111" i="18" s="1"/>
  <c r="F124" i="11"/>
  <c r="D154" i="7" s="1"/>
  <c r="G123" i="11"/>
  <c r="AR113" i="3" s="1"/>
  <c r="AU113" i="3" s="1"/>
  <c r="BD110" i="18" l="1"/>
  <c r="BK110" i="18"/>
  <c r="AD54" i="6"/>
  <c r="BK109" i="19"/>
  <c r="BD109" i="19"/>
  <c r="L153" i="7"/>
  <c r="AD152" i="7"/>
  <c r="AV113" i="3"/>
  <c r="AX113" i="3" s="1"/>
  <c r="AW113" i="3"/>
  <c r="AY113" i="3" s="1"/>
  <c r="AZ113" i="3" s="1"/>
  <c r="BK113" i="3" s="1"/>
  <c r="BL113" i="3" s="1"/>
  <c r="BN113" i="3" s="1"/>
  <c r="C90" i="6" s="1"/>
  <c r="L90" i="6" s="1"/>
  <c r="Q90" i="6" s="1"/>
  <c r="BD112" i="3"/>
  <c r="AX110" i="19"/>
  <c r="AY110" i="19"/>
  <c r="AZ110" i="19" s="1"/>
  <c r="AV111" i="18"/>
  <c r="AX111" i="18" s="1"/>
  <c r="AW111" i="18"/>
  <c r="AY111" i="18" s="1"/>
  <c r="AZ111" i="18" s="1"/>
  <c r="E123" i="11"/>
  <c r="C152" i="7"/>
  <c r="Y155" i="7"/>
  <c r="AS154" i="7"/>
  <c r="V153" i="7"/>
  <c r="AP152" i="7"/>
  <c r="H153" i="7"/>
  <c r="Z152" i="7"/>
  <c r="AN152" i="7"/>
  <c r="T153" i="7"/>
  <c r="M153" i="7"/>
  <c r="AE152" i="7"/>
  <c r="J153" i="7"/>
  <c r="AB152" i="7"/>
  <c r="W153" i="7"/>
  <c r="AQ152" i="7"/>
  <c r="G122" i="16"/>
  <c r="AR112" i="18" s="1"/>
  <c r="AU112" i="18" s="1"/>
  <c r="F125" i="11"/>
  <c r="D155" i="7" s="1"/>
  <c r="G124" i="11"/>
  <c r="AR114" i="3" s="1"/>
  <c r="AU114" i="3" s="1"/>
  <c r="BK111" i="18" l="1"/>
  <c r="BD111" i="18"/>
  <c r="BD110" i="19"/>
  <c r="BK110" i="19"/>
  <c r="AD55" i="6"/>
  <c r="L154" i="7"/>
  <c r="AD153" i="7"/>
  <c r="BD113" i="3"/>
  <c r="AV114" i="3"/>
  <c r="AX114" i="3" s="1"/>
  <c r="AW114" i="3"/>
  <c r="AY114" i="3" s="1"/>
  <c r="AZ114" i="3" s="1"/>
  <c r="BK114" i="3" s="1"/>
  <c r="BL114" i="3" s="1"/>
  <c r="BN114" i="3" s="1"/>
  <c r="C91" i="6" s="1"/>
  <c r="L91" i="6" s="1"/>
  <c r="Q91" i="6" s="1"/>
  <c r="AX111" i="19"/>
  <c r="AY111" i="19"/>
  <c r="AZ111" i="19" s="1"/>
  <c r="AV112" i="18"/>
  <c r="AX112" i="18" s="1"/>
  <c r="AW112" i="18"/>
  <c r="AY112" i="18" s="1"/>
  <c r="AZ112" i="18" s="1"/>
  <c r="J154" i="7"/>
  <c r="AB153" i="7"/>
  <c r="Y156" i="7"/>
  <c r="AS155" i="7"/>
  <c r="H154" i="7"/>
  <c r="Z153" i="7"/>
  <c r="M154" i="7"/>
  <c r="AE153" i="7"/>
  <c r="AN153" i="7"/>
  <c r="T154" i="7"/>
  <c r="W154" i="7"/>
  <c r="AQ153" i="7"/>
  <c r="V154" i="7"/>
  <c r="AP153" i="7"/>
  <c r="E124" i="11"/>
  <c r="C153" i="7"/>
  <c r="G123" i="16"/>
  <c r="AR113" i="18" s="1"/>
  <c r="AU113" i="18" s="1"/>
  <c r="F126" i="11"/>
  <c r="D156" i="7" s="1"/>
  <c r="G125" i="11"/>
  <c r="AR115" i="3" s="1"/>
  <c r="AU115" i="3" s="1"/>
  <c r="AD56" i="6" l="1"/>
  <c r="BD111" i="19"/>
  <c r="BK111" i="19"/>
  <c r="BD112" i="18"/>
  <c r="BK112" i="18"/>
  <c r="L155" i="7"/>
  <c r="AD154" i="7"/>
  <c r="AW115" i="3"/>
  <c r="AY115" i="3" s="1"/>
  <c r="AZ115" i="3" s="1"/>
  <c r="BK115" i="3" s="1"/>
  <c r="BL115" i="3" s="1"/>
  <c r="BN115" i="3" s="1"/>
  <c r="C92" i="6" s="1"/>
  <c r="L92" i="6" s="1"/>
  <c r="Q92" i="6" s="1"/>
  <c r="AV115" i="3"/>
  <c r="AX115" i="3" s="1"/>
  <c r="BD114" i="3"/>
  <c r="AY112" i="19"/>
  <c r="AZ112" i="19" s="1"/>
  <c r="AX112" i="19"/>
  <c r="AV113" i="18"/>
  <c r="AX113" i="18" s="1"/>
  <c r="AW113" i="18"/>
  <c r="AY113" i="18" s="1"/>
  <c r="AZ113" i="18" s="1"/>
  <c r="V155" i="7"/>
  <c r="AP154" i="7"/>
  <c r="W155" i="7"/>
  <c r="AQ154" i="7"/>
  <c r="M155" i="7"/>
  <c r="AE154" i="7"/>
  <c r="Y157" i="7"/>
  <c r="AS156" i="7"/>
  <c r="AN154" i="7"/>
  <c r="T155" i="7"/>
  <c r="E125" i="11"/>
  <c r="C154" i="7"/>
  <c r="H155" i="7"/>
  <c r="Z154" i="7"/>
  <c r="J155" i="7"/>
  <c r="AB154" i="7"/>
  <c r="G124" i="16"/>
  <c r="AR114" i="18" s="1"/>
  <c r="AU114" i="18" s="1"/>
  <c r="F127" i="11"/>
  <c r="G126" i="11"/>
  <c r="AR116" i="3" s="1"/>
  <c r="AU116" i="3" s="1"/>
  <c r="BK113" i="18" l="1"/>
  <c r="BD113" i="18"/>
  <c r="BD112" i="19"/>
  <c r="BK112" i="19"/>
  <c r="AD57" i="6"/>
  <c r="L156" i="7"/>
  <c r="AD155" i="7"/>
  <c r="AW116" i="3"/>
  <c r="AY116" i="3" s="1"/>
  <c r="AZ116" i="3" s="1"/>
  <c r="BK116" i="3" s="1"/>
  <c r="BL116" i="3" s="1"/>
  <c r="BN116" i="3" s="1"/>
  <c r="C93" i="6" s="1"/>
  <c r="L93" i="6" s="1"/>
  <c r="Q93" i="6" s="1"/>
  <c r="AV116" i="3"/>
  <c r="AX116" i="3" s="1"/>
  <c r="BD115" i="3"/>
  <c r="AY113" i="19"/>
  <c r="AZ113" i="19" s="1"/>
  <c r="AX113" i="19"/>
  <c r="AV114" i="18"/>
  <c r="AX114" i="18" s="1"/>
  <c r="AW114" i="18"/>
  <c r="AY114" i="18" s="1"/>
  <c r="AZ114" i="18" s="1"/>
  <c r="H156" i="7"/>
  <c r="Z155" i="7"/>
  <c r="E126" i="11"/>
  <c r="C155" i="7"/>
  <c r="AS157" i="7"/>
  <c r="W156" i="7"/>
  <c r="AQ155" i="7"/>
  <c r="AN155" i="7"/>
  <c r="T156" i="7"/>
  <c r="J156" i="7"/>
  <c r="AB155" i="7"/>
  <c r="M156" i="7"/>
  <c r="AE155" i="7"/>
  <c r="V156" i="7"/>
  <c r="AP155" i="7"/>
  <c r="G127" i="11"/>
  <c r="AR117" i="3" s="1"/>
  <c r="AU117" i="3" s="1"/>
  <c r="D157" i="7"/>
  <c r="G125" i="16"/>
  <c r="AR115" i="18" s="1"/>
  <c r="AU115" i="18" s="1"/>
  <c r="BD114" i="18" l="1"/>
  <c r="BK114" i="18"/>
  <c r="BK113" i="19"/>
  <c r="BD113" i="19"/>
  <c r="AD58" i="6"/>
  <c r="L157" i="7"/>
  <c r="AD157" i="7" s="1"/>
  <c r="AD156" i="7"/>
  <c r="AW117" i="3"/>
  <c r="AY117" i="3" s="1"/>
  <c r="AZ117" i="3" s="1"/>
  <c r="BK117" i="3" s="1"/>
  <c r="BL117" i="3" s="1"/>
  <c r="BN117" i="3" s="1"/>
  <c r="C94" i="6" s="1"/>
  <c r="L94" i="6" s="1"/>
  <c r="Q94" i="6" s="1"/>
  <c r="AV117" i="3"/>
  <c r="AX117" i="3" s="1"/>
  <c r="BD116" i="3"/>
  <c r="AX114" i="19"/>
  <c r="AY114" i="19"/>
  <c r="AZ114" i="19" s="1"/>
  <c r="AW115" i="18"/>
  <c r="AY115" i="18" s="1"/>
  <c r="AZ115" i="18" s="1"/>
  <c r="AV115" i="18"/>
  <c r="AX115" i="18" s="1"/>
  <c r="W157" i="7"/>
  <c r="AQ156" i="7"/>
  <c r="E127" i="11"/>
  <c r="C157" i="7" s="1"/>
  <c r="C156" i="7"/>
  <c r="M157" i="7"/>
  <c r="AE156" i="7"/>
  <c r="AD160" i="7"/>
  <c r="AS160" i="7"/>
  <c r="J157" i="7"/>
  <c r="AB156" i="7"/>
  <c r="AN156" i="7"/>
  <c r="T157" i="7"/>
  <c r="V157" i="7"/>
  <c r="AP156" i="7"/>
  <c r="H157" i="7"/>
  <c r="Z156" i="7"/>
  <c r="G126" i="16"/>
  <c r="AR116" i="18" s="1"/>
  <c r="AU116" i="18" s="1"/>
  <c r="G127" i="16"/>
  <c r="AR117" i="18" s="1"/>
  <c r="AU117" i="18" s="1"/>
  <c r="BD115" i="18" l="1"/>
  <c r="BK115" i="18"/>
  <c r="BD114" i="19"/>
  <c r="BK114" i="19"/>
  <c r="AD59" i="6"/>
  <c r="AY118" i="3"/>
  <c r="AZ118" i="3" s="1"/>
  <c r="BK118" i="3" s="1"/>
  <c r="BL118" i="3" s="1"/>
  <c r="BN118" i="3" s="1"/>
  <c r="C95" i="6" s="1"/>
  <c r="L95" i="6" s="1"/>
  <c r="Q95" i="6" s="1"/>
  <c r="AX118" i="3"/>
  <c r="BD117" i="3"/>
  <c r="AY115" i="19"/>
  <c r="AZ115" i="19" s="1"/>
  <c r="AX115" i="19"/>
  <c r="AW117" i="18"/>
  <c r="AV117" i="18"/>
  <c r="AV116" i="18"/>
  <c r="AX116" i="18" s="1"/>
  <c r="AW116" i="18"/>
  <c r="AY116" i="18" s="1"/>
  <c r="AZ116" i="18" s="1"/>
  <c r="AD161" i="7"/>
  <c r="AB157" i="7"/>
  <c r="AN157" i="7"/>
  <c r="AS161" i="7"/>
  <c r="AP157" i="7"/>
  <c r="Z157" i="7"/>
  <c r="AE157" i="7"/>
  <c r="AQ157" i="7"/>
  <c r="AC158" i="7"/>
  <c r="AF158" i="7" s="1"/>
  <c r="AV158" i="7" s="1"/>
  <c r="J95" i="6" s="1"/>
  <c r="P95" i="6" s="1"/>
  <c r="T95" i="6" s="1"/>
  <c r="AG60" i="6" s="1"/>
  <c r="K126" i="7"/>
  <c r="K127" i="7" s="1"/>
  <c r="K128" i="7" s="1"/>
  <c r="K129" i="7" s="1"/>
  <c r="K130" i="7" s="1"/>
  <c r="K131" i="7" s="1"/>
  <c r="K132" i="7" s="1"/>
  <c r="K133" i="7" s="1"/>
  <c r="K134" i="7" s="1"/>
  <c r="K135" i="7" s="1"/>
  <c r="K136" i="7" s="1"/>
  <c r="K137" i="7" s="1"/>
  <c r="K138" i="7" s="1"/>
  <c r="K139" i="7" s="1"/>
  <c r="K140" i="7" s="1"/>
  <c r="K141" i="7" s="1"/>
  <c r="K142" i="7" s="1"/>
  <c r="K143" i="7" s="1"/>
  <c r="K144" i="7" s="1"/>
  <c r="K145" i="7" s="1"/>
  <c r="K146" i="7" s="1"/>
  <c r="K147" i="7" s="1"/>
  <c r="K148" i="7" s="1"/>
  <c r="K149" i="7" s="1"/>
  <c r="K150" i="7" s="1"/>
  <c r="K151" i="7" s="1"/>
  <c r="K152" i="7" s="1"/>
  <c r="K153" i="7" s="1"/>
  <c r="K154" i="7" s="1"/>
  <c r="K155" i="7" s="1"/>
  <c r="K156" i="7" s="1"/>
  <c r="K157" i="7" s="1"/>
  <c r="BK115" i="19" l="1"/>
  <c r="BD115" i="19"/>
  <c r="BK116" i="18"/>
  <c r="BD116" i="18"/>
  <c r="AD60" i="6"/>
  <c r="AH60" i="6" s="1"/>
  <c r="U95" i="6"/>
  <c r="BD118" i="3"/>
  <c r="AY116" i="19"/>
  <c r="AZ116" i="19" s="1"/>
  <c r="AX116" i="19"/>
  <c r="AX117" i="18"/>
  <c r="AY117" i="18"/>
  <c r="AZ117" i="18" s="1"/>
  <c r="J61" i="6"/>
  <c r="AB160" i="7"/>
  <c r="AC160" i="7"/>
  <c r="AN160" i="7"/>
  <c r="AQ160" i="7"/>
  <c r="AS162" i="7"/>
  <c r="AE160" i="7"/>
  <c r="AP160" i="7"/>
  <c r="AD162" i="7"/>
  <c r="AC127" i="7"/>
  <c r="AF127" i="7" s="1"/>
  <c r="AC126" i="7"/>
  <c r="AF126" i="7" s="1"/>
  <c r="P61" i="6" l="1"/>
  <c r="T61" i="6" s="1"/>
  <c r="AA60" i="6" s="1"/>
  <c r="AP20" i="23"/>
  <c r="BD117" i="18"/>
  <c r="BK117" i="18"/>
  <c r="BD116" i="19"/>
  <c r="BK116" i="19"/>
  <c r="AX117" i="19"/>
  <c r="AY117" i="19"/>
  <c r="AZ117" i="19" s="1"/>
  <c r="AX118" i="18"/>
  <c r="AY118" i="18"/>
  <c r="AZ118" i="18" s="1"/>
  <c r="AN161" i="7"/>
  <c r="AS163" i="7"/>
  <c r="AT160" i="7"/>
  <c r="AB161" i="7"/>
  <c r="AD163" i="7"/>
  <c r="AP161" i="7"/>
  <c r="AE161" i="7"/>
  <c r="AC161" i="7"/>
  <c r="AQ161" i="7"/>
  <c r="AC128" i="7"/>
  <c r="AF128" i="7" s="1"/>
  <c r="BK117" i="19" l="1"/>
  <c r="BD117" i="19"/>
  <c r="BD118" i="18"/>
  <c r="BK118" i="18"/>
  <c r="AY118" i="19"/>
  <c r="AZ118" i="19" s="1"/>
  <c r="AX118" i="19"/>
  <c r="AT161" i="7"/>
  <c r="AQ162" i="7"/>
  <c r="AE162" i="7"/>
  <c r="AB162" i="7"/>
  <c r="AS164" i="7"/>
  <c r="AC162" i="7"/>
  <c r="AP162" i="7"/>
  <c r="AD164" i="7"/>
  <c r="AN162" i="7"/>
  <c r="AC129" i="7"/>
  <c r="AF129" i="7" s="1"/>
  <c r="BK118" i="19" l="1"/>
  <c r="BD118" i="19"/>
  <c r="AE163" i="7"/>
  <c r="AS165" i="7"/>
  <c r="AT162" i="7"/>
  <c r="AQ163" i="7"/>
  <c r="AN163" i="7"/>
  <c r="AP163" i="7"/>
  <c r="AD165" i="7"/>
  <c r="AC163" i="7"/>
  <c r="AB163" i="7"/>
  <c r="AC130" i="7"/>
  <c r="AF130" i="7" s="1"/>
  <c r="AD166" i="7" l="1"/>
  <c r="AE164" i="7"/>
  <c r="AC164" i="7"/>
  <c r="AQ164" i="7"/>
  <c r="AB164" i="7"/>
  <c r="AN164" i="7"/>
  <c r="AP164" i="7"/>
  <c r="AT163" i="7"/>
  <c r="AS166" i="7"/>
  <c r="AC131" i="7"/>
  <c r="AF131" i="7" s="1"/>
  <c r="AT164" i="7" l="1"/>
  <c r="AP165" i="7"/>
  <c r="AC165" i="7"/>
  <c r="AN165" i="7"/>
  <c r="AQ165" i="7"/>
  <c r="AE165" i="7"/>
  <c r="AD167" i="7"/>
  <c r="AS167" i="7"/>
  <c r="AB165" i="7"/>
  <c r="AC132" i="7"/>
  <c r="AF132" i="7" s="1"/>
  <c r="AD168" i="7" l="1"/>
  <c r="AQ166" i="7"/>
  <c r="AC166" i="7"/>
  <c r="AB166" i="7"/>
  <c r="AP166" i="7"/>
  <c r="AS168" i="7"/>
  <c r="AE166" i="7"/>
  <c r="AN166" i="7"/>
  <c r="AT165" i="7"/>
  <c r="AC133" i="7"/>
  <c r="AF133" i="7" s="1"/>
  <c r="AT166" i="7" l="1"/>
  <c r="AN167" i="7"/>
  <c r="AQ167" i="7"/>
  <c r="AC167" i="7"/>
  <c r="AD169" i="7"/>
  <c r="AS169" i="7"/>
  <c r="AB167" i="7"/>
  <c r="AE167" i="7"/>
  <c r="AP167" i="7"/>
  <c r="AC134" i="7"/>
  <c r="AF134" i="7" s="1"/>
  <c r="AD170" i="7" l="1"/>
  <c r="AD171" i="7"/>
  <c r="AP168" i="7"/>
  <c r="AT167" i="7"/>
  <c r="AN168" i="7"/>
  <c r="AB168" i="7"/>
  <c r="AE168" i="7"/>
  <c r="AS170" i="7"/>
  <c r="AS171" i="7"/>
  <c r="AC168" i="7"/>
  <c r="AQ168" i="7"/>
  <c r="AC135" i="7"/>
  <c r="AF135" i="7" s="1"/>
  <c r="AE169" i="7" l="1"/>
  <c r="AN169" i="7"/>
  <c r="AP169" i="7"/>
  <c r="AQ169" i="7"/>
  <c r="AB169" i="7"/>
  <c r="AC169" i="7"/>
  <c r="AT168" i="7"/>
  <c r="AC136" i="7"/>
  <c r="AF136" i="7" s="1"/>
  <c r="AT169" i="7" l="1"/>
  <c r="AB170" i="7"/>
  <c r="AB171" i="7"/>
  <c r="AE170" i="7"/>
  <c r="AE171" i="7"/>
  <c r="AC170" i="7"/>
  <c r="AC171" i="7"/>
  <c r="AQ170" i="7"/>
  <c r="AQ171" i="7"/>
  <c r="AN170" i="7"/>
  <c r="AN171" i="7"/>
  <c r="AP170" i="7"/>
  <c r="AP171" i="7"/>
  <c r="AC137" i="7"/>
  <c r="AF137" i="7" s="1"/>
  <c r="AT171" i="7" l="1"/>
  <c r="AT170" i="7"/>
  <c r="AC138" i="7"/>
  <c r="AF138" i="7" s="1"/>
  <c r="AC139" i="7" l="1"/>
  <c r="AF139" i="7" s="1"/>
  <c r="AC140" i="7" l="1"/>
  <c r="AF140" i="7" s="1"/>
  <c r="AC141" i="7" l="1"/>
  <c r="AF141" i="7" s="1"/>
  <c r="AC142" i="7" l="1"/>
  <c r="AF142" i="7" s="1"/>
  <c r="AC143" i="7" l="1"/>
  <c r="AF143" i="7" s="1"/>
  <c r="AC144" i="7" l="1"/>
  <c r="AF144" i="7" s="1"/>
  <c r="AC145" i="7" l="1"/>
  <c r="AF145" i="7" s="1"/>
  <c r="AC146" i="7" l="1"/>
  <c r="AF146" i="7" s="1"/>
  <c r="AC147" i="7" l="1"/>
  <c r="AF147" i="7" s="1"/>
  <c r="AC148" i="7" l="1"/>
  <c r="AF148" i="7" s="1"/>
  <c r="AC149" i="7" l="1"/>
  <c r="AF149" i="7" s="1"/>
  <c r="AC150" i="7" l="1"/>
  <c r="AF150" i="7" s="1"/>
  <c r="AC151" i="7" l="1"/>
  <c r="AF151" i="7" s="1"/>
  <c r="AC152" i="7" l="1"/>
  <c r="AF152" i="7" s="1"/>
  <c r="AC153" i="7" l="1"/>
  <c r="AF153" i="7" s="1"/>
  <c r="AC154" i="7" l="1"/>
  <c r="AF154" i="7" s="1"/>
  <c r="AC155" i="7" l="1"/>
  <c r="AF155" i="7" s="1"/>
  <c r="AC157" i="7" l="1"/>
  <c r="AF157" i="7" s="1"/>
  <c r="AC156" i="7"/>
  <c r="AF156" i="7" s="1"/>
  <c r="AR126" i="7"/>
  <c r="AT126" i="7" s="1"/>
  <c r="AV126" i="7" s="1"/>
  <c r="J63" i="6" s="1"/>
  <c r="P63" i="6" s="1"/>
  <c r="T63" i="6" s="1"/>
  <c r="AG28" i="6" l="1"/>
  <c r="AH28" i="6" s="1"/>
  <c r="U63" i="6"/>
  <c r="J29" i="6"/>
  <c r="AR128" i="7"/>
  <c r="AT128" i="7" s="1"/>
  <c r="AV128" i="7" s="1"/>
  <c r="J65" i="6" s="1"/>
  <c r="P65" i="6" s="1"/>
  <c r="T65" i="6" s="1"/>
  <c r="AR127" i="7"/>
  <c r="AT127" i="7" s="1"/>
  <c r="AV127" i="7" s="1"/>
  <c r="J64" i="6" s="1"/>
  <c r="P64" i="6" s="1"/>
  <c r="T64" i="6" s="1"/>
  <c r="P29" i="6" l="1"/>
  <c r="T29" i="6" s="1"/>
  <c r="J20" i="23"/>
  <c r="AG30" i="6"/>
  <c r="AH30" i="6" s="1"/>
  <c r="U65" i="6"/>
  <c r="AG29" i="6"/>
  <c r="AH29" i="6" s="1"/>
  <c r="U64" i="6"/>
  <c r="U29" i="6"/>
  <c r="AA28" i="6"/>
  <c r="AB28" i="6" s="1"/>
  <c r="J31" i="6"/>
  <c r="J30" i="6"/>
  <c r="AR129" i="7"/>
  <c r="AT129" i="7" s="1"/>
  <c r="AV129" i="7" s="1"/>
  <c r="J66" i="6" s="1"/>
  <c r="P66" i="6" s="1"/>
  <c r="T66" i="6" s="1"/>
  <c r="P31" i="6" l="1"/>
  <c r="T31" i="6" s="1"/>
  <c r="L20" i="23"/>
  <c r="P30" i="6"/>
  <c r="T30" i="6" s="1"/>
  <c r="K20" i="23"/>
  <c r="AG31" i="6"/>
  <c r="AH31" i="6" s="1"/>
  <c r="U66" i="6"/>
  <c r="U30" i="6"/>
  <c r="AA29" i="6"/>
  <c r="AB29" i="6" s="1"/>
  <c r="U31" i="6"/>
  <c r="AA30" i="6"/>
  <c r="AB30" i="6" s="1"/>
  <c r="J32" i="6"/>
  <c r="AR130" i="7"/>
  <c r="AT130" i="7" s="1"/>
  <c r="AV130" i="7" s="1"/>
  <c r="J67" i="6" s="1"/>
  <c r="P67" i="6" s="1"/>
  <c r="T67" i="6" s="1"/>
  <c r="P32" i="6" l="1"/>
  <c r="T32" i="6" s="1"/>
  <c r="M20" i="23"/>
  <c r="AG32" i="6"/>
  <c r="AH32" i="6" s="1"/>
  <c r="U67" i="6"/>
  <c r="U32" i="6"/>
  <c r="AA31" i="6"/>
  <c r="AB31" i="6" s="1"/>
  <c r="J33" i="6"/>
  <c r="AR131" i="7"/>
  <c r="AT131" i="7" s="1"/>
  <c r="AV131" i="7" s="1"/>
  <c r="J68" i="6" s="1"/>
  <c r="P68" i="6" s="1"/>
  <c r="T68" i="6" s="1"/>
  <c r="P33" i="6" l="1"/>
  <c r="T33" i="6" s="1"/>
  <c r="N20" i="23"/>
  <c r="AG33" i="6"/>
  <c r="AH33" i="6" s="1"/>
  <c r="U68" i="6"/>
  <c r="U33" i="6"/>
  <c r="AA32" i="6"/>
  <c r="AB32" i="6" s="1"/>
  <c r="J34" i="6"/>
  <c r="AR132" i="7"/>
  <c r="AT132" i="7" s="1"/>
  <c r="AV132" i="7" s="1"/>
  <c r="J69" i="6" s="1"/>
  <c r="P69" i="6" s="1"/>
  <c r="T69" i="6" s="1"/>
  <c r="P34" i="6" l="1"/>
  <c r="T34" i="6" s="1"/>
  <c r="O20" i="23"/>
  <c r="AG34" i="6"/>
  <c r="AH34" i="6" s="1"/>
  <c r="U69" i="6"/>
  <c r="U34" i="6"/>
  <c r="AA33" i="6"/>
  <c r="AB33" i="6" s="1"/>
  <c r="J35" i="6"/>
  <c r="AR133" i="7"/>
  <c r="AT133" i="7" s="1"/>
  <c r="AV133" i="7" s="1"/>
  <c r="J70" i="6" s="1"/>
  <c r="P70" i="6" s="1"/>
  <c r="T70" i="6" s="1"/>
  <c r="P35" i="6" l="1"/>
  <c r="T35" i="6" s="1"/>
  <c r="P20" i="23"/>
  <c r="AG35" i="6"/>
  <c r="AH35" i="6" s="1"/>
  <c r="U70" i="6"/>
  <c r="U35" i="6"/>
  <c r="AA34" i="6"/>
  <c r="AB34" i="6" s="1"/>
  <c r="J36" i="6"/>
  <c r="AR134" i="7"/>
  <c r="AT134" i="7" s="1"/>
  <c r="AV134" i="7" s="1"/>
  <c r="J71" i="6" s="1"/>
  <c r="P71" i="6" s="1"/>
  <c r="T71" i="6" s="1"/>
  <c r="P36" i="6" l="1"/>
  <c r="T36" i="6" s="1"/>
  <c r="Q20" i="23"/>
  <c r="AG36" i="6"/>
  <c r="AH36" i="6" s="1"/>
  <c r="U71" i="6"/>
  <c r="U36" i="6"/>
  <c r="AA35" i="6"/>
  <c r="AB35" i="6" s="1"/>
  <c r="J37" i="6"/>
  <c r="AR135" i="7"/>
  <c r="AT135" i="7" s="1"/>
  <c r="AV135" i="7" s="1"/>
  <c r="J72" i="6" s="1"/>
  <c r="P72" i="6" s="1"/>
  <c r="T72" i="6" s="1"/>
  <c r="P37" i="6" l="1"/>
  <c r="T37" i="6" s="1"/>
  <c r="R20" i="23"/>
  <c r="AG37" i="6"/>
  <c r="AH37" i="6" s="1"/>
  <c r="U72" i="6"/>
  <c r="U37" i="6"/>
  <c r="AA36" i="6"/>
  <c r="AB36" i="6" s="1"/>
  <c r="J38" i="6"/>
  <c r="AR136" i="7"/>
  <c r="AT136" i="7" s="1"/>
  <c r="AV136" i="7" s="1"/>
  <c r="J73" i="6" s="1"/>
  <c r="P73" i="6" s="1"/>
  <c r="T73" i="6" s="1"/>
  <c r="P38" i="6" l="1"/>
  <c r="T38" i="6" s="1"/>
  <c r="S20" i="23"/>
  <c r="AG38" i="6"/>
  <c r="AH38" i="6" s="1"/>
  <c r="U73" i="6"/>
  <c r="U38" i="6"/>
  <c r="AA37" i="6"/>
  <c r="AB37" i="6" s="1"/>
  <c r="J39" i="6"/>
  <c r="AR137" i="7"/>
  <c r="AT137" i="7" s="1"/>
  <c r="AV137" i="7" s="1"/>
  <c r="J74" i="6" s="1"/>
  <c r="P74" i="6" s="1"/>
  <c r="T74" i="6" s="1"/>
  <c r="P39" i="6" l="1"/>
  <c r="T39" i="6" s="1"/>
  <c r="T20" i="23"/>
  <c r="AG39" i="6"/>
  <c r="AH39" i="6" s="1"/>
  <c r="U74" i="6"/>
  <c r="U39" i="6"/>
  <c r="AA38" i="6"/>
  <c r="AB38" i="6" s="1"/>
  <c r="J40" i="6"/>
  <c r="AR138" i="7"/>
  <c r="AT138" i="7" s="1"/>
  <c r="AV138" i="7" s="1"/>
  <c r="J75" i="6" s="1"/>
  <c r="P75" i="6" s="1"/>
  <c r="T75" i="6" s="1"/>
  <c r="P40" i="6" l="1"/>
  <c r="T40" i="6" s="1"/>
  <c r="U20" i="23"/>
  <c r="AG40" i="6"/>
  <c r="AH40" i="6" s="1"/>
  <c r="U75" i="6"/>
  <c r="AA39" i="6"/>
  <c r="J41" i="6"/>
  <c r="AR139" i="7"/>
  <c r="AT139" i="7" s="1"/>
  <c r="AV139" i="7" s="1"/>
  <c r="J76" i="6" s="1"/>
  <c r="P76" i="6" s="1"/>
  <c r="T76" i="6" s="1"/>
  <c r="P41" i="6" l="1"/>
  <c r="T41" i="6" s="1"/>
  <c r="V20" i="23"/>
  <c r="AG41" i="6"/>
  <c r="AH41" i="6" s="1"/>
  <c r="U76" i="6"/>
  <c r="AA40" i="6"/>
  <c r="J42" i="6"/>
  <c r="AR140" i="7"/>
  <c r="AT140" i="7" s="1"/>
  <c r="AV140" i="7" s="1"/>
  <c r="J77" i="6" s="1"/>
  <c r="P77" i="6" s="1"/>
  <c r="T77" i="6" s="1"/>
  <c r="P42" i="6" l="1"/>
  <c r="T42" i="6" s="1"/>
  <c r="W20" i="23"/>
  <c r="AG42" i="6"/>
  <c r="AH42" i="6" s="1"/>
  <c r="U77" i="6"/>
  <c r="AA41" i="6"/>
  <c r="J43" i="6"/>
  <c r="AR141" i="7"/>
  <c r="AT141" i="7" s="1"/>
  <c r="AV141" i="7" s="1"/>
  <c r="J78" i="6" s="1"/>
  <c r="P78" i="6" s="1"/>
  <c r="T78" i="6" s="1"/>
  <c r="P43" i="6" l="1"/>
  <c r="T43" i="6" s="1"/>
  <c r="X20" i="23"/>
  <c r="AG43" i="6"/>
  <c r="AH43" i="6" s="1"/>
  <c r="U78" i="6"/>
  <c r="AA42" i="6"/>
  <c r="J44" i="6"/>
  <c r="AR142" i="7"/>
  <c r="AT142" i="7" s="1"/>
  <c r="AV142" i="7" s="1"/>
  <c r="J79" i="6" s="1"/>
  <c r="P79" i="6" s="1"/>
  <c r="T79" i="6" s="1"/>
  <c r="P44" i="6" l="1"/>
  <c r="T44" i="6" s="1"/>
  <c r="Y20" i="23"/>
  <c r="AG44" i="6"/>
  <c r="AH44" i="6" s="1"/>
  <c r="U79" i="6"/>
  <c r="AA43" i="6"/>
  <c r="J45" i="6"/>
  <c r="AR143" i="7"/>
  <c r="AT143" i="7" s="1"/>
  <c r="AV143" i="7" s="1"/>
  <c r="J80" i="6" s="1"/>
  <c r="P80" i="6" s="1"/>
  <c r="T80" i="6" s="1"/>
  <c r="P45" i="6" l="1"/>
  <c r="T45" i="6" s="1"/>
  <c r="Z20" i="23"/>
  <c r="AG45" i="6"/>
  <c r="AH45" i="6" s="1"/>
  <c r="U80" i="6"/>
  <c r="AA44" i="6"/>
  <c r="J46" i="6"/>
  <c r="AR144" i="7"/>
  <c r="AT144" i="7" s="1"/>
  <c r="AV144" i="7" s="1"/>
  <c r="J81" i="6" s="1"/>
  <c r="P81" i="6" s="1"/>
  <c r="T81" i="6" s="1"/>
  <c r="P46" i="6" l="1"/>
  <c r="T46" i="6" s="1"/>
  <c r="AA20" i="23"/>
  <c r="AG46" i="6"/>
  <c r="AH46" i="6" s="1"/>
  <c r="U81" i="6"/>
  <c r="AA45" i="6"/>
  <c r="J47" i="6"/>
  <c r="AR145" i="7"/>
  <c r="AT145" i="7" s="1"/>
  <c r="AV145" i="7" s="1"/>
  <c r="J82" i="6" s="1"/>
  <c r="P82" i="6" s="1"/>
  <c r="T82" i="6" s="1"/>
  <c r="P47" i="6" l="1"/>
  <c r="T47" i="6" s="1"/>
  <c r="AB20" i="23"/>
  <c r="AG47" i="6"/>
  <c r="AH47" i="6" s="1"/>
  <c r="U82" i="6"/>
  <c r="AA46" i="6"/>
  <c r="J48" i="6"/>
  <c r="AR146" i="7"/>
  <c r="AT146" i="7" s="1"/>
  <c r="AV146" i="7" s="1"/>
  <c r="J83" i="6" s="1"/>
  <c r="P83" i="6" s="1"/>
  <c r="T83" i="6" s="1"/>
  <c r="P48" i="6" l="1"/>
  <c r="T48" i="6" s="1"/>
  <c r="AC20" i="23"/>
  <c r="AG48" i="6"/>
  <c r="AH48" i="6" s="1"/>
  <c r="U83" i="6"/>
  <c r="AA47" i="6"/>
  <c r="J49" i="6"/>
  <c r="AR147" i="7"/>
  <c r="AT147" i="7" s="1"/>
  <c r="AV147" i="7" s="1"/>
  <c r="J84" i="6" s="1"/>
  <c r="P84" i="6" s="1"/>
  <c r="T84" i="6" s="1"/>
  <c r="P49" i="6" l="1"/>
  <c r="T49" i="6" s="1"/>
  <c r="AD20" i="23"/>
  <c r="AG49" i="6"/>
  <c r="AH49" i="6" s="1"/>
  <c r="U84" i="6"/>
  <c r="AA48" i="6"/>
  <c r="J50" i="6"/>
  <c r="AR148" i="7"/>
  <c r="AT148" i="7" s="1"/>
  <c r="AV148" i="7" s="1"/>
  <c r="J85" i="6" s="1"/>
  <c r="P85" i="6" s="1"/>
  <c r="T85" i="6" s="1"/>
  <c r="P50" i="6" l="1"/>
  <c r="T50" i="6" s="1"/>
  <c r="AE20" i="23"/>
  <c r="AG50" i="6"/>
  <c r="AH50" i="6" s="1"/>
  <c r="U85" i="6"/>
  <c r="AA49" i="6"/>
  <c r="J51" i="6"/>
  <c r="AR149" i="7"/>
  <c r="AT149" i="7" s="1"/>
  <c r="AV149" i="7" s="1"/>
  <c r="J86" i="6" s="1"/>
  <c r="P86" i="6" s="1"/>
  <c r="T86" i="6" s="1"/>
  <c r="P51" i="6" l="1"/>
  <c r="T51" i="6" s="1"/>
  <c r="AF20" i="23"/>
  <c r="AG51" i="6"/>
  <c r="AH51" i="6" s="1"/>
  <c r="U86" i="6"/>
  <c r="AA50" i="6"/>
  <c r="J52" i="6"/>
  <c r="AR150" i="7"/>
  <c r="AT150" i="7" s="1"/>
  <c r="AV150" i="7" s="1"/>
  <c r="J87" i="6" s="1"/>
  <c r="P87" i="6" s="1"/>
  <c r="T87" i="6" s="1"/>
  <c r="P52" i="6" l="1"/>
  <c r="T52" i="6" s="1"/>
  <c r="AG20" i="23"/>
  <c r="AG52" i="6"/>
  <c r="AH52" i="6" s="1"/>
  <c r="U87" i="6"/>
  <c r="AA51" i="6"/>
  <c r="J53" i="6"/>
  <c r="AR151" i="7"/>
  <c r="AT151" i="7" s="1"/>
  <c r="AV151" i="7" s="1"/>
  <c r="J88" i="6" s="1"/>
  <c r="P88" i="6" s="1"/>
  <c r="T88" i="6" s="1"/>
  <c r="P53" i="6" l="1"/>
  <c r="T53" i="6" s="1"/>
  <c r="AH20" i="23"/>
  <c r="AG53" i="6"/>
  <c r="AH53" i="6" s="1"/>
  <c r="U88" i="6"/>
  <c r="AA52" i="6"/>
  <c r="J54" i="6"/>
  <c r="AR152" i="7"/>
  <c r="AT152" i="7" s="1"/>
  <c r="AV152" i="7" s="1"/>
  <c r="J89" i="6" s="1"/>
  <c r="P89" i="6" s="1"/>
  <c r="T89" i="6" s="1"/>
  <c r="P54" i="6" l="1"/>
  <c r="T54" i="6" s="1"/>
  <c r="AI20" i="23"/>
  <c r="AG54" i="6"/>
  <c r="AH54" i="6" s="1"/>
  <c r="U89" i="6"/>
  <c r="AA53" i="6"/>
  <c r="J55" i="6"/>
  <c r="AR153" i="7"/>
  <c r="AT153" i="7" s="1"/>
  <c r="AV153" i="7" s="1"/>
  <c r="J90" i="6" s="1"/>
  <c r="P90" i="6" s="1"/>
  <c r="T90" i="6" s="1"/>
  <c r="P55" i="6" l="1"/>
  <c r="T55" i="6" s="1"/>
  <c r="AJ20" i="23"/>
  <c r="AG55" i="6"/>
  <c r="AH55" i="6" s="1"/>
  <c r="U90" i="6"/>
  <c r="AA54" i="6"/>
  <c r="J56" i="6"/>
  <c r="AR154" i="7"/>
  <c r="AT154" i="7" s="1"/>
  <c r="AV154" i="7" s="1"/>
  <c r="J91" i="6" s="1"/>
  <c r="P91" i="6" s="1"/>
  <c r="T91" i="6" s="1"/>
  <c r="P56" i="6" l="1"/>
  <c r="T56" i="6" s="1"/>
  <c r="AK20" i="23"/>
  <c r="AG56" i="6"/>
  <c r="AH56" i="6" s="1"/>
  <c r="U91" i="6"/>
  <c r="AA55" i="6"/>
  <c r="J57" i="6"/>
  <c r="AR155" i="7"/>
  <c r="AT155" i="7" s="1"/>
  <c r="AV155" i="7" s="1"/>
  <c r="J92" i="6" s="1"/>
  <c r="P92" i="6" s="1"/>
  <c r="T92" i="6" s="1"/>
  <c r="P57" i="6" l="1"/>
  <c r="T57" i="6" s="1"/>
  <c r="AL20" i="23"/>
  <c r="AG57" i="6"/>
  <c r="AH57" i="6" s="1"/>
  <c r="U92" i="6"/>
  <c r="AA56" i="6"/>
  <c r="J58" i="6"/>
  <c r="AR156" i="7"/>
  <c r="AT156" i="7" s="1"/>
  <c r="AV156" i="7" s="1"/>
  <c r="J93" i="6" s="1"/>
  <c r="P93" i="6" s="1"/>
  <c r="T93" i="6" s="1"/>
  <c r="AR157" i="7"/>
  <c r="AT157" i="7" s="1"/>
  <c r="AV157" i="7" s="1"/>
  <c r="J94" i="6" s="1"/>
  <c r="P94" i="6" s="1"/>
  <c r="T94" i="6" s="1"/>
  <c r="P58" i="6" l="1"/>
  <c r="T58" i="6" s="1"/>
  <c r="AM20" i="23"/>
  <c r="AG59" i="6"/>
  <c r="AH59" i="6" s="1"/>
  <c r="U94" i="6"/>
  <c r="AG58" i="6"/>
  <c r="AH58" i="6" s="1"/>
  <c r="U93" i="6"/>
  <c r="AA57" i="6"/>
  <c r="J60" i="6"/>
  <c r="J59" i="6"/>
  <c r="P59" i="6" l="1"/>
  <c r="T59" i="6" s="1"/>
  <c r="AN20" i="23"/>
  <c r="P60" i="6"/>
  <c r="T60" i="6" s="1"/>
  <c r="AO20" i="23"/>
  <c r="AA58" i="6"/>
  <c r="AA59" i="6"/>
  <c r="H160" i="7"/>
  <c r="Z172" i="7"/>
  <c r="AF172" i="7" s="1"/>
  <c r="AV172" i="7" s="1"/>
  <c r="H173" i="7"/>
  <c r="Z173" i="7" s="1"/>
  <c r="AF173" i="7" s="1"/>
  <c r="AV173" i="7" s="1"/>
  <c r="J109" i="6" l="1"/>
  <c r="P109" i="6" s="1"/>
  <c r="T109" i="6" s="1"/>
  <c r="J143" i="6"/>
  <c r="P143" i="6" s="1"/>
  <c r="T143" i="6" s="1"/>
  <c r="AS40" i="6" s="1"/>
  <c r="J110" i="6"/>
  <c r="P110" i="6" s="1"/>
  <c r="T110" i="6" s="1"/>
  <c r="AM41" i="6" s="1"/>
  <c r="J144" i="6"/>
  <c r="P144" i="6" s="1"/>
  <c r="T144" i="6" s="1"/>
  <c r="AS41" i="6" s="1"/>
  <c r="AM40" i="6"/>
  <c r="H174" i="7"/>
  <c r="Z174" i="7" s="1"/>
  <c r="AF174" i="7" s="1"/>
  <c r="AV174" i="7" s="1"/>
  <c r="Z160" i="7"/>
  <c r="AF160" i="7" s="1"/>
  <c r="AV160" i="7" s="1"/>
  <c r="H161" i="7"/>
  <c r="H162" i="7" s="1"/>
  <c r="H163" i="7" s="1"/>
  <c r="H164" i="7" s="1"/>
  <c r="H165" i="7" s="1"/>
  <c r="H166" i="7" s="1"/>
  <c r="H167" i="7" s="1"/>
  <c r="H168" i="7" s="1"/>
  <c r="H169" i="7" s="1"/>
  <c r="H170" i="7" s="1"/>
  <c r="H171" i="7" s="1"/>
  <c r="J97" i="6" l="1"/>
  <c r="P97" i="6" s="1"/>
  <c r="T97" i="6" s="1"/>
  <c r="AM28" i="6" s="1"/>
  <c r="J131" i="6"/>
  <c r="P131" i="6" s="1"/>
  <c r="T131" i="6" s="1"/>
  <c r="AS28" i="6" s="1"/>
  <c r="J111" i="6"/>
  <c r="P111" i="6" s="1"/>
  <c r="T111" i="6" s="1"/>
  <c r="AM42" i="6" s="1"/>
  <c r="J145" i="6"/>
  <c r="P145" i="6" s="1"/>
  <c r="T145" i="6" s="1"/>
  <c r="AS42" i="6" s="1"/>
  <c r="H175" i="7"/>
  <c r="Z175" i="7" s="1"/>
  <c r="AF175" i="7" s="1"/>
  <c r="AV175" i="7" s="1"/>
  <c r="Z162" i="7"/>
  <c r="AF162" i="7" s="1"/>
  <c r="AV162" i="7" s="1"/>
  <c r="Z161" i="7"/>
  <c r="AF161" i="7" s="1"/>
  <c r="AV161" i="7" s="1"/>
  <c r="Z163" i="7"/>
  <c r="AF163" i="7" s="1"/>
  <c r="AV163" i="7" s="1"/>
  <c r="H176" i="7" l="1"/>
  <c r="J112" i="6"/>
  <c r="P112" i="6" s="1"/>
  <c r="T112" i="6" s="1"/>
  <c r="J146" i="6"/>
  <c r="P146" i="6" s="1"/>
  <c r="T146" i="6" s="1"/>
  <c r="AS43" i="6" s="1"/>
  <c r="J100" i="6"/>
  <c r="P100" i="6" s="1"/>
  <c r="T100" i="6" s="1"/>
  <c r="AM31" i="6" s="1"/>
  <c r="J134" i="6"/>
  <c r="P134" i="6" s="1"/>
  <c r="T134" i="6" s="1"/>
  <c r="AS31" i="6" s="1"/>
  <c r="J99" i="6"/>
  <c r="P99" i="6" s="1"/>
  <c r="T99" i="6" s="1"/>
  <c r="AM30" i="6" s="1"/>
  <c r="J133" i="6"/>
  <c r="P133" i="6" s="1"/>
  <c r="T133" i="6" s="1"/>
  <c r="AS30" i="6" s="1"/>
  <c r="J98" i="6"/>
  <c r="P98" i="6" s="1"/>
  <c r="T98" i="6" s="1"/>
  <c r="AM29" i="6" s="1"/>
  <c r="J132" i="6"/>
  <c r="P132" i="6" s="1"/>
  <c r="T132" i="6" s="1"/>
  <c r="AS29" i="6" s="1"/>
  <c r="AM43" i="6"/>
  <c r="Z164" i="7"/>
  <c r="AF164" i="7" s="1"/>
  <c r="AV164" i="7" s="1"/>
  <c r="H177" i="7"/>
  <c r="Z176" i="7"/>
  <c r="AF176" i="7" s="1"/>
  <c r="AV176" i="7" s="1"/>
  <c r="J113" i="6" l="1"/>
  <c r="P113" i="6" s="1"/>
  <c r="T113" i="6" s="1"/>
  <c r="J147" i="6"/>
  <c r="P147" i="6" s="1"/>
  <c r="T147" i="6" s="1"/>
  <c r="AS44" i="6" s="1"/>
  <c r="J101" i="6"/>
  <c r="P101" i="6" s="1"/>
  <c r="T101" i="6" s="1"/>
  <c r="AM32" i="6" s="1"/>
  <c r="J135" i="6"/>
  <c r="P135" i="6" s="1"/>
  <c r="T135" i="6" s="1"/>
  <c r="AS32" i="6" s="1"/>
  <c r="AM44" i="6"/>
  <c r="Z177" i="7"/>
  <c r="AF177" i="7" s="1"/>
  <c r="AV177" i="7" s="1"/>
  <c r="H178" i="7"/>
  <c r="Z165" i="7"/>
  <c r="AF165" i="7" s="1"/>
  <c r="AV165" i="7" s="1"/>
  <c r="J114" i="6" l="1"/>
  <c r="P114" i="6" s="1"/>
  <c r="T114" i="6" s="1"/>
  <c r="J148" i="6"/>
  <c r="P148" i="6" s="1"/>
  <c r="T148" i="6" s="1"/>
  <c r="AS45" i="6" s="1"/>
  <c r="J102" i="6"/>
  <c r="P102" i="6" s="1"/>
  <c r="T102" i="6" s="1"/>
  <c r="AM33" i="6" s="1"/>
  <c r="J136" i="6"/>
  <c r="P136" i="6" s="1"/>
  <c r="T136" i="6" s="1"/>
  <c r="AS33" i="6" s="1"/>
  <c r="AM45" i="6"/>
  <c r="Z166" i="7"/>
  <c r="AF166" i="7" s="1"/>
  <c r="AV166" i="7" s="1"/>
  <c r="Z178" i="7"/>
  <c r="AF178" i="7" s="1"/>
  <c r="AV178" i="7" s="1"/>
  <c r="H179" i="7"/>
  <c r="J103" i="6" l="1"/>
  <c r="P103" i="6" s="1"/>
  <c r="T103" i="6" s="1"/>
  <c r="J137" i="6"/>
  <c r="P137" i="6" s="1"/>
  <c r="T137" i="6" s="1"/>
  <c r="AS34" i="6" s="1"/>
  <c r="J115" i="6"/>
  <c r="P115" i="6" s="1"/>
  <c r="T115" i="6" s="1"/>
  <c r="AM46" i="6" s="1"/>
  <c r="J149" i="6"/>
  <c r="P149" i="6" s="1"/>
  <c r="T149" i="6" s="1"/>
  <c r="AS46" i="6" s="1"/>
  <c r="AM34" i="6"/>
  <c r="Z179" i="7"/>
  <c r="AF179" i="7" s="1"/>
  <c r="AV179" i="7" s="1"/>
  <c r="H180" i="7"/>
  <c r="Z167" i="7"/>
  <c r="AF167" i="7" s="1"/>
  <c r="AV167" i="7" s="1"/>
  <c r="J116" i="6" l="1"/>
  <c r="P116" i="6" s="1"/>
  <c r="T116" i="6" s="1"/>
  <c r="J150" i="6"/>
  <c r="P150" i="6" s="1"/>
  <c r="T150" i="6" s="1"/>
  <c r="AS47" i="6" s="1"/>
  <c r="J104" i="6"/>
  <c r="P104" i="6" s="1"/>
  <c r="T104" i="6" s="1"/>
  <c r="AM35" i="6" s="1"/>
  <c r="J138" i="6"/>
  <c r="P138" i="6" s="1"/>
  <c r="T138" i="6" s="1"/>
  <c r="AS35" i="6" s="1"/>
  <c r="AM47" i="6"/>
  <c r="H181" i="7"/>
  <c r="Z180" i="7"/>
  <c r="AF180" i="7" s="1"/>
  <c r="AV180" i="7" s="1"/>
  <c r="Z168" i="7"/>
  <c r="AF168" i="7" s="1"/>
  <c r="AV168" i="7" s="1"/>
  <c r="J117" i="6" l="1"/>
  <c r="P117" i="6" s="1"/>
  <c r="T117" i="6" s="1"/>
  <c r="J151" i="6"/>
  <c r="P151" i="6" s="1"/>
  <c r="T151" i="6" s="1"/>
  <c r="AS48" i="6" s="1"/>
  <c r="J105" i="6"/>
  <c r="P105" i="6" s="1"/>
  <c r="T105" i="6" s="1"/>
  <c r="AM36" i="6" s="1"/>
  <c r="J139" i="6"/>
  <c r="P139" i="6" s="1"/>
  <c r="T139" i="6" s="1"/>
  <c r="AS36" i="6" s="1"/>
  <c r="AM48" i="6"/>
  <c r="Z169" i="7"/>
  <c r="AF169" i="7" s="1"/>
  <c r="AV169" i="7" s="1"/>
  <c r="Z181" i="7"/>
  <c r="AF181" i="7" s="1"/>
  <c r="AV181" i="7" s="1"/>
  <c r="H182" i="7"/>
  <c r="J106" i="6" l="1"/>
  <c r="P106" i="6" s="1"/>
  <c r="T106" i="6" s="1"/>
  <c r="AM37" i="6" s="1"/>
  <c r="J140" i="6"/>
  <c r="P140" i="6" s="1"/>
  <c r="T140" i="6" s="1"/>
  <c r="AS37" i="6" s="1"/>
  <c r="J118" i="6"/>
  <c r="P118" i="6" s="1"/>
  <c r="T118" i="6" s="1"/>
  <c r="AM49" i="6" s="1"/>
  <c r="J152" i="6"/>
  <c r="P152" i="6" s="1"/>
  <c r="T152" i="6" s="1"/>
  <c r="AS49" i="6" s="1"/>
  <c r="H183" i="7"/>
  <c r="Z182" i="7"/>
  <c r="AF182" i="7" s="1"/>
  <c r="AV182" i="7" s="1"/>
  <c r="Z171" i="7"/>
  <c r="AF171" i="7" s="1"/>
  <c r="AV171" i="7" s="1"/>
  <c r="Z170" i="7"/>
  <c r="AF170" i="7" s="1"/>
  <c r="AV170" i="7" s="1"/>
  <c r="J119" i="6" l="1"/>
  <c r="P119" i="6" s="1"/>
  <c r="T119" i="6" s="1"/>
  <c r="AM50" i="6" s="1"/>
  <c r="J153" i="6"/>
  <c r="P153" i="6" s="1"/>
  <c r="T153" i="6" s="1"/>
  <c r="AS50" i="6" s="1"/>
  <c r="J107" i="6"/>
  <c r="P107" i="6" s="1"/>
  <c r="T107" i="6" s="1"/>
  <c r="AM38" i="6" s="1"/>
  <c r="J141" i="6"/>
  <c r="P141" i="6" s="1"/>
  <c r="T141" i="6" s="1"/>
  <c r="AS38" i="6" s="1"/>
  <c r="J108" i="6"/>
  <c r="P108" i="6" s="1"/>
  <c r="T108" i="6" s="1"/>
  <c r="AM39" i="6" s="1"/>
  <c r="J142" i="6"/>
  <c r="P142" i="6" s="1"/>
  <c r="T142" i="6" s="1"/>
  <c r="AS39" i="6" s="1"/>
  <c r="Z183" i="7"/>
  <c r="AF183" i="7" s="1"/>
  <c r="AV183" i="7" s="1"/>
  <c r="H184" i="7"/>
  <c r="J120" i="6" l="1"/>
  <c r="P120" i="6" s="1"/>
  <c r="T120" i="6" s="1"/>
  <c r="AM51" i="6" s="1"/>
  <c r="J154" i="6"/>
  <c r="P154" i="6" s="1"/>
  <c r="T154" i="6" s="1"/>
  <c r="AS51" i="6" s="1"/>
  <c r="H185" i="7"/>
  <c r="Z184" i="7"/>
  <c r="AF184" i="7" s="1"/>
  <c r="AV184" i="7" s="1"/>
  <c r="J121" i="6" l="1"/>
  <c r="P121" i="6" s="1"/>
  <c r="T121" i="6" s="1"/>
  <c r="AM52" i="6" s="1"/>
  <c r="J155" i="6"/>
  <c r="P155" i="6" s="1"/>
  <c r="T155" i="6" s="1"/>
  <c r="AS52" i="6" s="1"/>
  <c r="H186" i="7"/>
  <c r="Z185" i="7"/>
  <c r="AF185" i="7" s="1"/>
  <c r="AV185" i="7" s="1"/>
  <c r="J122" i="6" l="1"/>
  <c r="P122" i="6" s="1"/>
  <c r="T122" i="6" s="1"/>
  <c r="AM53" i="6" s="1"/>
  <c r="J156" i="6"/>
  <c r="P156" i="6" s="1"/>
  <c r="T156" i="6" s="1"/>
  <c r="AS53" i="6" s="1"/>
  <c r="Z186" i="7"/>
  <c r="AF186" i="7" s="1"/>
  <c r="AV186" i="7" s="1"/>
  <c r="H187" i="7"/>
  <c r="J123" i="6" l="1"/>
  <c r="P123" i="6" s="1"/>
  <c r="T123" i="6" s="1"/>
  <c r="J157" i="6"/>
  <c r="P157" i="6" s="1"/>
  <c r="T157" i="6" s="1"/>
  <c r="AS54" i="6" s="1"/>
  <c r="AM54" i="6"/>
  <c r="Z187" i="7"/>
  <c r="AF187" i="7" s="1"/>
  <c r="AV187" i="7" s="1"/>
  <c r="H188" i="7"/>
  <c r="J124" i="6" l="1"/>
  <c r="P124" i="6" s="1"/>
  <c r="T124" i="6" s="1"/>
  <c r="J158" i="6"/>
  <c r="P158" i="6" s="1"/>
  <c r="T158" i="6" s="1"/>
  <c r="AS55" i="6" s="1"/>
  <c r="AM55" i="6"/>
  <c r="H189" i="7"/>
  <c r="Z188" i="7"/>
  <c r="AF188" i="7" s="1"/>
  <c r="AV188" i="7" s="1"/>
  <c r="J125" i="6" l="1"/>
  <c r="P125" i="6" s="1"/>
  <c r="T125" i="6" s="1"/>
  <c r="J159" i="6"/>
  <c r="P159" i="6" s="1"/>
  <c r="T159" i="6" s="1"/>
  <c r="AS56" i="6" s="1"/>
  <c r="AM56" i="6"/>
  <c r="Z189" i="7"/>
  <c r="AF189" i="7" s="1"/>
  <c r="AV189" i="7" s="1"/>
  <c r="H190" i="7"/>
  <c r="J126" i="6" l="1"/>
  <c r="P126" i="6" s="1"/>
  <c r="T126" i="6" s="1"/>
  <c r="AM57" i="6" s="1"/>
  <c r="J160" i="6"/>
  <c r="P160" i="6" s="1"/>
  <c r="T160" i="6" s="1"/>
  <c r="AS57" i="6" s="1"/>
  <c r="H191" i="7"/>
  <c r="Z190" i="7"/>
  <c r="AF190" i="7" s="1"/>
  <c r="AV190" i="7" s="1"/>
  <c r="J127" i="6" l="1"/>
  <c r="P127" i="6" s="1"/>
  <c r="T127" i="6" s="1"/>
  <c r="AM58" i="6" s="1"/>
  <c r="J161" i="6"/>
  <c r="P161" i="6" s="1"/>
  <c r="T161" i="6" s="1"/>
  <c r="AS58" i="6" s="1"/>
  <c r="Z191" i="7"/>
  <c r="AF191" i="7" s="1"/>
  <c r="AV191" i="7" s="1"/>
  <c r="H192" i="7"/>
  <c r="J128" i="6" l="1"/>
  <c r="P128" i="6" s="1"/>
  <c r="T128" i="6" s="1"/>
  <c r="AM59" i="6" s="1"/>
  <c r="J162" i="6"/>
  <c r="P162" i="6" s="1"/>
  <c r="T162" i="6" s="1"/>
  <c r="AS59" i="6" s="1"/>
  <c r="Z192" i="7"/>
  <c r="AF192" i="7" s="1"/>
  <c r="AV192" i="7" s="1"/>
  <c r="J129" i="6" l="1"/>
  <c r="P129" i="6" s="1"/>
  <c r="T129" i="6" s="1"/>
  <c r="J163" i="6"/>
  <c r="P163" i="6" s="1"/>
  <c r="T163" i="6" s="1"/>
  <c r="AS60" i="6" s="1"/>
  <c r="AM60" i="6"/>
  <c r="R260" i="1"/>
  <c r="O87" i="19" s="1"/>
  <c r="Q87" i="19" s="1"/>
  <c r="R259" i="1"/>
  <c r="O86" i="19" s="1"/>
  <c r="Q86" i="19" s="1"/>
  <c r="S86" i="19" l="1"/>
  <c r="U86" i="19" s="1"/>
  <c r="V86" i="19" s="1"/>
  <c r="R86" i="19"/>
  <c r="T86" i="19" s="1"/>
  <c r="R87" i="19"/>
  <c r="S87" i="19"/>
  <c r="H260" i="1"/>
  <c r="BI86" i="19" l="1"/>
  <c r="BL86" i="19" s="1"/>
  <c r="BN86" i="19" s="1"/>
  <c r="C199" i="6" s="1"/>
  <c r="L199" i="6" s="1"/>
  <c r="Q199" i="6" s="1"/>
  <c r="BB86" i="19"/>
  <c r="U87" i="19"/>
  <c r="V87" i="19" s="1"/>
  <c r="T87" i="19"/>
  <c r="H261" i="1"/>
  <c r="R261" i="1"/>
  <c r="O88" i="19" s="1"/>
  <c r="Q88" i="19" s="1"/>
  <c r="BI87" i="19" l="1"/>
  <c r="BL87" i="19" s="1"/>
  <c r="BN87" i="19" s="1"/>
  <c r="C200" i="6" s="1"/>
  <c r="L200" i="6" s="1"/>
  <c r="Q200" i="6" s="1"/>
  <c r="BB87" i="19"/>
  <c r="BB28" i="6"/>
  <c r="S88" i="19"/>
  <c r="U88" i="19" s="1"/>
  <c r="V88" i="19" s="1"/>
  <c r="R88" i="19"/>
  <c r="T88" i="19" s="1"/>
  <c r="H262" i="1"/>
  <c r="R262" i="1"/>
  <c r="O89" i="19" s="1"/>
  <c r="Q89" i="19" s="1"/>
  <c r="BI88" i="19" l="1"/>
  <c r="BL88" i="19" s="1"/>
  <c r="BN88" i="19" s="1"/>
  <c r="C201" i="6" s="1"/>
  <c r="L201" i="6" s="1"/>
  <c r="Q201" i="6" s="1"/>
  <c r="BB88" i="19"/>
  <c r="BB29" i="6"/>
  <c r="S89" i="19"/>
  <c r="U89" i="19" s="1"/>
  <c r="V89" i="19" s="1"/>
  <c r="R89" i="19"/>
  <c r="T89" i="19" s="1"/>
  <c r="R263" i="1"/>
  <c r="O90" i="19" s="1"/>
  <c r="Q90" i="19" s="1"/>
  <c r="H263" i="1"/>
  <c r="BI89" i="19" l="1"/>
  <c r="BL89" i="19" s="1"/>
  <c r="BN89" i="19" s="1"/>
  <c r="C202" i="6" s="1"/>
  <c r="L202" i="6" s="1"/>
  <c r="Q202" i="6" s="1"/>
  <c r="BB89" i="19"/>
  <c r="BB30" i="6"/>
  <c r="S90" i="19"/>
  <c r="U90" i="19" s="1"/>
  <c r="V90" i="19" s="1"/>
  <c r="R90" i="19"/>
  <c r="T90" i="19" s="1"/>
  <c r="R264" i="1"/>
  <c r="O91" i="19" s="1"/>
  <c r="Q91" i="19" s="1"/>
  <c r="H264" i="1"/>
  <c r="BI90" i="19" l="1"/>
  <c r="BL90" i="19" s="1"/>
  <c r="BN90" i="19" s="1"/>
  <c r="C203" i="6" s="1"/>
  <c r="L203" i="6" s="1"/>
  <c r="Q203" i="6" s="1"/>
  <c r="BB90" i="19"/>
  <c r="BB31" i="6"/>
  <c r="R91" i="19"/>
  <c r="T91" i="19" s="1"/>
  <c r="S91" i="19"/>
  <c r="U91" i="19" s="1"/>
  <c r="V91" i="19" s="1"/>
  <c r="H265" i="1"/>
  <c r="R265" i="1"/>
  <c r="O92" i="19" s="1"/>
  <c r="Q92" i="19" s="1"/>
  <c r="BI91" i="19" l="1"/>
  <c r="BL91" i="19" s="1"/>
  <c r="BN91" i="19" s="1"/>
  <c r="C204" i="6" s="1"/>
  <c r="L204" i="6" s="1"/>
  <c r="Q204" i="6" s="1"/>
  <c r="BB91" i="19"/>
  <c r="BB32" i="6"/>
  <c r="S92" i="19"/>
  <c r="U92" i="19" s="1"/>
  <c r="V92" i="19" s="1"/>
  <c r="R92" i="19"/>
  <c r="T92" i="19" s="1"/>
  <c r="H266" i="1"/>
  <c r="R266" i="1"/>
  <c r="O93" i="19" s="1"/>
  <c r="Q93" i="19" s="1"/>
  <c r="BB92" i="19" l="1"/>
  <c r="BI92" i="19"/>
  <c r="BL92" i="19" s="1"/>
  <c r="BN92" i="19" s="1"/>
  <c r="C205" i="6" s="1"/>
  <c r="L205" i="6" s="1"/>
  <c r="Q205" i="6" s="1"/>
  <c r="BB33" i="6"/>
  <c r="S93" i="19"/>
  <c r="U93" i="19" s="1"/>
  <c r="V93" i="19" s="1"/>
  <c r="R93" i="19"/>
  <c r="T93" i="19" s="1"/>
  <c r="R267" i="1"/>
  <c r="O94" i="19" s="1"/>
  <c r="Q94" i="19" s="1"/>
  <c r="H267" i="1"/>
  <c r="BB34" i="6" l="1"/>
  <c r="BI93" i="19"/>
  <c r="BL93" i="19" s="1"/>
  <c r="BN93" i="19" s="1"/>
  <c r="C206" i="6" s="1"/>
  <c r="L206" i="6" s="1"/>
  <c r="Q206" i="6" s="1"/>
  <c r="BB93" i="19"/>
  <c r="R94" i="19"/>
  <c r="T94" i="19" s="1"/>
  <c r="S94" i="19"/>
  <c r="U94" i="19" s="1"/>
  <c r="V94" i="19" s="1"/>
  <c r="R268" i="1"/>
  <c r="O95" i="19" s="1"/>
  <c r="Q95" i="19" s="1"/>
  <c r="H268" i="1"/>
  <c r="BB35" i="6" l="1"/>
  <c r="BI94" i="19"/>
  <c r="BL94" i="19" s="1"/>
  <c r="BN94" i="19" s="1"/>
  <c r="C207" i="6" s="1"/>
  <c r="L207" i="6" s="1"/>
  <c r="Q207" i="6" s="1"/>
  <c r="BB94" i="19"/>
  <c r="R95" i="19"/>
  <c r="T95" i="19" s="1"/>
  <c r="S95" i="19"/>
  <c r="U95" i="19" s="1"/>
  <c r="V95" i="19" s="1"/>
  <c r="H269" i="1"/>
  <c r="R269" i="1"/>
  <c r="O96" i="19" s="1"/>
  <c r="Q96" i="19" s="1"/>
  <c r="BB36" i="6" l="1"/>
  <c r="BI95" i="19"/>
  <c r="BL95" i="19" s="1"/>
  <c r="BN95" i="19" s="1"/>
  <c r="C208" i="6" s="1"/>
  <c r="L208" i="6" s="1"/>
  <c r="Q208" i="6" s="1"/>
  <c r="BB95" i="19"/>
  <c r="R96" i="19"/>
  <c r="T96" i="19" s="1"/>
  <c r="S96" i="19"/>
  <c r="U96" i="19" s="1"/>
  <c r="V96" i="19" s="1"/>
  <c r="H270" i="1"/>
  <c r="R270" i="1"/>
  <c r="O97" i="19" s="1"/>
  <c r="Q97" i="19" s="1"/>
  <c r="BB37" i="6" l="1"/>
  <c r="BI96" i="19"/>
  <c r="BL96" i="19" s="1"/>
  <c r="BN96" i="19" s="1"/>
  <c r="C209" i="6" s="1"/>
  <c r="L209" i="6" s="1"/>
  <c r="Q209" i="6" s="1"/>
  <c r="BB96" i="19"/>
  <c r="S97" i="19"/>
  <c r="U97" i="19" s="1"/>
  <c r="V97" i="19" s="1"/>
  <c r="R97" i="19"/>
  <c r="T97" i="19" s="1"/>
  <c r="BB38" i="6" l="1"/>
  <c r="BI97" i="19"/>
  <c r="BL97" i="19" s="1"/>
  <c r="BN97" i="19" s="1"/>
  <c r="C210" i="6" s="1"/>
  <c r="L210" i="6" s="1"/>
  <c r="Q210" i="6" s="1"/>
  <c r="BB97" i="19"/>
  <c r="U98" i="19"/>
  <c r="V98" i="19" s="1"/>
  <c r="T98" i="19"/>
  <c r="BB39" i="6" l="1"/>
  <c r="BI98" i="19"/>
  <c r="BL98" i="19" s="1"/>
  <c r="BN98" i="19" s="1"/>
  <c r="C211" i="6" s="1"/>
  <c r="L211" i="6" s="1"/>
  <c r="Q211" i="6" s="1"/>
  <c r="BB98" i="19"/>
  <c r="U99" i="19"/>
  <c r="V99" i="19" s="1"/>
  <c r="T99" i="19"/>
  <c r="BB40" i="6" l="1"/>
  <c r="BI99" i="19"/>
  <c r="BL99" i="19" s="1"/>
  <c r="BN99" i="19" s="1"/>
  <c r="C212" i="6" s="1"/>
  <c r="L212" i="6" s="1"/>
  <c r="Q212" i="6" s="1"/>
  <c r="BB99" i="19"/>
  <c r="U100" i="19"/>
  <c r="V100" i="19" s="1"/>
  <c r="T100" i="19"/>
  <c r="BB41" i="6" l="1"/>
  <c r="BB100" i="19"/>
  <c r="BI100" i="19"/>
  <c r="BL100" i="19" s="1"/>
  <c r="BN100" i="19" s="1"/>
  <c r="C213" i="6" s="1"/>
  <c r="L213" i="6" s="1"/>
  <c r="Q213" i="6" s="1"/>
  <c r="T101" i="19"/>
  <c r="U101" i="19"/>
  <c r="V101" i="19" s="1"/>
  <c r="BB42" i="6" l="1"/>
  <c r="BI101" i="19"/>
  <c r="BL101" i="19" s="1"/>
  <c r="BN101" i="19" s="1"/>
  <c r="C214" i="6" s="1"/>
  <c r="L214" i="6" s="1"/>
  <c r="Q214" i="6" s="1"/>
  <c r="BB101" i="19"/>
  <c r="U102" i="19"/>
  <c r="V102" i="19" s="1"/>
  <c r="T102" i="19"/>
  <c r="BB43" i="6" l="1"/>
  <c r="BI102" i="19"/>
  <c r="BL102" i="19" s="1"/>
  <c r="BN102" i="19" s="1"/>
  <c r="C215" i="6" s="1"/>
  <c r="L215" i="6" s="1"/>
  <c r="Q215" i="6" s="1"/>
  <c r="BB102" i="19"/>
  <c r="T103" i="19"/>
  <c r="U103" i="19"/>
  <c r="V103" i="19" s="1"/>
  <c r="BB44" i="6" l="1"/>
  <c r="BI103" i="19"/>
  <c r="BL103" i="19" s="1"/>
  <c r="BN103" i="19" s="1"/>
  <c r="C216" i="6" s="1"/>
  <c r="L216" i="6" s="1"/>
  <c r="Q216" i="6" s="1"/>
  <c r="BB103" i="19"/>
  <c r="U104" i="19"/>
  <c r="V104" i="19" s="1"/>
  <c r="T104" i="19"/>
  <c r="BB45" i="6" l="1"/>
  <c r="BI104" i="19"/>
  <c r="BL104" i="19" s="1"/>
  <c r="BN104" i="19" s="1"/>
  <c r="C217" i="6" s="1"/>
  <c r="L217" i="6" s="1"/>
  <c r="Q217" i="6" s="1"/>
  <c r="BB104" i="19"/>
  <c r="U105" i="19"/>
  <c r="V105" i="19" s="1"/>
  <c r="T105" i="19"/>
  <c r="BB46" i="6" l="1"/>
  <c r="BB105" i="19"/>
  <c r="BI105" i="19"/>
  <c r="BL105" i="19" s="1"/>
  <c r="BN105" i="19" s="1"/>
  <c r="C218" i="6" s="1"/>
  <c r="L218" i="6" s="1"/>
  <c r="Q218" i="6" s="1"/>
  <c r="U106" i="19"/>
  <c r="V106" i="19" s="1"/>
  <c r="T106" i="19"/>
  <c r="BB47" i="6" l="1"/>
  <c r="BB106" i="19"/>
  <c r="BI106" i="19"/>
  <c r="BL106" i="19" s="1"/>
  <c r="BN106" i="19" s="1"/>
  <c r="C219" i="6" s="1"/>
  <c r="L219" i="6" s="1"/>
  <c r="Q219" i="6" s="1"/>
  <c r="U107" i="19"/>
  <c r="V107" i="19" s="1"/>
  <c r="T107" i="19"/>
  <c r="BB107" i="19" l="1"/>
  <c r="BI107" i="19"/>
  <c r="BL107" i="19" s="1"/>
  <c r="BN107" i="19" s="1"/>
  <c r="C220" i="6" s="1"/>
  <c r="L220" i="6" s="1"/>
  <c r="Q220" i="6" s="1"/>
  <c r="BB48" i="6"/>
  <c r="T108" i="19"/>
  <c r="U108" i="19"/>
  <c r="V108" i="19" s="1"/>
  <c r="BB49" i="6" l="1"/>
  <c r="BI108" i="19"/>
  <c r="BL108" i="19" s="1"/>
  <c r="BN108" i="19" s="1"/>
  <c r="C221" i="6" s="1"/>
  <c r="L221" i="6" s="1"/>
  <c r="Q221" i="6" s="1"/>
  <c r="BB108" i="19"/>
  <c r="U109" i="19"/>
  <c r="V109" i="19" s="1"/>
  <c r="T109" i="19"/>
  <c r="BB50" i="6" l="1"/>
  <c r="BB109" i="19"/>
  <c r="BI109" i="19"/>
  <c r="BL109" i="19" s="1"/>
  <c r="BN109" i="19" s="1"/>
  <c r="C222" i="6" s="1"/>
  <c r="L222" i="6" s="1"/>
  <c r="Q222" i="6" s="1"/>
  <c r="U110" i="19"/>
  <c r="V110" i="19" s="1"/>
  <c r="T110" i="19"/>
  <c r="BB51" i="6" l="1"/>
  <c r="BI110" i="19"/>
  <c r="BL110" i="19" s="1"/>
  <c r="BN110" i="19" s="1"/>
  <c r="C223" i="6" s="1"/>
  <c r="L223" i="6" s="1"/>
  <c r="Q223" i="6" s="1"/>
  <c r="BB110" i="19"/>
  <c r="T111" i="19"/>
  <c r="U111" i="19"/>
  <c r="V111" i="19" s="1"/>
  <c r="BB52" i="6" l="1"/>
  <c r="BB111" i="19"/>
  <c r="BI111" i="19"/>
  <c r="BL111" i="19" s="1"/>
  <c r="BN111" i="19" s="1"/>
  <c r="C224" i="6" s="1"/>
  <c r="L224" i="6" s="1"/>
  <c r="Q224" i="6" s="1"/>
  <c r="T112" i="19"/>
  <c r="U112" i="19"/>
  <c r="V112" i="19" s="1"/>
  <c r="BI112" i="19" l="1"/>
  <c r="BL112" i="19" s="1"/>
  <c r="BN112" i="19" s="1"/>
  <c r="C225" i="6" s="1"/>
  <c r="L225" i="6" s="1"/>
  <c r="Q225" i="6" s="1"/>
  <c r="BB112" i="19"/>
  <c r="BB53" i="6"/>
  <c r="U113" i="19"/>
  <c r="V113" i="19" s="1"/>
  <c r="T113" i="19"/>
  <c r="BB113" i="19" l="1"/>
  <c r="BI113" i="19"/>
  <c r="BL113" i="19" s="1"/>
  <c r="BN113" i="19" s="1"/>
  <c r="C226" i="6" s="1"/>
  <c r="L226" i="6" s="1"/>
  <c r="Q226" i="6" s="1"/>
  <c r="BB54" i="6"/>
  <c r="T114" i="19"/>
  <c r="U114" i="19"/>
  <c r="V114" i="19" s="1"/>
  <c r="BB114" i="19" l="1"/>
  <c r="BI114" i="19"/>
  <c r="BL114" i="19" s="1"/>
  <c r="BN114" i="19" s="1"/>
  <c r="C227" i="6" s="1"/>
  <c r="L227" i="6" s="1"/>
  <c r="Q227" i="6" s="1"/>
  <c r="BB55" i="6"/>
  <c r="U115" i="19"/>
  <c r="V115" i="19" s="1"/>
  <c r="T115" i="19"/>
  <c r="BB56" i="6" l="1"/>
  <c r="BB115" i="19"/>
  <c r="BI115" i="19"/>
  <c r="BL115" i="19" s="1"/>
  <c r="BN115" i="19" s="1"/>
  <c r="C228" i="6" s="1"/>
  <c r="L228" i="6" s="1"/>
  <c r="Q228" i="6" s="1"/>
  <c r="T116" i="19"/>
  <c r="U116" i="19"/>
  <c r="V116" i="19" s="1"/>
  <c r="BI116" i="19" l="1"/>
  <c r="BL116" i="19" s="1"/>
  <c r="BN116" i="19" s="1"/>
  <c r="C229" i="6" s="1"/>
  <c r="L229" i="6" s="1"/>
  <c r="Q229" i="6" s="1"/>
  <c r="BB116" i="19"/>
  <c r="BB57" i="6"/>
  <c r="U117" i="19"/>
  <c r="V117" i="19" s="1"/>
  <c r="T117" i="19"/>
  <c r="BB117" i="19" l="1"/>
  <c r="BI117" i="19"/>
  <c r="BL117" i="19" s="1"/>
  <c r="BN117" i="19" s="1"/>
  <c r="C230" i="6" s="1"/>
  <c r="L230" i="6" s="1"/>
  <c r="Q230" i="6" s="1"/>
  <c r="BB58" i="6"/>
  <c r="U118" i="19"/>
  <c r="V118" i="19" s="1"/>
  <c r="T118" i="19"/>
  <c r="BB59" i="6" l="1"/>
  <c r="BI118" i="19"/>
  <c r="BL118" i="19" s="1"/>
  <c r="BN118" i="19" s="1"/>
  <c r="C231" i="6" s="1"/>
  <c r="L231" i="6" s="1"/>
  <c r="Q231" i="6" s="1"/>
  <c r="BB118" i="19"/>
  <c r="K160" i="16"/>
  <c r="M160" i="16" s="1"/>
  <c r="K161" i="16"/>
  <c r="K165" i="16"/>
  <c r="K153" i="16"/>
  <c r="K167" i="16"/>
  <c r="M167" i="16" s="1"/>
  <c r="K151" i="16"/>
  <c r="K159" i="16"/>
  <c r="P159" i="16" s="1"/>
  <c r="Q159" i="16" s="1"/>
  <c r="K150" i="16"/>
  <c r="K154" i="16"/>
  <c r="P154" i="16" s="1"/>
  <c r="Q154" i="16" s="1"/>
  <c r="K156" i="16"/>
  <c r="K163" i="16"/>
  <c r="P163" i="16" s="1"/>
  <c r="Q163" i="16" s="1"/>
  <c r="K155" i="16"/>
  <c r="P155" i="16" s="1"/>
  <c r="Q155" i="16" s="1"/>
  <c r="K149" i="16"/>
  <c r="P149" i="16" s="1"/>
  <c r="Q149" i="16" s="1"/>
  <c r="R149" i="16" s="1"/>
  <c r="S149" i="16" s="1"/>
  <c r="K162" i="16"/>
  <c r="P162" i="16" s="1"/>
  <c r="Q162" i="16" s="1"/>
  <c r="K157" i="16"/>
  <c r="P157" i="16" s="1"/>
  <c r="Q157" i="16" s="1"/>
  <c r="K166" i="16"/>
  <c r="M166" i="16" s="1"/>
  <c r="K152" i="16"/>
  <c r="P152" i="16" s="1"/>
  <c r="Q152" i="16" s="1"/>
  <c r="K168" i="16"/>
  <c r="P168" i="16" s="1"/>
  <c r="Q168" i="16" s="1"/>
  <c r="K148" i="16"/>
  <c r="M148" i="16" s="1"/>
  <c r="K164" i="16"/>
  <c r="M164" i="16" s="1"/>
  <c r="K158" i="16"/>
  <c r="P158" i="16" s="1"/>
  <c r="Q158" i="16" s="1"/>
  <c r="K177" i="16"/>
  <c r="K176" i="16"/>
  <c r="M176" i="16" s="1"/>
  <c r="R158" i="16" l="1"/>
  <c r="S158" i="16" s="1"/>
  <c r="R155" i="16"/>
  <c r="S155" i="16" s="1"/>
  <c r="R157" i="16"/>
  <c r="S157" i="16" s="1"/>
  <c r="R163" i="16"/>
  <c r="S163" i="16" s="1"/>
  <c r="R159" i="16"/>
  <c r="S159" i="16" s="1"/>
  <c r="R168" i="16"/>
  <c r="S168" i="16" s="1"/>
  <c r="R162" i="16"/>
  <c r="S162" i="16" s="1"/>
  <c r="R152" i="16"/>
  <c r="S152" i="16" s="1"/>
  <c r="R154" i="16"/>
  <c r="S154" i="16" s="1"/>
  <c r="V149" i="16"/>
  <c r="U149" i="16"/>
  <c r="CC109" i="16" s="1"/>
  <c r="CG41" i="6" s="1"/>
  <c r="T149" i="16"/>
  <c r="BB60" i="6"/>
  <c r="M154" i="16"/>
  <c r="P160" i="16"/>
  <c r="Q160" i="16" s="1"/>
  <c r="P148" i="16"/>
  <c r="Q148" i="16" s="1"/>
  <c r="R148" i="16" s="1"/>
  <c r="S148" i="16" s="1"/>
  <c r="P177" i="16"/>
  <c r="Q177" i="16" s="1"/>
  <c r="M177" i="16"/>
  <c r="M165" i="16"/>
  <c r="P165" i="16"/>
  <c r="Q165" i="16" s="1"/>
  <c r="P176" i="16"/>
  <c r="Q176" i="16" s="1"/>
  <c r="M158" i="16"/>
  <c r="M152" i="16"/>
  <c r="M157" i="16"/>
  <c r="M149" i="16"/>
  <c r="M163" i="16"/>
  <c r="P151" i="16"/>
  <c r="Q151" i="16" s="1"/>
  <c r="M151" i="16"/>
  <c r="P161" i="16"/>
  <c r="Q161" i="16" s="1"/>
  <c r="M161" i="16"/>
  <c r="P166" i="16"/>
  <c r="Q166" i="16" s="1"/>
  <c r="K136" i="16"/>
  <c r="P150" i="16"/>
  <c r="Q150" i="16" s="1"/>
  <c r="M150" i="16"/>
  <c r="P164" i="16"/>
  <c r="Q164" i="16" s="1"/>
  <c r="M168" i="16"/>
  <c r="M162" i="16"/>
  <c r="M155" i="16"/>
  <c r="P156" i="16"/>
  <c r="Q156" i="16" s="1"/>
  <c r="M156" i="16"/>
  <c r="M159" i="16"/>
  <c r="P153" i="16"/>
  <c r="Q153" i="16" s="1"/>
  <c r="M153" i="16"/>
  <c r="P167" i="16"/>
  <c r="Q167" i="16" s="1"/>
  <c r="AO41" i="6" l="1"/>
  <c r="BA41" i="6"/>
  <c r="R153" i="16"/>
  <c r="S153" i="16" s="1"/>
  <c r="R150" i="16"/>
  <c r="S150" i="16" s="1"/>
  <c r="R161" i="16"/>
  <c r="S161" i="16" s="1"/>
  <c r="R164" i="16"/>
  <c r="S164" i="16" s="1"/>
  <c r="R167" i="16"/>
  <c r="S167" i="16" s="1"/>
  <c r="R165" i="16"/>
  <c r="S165" i="16" s="1"/>
  <c r="V152" i="16"/>
  <c r="U152" i="16"/>
  <c r="CC112" i="16" s="1"/>
  <c r="CG44" i="6" s="1"/>
  <c r="T152" i="16"/>
  <c r="V168" i="16"/>
  <c r="U168" i="16"/>
  <c r="CC128" i="16" s="1"/>
  <c r="CG60" i="6" s="1"/>
  <c r="T168" i="16"/>
  <c r="V163" i="16"/>
  <c r="U163" i="16"/>
  <c r="CC123" i="16" s="1"/>
  <c r="CG55" i="6" s="1"/>
  <c r="T163" i="16"/>
  <c r="V155" i="16"/>
  <c r="U155" i="16"/>
  <c r="CC115" i="16" s="1"/>
  <c r="CG47" i="6" s="1"/>
  <c r="T155" i="16"/>
  <c r="R156" i="16"/>
  <c r="S156" i="16" s="1"/>
  <c r="R166" i="16"/>
  <c r="S166" i="16" s="1"/>
  <c r="R151" i="16"/>
  <c r="S151" i="16" s="1"/>
  <c r="R160" i="16"/>
  <c r="S160" i="16" s="1"/>
  <c r="U154" i="16"/>
  <c r="CC114" i="16" s="1"/>
  <c r="CG46" i="6" s="1"/>
  <c r="T154" i="16"/>
  <c r="V154" i="16"/>
  <c r="U162" i="16"/>
  <c r="CC122" i="16" s="1"/>
  <c r="CG54" i="6" s="1"/>
  <c r="T162" i="16"/>
  <c r="V162" i="16"/>
  <c r="V159" i="16"/>
  <c r="U159" i="16"/>
  <c r="CC119" i="16" s="1"/>
  <c r="CG51" i="6" s="1"/>
  <c r="T159" i="16"/>
  <c r="U157" i="16"/>
  <c r="CC117" i="16" s="1"/>
  <c r="CG49" i="6" s="1"/>
  <c r="T157" i="16"/>
  <c r="V157" i="16"/>
  <c r="U158" i="16"/>
  <c r="CC118" i="16" s="1"/>
  <c r="CG50" i="6" s="1"/>
  <c r="T158" i="16"/>
  <c r="V158" i="16"/>
  <c r="R176" i="16"/>
  <c r="S176" i="16" s="1"/>
  <c r="R177" i="16"/>
  <c r="S177" i="16" s="1"/>
  <c r="Y149" i="16"/>
  <c r="AB149" i="16"/>
  <c r="W149" i="16"/>
  <c r="BV109" i="16" s="1"/>
  <c r="BO41" i="6" s="1"/>
  <c r="AA149" i="16"/>
  <c r="Z149" i="16"/>
  <c r="K163" i="9" s="1"/>
  <c r="X149" i="16"/>
  <c r="U148" i="16"/>
  <c r="CC108" i="16" s="1"/>
  <c r="CG40" i="6" s="1"/>
  <c r="T148" i="16"/>
  <c r="V148" i="16"/>
  <c r="K137" i="16"/>
  <c r="K178" i="16"/>
  <c r="M136" i="16"/>
  <c r="P136" i="16"/>
  <c r="Q136" i="16" s="1"/>
  <c r="AO44" i="6" l="1"/>
  <c r="BA44" i="6"/>
  <c r="BA49" i="6"/>
  <c r="AO49" i="6"/>
  <c r="BA51" i="6"/>
  <c r="AO51" i="6"/>
  <c r="BA47" i="6"/>
  <c r="AO47" i="6"/>
  <c r="AO54" i="6"/>
  <c r="BA54" i="6"/>
  <c r="AO55" i="6"/>
  <c r="BA55" i="6"/>
  <c r="BA50" i="6"/>
  <c r="AO50" i="6"/>
  <c r="AO46" i="6"/>
  <c r="BA46" i="6"/>
  <c r="BA60" i="6"/>
  <c r="AO60" i="6"/>
  <c r="AO40" i="6"/>
  <c r="BA40" i="6"/>
  <c r="Y159" i="16"/>
  <c r="W159" i="16"/>
  <c r="BV119" i="16" s="1"/>
  <c r="BO51" i="6" s="1"/>
  <c r="AB159" i="16"/>
  <c r="Z159" i="16"/>
  <c r="K173" i="9" s="1"/>
  <c r="AA159" i="16"/>
  <c r="X159" i="16"/>
  <c r="Y162" i="16"/>
  <c r="W162" i="16"/>
  <c r="BV122" i="16" s="1"/>
  <c r="BO54" i="6" s="1"/>
  <c r="AB162" i="16"/>
  <c r="Z162" i="16"/>
  <c r="K176" i="9" s="1"/>
  <c r="AA162" i="16"/>
  <c r="X162" i="16"/>
  <c r="Y163" i="16"/>
  <c r="AB163" i="16"/>
  <c r="W163" i="16"/>
  <c r="BV123" i="16" s="1"/>
  <c r="BO55" i="6" s="1"/>
  <c r="Z163" i="16"/>
  <c r="AA163" i="16"/>
  <c r="X163" i="16"/>
  <c r="V160" i="16"/>
  <c r="U160" i="16"/>
  <c r="CC120" i="16" s="1"/>
  <c r="CG52" i="6" s="1"/>
  <c r="T160" i="16"/>
  <c r="U166" i="16"/>
  <c r="CC126" i="16" s="1"/>
  <c r="CG58" i="6" s="1"/>
  <c r="T166" i="16"/>
  <c r="V166" i="16"/>
  <c r="Y155" i="16"/>
  <c r="AB155" i="16"/>
  <c r="W155" i="16"/>
  <c r="BV115" i="16" s="1"/>
  <c r="BO47" i="6" s="1"/>
  <c r="Z155" i="16"/>
  <c r="K169" i="9" s="1"/>
  <c r="AA155" i="16"/>
  <c r="X155" i="16"/>
  <c r="U165" i="16"/>
  <c r="CC125" i="16" s="1"/>
  <c r="CG57" i="6" s="1"/>
  <c r="T165" i="16"/>
  <c r="V165" i="16"/>
  <c r="V164" i="16"/>
  <c r="T164" i="16"/>
  <c r="U164" i="16"/>
  <c r="CC124" i="16" s="1"/>
  <c r="CG56" i="6" s="1"/>
  <c r="U150" i="16"/>
  <c r="CC110" i="16" s="1"/>
  <c r="CG42" i="6" s="1"/>
  <c r="T150" i="16"/>
  <c r="V150" i="16"/>
  <c r="Y157" i="16"/>
  <c r="W157" i="16"/>
  <c r="BV117" i="16" s="1"/>
  <c r="BO49" i="6" s="1"/>
  <c r="AB157" i="16"/>
  <c r="AA157" i="16"/>
  <c r="Z157" i="16"/>
  <c r="K171" i="9" s="1"/>
  <c r="X157" i="16"/>
  <c r="Y152" i="16"/>
  <c r="AB152" i="16"/>
  <c r="W152" i="16"/>
  <c r="BV112" i="16" s="1"/>
  <c r="BO44" i="6" s="1"/>
  <c r="AA152" i="16"/>
  <c r="Z152" i="16"/>
  <c r="K166" i="9" s="1"/>
  <c r="X152" i="16"/>
  <c r="Y158" i="16"/>
  <c r="Z158" i="16"/>
  <c r="K172" i="9" s="1"/>
  <c r="AB158" i="16"/>
  <c r="W158" i="16"/>
  <c r="BV118" i="16" s="1"/>
  <c r="BO50" i="6" s="1"/>
  <c r="AA158" i="16"/>
  <c r="X158" i="16"/>
  <c r="Y154" i="16"/>
  <c r="AB154" i="16"/>
  <c r="W154" i="16"/>
  <c r="BV114" i="16" s="1"/>
  <c r="BO46" i="6" s="1"/>
  <c r="Z154" i="16"/>
  <c r="K168" i="9" s="1"/>
  <c r="AA154" i="16"/>
  <c r="X154" i="16"/>
  <c r="V151" i="16"/>
  <c r="U151" i="16"/>
  <c r="CC111" i="16" s="1"/>
  <c r="CG43" i="6" s="1"/>
  <c r="T151" i="16"/>
  <c r="V156" i="16"/>
  <c r="U156" i="16"/>
  <c r="CC116" i="16" s="1"/>
  <c r="CG48" i="6" s="1"/>
  <c r="T156" i="16"/>
  <c r="Y168" i="16"/>
  <c r="AB168" i="16"/>
  <c r="Z168" i="16"/>
  <c r="K182" i="9" s="1"/>
  <c r="W168" i="16"/>
  <c r="BV128" i="16" s="1"/>
  <c r="BO60" i="6" s="1"/>
  <c r="AA168" i="16"/>
  <c r="X168" i="16"/>
  <c r="V167" i="16"/>
  <c r="U167" i="16"/>
  <c r="CC127" i="16" s="1"/>
  <c r="CG59" i="6" s="1"/>
  <c r="T167" i="16"/>
  <c r="U161" i="16"/>
  <c r="CC121" i="16" s="1"/>
  <c r="CG53" i="6" s="1"/>
  <c r="T161" i="16"/>
  <c r="V161" i="16"/>
  <c r="U153" i="16"/>
  <c r="CC113" i="16" s="1"/>
  <c r="CG45" i="6" s="1"/>
  <c r="T153" i="16"/>
  <c r="V153" i="16"/>
  <c r="Y148" i="16"/>
  <c r="AB148" i="16"/>
  <c r="Z148" i="16"/>
  <c r="K162" i="9" s="1"/>
  <c r="X148" i="16"/>
  <c r="W148" i="16"/>
  <c r="BV108" i="16" s="1"/>
  <c r="BO40" i="6" s="1"/>
  <c r="AA148" i="16"/>
  <c r="V177" i="16"/>
  <c r="U177" i="16"/>
  <c r="CE97" i="16" s="1"/>
  <c r="CI29" i="6" s="1"/>
  <c r="T177" i="16"/>
  <c r="R136" i="16"/>
  <c r="S136" i="16" s="1"/>
  <c r="AC149" i="16"/>
  <c r="AI149" i="16" s="1"/>
  <c r="P163" i="9"/>
  <c r="T163" i="9" s="1"/>
  <c r="D110" i="6" s="1"/>
  <c r="M110" i="6" s="1"/>
  <c r="Q163" i="9"/>
  <c r="U163" i="9" s="1"/>
  <c r="E110" i="6" s="1"/>
  <c r="S163" i="9"/>
  <c r="W163" i="9" s="1"/>
  <c r="F110" i="6" s="1"/>
  <c r="V176" i="16"/>
  <c r="U176" i="16"/>
  <c r="CE96" i="16" s="1"/>
  <c r="CI28" i="6" s="1"/>
  <c r="T176" i="16"/>
  <c r="P137" i="16"/>
  <c r="Q137" i="16" s="1"/>
  <c r="M137" i="16"/>
  <c r="K179" i="16"/>
  <c r="M178" i="16"/>
  <c r="P178" i="16"/>
  <c r="Q178" i="16" s="1"/>
  <c r="K138" i="16"/>
  <c r="AC152" i="16" l="1"/>
  <c r="AF152" i="16" s="1"/>
  <c r="AI152" i="16"/>
  <c r="BA42" i="6"/>
  <c r="AO42" i="6"/>
  <c r="AO45" i="6"/>
  <c r="BA45" i="6"/>
  <c r="AO56" i="6"/>
  <c r="BA56" i="6"/>
  <c r="AO58" i="6"/>
  <c r="BA58" i="6"/>
  <c r="BA48" i="6"/>
  <c r="AO48" i="6"/>
  <c r="BA52" i="6"/>
  <c r="AO52" i="6"/>
  <c r="AC158" i="16"/>
  <c r="AH158" i="16" s="1"/>
  <c r="AO57" i="6"/>
  <c r="BA57" i="6"/>
  <c r="BA53" i="6"/>
  <c r="AO53" i="6"/>
  <c r="BA59" i="6"/>
  <c r="AO59" i="6"/>
  <c r="AO43" i="6"/>
  <c r="BA43" i="6"/>
  <c r="BG29" i="6"/>
  <c r="AU29" i="6"/>
  <c r="AC148" i="16"/>
  <c r="AH148" i="16" s="1"/>
  <c r="BG28" i="6"/>
  <c r="AU28" i="6"/>
  <c r="AH152" i="16"/>
  <c r="AE149" i="16"/>
  <c r="X99" i="18" s="1"/>
  <c r="AA99" i="18" s="1"/>
  <c r="AG149" i="16"/>
  <c r="AH149" i="16"/>
  <c r="AG152" i="16"/>
  <c r="AC159" i="16"/>
  <c r="AG159" i="16" s="1"/>
  <c r="AG158" i="16"/>
  <c r="AF149" i="16"/>
  <c r="AE152" i="16"/>
  <c r="S182" i="9"/>
  <c r="W182" i="9" s="1"/>
  <c r="F129" i="6" s="1"/>
  <c r="Q182" i="9"/>
  <c r="U182" i="9" s="1"/>
  <c r="E129" i="6" s="1"/>
  <c r="P182" i="9"/>
  <c r="T182" i="9" s="1"/>
  <c r="D129" i="6" s="1"/>
  <c r="M129" i="6" s="1"/>
  <c r="Y156" i="16"/>
  <c r="W156" i="16"/>
  <c r="BV116" i="16" s="1"/>
  <c r="BO48" i="6" s="1"/>
  <c r="AB156" i="16"/>
  <c r="Z156" i="16"/>
  <c r="K170" i="9" s="1"/>
  <c r="AA156" i="16"/>
  <c r="X156" i="16"/>
  <c r="AD158" i="16"/>
  <c r="P171" i="9"/>
  <c r="T171" i="9" s="1"/>
  <c r="D118" i="6" s="1"/>
  <c r="M118" i="6" s="1"/>
  <c r="S171" i="9"/>
  <c r="W171" i="9" s="1"/>
  <c r="F118" i="6" s="1"/>
  <c r="Q171" i="9"/>
  <c r="U171" i="9" s="1"/>
  <c r="E118" i="6" s="1"/>
  <c r="Y164" i="16"/>
  <c r="W164" i="16"/>
  <c r="BV124" i="16" s="1"/>
  <c r="BO56" i="6" s="1"/>
  <c r="AB164" i="16"/>
  <c r="Z164" i="16"/>
  <c r="K178" i="9" s="1"/>
  <c r="AA164" i="16"/>
  <c r="X164" i="16"/>
  <c r="P169" i="9"/>
  <c r="T169" i="9" s="1"/>
  <c r="D116" i="6" s="1"/>
  <c r="M116" i="6" s="1"/>
  <c r="Q169" i="9"/>
  <c r="U169" i="9" s="1"/>
  <c r="E116" i="6" s="1"/>
  <c r="S169" i="9"/>
  <c r="W169" i="9" s="1"/>
  <c r="F116" i="6" s="1"/>
  <c r="Y160" i="16"/>
  <c r="W160" i="16"/>
  <c r="BV120" i="16" s="1"/>
  <c r="BO52" i="6" s="1"/>
  <c r="AB160" i="16"/>
  <c r="Z160" i="16"/>
  <c r="AA160" i="16"/>
  <c r="X160" i="16"/>
  <c r="K177" i="9"/>
  <c r="P173" i="9"/>
  <c r="T173" i="9" s="1"/>
  <c r="D120" i="6" s="1"/>
  <c r="M120" i="6" s="1"/>
  <c r="Q173" i="9"/>
  <c r="U173" i="9" s="1"/>
  <c r="E120" i="6" s="1"/>
  <c r="S173" i="9"/>
  <c r="W173" i="9" s="1"/>
  <c r="F120" i="6" s="1"/>
  <c r="Y161" i="16"/>
  <c r="W161" i="16"/>
  <c r="BV121" i="16" s="1"/>
  <c r="BO53" i="6" s="1"/>
  <c r="AB161" i="16"/>
  <c r="Z161" i="16"/>
  <c r="K175" i="9" s="1"/>
  <c r="AA161" i="16"/>
  <c r="X161" i="16"/>
  <c r="AC168" i="16"/>
  <c r="AD152" i="16"/>
  <c r="BW112" i="16"/>
  <c r="BP44" i="6" s="1"/>
  <c r="Y165" i="16"/>
  <c r="AB165" i="16"/>
  <c r="W165" i="16"/>
  <c r="BV125" i="16" s="1"/>
  <c r="BO57" i="6" s="1"/>
  <c r="AA165" i="16"/>
  <c r="Z165" i="16"/>
  <c r="K179" i="9" s="1"/>
  <c r="X165" i="16"/>
  <c r="AC162" i="16"/>
  <c r="Y153" i="16"/>
  <c r="AB153" i="16"/>
  <c r="W153" i="16"/>
  <c r="BV113" i="16" s="1"/>
  <c r="BO45" i="6" s="1"/>
  <c r="Z153" i="16"/>
  <c r="K167" i="9" s="1"/>
  <c r="AA153" i="16"/>
  <c r="X153" i="16"/>
  <c r="AC154" i="16"/>
  <c r="AF154" i="16" s="1"/>
  <c r="S166" i="9"/>
  <c r="W166" i="9" s="1"/>
  <c r="F113" i="6" s="1"/>
  <c r="P166" i="9"/>
  <c r="T166" i="9" s="1"/>
  <c r="D113" i="6" s="1"/>
  <c r="M113" i="6" s="1"/>
  <c r="Q166" i="9"/>
  <c r="U166" i="9" s="1"/>
  <c r="E113" i="6" s="1"/>
  <c r="AC155" i="16"/>
  <c r="Y166" i="16"/>
  <c r="AB166" i="16"/>
  <c r="W166" i="16"/>
  <c r="BV126" i="16" s="1"/>
  <c r="BO58" i="6" s="1"/>
  <c r="Z166" i="16"/>
  <c r="K180" i="9" s="1"/>
  <c r="AA166" i="16"/>
  <c r="X166" i="16"/>
  <c r="AC163" i="16"/>
  <c r="AG163" i="16" s="1"/>
  <c r="S176" i="9"/>
  <c r="W176" i="9" s="1"/>
  <c r="F123" i="6" s="1"/>
  <c r="Q176" i="9"/>
  <c r="U176" i="9" s="1"/>
  <c r="E123" i="6" s="1"/>
  <c r="P176" i="9"/>
  <c r="T176" i="9" s="1"/>
  <c r="D123" i="6" s="1"/>
  <c r="M123" i="6" s="1"/>
  <c r="Y167" i="16"/>
  <c r="W167" i="16"/>
  <c r="BV127" i="16" s="1"/>
  <c r="BO59" i="6" s="1"/>
  <c r="AB167" i="16"/>
  <c r="Z167" i="16"/>
  <c r="AA167" i="16"/>
  <c r="X167" i="16"/>
  <c r="Y151" i="16"/>
  <c r="AB151" i="16"/>
  <c r="W151" i="16"/>
  <c r="BV111" i="16" s="1"/>
  <c r="BO43" i="6" s="1"/>
  <c r="Z151" i="16"/>
  <c r="K165" i="9" s="1"/>
  <c r="AA151" i="16"/>
  <c r="X151" i="16"/>
  <c r="S168" i="9"/>
  <c r="W168" i="9" s="1"/>
  <c r="F115" i="6" s="1"/>
  <c r="Q168" i="9"/>
  <c r="U168" i="9" s="1"/>
  <c r="E115" i="6" s="1"/>
  <c r="P168" i="9"/>
  <c r="T168" i="9" s="1"/>
  <c r="D115" i="6" s="1"/>
  <c r="M115" i="6" s="1"/>
  <c r="S172" i="9"/>
  <c r="W172" i="9" s="1"/>
  <c r="F119" i="6" s="1"/>
  <c r="Q172" i="9"/>
  <c r="U172" i="9" s="1"/>
  <c r="E119" i="6" s="1"/>
  <c r="P172" i="9"/>
  <c r="T172" i="9" s="1"/>
  <c r="D119" i="6" s="1"/>
  <c r="M119" i="6" s="1"/>
  <c r="AC157" i="16"/>
  <c r="Y150" i="16"/>
  <c r="AB150" i="16"/>
  <c r="W150" i="16"/>
  <c r="BV110" i="16" s="1"/>
  <c r="BO42" i="6" s="1"/>
  <c r="Z150" i="16"/>
  <c r="AA150" i="16"/>
  <c r="X150" i="16"/>
  <c r="AF155" i="16"/>
  <c r="R178" i="16"/>
  <c r="S178" i="16" s="1"/>
  <c r="AD149" i="16"/>
  <c r="BW109" i="16"/>
  <c r="BP41" i="6" s="1"/>
  <c r="Y177" i="16"/>
  <c r="AB177" i="16"/>
  <c r="W177" i="16"/>
  <c r="BY97" i="16" s="1"/>
  <c r="BR29" i="6" s="1"/>
  <c r="AA177" i="16"/>
  <c r="Z177" i="16"/>
  <c r="K185" i="9" s="1"/>
  <c r="X177" i="16"/>
  <c r="S162" i="9"/>
  <c r="W162" i="9" s="1"/>
  <c r="F109" i="6" s="1"/>
  <c r="P162" i="9"/>
  <c r="T162" i="9" s="1"/>
  <c r="D109" i="6" s="1"/>
  <c r="M109" i="6" s="1"/>
  <c r="Q162" i="9"/>
  <c r="U162" i="9" s="1"/>
  <c r="E109" i="6" s="1"/>
  <c r="R137" i="16"/>
  <c r="S137" i="16" s="1"/>
  <c r="N110" i="6"/>
  <c r="R110" i="6" s="1"/>
  <c r="AK41" i="6" s="1"/>
  <c r="U136" i="16"/>
  <c r="CC96" i="16" s="1"/>
  <c r="CG28" i="6" s="1"/>
  <c r="T136" i="16"/>
  <c r="V136" i="16"/>
  <c r="AB176" i="16"/>
  <c r="Z176" i="16"/>
  <c r="K184" i="9" s="1"/>
  <c r="AA176" i="16"/>
  <c r="Y176" i="16"/>
  <c r="W176" i="16"/>
  <c r="BY96" i="16" s="1"/>
  <c r="BR28" i="6" s="1"/>
  <c r="X176" i="16"/>
  <c r="K139" i="16"/>
  <c r="X102" i="18"/>
  <c r="AA102" i="18" s="1"/>
  <c r="K180" i="16"/>
  <c r="P138" i="16"/>
  <c r="Q138" i="16" s="1"/>
  <c r="M138" i="16"/>
  <c r="M179" i="16"/>
  <c r="P179" i="16"/>
  <c r="Q179" i="16" s="1"/>
  <c r="AE158" i="16" l="1"/>
  <c r="X108" i="18" s="1"/>
  <c r="AA108" i="18" s="1"/>
  <c r="AC108" i="18" s="1"/>
  <c r="AF158" i="16"/>
  <c r="AI158" i="16"/>
  <c r="AD159" i="16"/>
  <c r="AI148" i="16"/>
  <c r="AE148" i="16"/>
  <c r="BW108" i="16" s="1"/>
  <c r="AG148" i="16"/>
  <c r="AJ148" i="16" s="1"/>
  <c r="AI159" i="16"/>
  <c r="AF148" i="16"/>
  <c r="AD148" i="16"/>
  <c r="BA28" i="6"/>
  <c r="AO28" i="6"/>
  <c r="N116" i="6"/>
  <c r="N113" i="6"/>
  <c r="R113" i="6" s="1"/>
  <c r="AK44" i="6" s="1"/>
  <c r="AJ152" i="16"/>
  <c r="N129" i="6"/>
  <c r="AC176" i="16"/>
  <c r="AF176" i="16" s="1"/>
  <c r="N119" i="6"/>
  <c r="R119" i="6" s="1"/>
  <c r="AK50" i="6" s="1"/>
  <c r="N118" i="6"/>
  <c r="R118" i="6" s="1"/>
  <c r="AK49" i="6" s="1"/>
  <c r="AJ149" i="16"/>
  <c r="AC161" i="16"/>
  <c r="AH161" i="16" s="1"/>
  <c r="AC160" i="16"/>
  <c r="AH160" i="16" s="1"/>
  <c r="AC164" i="16"/>
  <c r="AG164" i="16" s="1"/>
  <c r="AH159" i="16"/>
  <c r="AF159" i="16"/>
  <c r="AE159" i="16"/>
  <c r="AC150" i="16"/>
  <c r="AG150" i="16" s="1"/>
  <c r="AC151" i="16"/>
  <c r="AI151" i="16" s="1"/>
  <c r="K181" i="9"/>
  <c r="N123" i="6"/>
  <c r="R123" i="6" s="1"/>
  <c r="AK54" i="6" s="1"/>
  <c r="AC166" i="16"/>
  <c r="AI166" i="16" s="1"/>
  <c r="AC153" i="16"/>
  <c r="AD162" i="16"/>
  <c r="AE162" i="16"/>
  <c r="AH162" i="16"/>
  <c r="AF162" i="16"/>
  <c r="AI162" i="16"/>
  <c r="AG162" i="16"/>
  <c r="P175" i="9"/>
  <c r="T175" i="9" s="1"/>
  <c r="D122" i="6" s="1"/>
  <c r="M122" i="6" s="1"/>
  <c r="Q175" i="9"/>
  <c r="U175" i="9" s="1"/>
  <c r="E122" i="6" s="1"/>
  <c r="S175" i="9"/>
  <c r="W175" i="9" s="1"/>
  <c r="F122" i="6" s="1"/>
  <c r="K174" i="9"/>
  <c r="AC156" i="16"/>
  <c r="AH156" i="16" s="1"/>
  <c r="N109" i="6"/>
  <c r="R109" i="6" s="1"/>
  <c r="AK40" i="6" s="1"/>
  <c r="K164" i="9"/>
  <c r="AD157" i="16"/>
  <c r="AG157" i="16"/>
  <c r="AE157" i="16"/>
  <c r="BW117" i="16" s="1"/>
  <c r="AH157" i="16"/>
  <c r="AF157" i="16"/>
  <c r="S180" i="9"/>
  <c r="W180" i="9" s="1"/>
  <c r="F127" i="6" s="1"/>
  <c r="Q180" i="9"/>
  <c r="U180" i="9" s="1"/>
  <c r="E127" i="6" s="1"/>
  <c r="P180" i="9"/>
  <c r="T180" i="9" s="1"/>
  <c r="D127" i="6" s="1"/>
  <c r="M127" i="6" s="1"/>
  <c r="AD155" i="16"/>
  <c r="AE155" i="16"/>
  <c r="BW115" i="16" s="1"/>
  <c r="AI155" i="16"/>
  <c r="AG155" i="16"/>
  <c r="AH155" i="16"/>
  <c r="AC165" i="16"/>
  <c r="AI165" i="16" s="1"/>
  <c r="AD168" i="16"/>
  <c r="AH168" i="16"/>
  <c r="AF168" i="16"/>
  <c r="AI168" i="16"/>
  <c r="AG168" i="16"/>
  <c r="AE168" i="16"/>
  <c r="BW128" i="16" s="1"/>
  <c r="P177" i="9"/>
  <c r="T177" i="9" s="1"/>
  <c r="D124" i="6" s="1"/>
  <c r="M124" i="6" s="1"/>
  <c r="S177" i="9"/>
  <c r="W177" i="9" s="1"/>
  <c r="F124" i="6" s="1"/>
  <c r="Q177" i="9"/>
  <c r="U177" i="9" s="1"/>
  <c r="E124" i="6" s="1"/>
  <c r="S178" i="9"/>
  <c r="W178" i="9" s="1"/>
  <c r="F125" i="6" s="1"/>
  <c r="Q178" i="9"/>
  <c r="U178" i="9" s="1"/>
  <c r="E125" i="6" s="1"/>
  <c r="P178" i="9"/>
  <c r="T178" i="9" s="1"/>
  <c r="D125" i="6" s="1"/>
  <c r="M125" i="6" s="1"/>
  <c r="S170" i="9"/>
  <c r="W170" i="9" s="1"/>
  <c r="F117" i="6" s="1"/>
  <c r="Q170" i="9"/>
  <c r="U170" i="9" s="1"/>
  <c r="E117" i="6" s="1"/>
  <c r="P170" i="9"/>
  <c r="T170" i="9" s="1"/>
  <c r="D117" i="6" s="1"/>
  <c r="M117" i="6" s="1"/>
  <c r="R129" i="6"/>
  <c r="AK60" i="6" s="1"/>
  <c r="N115" i="6"/>
  <c r="R115" i="6" s="1"/>
  <c r="AK46" i="6" s="1"/>
  <c r="P165" i="9"/>
  <c r="T165" i="9" s="1"/>
  <c r="D112" i="6" s="1"/>
  <c r="M112" i="6" s="1"/>
  <c r="S165" i="9"/>
  <c r="W165" i="9" s="1"/>
  <c r="F112" i="6" s="1"/>
  <c r="Q165" i="9"/>
  <c r="U165" i="9" s="1"/>
  <c r="E112" i="6" s="1"/>
  <c r="AC167" i="16"/>
  <c r="AD163" i="16"/>
  <c r="AE163" i="16"/>
  <c r="BW123" i="16" s="1"/>
  <c r="AI163" i="16"/>
  <c r="AH163" i="16"/>
  <c r="AF163" i="16"/>
  <c r="AI157" i="16"/>
  <c r="P167" i="9"/>
  <c r="T167" i="9" s="1"/>
  <c r="D114" i="6" s="1"/>
  <c r="M114" i="6" s="1"/>
  <c r="Q167" i="9"/>
  <c r="U167" i="9" s="1"/>
  <c r="E114" i="6" s="1"/>
  <c r="S167" i="9"/>
  <c r="W167" i="9" s="1"/>
  <c r="F114" i="6" s="1"/>
  <c r="P179" i="9"/>
  <c r="T179" i="9" s="1"/>
  <c r="D126" i="6" s="1"/>
  <c r="M126" i="6" s="1"/>
  <c r="Q179" i="9"/>
  <c r="U179" i="9" s="1"/>
  <c r="E126" i="6" s="1"/>
  <c r="S179" i="9"/>
  <c r="W179" i="9" s="1"/>
  <c r="F126" i="6" s="1"/>
  <c r="N120" i="6"/>
  <c r="R120" i="6" s="1"/>
  <c r="AK51" i="6" s="1"/>
  <c r="AE160" i="16"/>
  <c r="BW120" i="16" s="1"/>
  <c r="R116" i="6"/>
  <c r="AK47" i="6" s="1"/>
  <c r="AD154" i="16"/>
  <c r="AH154" i="16"/>
  <c r="AE154" i="16"/>
  <c r="BW114" i="16" s="1"/>
  <c r="AI154" i="16"/>
  <c r="AG154" i="16"/>
  <c r="P184" i="9"/>
  <c r="T184" i="9" s="1"/>
  <c r="D131" i="6" s="1"/>
  <c r="M131" i="6" s="1"/>
  <c r="Q184" i="9"/>
  <c r="U184" i="9" s="1"/>
  <c r="E131" i="6" s="1"/>
  <c r="S184" i="9"/>
  <c r="W184" i="9" s="1"/>
  <c r="F131" i="6" s="1"/>
  <c r="V137" i="16"/>
  <c r="U137" i="16"/>
  <c r="CC97" i="16" s="1"/>
  <c r="CG29" i="6" s="1"/>
  <c r="T137" i="16"/>
  <c r="R138" i="16"/>
  <c r="S138" i="16" s="1"/>
  <c r="BP40" i="6"/>
  <c r="Y136" i="16"/>
  <c r="AB136" i="16"/>
  <c r="Z136" i="16"/>
  <c r="K150" i="9" s="1"/>
  <c r="W136" i="16"/>
  <c r="BV96" i="16" s="1"/>
  <c r="BO28" i="6" s="1"/>
  <c r="AA136" i="16"/>
  <c r="X136" i="16"/>
  <c r="R179" i="16"/>
  <c r="S179" i="16" s="1"/>
  <c r="AC177" i="16"/>
  <c r="P185" i="9"/>
  <c r="T185" i="9" s="1"/>
  <c r="D132" i="6" s="1"/>
  <c r="M132" i="6" s="1"/>
  <c r="S185" i="9"/>
  <c r="W185" i="9" s="1"/>
  <c r="F132" i="6" s="1"/>
  <c r="Q185" i="9"/>
  <c r="U185" i="9" s="1"/>
  <c r="E132" i="6" s="1"/>
  <c r="V178" i="16"/>
  <c r="U178" i="16"/>
  <c r="CE98" i="16" s="1"/>
  <c r="CI30" i="6" s="1"/>
  <c r="T178" i="16"/>
  <c r="X98" i="18"/>
  <c r="AA98" i="18" s="1"/>
  <c r="AC98" i="18" s="1"/>
  <c r="K181" i="16"/>
  <c r="P180" i="16"/>
  <c r="Q180" i="16" s="1"/>
  <c r="M180" i="16"/>
  <c r="AC102" i="18"/>
  <c r="AB102" i="18"/>
  <c r="AC99" i="18"/>
  <c r="AB99" i="18"/>
  <c r="K140" i="16"/>
  <c r="M139" i="16"/>
  <c r="P139" i="16"/>
  <c r="Q139" i="16" s="1"/>
  <c r="AB108" i="18" l="1"/>
  <c r="AJ158" i="16"/>
  <c r="BW118" i="16"/>
  <c r="BP50" i="6" s="1"/>
  <c r="AI160" i="16"/>
  <c r="AF160" i="16"/>
  <c r="BA29" i="6"/>
  <c r="AO29" i="6"/>
  <c r="AH176" i="16"/>
  <c r="AD176" i="16"/>
  <c r="AG176" i="16"/>
  <c r="BG30" i="6"/>
  <c r="AU30" i="6"/>
  <c r="AE176" i="16"/>
  <c r="AH86" i="18" s="1"/>
  <c r="AK86" i="18" s="1"/>
  <c r="AL86" i="18" s="1"/>
  <c r="AN86" i="18" s="1"/>
  <c r="AI176" i="16"/>
  <c r="AF151" i="16"/>
  <c r="AD160" i="16"/>
  <c r="N127" i="6"/>
  <c r="R127" i="6" s="1"/>
  <c r="AK58" i="6" s="1"/>
  <c r="AG160" i="16"/>
  <c r="AJ160" i="16" s="1"/>
  <c r="AD164" i="16"/>
  <c r="N117" i="6"/>
  <c r="R117" i="6" s="1"/>
  <c r="AK48" i="6" s="1"/>
  <c r="AF164" i="16"/>
  <c r="BW119" i="16"/>
  <c r="BP51" i="6" s="1"/>
  <c r="X109" i="18"/>
  <c r="AA109" i="18" s="1"/>
  <c r="AJ159" i="16"/>
  <c r="AG161" i="16"/>
  <c r="AD161" i="16"/>
  <c r="N122" i="6"/>
  <c r="R122" i="6" s="1"/>
  <c r="AK53" i="6" s="1"/>
  <c r="AE164" i="16"/>
  <c r="AH164" i="16"/>
  <c r="AF161" i="16"/>
  <c r="AI161" i="16"/>
  <c r="AE161" i="16"/>
  <c r="N125" i="6"/>
  <c r="R125" i="6" s="1"/>
  <c r="AK56" i="6" s="1"/>
  <c r="N124" i="6"/>
  <c r="R124" i="6" s="1"/>
  <c r="AK55" i="6" s="1"/>
  <c r="AI164" i="16"/>
  <c r="N126" i="6"/>
  <c r="R126" i="6" s="1"/>
  <c r="AK57" i="6" s="1"/>
  <c r="AD167" i="16"/>
  <c r="AI167" i="16"/>
  <c r="AF167" i="16"/>
  <c r="AH167" i="16"/>
  <c r="AE167" i="16"/>
  <c r="S174" i="9"/>
  <c r="W174" i="9" s="1"/>
  <c r="F121" i="6" s="1"/>
  <c r="Q174" i="9"/>
  <c r="U174" i="9" s="1"/>
  <c r="E121" i="6" s="1"/>
  <c r="P174" i="9"/>
  <c r="T174" i="9" s="1"/>
  <c r="D121" i="6" s="1"/>
  <c r="M121" i="6" s="1"/>
  <c r="X112" i="18"/>
  <c r="AA112" i="18" s="1"/>
  <c r="AJ162" i="16"/>
  <c r="P181" i="9"/>
  <c r="T181" i="9" s="1"/>
  <c r="D128" i="6" s="1"/>
  <c r="M128" i="6" s="1"/>
  <c r="Q181" i="9"/>
  <c r="U181" i="9" s="1"/>
  <c r="E128" i="6" s="1"/>
  <c r="S181" i="9"/>
  <c r="W181" i="9" s="1"/>
  <c r="F128" i="6" s="1"/>
  <c r="N132" i="6"/>
  <c r="R132" i="6" s="1"/>
  <c r="AQ29" i="6" s="1"/>
  <c r="BP55" i="6"/>
  <c r="X113" i="18"/>
  <c r="AA113" i="18" s="1"/>
  <c r="AJ163" i="16"/>
  <c r="N112" i="6"/>
  <c r="R112" i="6" s="1"/>
  <c r="AK43" i="6" s="1"/>
  <c r="BP49" i="6"/>
  <c r="AJ157" i="16"/>
  <c r="X107" i="18"/>
  <c r="AA107" i="18" s="1"/>
  <c r="AD156" i="16"/>
  <c r="AG156" i="16"/>
  <c r="AI156" i="16"/>
  <c r="AF156" i="16"/>
  <c r="AE156" i="16"/>
  <c r="BW122" i="16"/>
  <c r="BP54" i="6" s="1"/>
  <c r="AD166" i="16"/>
  <c r="AF166" i="16"/>
  <c r="AE166" i="16"/>
  <c r="BW126" i="16" s="1"/>
  <c r="AG166" i="16"/>
  <c r="AH166" i="16"/>
  <c r="BP46" i="6"/>
  <c r="AJ154" i="16"/>
  <c r="X104" i="18"/>
  <c r="AA104" i="18" s="1"/>
  <c r="S164" i="9"/>
  <c r="W164" i="9" s="1"/>
  <c r="F111" i="6" s="1"/>
  <c r="P164" i="9"/>
  <c r="T164" i="9" s="1"/>
  <c r="D111" i="6" s="1"/>
  <c r="M111" i="6" s="1"/>
  <c r="Q164" i="9"/>
  <c r="U164" i="9" s="1"/>
  <c r="E111" i="6" s="1"/>
  <c r="AD151" i="16"/>
  <c r="AG151" i="16"/>
  <c r="AH151" i="16"/>
  <c r="AE151" i="16"/>
  <c r="BW111" i="16" s="1"/>
  <c r="BP52" i="6"/>
  <c r="X110" i="18"/>
  <c r="AA110" i="18" s="1"/>
  <c r="N114" i="6"/>
  <c r="R114" i="6" s="1"/>
  <c r="AK45" i="6" s="1"/>
  <c r="BP60" i="6"/>
  <c r="AJ168" i="16"/>
  <c r="X118" i="18"/>
  <c r="AA118" i="18" s="1"/>
  <c r="AD165" i="16"/>
  <c r="AE165" i="16"/>
  <c r="BW125" i="16" s="1"/>
  <c r="AG165" i="16"/>
  <c r="AF165" i="16"/>
  <c r="AH165" i="16"/>
  <c r="BP47" i="6"/>
  <c r="X105" i="18"/>
  <c r="AA105" i="18" s="1"/>
  <c r="AJ155" i="16"/>
  <c r="AD153" i="16"/>
  <c r="AG153" i="16"/>
  <c r="AI153" i="16"/>
  <c r="AH153" i="16"/>
  <c r="AE153" i="16"/>
  <c r="AF153" i="16"/>
  <c r="AG167" i="16"/>
  <c r="AD150" i="16"/>
  <c r="AH150" i="16"/>
  <c r="AE150" i="16"/>
  <c r="BW110" i="16" s="1"/>
  <c r="AI150" i="16"/>
  <c r="AF150" i="16"/>
  <c r="N131" i="6"/>
  <c r="R131" i="6" s="1"/>
  <c r="AQ28" i="6" s="1"/>
  <c r="AB178" i="16"/>
  <c r="W178" i="16"/>
  <c r="BY98" i="16" s="1"/>
  <c r="BR30" i="6" s="1"/>
  <c r="AA178" i="16"/>
  <c r="Y178" i="16"/>
  <c r="Z178" i="16"/>
  <c r="K186" i="9" s="1"/>
  <c r="X178" i="16"/>
  <c r="AC136" i="16"/>
  <c r="V138" i="16"/>
  <c r="U138" i="16"/>
  <c r="CC98" i="16" s="1"/>
  <c r="CG30" i="6" s="1"/>
  <c r="T138" i="16"/>
  <c r="R139" i="16"/>
  <c r="S139" i="16" s="1"/>
  <c r="R180" i="16"/>
  <c r="S180" i="16" s="1"/>
  <c r="Y137" i="16"/>
  <c r="AB137" i="16"/>
  <c r="W137" i="16"/>
  <c r="BV97" i="16" s="1"/>
  <c r="BO29" i="6" s="1"/>
  <c r="AA137" i="16"/>
  <c r="Z137" i="16"/>
  <c r="K151" i="9" s="1"/>
  <c r="X137" i="16"/>
  <c r="AF177" i="16"/>
  <c r="AE177" i="16"/>
  <c r="BZ97" i="16" s="1"/>
  <c r="BS29" i="6" s="1"/>
  <c r="AH177" i="16"/>
  <c r="AD177" i="16"/>
  <c r="AG177" i="16"/>
  <c r="AI177" i="16"/>
  <c r="T179" i="16"/>
  <c r="V179" i="16"/>
  <c r="U179" i="16"/>
  <c r="CE99" i="16" s="1"/>
  <c r="CI31" i="6" s="1"/>
  <c r="Q150" i="9"/>
  <c r="U150" i="9" s="1"/>
  <c r="E97" i="6" s="1"/>
  <c r="S150" i="9"/>
  <c r="W150" i="9" s="1"/>
  <c r="F97" i="6" s="1"/>
  <c r="P150" i="9"/>
  <c r="T150" i="9" s="1"/>
  <c r="D97" i="6" s="1"/>
  <c r="M97" i="6" s="1"/>
  <c r="AB98" i="18"/>
  <c r="P181" i="16"/>
  <c r="Q181" i="16" s="1"/>
  <c r="M181" i="16"/>
  <c r="M140" i="16"/>
  <c r="P140" i="16"/>
  <c r="Q140" i="16" s="1"/>
  <c r="K141" i="16"/>
  <c r="K182" i="16"/>
  <c r="AM86" i="18" l="1"/>
  <c r="AO86" i="18" s="1"/>
  <c r="AP86" i="18" s="1"/>
  <c r="BJ86" i="18" s="1"/>
  <c r="BL86" i="18" s="1"/>
  <c r="BN86" i="18" s="1"/>
  <c r="C131" i="6" s="1"/>
  <c r="L131" i="6" s="1"/>
  <c r="Q131" i="6" s="1"/>
  <c r="AP28" i="6" s="1"/>
  <c r="BZ96" i="16"/>
  <c r="BS28" i="6" s="1"/>
  <c r="BA30" i="6"/>
  <c r="AO30" i="6"/>
  <c r="AJ176" i="16"/>
  <c r="BG31" i="6"/>
  <c r="AU31" i="6"/>
  <c r="U131" i="6"/>
  <c r="X114" i="18"/>
  <c r="AA114" i="18" s="1"/>
  <c r="BW124" i="16"/>
  <c r="BP56" i="6" s="1"/>
  <c r="AJ164" i="16"/>
  <c r="N111" i="6"/>
  <c r="R111" i="6" s="1"/>
  <c r="AK42" i="6" s="1"/>
  <c r="AB109" i="18"/>
  <c r="AC109" i="18"/>
  <c r="X111" i="18"/>
  <c r="AA111" i="18" s="1"/>
  <c r="AJ161" i="16"/>
  <c r="N121" i="6"/>
  <c r="R121" i="6" s="1"/>
  <c r="AK52" i="6" s="1"/>
  <c r="BW121" i="16"/>
  <c r="BP53" i="6" s="1"/>
  <c r="N128" i="6"/>
  <c r="R128" i="6" s="1"/>
  <c r="AK59" i="6" s="1"/>
  <c r="X117" i="18"/>
  <c r="AA117" i="18" s="1"/>
  <c r="AJ167" i="16"/>
  <c r="BW127" i="16"/>
  <c r="BP59" i="6" s="1"/>
  <c r="AC137" i="16"/>
  <c r="AD137" i="16" s="1"/>
  <c r="AJ153" i="16"/>
  <c r="X103" i="18"/>
  <c r="AA103" i="18" s="1"/>
  <c r="BW113" i="16"/>
  <c r="BP45" i="6" s="1"/>
  <c r="AC105" i="18"/>
  <c r="AB105" i="18"/>
  <c r="AC118" i="18"/>
  <c r="AB118" i="18"/>
  <c r="BP43" i="6"/>
  <c r="AJ151" i="16"/>
  <c r="X101" i="18"/>
  <c r="AA101" i="18" s="1"/>
  <c r="AC104" i="18"/>
  <c r="AB104" i="18"/>
  <c r="AB107" i="18"/>
  <c r="AC107" i="18"/>
  <c r="AC178" i="16"/>
  <c r="BP57" i="6"/>
  <c r="AJ165" i="16"/>
  <c r="X115" i="18"/>
  <c r="AA115" i="18" s="1"/>
  <c r="BP58" i="6"/>
  <c r="AJ166" i="16"/>
  <c r="X116" i="18"/>
  <c r="AA116" i="18" s="1"/>
  <c r="BP42" i="6"/>
  <c r="AJ150" i="16"/>
  <c r="X100" i="18"/>
  <c r="AA100" i="18" s="1"/>
  <c r="AC110" i="18"/>
  <c r="AB110" i="18"/>
  <c r="AJ156" i="16"/>
  <c r="X106" i="18"/>
  <c r="AA106" i="18" s="1"/>
  <c r="BW116" i="16"/>
  <c r="BP48" i="6" s="1"/>
  <c r="AC113" i="18"/>
  <c r="AB113" i="18"/>
  <c r="AC112" i="18"/>
  <c r="AB112" i="18"/>
  <c r="R140" i="16"/>
  <c r="S140" i="16" s="1"/>
  <c r="AT28" i="6"/>
  <c r="Y179" i="16"/>
  <c r="AB179" i="16"/>
  <c r="W179" i="16"/>
  <c r="BY99" i="16" s="1"/>
  <c r="BR31" i="6" s="1"/>
  <c r="AA179" i="16"/>
  <c r="Z179" i="16"/>
  <c r="K187" i="9" s="1"/>
  <c r="X179" i="16"/>
  <c r="P151" i="9"/>
  <c r="T151" i="9" s="1"/>
  <c r="D98" i="6" s="1"/>
  <c r="M98" i="6" s="1"/>
  <c r="S151" i="9"/>
  <c r="W151" i="9" s="1"/>
  <c r="F98" i="6" s="1"/>
  <c r="Q151" i="9"/>
  <c r="U151" i="9" s="1"/>
  <c r="E98" i="6" s="1"/>
  <c r="U139" i="16"/>
  <c r="CC99" i="16" s="1"/>
  <c r="CG31" i="6" s="1"/>
  <c r="T139" i="16"/>
  <c r="V139" i="16"/>
  <c r="AD136" i="16"/>
  <c r="AI136" i="16"/>
  <c r="AF136" i="16"/>
  <c r="AE136" i="16"/>
  <c r="BW96" i="16" s="1"/>
  <c r="AH136" i="16"/>
  <c r="AG136" i="16"/>
  <c r="T180" i="16"/>
  <c r="V180" i="16"/>
  <c r="U180" i="16"/>
  <c r="CE100" i="16" s="1"/>
  <c r="CI32" i="6" s="1"/>
  <c r="Y138" i="16"/>
  <c r="AB138" i="16"/>
  <c r="AA138" i="16"/>
  <c r="W138" i="16"/>
  <c r="BV98" i="16" s="1"/>
  <c r="BO30" i="6" s="1"/>
  <c r="Z138" i="16"/>
  <c r="K152" i="9" s="1"/>
  <c r="X138" i="16"/>
  <c r="R181" i="16"/>
  <c r="S181" i="16" s="1"/>
  <c r="N97" i="6"/>
  <c r="R97" i="6" s="1"/>
  <c r="AK28" i="6" s="1"/>
  <c r="AH87" i="18"/>
  <c r="AK87" i="18" s="1"/>
  <c r="AJ177" i="16"/>
  <c r="P186" i="9"/>
  <c r="T186" i="9" s="1"/>
  <c r="D133" i="6" s="1"/>
  <c r="M133" i="6" s="1"/>
  <c r="S186" i="9"/>
  <c r="W186" i="9" s="1"/>
  <c r="F133" i="6" s="1"/>
  <c r="Q186" i="9"/>
  <c r="U186" i="9" s="1"/>
  <c r="E133" i="6" s="1"/>
  <c r="M141" i="16"/>
  <c r="P141" i="16"/>
  <c r="Q141" i="16" s="1"/>
  <c r="K142" i="16"/>
  <c r="M182" i="16"/>
  <c r="P182" i="16"/>
  <c r="Q182" i="16" s="1"/>
  <c r="K183" i="16"/>
  <c r="AO31" i="6" l="1"/>
  <c r="BA31" i="6"/>
  <c r="BG32" i="6"/>
  <c r="AU32" i="6"/>
  <c r="AB111" i="18"/>
  <c r="AC111" i="18"/>
  <c r="AC114" i="18"/>
  <c r="AB114" i="18"/>
  <c r="AE178" i="16"/>
  <c r="AI178" i="16"/>
  <c r="AG178" i="16"/>
  <c r="AD178" i="16"/>
  <c r="AH178" i="16"/>
  <c r="AF178" i="16"/>
  <c r="AC115" i="18"/>
  <c r="AB115" i="18"/>
  <c r="AC117" i="18"/>
  <c r="AB117" i="18"/>
  <c r="AB106" i="18"/>
  <c r="AC106" i="18"/>
  <c r="AC116" i="18"/>
  <c r="AB116" i="18"/>
  <c r="AG137" i="16"/>
  <c r="AI137" i="16"/>
  <c r="AH137" i="16"/>
  <c r="AF137" i="16"/>
  <c r="AE137" i="16"/>
  <c r="AC100" i="18"/>
  <c r="AB100" i="18"/>
  <c r="AC101" i="18"/>
  <c r="AB101" i="18"/>
  <c r="AC103" i="18"/>
  <c r="AB103" i="18"/>
  <c r="N133" i="6"/>
  <c r="R133" i="6" s="1"/>
  <c r="AQ30" i="6" s="1"/>
  <c r="P152" i="9"/>
  <c r="T152" i="9" s="1"/>
  <c r="D99" i="6" s="1"/>
  <c r="M99" i="6" s="1"/>
  <c r="Q152" i="9"/>
  <c r="U152" i="9" s="1"/>
  <c r="E99" i="6" s="1"/>
  <c r="S152" i="9"/>
  <c r="W152" i="9" s="1"/>
  <c r="F99" i="6" s="1"/>
  <c r="U181" i="16"/>
  <c r="CE101" i="16" s="1"/>
  <c r="CI33" i="6" s="1"/>
  <c r="T181" i="16"/>
  <c r="V181" i="16"/>
  <c r="AB180" i="16"/>
  <c r="AA180" i="16"/>
  <c r="Z180" i="16"/>
  <c r="K188" i="9" s="1"/>
  <c r="W180" i="16"/>
  <c r="BY100" i="16" s="1"/>
  <c r="BR32" i="6" s="1"/>
  <c r="Y180" i="16"/>
  <c r="X180" i="16"/>
  <c r="AL87" i="18"/>
  <c r="AN87" i="18" s="1"/>
  <c r="AM87" i="18"/>
  <c r="AO87" i="18" s="1"/>
  <c r="AP87" i="18" s="1"/>
  <c r="BJ87" i="18" s="1"/>
  <c r="BL87" i="18" s="1"/>
  <c r="BN87" i="18" s="1"/>
  <c r="C132" i="6" s="1"/>
  <c r="L132" i="6" s="1"/>
  <c r="Q132" i="6" s="1"/>
  <c r="AC138" i="16"/>
  <c r="Y139" i="16"/>
  <c r="Z139" i="16"/>
  <c r="K153" i="9" s="1"/>
  <c r="AB139" i="16"/>
  <c r="W139" i="16"/>
  <c r="BV99" i="16" s="1"/>
  <c r="BO31" i="6" s="1"/>
  <c r="AA139" i="16"/>
  <c r="X139" i="16"/>
  <c r="AC179" i="16"/>
  <c r="U140" i="16"/>
  <c r="CC100" i="16" s="1"/>
  <c r="CG32" i="6" s="1"/>
  <c r="T140" i="16"/>
  <c r="V140" i="16"/>
  <c r="R182" i="16"/>
  <c r="S182" i="16" s="1"/>
  <c r="R141" i="16"/>
  <c r="S141" i="16" s="1"/>
  <c r="BP28" i="6"/>
  <c r="X86" i="18"/>
  <c r="AA86" i="18" s="1"/>
  <c r="AJ136" i="16"/>
  <c r="N98" i="6"/>
  <c r="R98" i="6" s="1"/>
  <c r="AK29" i="6" s="1"/>
  <c r="P187" i="9"/>
  <c r="T187" i="9" s="1"/>
  <c r="D134" i="6" s="1"/>
  <c r="M134" i="6" s="1"/>
  <c r="S187" i="9"/>
  <c r="W187" i="9" s="1"/>
  <c r="F134" i="6" s="1"/>
  <c r="Q187" i="9"/>
  <c r="U187" i="9" s="1"/>
  <c r="E134" i="6" s="1"/>
  <c r="K184" i="16"/>
  <c r="P142" i="16"/>
  <c r="Q142" i="16" s="1"/>
  <c r="M142" i="16"/>
  <c r="M183" i="16"/>
  <c r="P183" i="16"/>
  <c r="Q183" i="16" s="1"/>
  <c r="K143" i="16"/>
  <c r="AO32" i="6" l="1"/>
  <c r="BA32" i="6"/>
  <c r="AU33" i="6"/>
  <c r="BG33" i="6"/>
  <c r="AJ137" i="16"/>
  <c r="X87" i="18"/>
  <c r="AA87" i="18" s="1"/>
  <c r="BW97" i="16"/>
  <c r="BP29" i="6" s="1"/>
  <c r="AH88" i="18"/>
  <c r="AK88" i="18" s="1"/>
  <c r="BZ98" i="16"/>
  <c r="BS30" i="6" s="1"/>
  <c r="AJ178" i="16"/>
  <c r="N99" i="6"/>
  <c r="AC86" i="18"/>
  <c r="AE86" i="18" s="1"/>
  <c r="AF86" i="18" s="1"/>
  <c r="BC86" i="18" s="1"/>
  <c r="BE86" i="18" s="1"/>
  <c r="BG86" i="18" s="1"/>
  <c r="C97" i="6" s="1"/>
  <c r="L97" i="6" s="1"/>
  <c r="Q97" i="6" s="1"/>
  <c r="AJ28" i="6" s="1"/>
  <c r="AB86" i="18"/>
  <c r="AD86" i="18" s="1"/>
  <c r="Y140" i="16"/>
  <c r="AB140" i="16"/>
  <c r="Z140" i="16"/>
  <c r="K154" i="9" s="1"/>
  <c r="W140" i="16"/>
  <c r="BV100" i="16" s="1"/>
  <c r="BO32" i="6" s="1"/>
  <c r="AA140" i="16"/>
  <c r="X140" i="16"/>
  <c r="AD138" i="16"/>
  <c r="AI138" i="16"/>
  <c r="AH138" i="16"/>
  <c r="AF138" i="16"/>
  <c r="AE138" i="16"/>
  <c r="AG138" i="16"/>
  <c r="S188" i="9"/>
  <c r="W188" i="9" s="1"/>
  <c r="F135" i="6" s="1"/>
  <c r="P188" i="9"/>
  <c r="T188" i="9" s="1"/>
  <c r="D135" i="6" s="1"/>
  <c r="M135" i="6" s="1"/>
  <c r="Q188" i="9"/>
  <c r="U188" i="9" s="1"/>
  <c r="E135" i="6" s="1"/>
  <c r="N135" i="6" s="1"/>
  <c r="R142" i="16"/>
  <c r="S142" i="16" s="1"/>
  <c r="U182" i="16"/>
  <c r="CE102" i="16" s="1"/>
  <c r="CI34" i="6" s="1"/>
  <c r="T182" i="16"/>
  <c r="V182" i="16"/>
  <c r="AF179" i="16"/>
  <c r="AG179" i="16"/>
  <c r="AE179" i="16"/>
  <c r="AI179" i="16"/>
  <c r="AH179" i="16"/>
  <c r="AD179" i="16"/>
  <c r="AP29" i="6"/>
  <c r="AT29" i="6" s="1"/>
  <c r="U132" i="6"/>
  <c r="AC180" i="16"/>
  <c r="Y181" i="16"/>
  <c r="AB181" i="16"/>
  <c r="W181" i="16"/>
  <c r="BY101" i="16" s="1"/>
  <c r="BR33" i="6" s="1"/>
  <c r="AA181" i="16"/>
  <c r="Z181" i="16"/>
  <c r="K189" i="9" s="1"/>
  <c r="X181" i="16"/>
  <c r="R99" i="6"/>
  <c r="AK30" i="6" s="1"/>
  <c r="R183" i="16"/>
  <c r="S183" i="16" s="1"/>
  <c r="AC139" i="16"/>
  <c r="P153" i="9"/>
  <c r="T153" i="9" s="1"/>
  <c r="D100" i="6" s="1"/>
  <c r="M100" i="6" s="1"/>
  <c r="S153" i="9"/>
  <c r="W153" i="9" s="1"/>
  <c r="F100" i="6" s="1"/>
  <c r="Q153" i="9"/>
  <c r="U153" i="9" s="1"/>
  <c r="E100" i="6" s="1"/>
  <c r="N134" i="6"/>
  <c r="R134" i="6" s="1"/>
  <c r="AQ31" i="6" s="1"/>
  <c r="V141" i="16"/>
  <c r="U141" i="16"/>
  <c r="CC101" i="16" s="1"/>
  <c r="CG33" i="6" s="1"/>
  <c r="T141" i="16"/>
  <c r="AE180" i="16"/>
  <c r="AH90" i="18" s="1"/>
  <c r="AK90" i="18" s="1"/>
  <c r="AD180" i="16"/>
  <c r="AG180" i="16"/>
  <c r="P184" i="16"/>
  <c r="Q184" i="16" s="1"/>
  <c r="M184" i="16"/>
  <c r="M143" i="16"/>
  <c r="P143" i="16"/>
  <c r="Q143" i="16" s="1"/>
  <c r="K144" i="16"/>
  <c r="K185" i="16"/>
  <c r="AU34" i="6" l="1"/>
  <c r="BG34" i="6"/>
  <c r="BA33" i="6"/>
  <c r="AO33" i="6"/>
  <c r="U97" i="6"/>
  <c r="AN28" i="6" s="1"/>
  <c r="AC87" i="18"/>
  <c r="AE87" i="18" s="1"/>
  <c r="AF87" i="18" s="1"/>
  <c r="BC87" i="18" s="1"/>
  <c r="BE87" i="18" s="1"/>
  <c r="BG87" i="18" s="1"/>
  <c r="C98" i="6" s="1"/>
  <c r="L98" i="6" s="1"/>
  <c r="Q98" i="6" s="1"/>
  <c r="U98" i="6" s="1"/>
  <c r="AN29" i="6" s="1"/>
  <c r="AB87" i="18"/>
  <c r="AD87" i="18" s="1"/>
  <c r="AL88" i="18"/>
  <c r="AN88" i="18" s="1"/>
  <c r="AM88" i="18"/>
  <c r="AO88" i="18" s="1"/>
  <c r="AP88" i="18" s="1"/>
  <c r="BJ88" i="18" s="1"/>
  <c r="BL88" i="18" s="1"/>
  <c r="BN88" i="18" s="1"/>
  <c r="C133" i="6" s="1"/>
  <c r="L133" i="6" s="1"/>
  <c r="Q133" i="6" s="1"/>
  <c r="U133" i="6" s="1"/>
  <c r="R143" i="16"/>
  <c r="S143" i="16" s="1"/>
  <c r="N100" i="6"/>
  <c r="R100" i="6" s="1"/>
  <c r="AK31" i="6" s="1"/>
  <c r="AC181" i="16"/>
  <c r="AH89" i="18"/>
  <c r="AK89" i="18" s="1"/>
  <c r="AJ179" i="16"/>
  <c r="V142" i="16"/>
  <c r="U142" i="16"/>
  <c r="CC102" i="16" s="1"/>
  <c r="CG34" i="6" s="1"/>
  <c r="T142" i="16"/>
  <c r="AC140" i="16"/>
  <c r="P189" i="9"/>
  <c r="T189" i="9" s="1"/>
  <c r="D136" i="6" s="1"/>
  <c r="M136" i="6" s="1"/>
  <c r="S189" i="9"/>
  <c r="W189" i="9" s="1"/>
  <c r="F136" i="6" s="1"/>
  <c r="Q189" i="9"/>
  <c r="U189" i="9" s="1"/>
  <c r="E136" i="6" s="1"/>
  <c r="R135" i="6"/>
  <c r="AQ32" i="6" s="1"/>
  <c r="AJ138" i="16"/>
  <c r="X88" i="18"/>
  <c r="AA88" i="18" s="1"/>
  <c r="BW98" i="16"/>
  <c r="BP30" i="6" s="1"/>
  <c r="V183" i="16"/>
  <c r="U183" i="16"/>
  <c r="CE103" i="16" s="1"/>
  <c r="CI35" i="6" s="1"/>
  <c r="T183" i="16"/>
  <c r="BZ100" i="16"/>
  <c r="BS32" i="6" s="1"/>
  <c r="AF180" i="16"/>
  <c r="AH180" i="16"/>
  <c r="AI180" i="16"/>
  <c r="AB182" i="16"/>
  <c r="W182" i="16"/>
  <c r="BY102" i="16" s="1"/>
  <c r="BR34" i="6" s="1"/>
  <c r="AA182" i="16"/>
  <c r="Y182" i="16"/>
  <c r="Z182" i="16"/>
  <c r="K190" i="9" s="1"/>
  <c r="X182" i="16"/>
  <c r="S154" i="9"/>
  <c r="W154" i="9" s="1"/>
  <c r="F101" i="6" s="1"/>
  <c r="P154" i="9"/>
  <c r="T154" i="9" s="1"/>
  <c r="D101" i="6" s="1"/>
  <c r="M101" i="6" s="1"/>
  <c r="Q154" i="9"/>
  <c r="U154" i="9" s="1"/>
  <c r="E101" i="6" s="1"/>
  <c r="R184" i="16"/>
  <c r="S184" i="16" s="1"/>
  <c r="Y141" i="16"/>
  <c r="AB141" i="16"/>
  <c r="W141" i="16"/>
  <c r="BV101" i="16" s="1"/>
  <c r="BO33" i="6" s="1"/>
  <c r="AA141" i="16"/>
  <c r="Z141" i="16"/>
  <c r="K155" i="9" s="1"/>
  <c r="X141" i="16"/>
  <c r="AD139" i="16"/>
  <c r="AF139" i="16"/>
  <c r="AE139" i="16"/>
  <c r="BW99" i="16" s="1"/>
  <c r="AG139" i="16"/>
  <c r="AI139" i="16"/>
  <c r="BZ99" i="16"/>
  <c r="BS31" i="6" s="1"/>
  <c r="AH139" i="16"/>
  <c r="AM90" i="18"/>
  <c r="AL90" i="18"/>
  <c r="M185" i="16"/>
  <c r="P185" i="16"/>
  <c r="Q185" i="16" s="1"/>
  <c r="K187" i="16"/>
  <c r="K186" i="16"/>
  <c r="K145" i="16"/>
  <c r="M144" i="16"/>
  <c r="P144" i="16"/>
  <c r="Q144" i="16" s="1"/>
  <c r="AJ29" i="6" l="1"/>
  <c r="BA34" i="6"/>
  <c r="AO34" i="6"/>
  <c r="AU35" i="6"/>
  <c r="BG35" i="6"/>
  <c r="AP30" i="6"/>
  <c r="AT30" i="6" s="1"/>
  <c r="AJ180" i="16"/>
  <c r="N101" i="6"/>
  <c r="R101" i="6" s="1"/>
  <c r="AK32" i="6" s="1"/>
  <c r="AC141" i="16"/>
  <c r="AD141" i="16" s="1"/>
  <c r="AC182" i="16"/>
  <c r="V184" i="16"/>
  <c r="U184" i="16"/>
  <c r="CE104" i="16" s="1"/>
  <c r="CI36" i="6" s="1"/>
  <c r="T184" i="16"/>
  <c r="Y142" i="16"/>
  <c r="AB142" i="16"/>
  <c r="AA142" i="16"/>
  <c r="W142" i="16"/>
  <c r="BV102" i="16" s="1"/>
  <c r="BO34" i="6" s="1"/>
  <c r="Z142" i="16"/>
  <c r="K156" i="9" s="1"/>
  <c r="X142" i="16"/>
  <c r="AH181" i="16"/>
  <c r="AE181" i="16"/>
  <c r="BZ101" i="16" s="1"/>
  <c r="BS33" i="6" s="1"/>
  <c r="AF181" i="16"/>
  <c r="AI181" i="16"/>
  <c r="AG181" i="16"/>
  <c r="AD181" i="16"/>
  <c r="S190" i="9"/>
  <c r="W190" i="9" s="1"/>
  <c r="F137" i="6" s="1"/>
  <c r="Q190" i="9"/>
  <c r="U190" i="9" s="1"/>
  <c r="E137" i="6" s="1"/>
  <c r="P190" i="9"/>
  <c r="T190" i="9" s="1"/>
  <c r="D137" i="6" s="1"/>
  <c r="M137" i="6" s="1"/>
  <c r="P155" i="9"/>
  <c r="T155" i="9" s="1"/>
  <c r="D102" i="6" s="1"/>
  <c r="M102" i="6" s="1"/>
  <c r="Q155" i="9"/>
  <c r="U155" i="9" s="1"/>
  <c r="E102" i="6" s="1"/>
  <c r="S155" i="9"/>
  <c r="W155" i="9" s="1"/>
  <c r="F102" i="6" s="1"/>
  <c r="AB88" i="18"/>
  <c r="AD88" i="18" s="1"/>
  <c r="AC88" i="18"/>
  <c r="AE88" i="18" s="1"/>
  <c r="AF88" i="18" s="1"/>
  <c r="BC88" i="18" s="1"/>
  <c r="BE88" i="18" s="1"/>
  <c r="BG88" i="18" s="1"/>
  <c r="C99" i="6" s="1"/>
  <c r="L99" i="6" s="1"/>
  <c r="Q99" i="6" s="1"/>
  <c r="AJ30" i="6" s="1"/>
  <c r="N136" i="6"/>
  <c r="R136" i="6" s="1"/>
  <c r="AQ33" i="6" s="1"/>
  <c r="AD140" i="16"/>
  <c r="AH140" i="16"/>
  <c r="AI140" i="16"/>
  <c r="AG140" i="16"/>
  <c r="AF140" i="16"/>
  <c r="AE140" i="16"/>
  <c r="R144" i="16"/>
  <c r="S144" i="16" s="1"/>
  <c r="R185" i="16"/>
  <c r="S185" i="16" s="1"/>
  <c r="BP31" i="6"/>
  <c r="AJ139" i="16"/>
  <c r="X89" i="18"/>
  <c r="AA89" i="18" s="1"/>
  <c r="Y183" i="16"/>
  <c r="AA183" i="16"/>
  <c r="AB183" i="16"/>
  <c r="W183" i="16"/>
  <c r="BY103" i="16" s="1"/>
  <c r="BR35" i="6" s="1"/>
  <c r="Z183" i="16"/>
  <c r="K191" i="9" s="1"/>
  <c r="X183" i="16"/>
  <c r="AL89" i="18"/>
  <c r="AN89" i="18" s="1"/>
  <c r="AO90" i="18" s="1"/>
  <c r="AP90" i="18" s="1"/>
  <c r="BJ90" i="18" s="1"/>
  <c r="BL90" i="18" s="1"/>
  <c r="BN90" i="18" s="1"/>
  <c r="C135" i="6" s="1"/>
  <c r="L135" i="6" s="1"/>
  <c r="Q135" i="6" s="1"/>
  <c r="AM89" i="18"/>
  <c r="AO89" i="18" s="1"/>
  <c r="AP89" i="18" s="1"/>
  <c r="BJ89" i="18" s="1"/>
  <c r="BL89" i="18" s="1"/>
  <c r="BN89" i="18" s="1"/>
  <c r="C134" i="6" s="1"/>
  <c r="L134" i="6" s="1"/>
  <c r="Q134" i="6" s="1"/>
  <c r="U143" i="16"/>
  <c r="CC103" i="16" s="1"/>
  <c r="CG35" i="6" s="1"/>
  <c r="T143" i="16"/>
  <c r="V143" i="16"/>
  <c r="K147" i="16"/>
  <c r="K146" i="16"/>
  <c r="M186" i="16"/>
  <c r="P186" i="16"/>
  <c r="Q186" i="16" s="1"/>
  <c r="P187" i="16"/>
  <c r="Q187" i="16" s="1"/>
  <c r="M187" i="16"/>
  <c r="P145" i="16"/>
  <c r="Q145" i="16" s="1"/>
  <c r="M145" i="16"/>
  <c r="U99" i="6" l="1"/>
  <c r="AN30" i="6" s="1"/>
  <c r="AU36" i="6"/>
  <c r="BG36" i="6"/>
  <c r="BA35" i="6"/>
  <c r="AO35" i="6"/>
  <c r="N102" i="6"/>
  <c r="N137" i="6"/>
  <c r="AH182" i="16"/>
  <c r="AF182" i="16"/>
  <c r="AD182" i="16"/>
  <c r="AE182" i="16"/>
  <c r="AG182" i="16"/>
  <c r="AC142" i="16"/>
  <c r="AD142" i="16" s="1"/>
  <c r="AG141" i="16"/>
  <c r="AI141" i="16"/>
  <c r="AE141" i="16"/>
  <c r="AH141" i="16"/>
  <c r="AF141" i="16"/>
  <c r="R137" i="6"/>
  <c r="AQ34" i="6" s="1"/>
  <c r="AI182" i="16"/>
  <c r="U135" i="6"/>
  <c r="AP32" i="6"/>
  <c r="AT32" i="6" s="1"/>
  <c r="AC183" i="16"/>
  <c r="AG183" i="16" s="1"/>
  <c r="U144" i="16"/>
  <c r="CC104" i="16" s="1"/>
  <c r="CG36" i="6" s="1"/>
  <c r="T144" i="16"/>
  <c r="V144" i="16"/>
  <c r="R145" i="16"/>
  <c r="S145" i="16" s="1"/>
  <c r="Y143" i="16"/>
  <c r="AB143" i="16"/>
  <c r="W143" i="16"/>
  <c r="BV103" i="16" s="1"/>
  <c r="BO35" i="6" s="1"/>
  <c r="AA143" i="16"/>
  <c r="Z143" i="16"/>
  <c r="K157" i="9" s="1"/>
  <c r="X143" i="16"/>
  <c r="AC143" i="16" s="1"/>
  <c r="P191" i="9"/>
  <c r="T191" i="9" s="1"/>
  <c r="D138" i="6" s="1"/>
  <c r="M138" i="6" s="1"/>
  <c r="Q191" i="9"/>
  <c r="U191" i="9" s="1"/>
  <c r="E138" i="6" s="1"/>
  <c r="S191" i="9"/>
  <c r="W191" i="9" s="1"/>
  <c r="F138" i="6" s="1"/>
  <c r="AJ140" i="16"/>
  <c r="X90" i="18"/>
  <c r="AA90" i="18" s="1"/>
  <c r="U134" i="6"/>
  <c r="AP31" i="6"/>
  <c r="AT31" i="6" s="1"/>
  <c r="AB89" i="18"/>
  <c r="AD89" i="18" s="1"/>
  <c r="AC89" i="18"/>
  <c r="AE89" i="18" s="1"/>
  <c r="AF89" i="18" s="1"/>
  <c r="BC89" i="18" s="1"/>
  <c r="BE89" i="18" s="1"/>
  <c r="BG89" i="18" s="1"/>
  <c r="C100" i="6" s="1"/>
  <c r="L100" i="6" s="1"/>
  <c r="Q100" i="6" s="1"/>
  <c r="AJ31" i="6" s="1"/>
  <c r="V185" i="16"/>
  <c r="U185" i="16"/>
  <c r="CE105" i="16" s="1"/>
  <c r="CI37" i="6" s="1"/>
  <c r="T185" i="16"/>
  <c r="BW100" i="16"/>
  <c r="BP32" i="6" s="1"/>
  <c r="R102" i="6"/>
  <c r="AK33" i="6" s="1"/>
  <c r="AN90" i="18"/>
  <c r="Y184" i="16"/>
  <c r="AA184" i="16"/>
  <c r="AB184" i="16"/>
  <c r="W184" i="16"/>
  <c r="BY104" i="16" s="1"/>
  <c r="BR36" i="6" s="1"/>
  <c r="Z184" i="16"/>
  <c r="K192" i="9" s="1"/>
  <c r="X184" i="16"/>
  <c r="R187" i="16"/>
  <c r="S187" i="16" s="1"/>
  <c r="R186" i="16"/>
  <c r="S186" i="16" s="1"/>
  <c r="AH91" i="18"/>
  <c r="AK91" i="18" s="1"/>
  <c r="AJ181" i="16"/>
  <c r="S156" i="9"/>
  <c r="W156" i="9" s="1"/>
  <c r="F103" i="6" s="1"/>
  <c r="Q156" i="9"/>
  <c r="U156" i="9" s="1"/>
  <c r="E103" i="6" s="1"/>
  <c r="P156" i="9"/>
  <c r="T156" i="9" s="1"/>
  <c r="D103" i="6" s="1"/>
  <c r="M103" i="6" s="1"/>
  <c r="P146" i="16"/>
  <c r="Q146" i="16" s="1"/>
  <c r="M146" i="16"/>
  <c r="M147" i="16"/>
  <c r="P147" i="16"/>
  <c r="Q147" i="16" s="1"/>
  <c r="AU37" i="6" l="1"/>
  <c r="BG37" i="6"/>
  <c r="BA36" i="6"/>
  <c r="AO36" i="6"/>
  <c r="AF143" i="16"/>
  <c r="AI143" i="16"/>
  <c r="AH143" i="16"/>
  <c r="U100" i="6"/>
  <c r="AN31" i="6" s="1"/>
  <c r="AG143" i="16"/>
  <c r="AE143" i="16"/>
  <c r="BW103" i="16" s="1"/>
  <c r="BP35" i="6" s="1"/>
  <c r="AC184" i="16"/>
  <c r="AI184" i="16" s="1"/>
  <c r="AF142" i="16"/>
  <c r="AE142" i="16"/>
  <c r="AH142" i="16"/>
  <c r="AG142" i="16"/>
  <c r="AI142" i="16"/>
  <c r="BW101" i="16"/>
  <c r="BP33" i="6" s="1"/>
  <c r="AJ141" i="16"/>
  <c r="X91" i="18"/>
  <c r="AA91" i="18" s="1"/>
  <c r="AH92" i="18"/>
  <c r="AK92" i="18" s="1"/>
  <c r="AJ182" i="16"/>
  <c r="BZ102" i="16"/>
  <c r="BS34" i="6" s="1"/>
  <c r="N103" i="6"/>
  <c r="R103" i="6" s="1"/>
  <c r="AK34" i="6" s="1"/>
  <c r="V145" i="16"/>
  <c r="U145" i="16"/>
  <c r="CC105" i="16" s="1"/>
  <c r="CG37" i="6" s="1"/>
  <c r="T145" i="16"/>
  <c r="AH183" i="16"/>
  <c r="AI183" i="16"/>
  <c r="AE183" i="16"/>
  <c r="BZ103" i="16" s="1"/>
  <c r="BS35" i="6" s="1"/>
  <c r="AF183" i="16"/>
  <c r="AD183" i="16"/>
  <c r="V186" i="16"/>
  <c r="U186" i="16"/>
  <c r="CE106" i="16" s="1"/>
  <c r="CI38" i="6" s="1"/>
  <c r="T186" i="16"/>
  <c r="AD143" i="16"/>
  <c r="R147" i="16"/>
  <c r="S147" i="16" s="1"/>
  <c r="R146" i="16"/>
  <c r="S146" i="16" s="1"/>
  <c r="S192" i="9"/>
  <c r="W192" i="9" s="1"/>
  <c r="F139" i="6" s="1"/>
  <c r="P192" i="9"/>
  <c r="T192" i="9" s="1"/>
  <c r="D139" i="6" s="1"/>
  <c r="M139" i="6" s="1"/>
  <c r="Q192" i="9"/>
  <c r="U192" i="9" s="1"/>
  <c r="E139" i="6" s="1"/>
  <c r="P157" i="9"/>
  <c r="T157" i="9" s="1"/>
  <c r="D104" i="6" s="1"/>
  <c r="M104" i="6" s="1"/>
  <c r="S157" i="9"/>
  <c r="W157" i="9" s="1"/>
  <c r="F104" i="6" s="1"/>
  <c r="Q157" i="9"/>
  <c r="U157" i="9" s="1"/>
  <c r="E104" i="6" s="1"/>
  <c r="AL91" i="18"/>
  <c r="AN91" i="18" s="1"/>
  <c r="AM91" i="18"/>
  <c r="AO91" i="18" s="1"/>
  <c r="AP91" i="18" s="1"/>
  <c r="BJ91" i="18" s="1"/>
  <c r="BL91" i="18" s="1"/>
  <c r="BN91" i="18" s="1"/>
  <c r="C136" i="6" s="1"/>
  <c r="L136" i="6" s="1"/>
  <c r="Q136" i="6" s="1"/>
  <c r="V187" i="16"/>
  <c r="U187" i="16"/>
  <c r="CE107" i="16" s="1"/>
  <c r="CI39" i="6" s="1"/>
  <c r="T187" i="16"/>
  <c r="Y185" i="16"/>
  <c r="AA185" i="16"/>
  <c r="Z185" i="16"/>
  <c r="K193" i="9" s="1"/>
  <c r="AB185" i="16"/>
  <c r="W185" i="16"/>
  <c r="BY105" i="16" s="1"/>
  <c r="BR37" i="6" s="1"/>
  <c r="X185" i="16"/>
  <c r="AC90" i="18"/>
  <c r="AE90" i="18" s="1"/>
  <c r="AF90" i="18" s="1"/>
  <c r="BC90" i="18" s="1"/>
  <c r="BE90" i="18" s="1"/>
  <c r="BG90" i="18" s="1"/>
  <c r="C101" i="6" s="1"/>
  <c r="L101" i="6" s="1"/>
  <c r="Q101" i="6" s="1"/>
  <c r="U101" i="6" s="1"/>
  <c r="AN32" i="6" s="1"/>
  <c r="AB90" i="18"/>
  <c r="AD90" i="18" s="1"/>
  <c r="N138" i="6"/>
  <c r="R138" i="6" s="1"/>
  <c r="AQ35" i="6" s="1"/>
  <c r="Y144" i="16"/>
  <c r="AB144" i="16"/>
  <c r="W144" i="16"/>
  <c r="BV104" i="16" s="1"/>
  <c r="BO36" i="6" s="1"/>
  <c r="AA144" i="16"/>
  <c r="Z144" i="16"/>
  <c r="K158" i="9" s="1"/>
  <c r="X144" i="16"/>
  <c r="AF184" i="16" l="1"/>
  <c r="AD184" i="16"/>
  <c r="X93" i="18"/>
  <c r="AA93" i="18" s="1"/>
  <c r="AB93" i="18" s="1"/>
  <c r="AJ143" i="16"/>
  <c r="AO37" i="6"/>
  <c r="BA37" i="6"/>
  <c r="BG38" i="6"/>
  <c r="AU38" i="6"/>
  <c r="AU39" i="6"/>
  <c r="BG39" i="6"/>
  <c r="AH184" i="16"/>
  <c r="AE184" i="16"/>
  <c r="BZ104" i="16" s="1"/>
  <c r="BS36" i="6" s="1"/>
  <c r="AG184" i="16"/>
  <c r="AL92" i="18"/>
  <c r="AN92" i="18" s="1"/>
  <c r="AM92" i="18"/>
  <c r="AO92" i="18" s="1"/>
  <c r="AP92" i="18" s="1"/>
  <c r="BJ92" i="18" s="1"/>
  <c r="BL92" i="18" s="1"/>
  <c r="BN92" i="18" s="1"/>
  <c r="C137" i="6" s="1"/>
  <c r="L137" i="6" s="1"/>
  <c r="Q137" i="6" s="1"/>
  <c r="BW102" i="16"/>
  <c r="BP34" i="6" s="1"/>
  <c r="X92" i="18"/>
  <c r="AA92" i="18" s="1"/>
  <c r="AJ142" i="16"/>
  <c r="AJ32" i="6"/>
  <c r="AC185" i="16"/>
  <c r="N139" i="6"/>
  <c r="R139" i="6" s="1"/>
  <c r="AQ36" i="6" s="1"/>
  <c r="AB91" i="18"/>
  <c r="AD91" i="18" s="1"/>
  <c r="AC91" i="18"/>
  <c r="AE91" i="18" s="1"/>
  <c r="AF91" i="18" s="1"/>
  <c r="BC91" i="18" s="1"/>
  <c r="BE91" i="18" s="1"/>
  <c r="BG91" i="18" s="1"/>
  <c r="C102" i="6" s="1"/>
  <c r="L102" i="6" s="1"/>
  <c r="Q102" i="6" s="1"/>
  <c r="AJ33" i="6" s="1"/>
  <c r="AC144" i="16"/>
  <c r="AD144" i="16" s="1"/>
  <c r="U147" i="16"/>
  <c r="CC107" i="16" s="1"/>
  <c r="CG39" i="6" s="1"/>
  <c r="T147" i="16"/>
  <c r="V147" i="16"/>
  <c r="P193" i="9"/>
  <c r="T193" i="9" s="1"/>
  <c r="D140" i="6" s="1"/>
  <c r="M140" i="6" s="1"/>
  <c r="S193" i="9"/>
  <c r="W193" i="9" s="1"/>
  <c r="F140" i="6" s="1"/>
  <c r="Q193" i="9"/>
  <c r="U193" i="9" s="1"/>
  <c r="E140" i="6" s="1"/>
  <c r="Y187" i="16"/>
  <c r="AA187" i="16"/>
  <c r="Z187" i="16"/>
  <c r="K195" i="9" s="1"/>
  <c r="AB187" i="16"/>
  <c r="W187" i="16"/>
  <c r="BY107" i="16" s="1"/>
  <c r="BR39" i="6" s="1"/>
  <c r="X187" i="16"/>
  <c r="Y186" i="16"/>
  <c r="Z186" i="16"/>
  <c r="K194" i="9" s="1"/>
  <c r="AB186" i="16"/>
  <c r="W186" i="16"/>
  <c r="BY106" i="16" s="1"/>
  <c r="BR38" i="6" s="1"/>
  <c r="AA186" i="16"/>
  <c r="X186" i="16"/>
  <c r="AH93" i="18"/>
  <c r="AK93" i="18" s="1"/>
  <c r="AJ183" i="16"/>
  <c r="S158" i="9"/>
  <c r="W158" i="9" s="1"/>
  <c r="F105" i="6" s="1"/>
  <c r="P158" i="9"/>
  <c r="T158" i="9" s="1"/>
  <c r="D105" i="6" s="1"/>
  <c r="M105" i="6" s="1"/>
  <c r="Q158" i="9"/>
  <c r="U158" i="9" s="1"/>
  <c r="E105" i="6" s="1"/>
  <c r="N105" i="6" s="1"/>
  <c r="V146" i="16"/>
  <c r="U146" i="16"/>
  <c r="CC106" i="16" s="1"/>
  <c r="CG38" i="6" s="1"/>
  <c r="T146" i="16"/>
  <c r="Y145" i="16"/>
  <c r="AB145" i="16"/>
  <c r="W145" i="16"/>
  <c r="BV105" i="16" s="1"/>
  <c r="BO37" i="6" s="1"/>
  <c r="AA145" i="16"/>
  <c r="Z145" i="16"/>
  <c r="K159" i="9" s="1"/>
  <c r="X145" i="16"/>
  <c r="U136" i="6"/>
  <c r="AP33" i="6"/>
  <c r="AT33" i="6" s="1"/>
  <c r="N104" i="6"/>
  <c r="R104" i="6" s="1"/>
  <c r="AK35" i="6" s="1"/>
  <c r="AC93" i="18" l="1"/>
  <c r="AO39" i="6"/>
  <c r="BA39" i="6"/>
  <c r="AO38" i="6"/>
  <c r="BA38" i="6"/>
  <c r="U102" i="6"/>
  <c r="AN33" i="6" s="1"/>
  <c r="AC187" i="16"/>
  <c r="AG187" i="16" s="1"/>
  <c r="N140" i="6"/>
  <c r="R140" i="6" s="1"/>
  <c r="AQ37" i="6" s="1"/>
  <c r="AH94" i="18"/>
  <c r="AK94" i="18" s="1"/>
  <c r="AJ184" i="16"/>
  <c r="AC92" i="18"/>
  <c r="AE92" i="18" s="1"/>
  <c r="AF92" i="18" s="1"/>
  <c r="BC92" i="18" s="1"/>
  <c r="BE92" i="18" s="1"/>
  <c r="BG92" i="18" s="1"/>
  <c r="C103" i="6" s="1"/>
  <c r="L103" i="6" s="1"/>
  <c r="Q103" i="6" s="1"/>
  <c r="U103" i="6" s="1"/>
  <c r="AN34" i="6" s="1"/>
  <c r="AB92" i="18"/>
  <c r="AD92" i="18" s="1"/>
  <c r="AE93" i="18" s="1"/>
  <c r="AF93" i="18" s="1"/>
  <c r="BC93" i="18" s="1"/>
  <c r="BE93" i="18" s="1"/>
  <c r="BG93" i="18" s="1"/>
  <c r="C104" i="6" s="1"/>
  <c r="L104" i="6" s="1"/>
  <c r="Q104" i="6" s="1"/>
  <c r="AG144" i="16"/>
  <c r="AE144" i="16"/>
  <c r="AI144" i="16"/>
  <c r="AF144" i="16"/>
  <c r="AH185" i="16"/>
  <c r="AD185" i="16"/>
  <c r="AF185" i="16"/>
  <c r="AE185" i="16"/>
  <c r="AG185" i="16"/>
  <c r="AI185" i="16"/>
  <c r="AH144" i="16"/>
  <c r="AM93" i="18"/>
  <c r="AO93" i="18" s="1"/>
  <c r="AP93" i="18" s="1"/>
  <c r="BJ93" i="18" s="1"/>
  <c r="BL93" i="18" s="1"/>
  <c r="BN93" i="18" s="1"/>
  <c r="C138" i="6" s="1"/>
  <c r="L138" i="6" s="1"/>
  <c r="Q138" i="6" s="1"/>
  <c r="AL93" i="18"/>
  <c r="AN93" i="18" s="1"/>
  <c r="U137" i="6"/>
  <c r="AP34" i="6"/>
  <c r="AT34" i="6" s="1"/>
  <c r="Y146" i="16"/>
  <c r="AB146" i="16"/>
  <c r="Z146" i="16"/>
  <c r="K160" i="9" s="1"/>
  <c r="AA146" i="16"/>
  <c r="W146" i="16"/>
  <c r="BV106" i="16" s="1"/>
  <c r="BO38" i="6" s="1"/>
  <c r="X146" i="16"/>
  <c r="R105" i="6"/>
  <c r="AK36" i="6" s="1"/>
  <c r="AC186" i="16"/>
  <c r="S194" i="9"/>
  <c r="W194" i="9" s="1"/>
  <c r="F141" i="6" s="1"/>
  <c r="Q194" i="9"/>
  <c r="U194" i="9" s="1"/>
  <c r="E141" i="6" s="1"/>
  <c r="P194" i="9"/>
  <c r="T194" i="9" s="1"/>
  <c r="D141" i="6" s="1"/>
  <c r="M141" i="6" s="1"/>
  <c r="AC145" i="16"/>
  <c r="P159" i="9"/>
  <c r="T159" i="9" s="1"/>
  <c r="D106" i="6" s="1"/>
  <c r="M106" i="6" s="1"/>
  <c r="S159" i="9"/>
  <c r="W159" i="9" s="1"/>
  <c r="F106" i="6" s="1"/>
  <c r="Q159" i="9"/>
  <c r="U159" i="9" s="1"/>
  <c r="E106" i="6" s="1"/>
  <c r="P195" i="9"/>
  <c r="T195" i="9" s="1"/>
  <c r="D142" i="6" s="1"/>
  <c r="M142" i="6" s="1"/>
  <c r="Q195" i="9"/>
  <c r="U195" i="9" s="1"/>
  <c r="E142" i="6" s="1"/>
  <c r="S195" i="9"/>
  <c r="W195" i="9" s="1"/>
  <c r="F142" i="6" s="1"/>
  <c r="Y147" i="16"/>
  <c r="Z147" i="16"/>
  <c r="K161" i="9" s="1"/>
  <c r="AB147" i="16"/>
  <c r="W147" i="16"/>
  <c r="BV107" i="16" s="1"/>
  <c r="BO39" i="6" s="1"/>
  <c r="AA147" i="16"/>
  <c r="X147" i="16"/>
  <c r="AJ34" i="6" l="1"/>
  <c r="N106" i="6"/>
  <c r="N142" i="6"/>
  <c r="AH187" i="16"/>
  <c r="AD187" i="16"/>
  <c r="AI187" i="16"/>
  <c r="AF187" i="16"/>
  <c r="AE187" i="16"/>
  <c r="AL94" i="18"/>
  <c r="AN94" i="18" s="1"/>
  <c r="AM94" i="18"/>
  <c r="AO94" i="18" s="1"/>
  <c r="AP94" i="18" s="1"/>
  <c r="BJ94" i="18" s="1"/>
  <c r="BL94" i="18" s="1"/>
  <c r="BN94" i="18" s="1"/>
  <c r="C139" i="6" s="1"/>
  <c r="L139" i="6" s="1"/>
  <c r="Q139" i="6" s="1"/>
  <c r="AC147" i="16"/>
  <c r="AD147" i="16" s="1"/>
  <c r="AH95" i="18"/>
  <c r="AK95" i="18" s="1"/>
  <c r="BZ105" i="16"/>
  <c r="BS37" i="6" s="1"/>
  <c r="AJ185" i="16"/>
  <c r="N141" i="6"/>
  <c r="R141" i="6" s="1"/>
  <c r="AQ38" i="6" s="1"/>
  <c r="AJ144" i="16"/>
  <c r="BW104" i="16"/>
  <c r="BP36" i="6" s="1"/>
  <c r="X94" i="18"/>
  <c r="AA94" i="18" s="1"/>
  <c r="AD93" i="18"/>
  <c r="R106" i="6"/>
  <c r="AK37" i="6" s="1"/>
  <c r="S160" i="9"/>
  <c r="W160" i="9" s="1"/>
  <c r="F107" i="6" s="1"/>
  <c r="Q160" i="9"/>
  <c r="U160" i="9" s="1"/>
  <c r="E107" i="6" s="1"/>
  <c r="P160" i="9"/>
  <c r="T160" i="9" s="1"/>
  <c r="D107" i="6" s="1"/>
  <c r="M107" i="6" s="1"/>
  <c r="P161" i="9"/>
  <c r="T161" i="9" s="1"/>
  <c r="D108" i="6" s="1"/>
  <c r="M108" i="6" s="1"/>
  <c r="Q161" i="9"/>
  <c r="U161" i="9" s="1"/>
  <c r="E108" i="6" s="1"/>
  <c r="S161" i="9"/>
  <c r="W161" i="9" s="1"/>
  <c r="F108" i="6" s="1"/>
  <c r="R142" i="6"/>
  <c r="AQ39" i="6" s="1"/>
  <c r="AD145" i="16"/>
  <c r="AG145" i="16"/>
  <c r="AH145" i="16"/>
  <c r="AF145" i="16"/>
  <c r="AE145" i="16"/>
  <c r="AI145" i="16"/>
  <c r="AH186" i="16"/>
  <c r="AE186" i="16"/>
  <c r="AF186" i="16"/>
  <c r="AG186" i="16"/>
  <c r="AI186" i="16"/>
  <c r="AD186" i="16"/>
  <c r="AC146" i="16"/>
  <c r="U138" i="6"/>
  <c r="AP35" i="6"/>
  <c r="AT35" i="6" s="1"/>
  <c r="AJ35" i="6"/>
  <c r="U104" i="6"/>
  <c r="AN35" i="6" s="1"/>
  <c r="AH147" i="16" l="1"/>
  <c r="AH97" i="18"/>
  <c r="AK97" i="18" s="1"/>
  <c r="AJ187" i="16"/>
  <c r="BZ107" i="16"/>
  <c r="BS39" i="6" s="1"/>
  <c r="N108" i="6"/>
  <c r="R108" i="6" s="1"/>
  <c r="AK39" i="6" s="1"/>
  <c r="AC94" i="18"/>
  <c r="AE94" i="18" s="1"/>
  <c r="AF94" i="18" s="1"/>
  <c r="BC94" i="18" s="1"/>
  <c r="BE94" i="18" s="1"/>
  <c r="BG94" i="18" s="1"/>
  <c r="C105" i="6" s="1"/>
  <c r="L105" i="6" s="1"/>
  <c r="Q105" i="6" s="1"/>
  <c r="AJ36" i="6" s="1"/>
  <c r="AB94" i="18"/>
  <c r="AD94" i="18" s="1"/>
  <c r="AM95" i="18"/>
  <c r="AO95" i="18" s="1"/>
  <c r="AP95" i="18" s="1"/>
  <c r="BJ95" i="18" s="1"/>
  <c r="BL95" i="18" s="1"/>
  <c r="BN95" i="18" s="1"/>
  <c r="C140" i="6" s="1"/>
  <c r="L140" i="6" s="1"/>
  <c r="Q140" i="6" s="1"/>
  <c r="AL95" i="18"/>
  <c r="AN95" i="18" s="1"/>
  <c r="N107" i="6"/>
  <c r="R107" i="6" s="1"/>
  <c r="AK38" i="6" s="1"/>
  <c r="AF147" i="16"/>
  <c r="AG147" i="16"/>
  <c r="AI147" i="16"/>
  <c r="AE147" i="16"/>
  <c r="AD146" i="16"/>
  <c r="AI146" i="16"/>
  <c r="AH146" i="16"/>
  <c r="AF146" i="16"/>
  <c r="AE146" i="16"/>
  <c r="AG146" i="16"/>
  <c r="AP36" i="6"/>
  <c r="AT36" i="6" s="1"/>
  <c r="U139" i="6"/>
  <c r="AH96" i="18"/>
  <c r="AK96" i="18" s="1"/>
  <c r="AJ186" i="16"/>
  <c r="BZ106" i="16"/>
  <c r="BS38" i="6" s="1"/>
  <c r="X95" i="18"/>
  <c r="AA95" i="18" s="1"/>
  <c r="AJ145" i="16"/>
  <c r="BW105" i="16"/>
  <c r="BP37" i="6" s="1"/>
  <c r="U105" i="6" l="1"/>
  <c r="AN36" i="6" s="1"/>
  <c r="AM97" i="18"/>
  <c r="AL97" i="18"/>
  <c r="AJ147" i="16"/>
  <c r="X97" i="18"/>
  <c r="AA97" i="18" s="1"/>
  <c r="BW107" i="16"/>
  <c r="BP39" i="6" s="1"/>
  <c r="AC95" i="18"/>
  <c r="AE95" i="18" s="1"/>
  <c r="AF95" i="18" s="1"/>
  <c r="BC95" i="18" s="1"/>
  <c r="BE95" i="18" s="1"/>
  <c r="BG95" i="18" s="1"/>
  <c r="C106" i="6" s="1"/>
  <c r="L106" i="6" s="1"/>
  <c r="Q106" i="6" s="1"/>
  <c r="AJ37" i="6" s="1"/>
  <c r="AB95" i="18"/>
  <c r="AD95" i="18" s="1"/>
  <c r="AL96" i="18"/>
  <c r="AN96" i="18" s="1"/>
  <c r="AM96" i="18"/>
  <c r="AO96" i="18" s="1"/>
  <c r="AP96" i="18" s="1"/>
  <c r="BJ96" i="18" s="1"/>
  <c r="BL96" i="18" s="1"/>
  <c r="BN96" i="18" s="1"/>
  <c r="C141" i="6" s="1"/>
  <c r="L141" i="6" s="1"/>
  <c r="Q141" i="6" s="1"/>
  <c r="AJ146" i="16"/>
  <c r="X96" i="18"/>
  <c r="AA96" i="18" s="1"/>
  <c r="BW106" i="16"/>
  <c r="BP38" i="6" s="1"/>
  <c r="U140" i="6"/>
  <c r="AP37" i="6"/>
  <c r="AT37" i="6" s="1"/>
  <c r="AC97" i="18" l="1"/>
  <c r="AB97" i="18"/>
  <c r="U106" i="6"/>
  <c r="AN37" i="6" s="1"/>
  <c r="U141" i="6"/>
  <c r="AP38" i="6"/>
  <c r="AT38" i="6" s="1"/>
  <c r="AB96" i="18"/>
  <c r="AD96" i="18" s="1"/>
  <c r="AC96" i="18"/>
  <c r="AE96" i="18" s="1"/>
  <c r="AF96" i="18" s="1"/>
  <c r="BC96" i="18" s="1"/>
  <c r="BE96" i="18" s="1"/>
  <c r="BG96" i="18" s="1"/>
  <c r="C107" i="6" s="1"/>
  <c r="L107" i="6" s="1"/>
  <c r="Q107" i="6" s="1"/>
  <c r="AJ38" i="6" s="1"/>
  <c r="AN97" i="18"/>
  <c r="AO97" i="18"/>
  <c r="AP97" i="18" s="1"/>
  <c r="BJ97" i="18" s="1"/>
  <c r="BL97" i="18" s="1"/>
  <c r="BN97" i="18" s="1"/>
  <c r="C142" i="6" s="1"/>
  <c r="L142" i="6" s="1"/>
  <c r="Q142" i="6" s="1"/>
  <c r="AD97" i="18" l="1"/>
  <c r="AE97" i="18"/>
  <c r="AF97" i="18" s="1"/>
  <c r="BC97" i="18" s="1"/>
  <c r="BE97" i="18" s="1"/>
  <c r="BG97" i="18" s="1"/>
  <c r="C108" i="6" s="1"/>
  <c r="L108" i="6" s="1"/>
  <c r="Q108" i="6" s="1"/>
  <c r="AJ39" i="6" s="1"/>
  <c r="U107" i="6"/>
  <c r="AN38" i="6" s="1"/>
  <c r="U142" i="6"/>
  <c r="AP39" i="6"/>
  <c r="AT39" i="6" s="1"/>
  <c r="AO98" i="18"/>
  <c r="AP98" i="18" s="1"/>
  <c r="BJ98" i="18" s="1"/>
  <c r="BL98" i="18" s="1"/>
  <c r="BN98" i="18" s="1"/>
  <c r="C143" i="6" s="1"/>
  <c r="L143" i="6" s="1"/>
  <c r="Q143" i="6" s="1"/>
  <c r="AN98" i="18"/>
  <c r="U108" i="6" l="1"/>
  <c r="AN39" i="6" s="1"/>
  <c r="AO99" i="18"/>
  <c r="AP99" i="18" s="1"/>
  <c r="BJ99" i="18" s="1"/>
  <c r="BL99" i="18" s="1"/>
  <c r="BN99" i="18" s="1"/>
  <c r="C144" i="6" s="1"/>
  <c r="L144" i="6" s="1"/>
  <c r="Q144" i="6" s="1"/>
  <c r="AN99" i="18"/>
  <c r="U143" i="6"/>
  <c r="AP40" i="6"/>
  <c r="AT40" i="6" s="1"/>
  <c r="AE98" i="18"/>
  <c r="AF98" i="18" s="1"/>
  <c r="BC98" i="18" s="1"/>
  <c r="BE98" i="18" s="1"/>
  <c r="BG98" i="18" s="1"/>
  <c r="C109" i="6" s="1"/>
  <c r="L109" i="6" s="1"/>
  <c r="Q109" i="6" s="1"/>
  <c r="AD98" i="18"/>
  <c r="AD99" i="18" l="1"/>
  <c r="AE99" i="18"/>
  <c r="AF99" i="18" s="1"/>
  <c r="BC99" i="18" s="1"/>
  <c r="BE99" i="18" s="1"/>
  <c r="BG99" i="18" s="1"/>
  <c r="C110" i="6" s="1"/>
  <c r="L110" i="6" s="1"/>
  <c r="Q110" i="6" s="1"/>
  <c r="AN100" i="18"/>
  <c r="AO100" i="18"/>
  <c r="AP100" i="18" s="1"/>
  <c r="BJ100" i="18" s="1"/>
  <c r="BL100" i="18" s="1"/>
  <c r="BN100" i="18" s="1"/>
  <c r="C145" i="6" s="1"/>
  <c r="L145" i="6" s="1"/>
  <c r="Q145" i="6" s="1"/>
  <c r="AP41" i="6"/>
  <c r="AT41" i="6" s="1"/>
  <c r="U144" i="6"/>
  <c r="AJ40" i="6"/>
  <c r="U109" i="6"/>
  <c r="AN40" i="6" s="1"/>
  <c r="U145" i="6" l="1"/>
  <c r="AP42" i="6"/>
  <c r="AT42" i="6" s="1"/>
  <c r="AO101" i="18"/>
  <c r="AP101" i="18" s="1"/>
  <c r="BJ101" i="18" s="1"/>
  <c r="BL101" i="18" s="1"/>
  <c r="BN101" i="18" s="1"/>
  <c r="C146" i="6" s="1"/>
  <c r="L146" i="6" s="1"/>
  <c r="Q146" i="6" s="1"/>
  <c r="AN101" i="18"/>
  <c r="U110" i="6"/>
  <c r="AN41" i="6" s="1"/>
  <c r="AJ41" i="6"/>
  <c r="AD100" i="18"/>
  <c r="AE100" i="18"/>
  <c r="AF100" i="18" s="1"/>
  <c r="BC100" i="18" s="1"/>
  <c r="BE100" i="18" s="1"/>
  <c r="BG100" i="18" s="1"/>
  <c r="C111" i="6" s="1"/>
  <c r="L111" i="6" s="1"/>
  <c r="Q111" i="6" s="1"/>
  <c r="AJ42" i="6" l="1"/>
  <c r="U111" i="6"/>
  <c r="AN42" i="6" s="1"/>
  <c r="AN102" i="18"/>
  <c r="AO102" i="18"/>
  <c r="AP102" i="18" s="1"/>
  <c r="BJ102" i="18" s="1"/>
  <c r="BL102" i="18" s="1"/>
  <c r="BN102" i="18" s="1"/>
  <c r="C147" i="6" s="1"/>
  <c r="L147" i="6" s="1"/>
  <c r="Q147" i="6" s="1"/>
  <c r="AP43" i="6"/>
  <c r="AT43" i="6" s="1"/>
  <c r="U146" i="6"/>
  <c r="AE101" i="18"/>
  <c r="AF101" i="18" s="1"/>
  <c r="BC101" i="18" s="1"/>
  <c r="BE101" i="18" s="1"/>
  <c r="BG101" i="18" s="1"/>
  <c r="C112" i="6" s="1"/>
  <c r="L112" i="6" s="1"/>
  <c r="Q112" i="6" s="1"/>
  <c r="AD101" i="18"/>
  <c r="AP44" i="6" l="1"/>
  <c r="AT44" i="6" s="1"/>
  <c r="U147" i="6"/>
  <c r="U112" i="6"/>
  <c r="AN43" i="6" s="1"/>
  <c r="AJ43" i="6"/>
  <c r="AN103" i="18"/>
  <c r="AO103" i="18"/>
  <c r="AP103" i="18" s="1"/>
  <c r="BJ103" i="18" s="1"/>
  <c r="BL103" i="18" s="1"/>
  <c r="BN103" i="18" s="1"/>
  <c r="C148" i="6" s="1"/>
  <c r="L148" i="6" s="1"/>
  <c r="Q148" i="6" s="1"/>
  <c r="AD102" i="18"/>
  <c r="AE102" i="18"/>
  <c r="AF102" i="18" s="1"/>
  <c r="BC102" i="18" s="1"/>
  <c r="BE102" i="18" s="1"/>
  <c r="BG102" i="18" s="1"/>
  <c r="C113" i="6" s="1"/>
  <c r="L113" i="6" s="1"/>
  <c r="Q113" i="6" s="1"/>
  <c r="AJ44" i="6" l="1"/>
  <c r="U113" i="6"/>
  <c r="AN44" i="6" s="1"/>
  <c r="AE103" i="18"/>
  <c r="AF103" i="18" s="1"/>
  <c r="BC103" i="18" s="1"/>
  <c r="BE103" i="18" s="1"/>
  <c r="BG103" i="18" s="1"/>
  <c r="C114" i="6" s="1"/>
  <c r="L114" i="6" s="1"/>
  <c r="Q114" i="6" s="1"/>
  <c r="AD103" i="18"/>
  <c r="U148" i="6"/>
  <c r="AP45" i="6"/>
  <c r="AT45" i="6" s="1"/>
  <c r="AO104" i="18"/>
  <c r="AP104" i="18" s="1"/>
  <c r="BJ104" i="18" s="1"/>
  <c r="BL104" i="18" s="1"/>
  <c r="BN104" i="18" s="1"/>
  <c r="C149" i="6" s="1"/>
  <c r="L149" i="6" s="1"/>
  <c r="Q149" i="6" s="1"/>
  <c r="AN104" i="18"/>
  <c r="AE104" i="18" l="1"/>
  <c r="AF104" i="18" s="1"/>
  <c r="BC104" i="18" s="1"/>
  <c r="BE104" i="18" s="1"/>
  <c r="BG104" i="18" s="1"/>
  <c r="C115" i="6" s="1"/>
  <c r="L115" i="6" s="1"/>
  <c r="Q115" i="6" s="1"/>
  <c r="AD104" i="18"/>
  <c r="U114" i="6"/>
  <c r="AN45" i="6" s="1"/>
  <c r="AJ45" i="6"/>
  <c r="AO105" i="18"/>
  <c r="AP105" i="18" s="1"/>
  <c r="BJ105" i="18" s="1"/>
  <c r="BL105" i="18" s="1"/>
  <c r="BN105" i="18" s="1"/>
  <c r="C150" i="6" s="1"/>
  <c r="L150" i="6" s="1"/>
  <c r="Q150" i="6" s="1"/>
  <c r="AN105" i="18"/>
  <c r="U149" i="6"/>
  <c r="AP46" i="6"/>
  <c r="AT46" i="6" s="1"/>
  <c r="AN106" i="18" l="1"/>
  <c r="AO106" i="18"/>
  <c r="AP106" i="18" s="1"/>
  <c r="BJ106" i="18" s="1"/>
  <c r="BL106" i="18" s="1"/>
  <c r="BN106" i="18" s="1"/>
  <c r="C151" i="6" s="1"/>
  <c r="L151" i="6" s="1"/>
  <c r="Q151" i="6" s="1"/>
  <c r="AE105" i="18"/>
  <c r="AF105" i="18" s="1"/>
  <c r="BC105" i="18" s="1"/>
  <c r="BE105" i="18" s="1"/>
  <c r="BG105" i="18" s="1"/>
  <c r="C116" i="6" s="1"/>
  <c r="L116" i="6" s="1"/>
  <c r="Q116" i="6" s="1"/>
  <c r="AD105" i="18"/>
  <c r="U150" i="6"/>
  <c r="AP47" i="6"/>
  <c r="AT47" i="6" s="1"/>
  <c r="U115" i="6"/>
  <c r="AN46" i="6" s="1"/>
  <c r="AJ46" i="6"/>
  <c r="AE106" i="18" l="1"/>
  <c r="AF106" i="18" s="1"/>
  <c r="BC106" i="18" s="1"/>
  <c r="BE106" i="18" s="1"/>
  <c r="BG106" i="18" s="1"/>
  <c r="C117" i="6" s="1"/>
  <c r="L117" i="6" s="1"/>
  <c r="Q117" i="6" s="1"/>
  <c r="AD106" i="18"/>
  <c r="U116" i="6"/>
  <c r="AN47" i="6" s="1"/>
  <c r="AJ47" i="6"/>
  <c r="U151" i="6"/>
  <c r="AP48" i="6"/>
  <c r="AT48" i="6" s="1"/>
  <c r="AN107" i="18"/>
  <c r="AO107" i="18"/>
  <c r="AP107" i="18" s="1"/>
  <c r="BJ107" i="18" s="1"/>
  <c r="BL107" i="18" s="1"/>
  <c r="BN107" i="18" s="1"/>
  <c r="C152" i="6" s="1"/>
  <c r="L152" i="6" s="1"/>
  <c r="Q152" i="6" s="1"/>
  <c r="U152" i="6" l="1"/>
  <c r="AP49" i="6"/>
  <c r="AT49" i="6" s="1"/>
  <c r="AO108" i="18"/>
  <c r="AP108" i="18" s="1"/>
  <c r="BJ108" i="18" s="1"/>
  <c r="BL108" i="18" s="1"/>
  <c r="BN108" i="18" s="1"/>
  <c r="C153" i="6" s="1"/>
  <c r="L153" i="6" s="1"/>
  <c r="Q153" i="6" s="1"/>
  <c r="AN108" i="18"/>
  <c r="AD107" i="18"/>
  <c r="AE107" i="18"/>
  <c r="AF107" i="18" s="1"/>
  <c r="BC107" i="18" s="1"/>
  <c r="BE107" i="18" s="1"/>
  <c r="BG107" i="18" s="1"/>
  <c r="C118" i="6" s="1"/>
  <c r="L118" i="6" s="1"/>
  <c r="Q118" i="6" s="1"/>
  <c r="AJ48" i="6"/>
  <c r="U117" i="6"/>
  <c r="AN48" i="6" s="1"/>
  <c r="AN109" i="18" l="1"/>
  <c r="AO109" i="18"/>
  <c r="AP109" i="18" s="1"/>
  <c r="BJ109" i="18" s="1"/>
  <c r="BL109" i="18" s="1"/>
  <c r="BN109" i="18" s="1"/>
  <c r="C154" i="6" s="1"/>
  <c r="L154" i="6" s="1"/>
  <c r="Q154" i="6" s="1"/>
  <c r="AP50" i="6"/>
  <c r="AT50" i="6" s="1"/>
  <c r="U153" i="6"/>
  <c r="U118" i="6"/>
  <c r="AN49" i="6" s="1"/>
  <c r="AJ49" i="6"/>
  <c r="AE108" i="18"/>
  <c r="AF108" i="18" s="1"/>
  <c r="BC108" i="18" s="1"/>
  <c r="BE108" i="18" s="1"/>
  <c r="BG108" i="18" s="1"/>
  <c r="C119" i="6" s="1"/>
  <c r="L119" i="6" s="1"/>
  <c r="Q119" i="6" s="1"/>
  <c r="AD108" i="18"/>
  <c r="AD109" i="18" l="1"/>
  <c r="AE109" i="18"/>
  <c r="AF109" i="18" s="1"/>
  <c r="BC109" i="18" s="1"/>
  <c r="BE109" i="18" s="1"/>
  <c r="BG109" i="18" s="1"/>
  <c r="C120" i="6" s="1"/>
  <c r="L120" i="6" s="1"/>
  <c r="Q120" i="6" s="1"/>
  <c r="U119" i="6"/>
  <c r="AN50" i="6" s="1"/>
  <c r="AJ50" i="6"/>
  <c r="U154" i="6"/>
  <c r="AP51" i="6"/>
  <c r="AT51" i="6" s="1"/>
  <c r="AO110" i="18"/>
  <c r="AP110" i="18" s="1"/>
  <c r="BJ110" i="18" s="1"/>
  <c r="BL110" i="18" s="1"/>
  <c r="BN110" i="18" s="1"/>
  <c r="C155" i="6" s="1"/>
  <c r="L155" i="6" s="1"/>
  <c r="Q155" i="6" s="1"/>
  <c r="AN110" i="18"/>
  <c r="AN111" i="18" l="1"/>
  <c r="AO111" i="18"/>
  <c r="AP111" i="18" s="1"/>
  <c r="BJ111" i="18" s="1"/>
  <c r="BL111" i="18" s="1"/>
  <c r="BN111" i="18" s="1"/>
  <c r="C156" i="6" s="1"/>
  <c r="L156" i="6" s="1"/>
  <c r="Q156" i="6" s="1"/>
  <c r="U155" i="6"/>
  <c r="AP52" i="6"/>
  <c r="AT52" i="6" s="1"/>
  <c r="AJ51" i="6"/>
  <c r="U120" i="6"/>
  <c r="AN51" i="6" s="1"/>
  <c r="AD110" i="18"/>
  <c r="AE110" i="18"/>
  <c r="AF110" i="18" s="1"/>
  <c r="BC110" i="18" s="1"/>
  <c r="BE110" i="18" s="1"/>
  <c r="BG110" i="18" s="1"/>
  <c r="C121" i="6" s="1"/>
  <c r="L121" i="6" s="1"/>
  <c r="Q121" i="6" s="1"/>
  <c r="U121" i="6" l="1"/>
  <c r="AN52" i="6" s="1"/>
  <c r="AJ52" i="6"/>
  <c r="AD111" i="18"/>
  <c r="AE111" i="18"/>
  <c r="AF111" i="18" s="1"/>
  <c r="BC111" i="18" s="1"/>
  <c r="BE111" i="18" s="1"/>
  <c r="BG111" i="18" s="1"/>
  <c r="C122" i="6" s="1"/>
  <c r="L122" i="6" s="1"/>
  <c r="Q122" i="6" s="1"/>
  <c r="U156" i="6"/>
  <c r="AP53" i="6"/>
  <c r="AT53" i="6" s="1"/>
  <c r="AN112" i="18"/>
  <c r="AO112" i="18"/>
  <c r="AP112" i="18" s="1"/>
  <c r="BJ112" i="18" s="1"/>
  <c r="BL112" i="18" s="1"/>
  <c r="BN112" i="18" s="1"/>
  <c r="C157" i="6" s="1"/>
  <c r="L157" i="6" s="1"/>
  <c r="Q157" i="6" s="1"/>
  <c r="AJ53" i="6" l="1"/>
  <c r="U122" i="6"/>
  <c r="AN53" i="6" s="1"/>
  <c r="U157" i="6"/>
  <c r="AP54" i="6"/>
  <c r="AT54" i="6" s="1"/>
  <c r="AD112" i="18"/>
  <c r="AE112" i="18"/>
  <c r="AF112" i="18" s="1"/>
  <c r="BC112" i="18" s="1"/>
  <c r="BE112" i="18" s="1"/>
  <c r="BG112" i="18" s="1"/>
  <c r="C123" i="6" s="1"/>
  <c r="L123" i="6" s="1"/>
  <c r="Q123" i="6" s="1"/>
  <c r="AN113" i="18"/>
  <c r="AO113" i="18"/>
  <c r="AP113" i="18" s="1"/>
  <c r="BJ113" i="18" s="1"/>
  <c r="BL113" i="18" s="1"/>
  <c r="BN113" i="18" s="1"/>
  <c r="C158" i="6" s="1"/>
  <c r="L158" i="6" s="1"/>
  <c r="Q158" i="6" s="1"/>
  <c r="U158" i="6" l="1"/>
  <c r="AP55" i="6"/>
  <c r="AT55" i="6" s="1"/>
  <c r="AO114" i="18"/>
  <c r="AP114" i="18" s="1"/>
  <c r="BJ114" i="18" s="1"/>
  <c r="BL114" i="18" s="1"/>
  <c r="BN114" i="18" s="1"/>
  <c r="C159" i="6" s="1"/>
  <c r="L159" i="6" s="1"/>
  <c r="Q159" i="6" s="1"/>
  <c r="AN114" i="18"/>
  <c r="AJ54" i="6"/>
  <c r="U123" i="6"/>
  <c r="AN54" i="6" s="1"/>
  <c r="AD113" i="18"/>
  <c r="AE113" i="18"/>
  <c r="AF113" i="18" s="1"/>
  <c r="BC113" i="18" s="1"/>
  <c r="BE113" i="18" s="1"/>
  <c r="BG113" i="18" s="1"/>
  <c r="C124" i="6" s="1"/>
  <c r="L124" i="6" s="1"/>
  <c r="Q124" i="6" s="1"/>
  <c r="AJ55" i="6" l="1"/>
  <c r="U124" i="6"/>
  <c r="AN55" i="6" s="1"/>
  <c r="AO115" i="18"/>
  <c r="AP115" i="18" s="1"/>
  <c r="BJ115" i="18" s="1"/>
  <c r="BL115" i="18" s="1"/>
  <c r="BN115" i="18" s="1"/>
  <c r="C160" i="6" s="1"/>
  <c r="L160" i="6" s="1"/>
  <c r="Q160" i="6" s="1"/>
  <c r="AN115" i="18"/>
  <c r="AE114" i="18"/>
  <c r="AF114" i="18" s="1"/>
  <c r="BC114" i="18" s="1"/>
  <c r="BE114" i="18" s="1"/>
  <c r="BG114" i="18" s="1"/>
  <c r="C125" i="6" s="1"/>
  <c r="L125" i="6" s="1"/>
  <c r="Q125" i="6" s="1"/>
  <c r="AD114" i="18"/>
  <c r="U159" i="6"/>
  <c r="AP56" i="6"/>
  <c r="AT56" i="6" s="1"/>
  <c r="AN116" i="18" l="1"/>
  <c r="AO116" i="18"/>
  <c r="AP116" i="18" s="1"/>
  <c r="BJ116" i="18" s="1"/>
  <c r="BL116" i="18" s="1"/>
  <c r="BN116" i="18" s="1"/>
  <c r="C161" i="6" s="1"/>
  <c r="L161" i="6" s="1"/>
  <c r="Q161" i="6" s="1"/>
  <c r="AD115" i="18"/>
  <c r="AE115" i="18"/>
  <c r="AF115" i="18" s="1"/>
  <c r="BC115" i="18" s="1"/>
  <c r="BE115" i="18" s="1"/>
  <c r="BG115" i="18" s="1"/>
  <c r="C126" i="6" s="1"/>
  <c r="L126" i="6" s="1"/>
  <c r="Q126" i="6" s="1"/>
  <c r="U160" i="6"/>
  <c r="AP57" i="6"/>
  <c r="AT57" i="6" s="1"/>
  <c r="AJ56" i="6"/>
  <c r="U125" i="6"/>
  <c r="AN56" i="6" s="1"/>
  <c r="AE116" i="18" l="1"/>
  <c r="AF116" i="18" s="1"/>
  <c r="BC116" i="18" s="1"/>
  <c r="BE116" i="18" s="1"/>
  <c r="BG116" i="18" s="1"/>
  <c r="C127" i="6" s="1"/>
  <c r="L127" i="6" s="1"/>
  <c r="Q127" i="6" s="1"/>
  <c r="AD116" i="18"/>
  <c r="U161" i="6"/>
  <c r="AP58" i="6"/>
  <c r="AT58" i="6" s="1"/>
  <c r="AJ57" i="6"/>
  <c r="U126" i="6"/>
  <c r="AN57" i="6" s="1"/>
  <c r="AN117" i="18"/>
  <c r="AO117" i="18"/>
  <c r="AP117" i="18" s="1"/>
  <c r="BJ117" i="18" s="1"/>
  <c r="BL117" i="18" s="1"/>
  <c r="BN117" i="18" s="1"/>
  <c r="C162" i="6" s="1"/>
  <c r="L162" i="6" s="1"/>
  <c r="Q162" i="6" s="1"/>
  <c r="K160" i="17"/>
  <c r="M160" i="17" s="1"/>
  <c r="K168" i="17"/>
  <c r="P168" i="17" s="1"/>
  <c r="Q168" i="17" s="1"/>
  <c r="K149" i="17"/>
  <c r="P149" i="17" s="1"/>
  <c r="Q149" i="17" s="1"/>
  <c r="R149" i="17" s="1"/>
  <c r="S149" i="17" s="1"/>
  <c r="K159" i="17"/>
  <c r="P159" i="17" s="1"/>
  <c r="Q159" i="17" s="1"/>
  <c r="K157" i="17"/>
  <c r="M157" i="17" s="1"/>
  <c r="K162" i="17"/>
  <c r="P162" i="17" s="1"/>
  <c r="Q162" i="17" s="1"/>
  <c r="K165" i="17"/>
  <c r="P165" i="17" s="1"/>
  <c r="Q165" i="17" s="1"/>
  <c r="K154" i="17"/>
  <c r="P154" i="17" s="1"/>
  <c r="Q154" i="17" s="1"/>
  <c r="K166" i="17"/>
  <c r="P166" i="17" s="1"/>
  <c r="Q166" i="17" s="1"/>
  <c r="K153" i="17"/>
  <c r="P153" i="17" s="1"/>
  <c r="Q153" i="17" s="1"/>
  <c r="K167" i="17"/>
  <c r="P167" i="17" s="1"/>
  <c r="Q167" i="17" s="1"/>
  <c r="K161" i="17"/>
  <c r="P161" i="17" s="1"/>
  <c r="Q161" i="17" s="1"/>
  <c r="K156" i="17"/>
  <c r="P156" i="17" s="1"/>
  <c r="Q156" i="17" s="1"/>
  <c r="K150" i="17"/>
  <c r="P150" i="17" s="1"/>
  <c r="Q150" i="17" s="1"/>
  <c r="K151" i="17"/>
  <c r="M151" i="17" s="1"/>
  <c r="K163" i="17"/>
  <c r="P163" i="17" s="1"/>
  <c r="Q163" i="17" s="1"/>
  <c r="K155" i="17"/>
  <c r="M155" i="17" s="1"/>
  <c r="K158" i="17"/>
  <c r="P158" i="17" s="1"/>
  <c r="Q158" i="17" s="1"/>
  <c r="K164" i="17"/>
  <c r="P164" i="17" s="1"/>
  <c r="Q164" i="17" s="1"/>
  <c r="K152" i="17"/>
  <c r="P152" i="17" s="1"/>
  <c r="Q152" i="17" s="1"/>
  <c r="K148" i="17"/>
  <c r="P148" i="17" s="1"/>
  <c r="Q148" i="17" s="1"/>
  <c r="R148" i="17" s="1"/>
  <c r="S148" i="17" s="1"/>
  <c r="R161" i="17" l="1"/>
  <c r="S161" i="17" s="1"/>
  <c r="R159" i="17"/>
  <c r="S159" i="17" s="1"/>
  <c r="R164" i="17"/>
  <c r="S164" i="17" s="1"/>
  <c r="R167" i="17"/>
  <c r="S167" i="17" s="1"/>
  <c r="R165" i="17"/>
  <c r="S165" i="17" s="1"/>
  <c r="R163" i="17"/>
  <c r="S163" i="17" s="1"/>
  <c r="R150" i="17"/>
  <c r="S150" i="17" s="1"/>
  <c r="R153" i="17"/>
  <c r="S153" i="17" s="1"/>
  <c r="R162" i="17"/>
  <c r="S162" i="17" s="1"/>
  <c r="R168" i="17"/>
  <c r="S168" i="17" s="1"/>
  <c r="R152" i="17"/>
  <c r="S152" i="17" s="1"/>
  <c r="R154" i="17"/>
  <c r="S154" i="17" s="1"/>
  <c r="R158" i="17"/>
  <c r="S158" i="17" s="1"/>
  <c r="R156" i="17"/>
  <c r="S156" i="17" s="1"/>
  <c r="R166" i="17"/>
  <c r="S166" i="17" s="1"/>
  <c r="AN118" i="18"/>
  <c r="AO118" i="18"/>
  <c r="AP118" i="18" s="1"/>
  <c r="BJ118" i="18" s="1"/>
  <c r="BL118" i="18" s="1"/>
  <c r="BN118" i="18" s="1"/>
  <c r="C163" i="6" s="1"/>
  <c r="L163" i="6" s="1"/>
  <c r="Q163" i="6" s="1"/>
  <c r="U162" i="6"/>
  <c r="AP59" i="6"/>
  <c r="AT59" i="6" s="1"/>
  <c r="V149" i="17"/>
  <c r="U149" i="17"/>
  <c r="CC109" i="17" s="1"/>
  <c r="CK41" i="6" s="1"/>
  <c r="T149" i="17"/>
  <c r="AD117" i="18"/>
  <c r="AE117" i="18"/>
  <c r="AF117" i="18" s="1"/>
  <c r="BC117" i="18" s="1"/>
  <c r="BE117" i="18" s="1"/>
  <c r="BG117" i="18" s="1"/>
  <c r="C128" i="6" s="1"/>
  <c r="L128" i="6" s="1"/>
  <c r="Q128" i="6" s="1"/>
  <c r="V148" i="17"/>
  <c r="U148" i="17"/>
  <c r="CC108" i="17" s="1"/>
  <c r="CK40" i="6" s="1"/>
  <c r="T148" i="17"/>
  <c r="U127" i="6"/>
  <c r="AN58" i="6" s="1"/>
  <c r="AJ58" i="6"/>
  <c r="M159" i="17"/>
  <c r="M168" i="17"/>
  <c r="M161" i="17"/>
  <c r="M153" i="17"/>
  <c r="M162" i="17"/>
  <c r="M154" i="17"/>
  <c r="P160" i="17"/>
  <c r="Q160" i="17" s="1"/>
  <c r="M152" i="17"/>
  <c r="M158" i="17"/>
  <c r="M163" i="17"/>
  <c r="M150" i="17"/>
  <c r="P155" i="17"/>
  <c r="Q155" i="17" s="1"/>
  <c r="P151" i="17"/>
  <c r="Q151" i="17" s="1"/>
  <c r="P157" i="17"/>
  <c r="Q157" i="17" s="1"/>
  <c r="M148" i="17"/>
  <c r="M164" i="17"/>
  <c r="M156" i="17"/>
  <c r="M167" i="17"/>
  <c r="M166" i="17"/>
  <c r="M165" i="17"/>
  <c r="M149" i="17"/>
  <c r="K136" i="17"/>
  <c r="M136" i="17" s="1"/>
  <c r="K144" i="17"/>
  <c r="K137" i="17"/>
  <c r="K138" i="17"/>
  <c r="K141" i="17"/>
  <c r="K139" i="17"/>
  <c r="K140" i="17"/>
  <c r="K142" i="17"/>
  <c r="K143" i="17"/>
  <c r="R160" i="17" l="1"/>
  <c r="S160" i="17" s="1"/>
  <c r="T156" i="17"/>
  <c r="V156" i="17"/>
  <c r="U156" i="17"/>
  <c r="CC116" i="17" s="1"/>
  <c r="CK48" i="6" s="1"/>
  <c r="V154" i="17"/>
  <c r="U154" i="17"/>
  <c r="CC114" i="17" s="1"/>
  <c r="CK46" i="6" s="1"/>
  <c r="T154" i="17"/>
  <c r="T168" i="17"/>
  <c r="V168" i="17"/>
  <c r="U168" i="17"/>
  <c r="CC128" i="17" s="1"/>
  <c r="CK60" i="6" s="1"/>
  <c r="V153" i="17"/>
  <c r="U153" i="17"/>
  <c r="CC113" i="17" s="1"/>
  <c r="CK45" i="6" s="1"/>
  <c r="T153" i="17"/>
  <c r="V163" i="17"/>
  <c r="T163" i="17"/>
  <c r="U163" i="17"/>
  <c r="CC123" i="17" s="1"/>
  <c r="CK55" i="6" s="1"/>
  <c r="V167" i="17"/>
  <c r="T167" i="17"/>
  <c r="U167" i="17"/>
  <c r="CC127" i="17" s="1"/>
  <c r="CK59" i="6" s="1"/>
  <c r="V159" i="17"/>
  <c r="T159" i="17"/>
  <c r="U159" i="17"/>
  <c r="CC119" i="17" s="1"/>
  <c r="CK51" i="6" s="1"/>
  <c r="R155" i="17"/>
  <c r="S155" i="17" s="1"/>
  <c r="R157" i="17"/>
  <c r="S157" i="17" s="1"/>
  <c r="R151" i="17"/>
  <c r="S151" i="17" s="1"/>
  <c r="T166" i="17"/>
  <c r="U166" i="17"/>
  <c r="CC126" i="17" s="1"/>
  <c r="CK58" i="6" s="1"/>
  <c r="V166" i="17"/>
  <c r="T158" i="17"/>
  <c r="U158" i="17"/>
  <c r="CC118" i="17" s="1"/>
  <c r="CK50" i="6" s="1"/>
  <c r="V158" i="17"/>
  <c r="V152" i="17"/>
  <c r="T152" i="17"/>
  <c r="U152" i="17"/>
  <c r="CC112" i="17" s="1"/>
  <c r="CK44" i="6" s="1"/>
  <c r="U162" i="17"/>
  <c r="CC122" i="17" s="1"/>
  <c r="CK54" i="6" s="1"/>
  <c r="V162" i="17"/>
  <c r="T162" i="17"/>
  <c r="T150" i="17"/>
  <c r="V150" i="17"/>
  <c r="U150" i="17"/>
  <c r="CC110" i="17" s="1"/>
  <c r="CK42" i="6" s="1"/>
  <c r="T165" i="17"/>
  <c r="V165" i="17"/>
  <c r="U165" i="17"/>
  <c r="CC125" i="17" s="1"/>
  <c r="CK57" i="6" s="1"/>
  <c r="T164" i="17"/>
  <c r="V164" i="17"/>
  <c r="U164" i="17"/>
  <c r="CC124" i="17" s="1"/>
  <c r="CK56" i="6" s="1"/>
  <c r="V161" i="17"/>
  <c r="T161" i="17"/>
  <c r="U161" i="17"/>
  <c r="CC121" i="17" s="1"/>
  <c r="CK53" i="6" s="1"/>
  <c r="Z148" i="17"/>
  <c r="K264" i="9" s="1"/>
  <c r="W148" i="17"/>
  <c r="BV108" i="17" s="1"/>
  <c r="Y148" i="17"/>
  <c r="AB148" i="17"/>
  <c r="X148" i="17"/>
  <c r="AA148" i="17"/>
  <c r="Y149" i="17"/>
  <c r="AB149" i="17"/>
  <c r="X149" i="17"/>
  <c r="AA149" i="17"/>
  <c r="Z149" i="17"/>
  <c r="K265" i="9" s="1"/>
  <c r="W149" i="17"/>
  <c r="BV109" i="17" s="1"/>
  <c r="BU41" i="6" s="1"/>
  <c r="U163" i="6"/>
  <c r="AP60" i="6"/>
  <c r="AT60" i="6" s="1"/>
  <c r="AE118" i="18"/>
  <c r="AF118" i="18" s="1"/>
  <c r="BC118" i="18" s="1"/>
  <c r="BE118" i="18" s="1"/>
  <c r="BG118" i="18" s="1"/>
  <c r="C129" i="6" s="1"/>
  <c r="L129" i="6" s="1"/>
  <c r="Q129" i="6" s="1"/>
  <c r="AD118" i="18"/>
  <c r="U128" i="6"/>
  <c r="AN59" i="6" s="1"/>
  <c r="AJ59" i="6"/>
  <c r="P136" i="17"/>
  <c r="Q136" i="17" s="1"/>
  <c r="P142" i="17"/>
  <c r="Q142" i="17" s="1"/>
  <c r="M142" i="17"/>
  <c r="M141" i="17"/>
  <c r="P141" i="17"/>
  <c r="Q141" i="17" s="1"/>
  <c r="M143" i="17"/>
  <c r="P143" i="17"/>
  <c r="Q143" i="17" s="1"/>
  <c r="P144" i="17"/>
  <c r="Q144" i="17" s="1"/>
  <c r="M144" i="17"/>
  <c r="K145" i="17"/>
  <c r="P140" i="17"/>
  <c r="Q140" i="17" s="1"/>
  <c r="M140" i="17"/>
  <c r="P138" i="17"/>
  <c r="Q138" i="17" s="1"/>
  <c r="M138" i="17"/>
  <c r="BU40" i="6"/>
  <c r="P139" i="17"/>
  <c r="Q139" i="17" s="1"/>
  <c r="M139" i="17"/>
  <c r="M137" i="17"/>
  <c r="P137" i="17"/>
  <c r="Q137" i="17" s="1"/>
  <c r="V151" i="17" l="1"/>
  <c r="T151" i="17"/>
  <c r="U151" i="17"/>
  <c r="CC111" i="17" s="1"/>
  <c r="CK43" i="6" s="1"/>
  <c r="AA167" i="17"/>
  <c r="W167" i="17"/>
  <c r="BV127" i="17" s="1"/>
  <c r="BU59" i="6" s="1"/>
  <c r="Y167" i="17"/>
  <c r="AB167" i="17"/>
  <c r="Z167" i="17"/>
  <c r="K283" i="9" s="1"/>
  <c r="X167" i="17"/>
  <c r="AA165" i="17"/>
  <c r="W165" i="17"/>
  <c r="BV125" i="17" s="1"/>
  <c r="BU57" i="6" s="1"/>
  <c r="Y165" i="17"/>
  <c r="AB165" i="17"/>
  <c r="Z165" i="17"/>
  <c r="X165" i="17"/>
  <c r="AA162" i="17"/>
  <c r="W162" i="17"/>
  <c r="BV122" i="17" s="1"/>
  <c r="BU54" i="6" s="1"/>
  <c r="Y162" i="17"/>
  <c r="AB162" i="17"/>
  <c r="Z162" i="17"/>
  <c r="K278" i="9" s="1"/>
  <c r="X162" i="17"/>
  <c r="AA166" i="17"/>
  <c r="Y166" i="17"/>
  <c r="AB166" i="17"/>
  <c r="W166" i="17"/>
  <c r="BV126" i="17" s="1"/>
  <c r="BU58" i="6" s="1"/>
  <c r="Z166" i="17"/>
  <c r="K282" i="9" s="1"/>
  <c r="X166" i="17"/>
  <c r="AA159" i="17"/>
  <c r="Y159" i="17"/>
  <c r="AB159" i="17"/>
  <c r="W159" i="17"/>
  <c r="BV119" i="17" s="1"/>
  <c r="BU51" i="6" s="1"/>
  <c r="Z159" i="17"/>
  <c r="K275" i="9" s="1"/>
  <c r="X159" i="17"/>
  <c r="AA168" i="17"/>
  <c r="Y168" i="17"/>
  <c r="W168" i="17"/>
  <c r="BV128" i="17" s="1"/>
  <c r="BU60" i="6" s="1"/>
  <c r="Z168" i="17"/>
  <c r="K284" i="9" s="1"/>
  <c r="AB168" i="17"/>
  <c r="X168" i="17"/>
  <c r="AA154" i="17"/>
  <c r="AB154" i="17"/>
  <c r="Y154" i="17"/>
  <c r="W154" i="17"/>
  <c r="BV114" i="17" s="1"/>
  <c r="BU46" i="6" s="1"/>
  <c r="Z154" i="17"/>
  <c r="K270" i="9" s="1"/>
  <c r="X154" i="17"/>
  <c r="V155" i="17"/>
  <c r="T155" i="17"/>
  <c r="U155" i="17"/>
  <c r="CC115" i="17" s="1"/>
  <c r="CK47" i="6" s="1"/>
  <c r="AA164" i="17"/>
  <c r="AB164" i="17"/>
  <c r="Y164" i="17"/>
  <c r="W164" i="17"/>
  <c r="BV124" i="17" s="1"/>
  <c r="BU56" i="6" s="1"/>
  <c r="Z164" i="17"/>
  <c r="K280" i="9" s="1"/>
  <c r="X164" i="17"/>
  <c r="AA152" i="17"/>
  <c r="W152" i="17"/>
  <c r="BV112" i="17" s="1"/>
  <c r="BU44" i="6" s="1"/>
  <c r="Y152" i="17"/>
  <c r="AB152" i="17"/>
  <c r="Z152" i="17"/>
  <c r="X152" i="17"/>
  <c r="AA158" i="17"/>
  <c r="AB158" i="17"/>
  <c r="Y158" i="17"/>
  <c r="W158" i="17"/>
  <c r="BV118" i="17" s="1"/>
  <c r="BU50" i="6" s="1"/>
  <c r="Z158" i="17"/>
  <c r="X158" i="17"/>
  <c r="T157" i="17"/>
  <c r="U157" i="17"/>
  <c r="CC117" i="17" s="1"/>
  <c r="CK49" i="6" s="1"/>
  <c r="V157" i="17"/>
  <c r="AA150" i="17"/>
  <c r="Z150" i="17"/>
  <c r="K266" i="9" s="1"/>
  <c r="AB150" i="17"/>
  <c r="Y150" i="17"/>
  <c r="W150" i="17"/>
  <c r="BV110" i="17" s="1"/>
  <c r="BU42" i="6" s="1"/>
  <c r="X150" i="17"/>
  <c r="AA161" i="17"/>
  <c r="AB161" i="17"/>
  <c r="W161" i="17"/>
  <c r="BV121" i="17" s="1"/>
  <c r="BU53" i="6" s="1"/>
  <c r="Y161" i="17"/>
  <c r="Z161" i="17"/>
  <c r="X161" i="17"/>
  <c r="AA163" i="17"/>
  <c r="AB163" i="17"/>
  <c r="W163" i="17"/>
  <c r="BV123" i="17" s="1"/>
  <c r="BU55" i="6" s="1"/>
  <c r="Z163" i="17"/>
  <c r="Y163" i="17"/>
  <c r="X163" i="17"/>
  <c r="AA153" i="17"/>
  <c r="W153" i="17"/>
  <c r="BV113" i="17" s="1"/>
  <c r="BU45" i="6" s="1"/>
  <c r="Y153" i="17"/>
  <c r="AB153" i="17"/>
  <c r="Z153" i="17"/>
  <c r="K269" i="9" s="1"/>
  <c r="X153" i="17"/>
  <c r="AA156" i="17"/>
  <c r="AB156" i="17"/>
  <c r="W156" i="17"/>
  <c r="BV116" i="17" s="1"/>
  <c r="BU48" i="6" s="1"/>
  <c r="Y156" i="17"/>
  <c r="Z156" i="17"/>
  <c r="K272" i="9" s="1"/>
  <c r="X156" i="17"/>
  <c r="T160" i="17"/>
  <c r="V160" i="17"/>
  <c r="U160" i="17"/>
  <c r="CC120" i="17" s="1"/>
  <c r="CK52" i="6" s="1"/>
  <c r="R143" i="17"/>
  <c r="S143" i="17" s="1"/>
  <c r="R139" i="17"/>
  <c r="S139" i="17" s="1"/>
  <c r="R142" i="17"/>
  <c r="S142" i="17" s="1"/>
  <c r="U129" i="6"/>
  <c r="AN60" i="6" s="1"/>
  <c r="AJ60" i="6"/>
  <c r="Q265" i="9"/>
  <c r="P265" i="9"/>
  <c r="S265" i="9"/>
  <c r="R140" i="17"/>
  <c r="S140" i="17" s="1"/>
  <c r="R137" i="17"/>
  <c r="S137" i="17" s="1"/>
  <c r="R141" i="17"/>
  <c r="S141" i="17" s="1"/>
  <c r="R136" i="17"/>
  <c r="S136" i="17" s="1"/>
  <c r="R138" i="17"/>
  <c r="S138" i="17" s="1"/>
  <c r="R144" i="17"/>
  <c r="S144" i="17" s="1"/>
  <c r="AC149" i="17"/>
  <c r="AF149" i="17" s="1"/>
  <c r="AC148" i="17"/>
  <c r="AH148" i="17" s="1"/>
  <c r="Q264" i="9"/>
  <c r="P264" i="9"/>
  <c r="S264" i="9"/>
  <c r="P145" i="17"/>
  <c r="Q145" i="17" s="1"/>
  <c r="M145" i="17"/>
  <c r="K147" i="17"/>
  <c r="K146" i="17"/>
  <c r="AE148" i="17" l="1"/>
  <c r="BW108" i="17" s="1"/>
  <c r="BV40" i="6" s="1"/>
  <c r="AF148" i="17"/>
  <c r="AD148" i="17"/>
  <c r="AI148" i="17"/>
  <c r="AC152" i="17"/>
  <c r="AE152" i="17" s="1"/>
  <c r="AE149" i="17"/>
  <c r="BW109" i="17" s="1"/>
  <c r="BV41" i="6" s="1"/>
  <c r="AH149" i="17"/>
  <c r="AA157" i="17"/>
  <c r="Y157" i="17"/>
  <c r="W157" i="17"/>
  <c r="BV117" i="17" s="1"/>
  <c r="BU49" i="6" s="1"/>
  <c r="AB157" i="17"/>
  <c r="Z157" i="17"/>
  <c r="X157" i="17"/>
  <c r="S270" i="9"/>
  <c r="Q270" i="9"/>
  <c r="P270" i="9"/>
  <c r="Q275" i="9"/>
  <c r="P275" i="9"/>
  <c r="S275" i="9"/>
  <c r="S278" i="9"/>
  <c r="Q278" i="9"/>
  <c r="P278" i="9"/>
  <c r="Q283" i="9"/>
  <c r="P283" i="9"/>
  <c r="S283" i="9"/>
  <c r="AG148" i="17"/>
  <c r="K230" i="9" s="1"/>
  <c r="Q230" i="9" s="1"/>
  <c r="U230" i="9" s="1"/>
  <c r="E177" i="6" s="1"/>
  <c r="AC156" i="17"/>
  <c r="AC163" i="17"/>
  <c r="AH163" i="17" s="1"/>
  <c r="AC150" i="17"/>
  <c r="Q266" i="9"/>
  <c r="S266" i="9"/>
  <c r="P266" i="9"/>
  <c r="K268" i="9"/>
  <c r="AG152" i="17"/>
  <c r="K234" i="9" s="1"/>
  <c r="AC168" i="17"/>
  <c r="AH168" i="17" s="1"/>
  <c r="AC166" i="17"/>
  <c r="AC165" i="17"/>
  <c r="AA151" i="17"/>
  <c r="W151" i="17"/>
  <c r="BV111" i="17" s="1"/>
  <c r="BU43" i="6" s="1"/>
  <c r="Y151" i="17"/>
  <c r="AB151" i="17"/>
  <c r="Z151" i="17"/>
  <c r="K267" i="9" s="1"/>
  <c r="X151" i="17"/>
  <c r="AA155" i="17"/>
  <c r="Y155" i="17"/>
  <c r="AB155" i="17"/>
  <c r="W155" i="17"/>
  <c r="BV115" i="17" s="1"/>
  <c r="BU47" i="6" s="1"/>
  <c r="Z155" i="17"/>
  <c r="K271" i="9" s="1"/>
  <c r="X155" i="17"/>
  <c r="AA160" i="17"/>
  <c r="AB160" i="17"/>
  <c r="Y160" i="17"/>
  <c r="W160" i="17"/>
  <c r="BV120" i="17" s="1"/>
  <c r="BU52" i="6" s="1"/>
  <c r="Z160" i="17"/>
  <c r="X160" i="17"/>
  <c r="Q272" i="9"/>
  <c r="P272" i="9"/>
  <c r="S272" i="9"/>
  <c r="AF163" i="17"/>
  <c r="AC158" i="17"/>
  <c r="AH158" i="17" s="1"/>
  <c r="AC164" i="17"/>
  <c r="AI164" i="17" s="1"/>
  <c r="P282" i="9"/>
  <c r="Q282" i="9"/>
  <c r="S282" i="9"/>
  <c r="K281" i="9"/>
  <c r="Q269" i="9"/>
  <c r="P269" i="9"/>
  <c r="S269" i="9"/>
  <c r="K277" i="9"/>
  <c r="AD152" i="17"/>
  <c r="AC153" i="17"/>
  <c r="K279" i="9"/>
  <c r="AC161" i="17"/>
  <c r="AG161" i="17" s="1"/>
  <c r="K243" i="9" s="1"/>
  <c r="K274" i="9"/>
  <c r="Q280" i="9"/>
  <c r="S280" i="9"/>
  <c r="P280" i="9"/>
  <c r="AC154" i="17"/>
  <c r="AF154" i="17" s="1"/>
  <c r="S284" i="9"/>
  <c r="P284" i="9"/>
  <c r="Q284" i="9"/>
  <c r="AC159" i="17"/>
  <c r="AC162" i="17"/>
  <c r="AC167" i="17"/>
  <c r="AG167" i="17" s="1"/>
  <c r="K249" i="9" s="1"/>
  <c r="V141" i="17"/>
  <c r="U141" i="17"/>
  <c r="CC101" i="17" s="1"/>
  <c r="CK33" i="6" s="1"/>
  <c r="T141" i="17"/>
  <c r="R145" i="17"/>
  <c r="S145" i="17" s="1"/>
  <c r="U139" i="17"/>
  <c r="CC99" i="17" s="1"/>
  <c r="CK31" i="6" s="1"/>
  <c r="V139" i="17"/>
  <c r="T139" i="17"/>
  <c r="T138" i="17"/>
  <c r="U138" i="17"/>
  <c r="CC98" i="17" s="1"/>
  <c r="CK30" i="6" s="1"/>
  <c r="V138" i="17"/>
  <c r="AI149" i="17"/>
  <c r="V144" i="17"/>
  <c r="U144" i="17"/>
  <c r="CC104" i="17" s="1"/>
  <c r="CK36" i="6" s="1"/>
  <c r="T144" i="17"/>
  <c r="V136" i="17"/>
  <c r="U136" i="17"/>
  <c r="CC96" i="17" s="1"/>
  <c r="CK28" i="6" s="1"/>
  <c r="T136" i="17"/>
  <c r="V137" i="17"/>
  <c r="T137" i="17"/>
  <c r="U137" i="17"/>
  <c r="CC97" i="17" s="1"/>
  <c r="CK29" i="6" s="1"/>
  <c r="V140" i="17"/>
  <c r="U140" i="17"/>
  <c r="CC100" i="17" s="1"/>
  <c r="CK32" i="6" s="1"/>
  <c r="T140" i="17"/>
  <c r="AD149" i="17"/>
  <c r="AG149" i="17"/>
  <c r="K231" i="9" s="1"/>
  <c r="S231" i="9" s="1"/>
  <c r="W231" i="9" s="1"/>
  <c r="F178" i="6" s="1"/>
  <c r="T142" i="17"/>
  <c r="V142" i="17"/>
  <c r="U142" i="17"/>
  <c r="CC102" i="17" s="1"/>
  <c r="CK34" i="6" s="1"/>
  <c r="U143" i="17"/>
  <c r="CC103" i="17" s="1"/>
  <c r="CK35" i="6" s="1"/>
  <c r="T143" i="17"/>
  <c r="V143" i="17"/>
  <c r="P146" i="17"/>
  <c r="Q146" i="17" s="1"/>
  <c r="M146" i="17"/>
  <c r="X99" i="19"/>
  <c r="AA99" i="19" s="1"/>
  <c r="X98" i="19"/>
  <c r="AA98" i="19" s="1"/>
  <c r="M147" i="17"/>
  <c r="P147" i="17"/>
  <c r="Q147" i="17" s="1"/>
  <c r="X102" i="19"/>
  <c r="AA102" i="19" s="1"/>
  <c r="P230" i="9"/>
  <c r="T230" i="9" s="1"/>
  <c r="D177" i="6" s="1"/>
  <c r="M177" i="6" s="1"/>
  <c r="S230" i="9"/>
  <c r="W230" i="9" s="1"/>
  <c r="F177" i="6" s="1"/>
  <c r="AJ148" i="17" l="1"/>
  <c r="AF152" i="17"/>
  <c r="AH152" i="17"/>
  <c r="AI152" i="17"/>
  <c r="BW112" i="17"/>
  <c r="BV44" i="6" s="1"/>
  <c r="Q231" i="9"/>
  <c r="U231" i="9" s="1"/>
  <c r="E178" i="6" s="1"/>
  <c r="N178" i="6" s="1"/>
  <c r="AG163" i="17"/>
  <c r="K245" i="9" s="1"/>
  <c r="AJ149" i="17"/>
  <c r="AJ152" i="17"/>
  <c r="AI158" i="17"/>
  <c r="AG158" i="17"/>
  <c r="K240" i="9" s="1"/>
  <c r="Q240" i="9" s="1"/>
  <c r="U240" i="9" s="1"/>
  <c r="E187" i="6" s="1"/>
  <c r="S249" i="9"/>
  <c r="W249" i="9" s="1"/>
  <c r="F196" i="6" s="1"/>
  <c r="P249" i="9"/>
  <c r="T249" i="9" s="1"/>
  <c r="D196" i="6" s="1"/>
  <c r="M196" i="6" s="1"/>
  <c r="Q249" i="9"/>
  <c r="U249" i="9" s="1"/>
  <c r="E196" i="6" s="1"/>
  <c r="P274" i="9"/>
  <c r="S274" i="9"/>
  <c r="Q274" i="9"/>
  <c r="AD153" i="17"/>
  <c r="AE153" i="17"/>
  <c r="BW113" i="17" s="1"/>
  <c r="AI153" i="17"/>
  <c r="AH153" i="17"/>
  <c r="AF153" i="17"/>
  <c r="Q271" i="9"/>
  <c r="S271" i="9"/>
  <c r="P271" i="9"/>
  <c r="AF165" i="17"/>
  <c r="AI165" i="17"/>
  <c r="AH165" i="17"/>
  <c r="AE165" i="17"/>
  <c r="AD165" i="17"/>
  <c r="S268" i="9"/>
  <c r="Q268" i="9"/>
  <c r="P268" i="9"/>
  <c r="AG150" i="17"/>
  <c r="K232" i="9" s="1"/>
  <c r="AF150" i="17"/>
  <c r="AD150" i="17"/>
  <c r="AH150" i="17"/>
  <c r="AE150" i="17"/>
  <c r="AE156" i="17"/>
  <c r="BW116" i="17" s="1"/>
  <c r="AF156" i="17"/>
  <c r="AD156" i="17"/>
  <c r="AI156" i="17"/>
  <c r="AG156" i="17"/>
  <c r="K238" i="9" s="1"/>
  <c r="K273" i="9"/>
  <c r="AD162" i="17"/>
  <c r="AE162" i="17"/>
  <c r="AH162" i="17"/>
  <c r="AI162" i="17"/>
  <c r="AG162" i="17"/>
  <c r="K244" i="9" s="1"/>
  <c r="AH161" i="17"/>
  <c r="AD161" i="17"/>
  <c r="AF161" i="17"/>
  <c r="AE161" i="17"/>
  <c r="AI161" i="17"/>
  <c r="Q277" i="9"/>
  <c r="S277" i="9"/>
  <c r="P277" i="9"/>
  <c r="AG165" i="17"/>
  <c r="K247" i="9" s="1"/>
  <c r="K276" i="9"/>
  <c r="AD166" i="17"/>
  <c r="AG166" i="17"/>
  <c r="K248" i="9" s="1"/>
  <c r="AF166" i="17"/>
  <c r="AE166" i="17"/>
  <c r="AI166" i="17"/>
  <c r="AI167" i="17"/>
  <c r="AH167" i="17"/>
  <c r="AE167" i="17"/>
  <c r="BW127" i="17" s="1"/>
  <c r="AF167" i="17"/>
  <c r="AD167" i="17"/>
  <c r="AC160" i="17"/>
  <c r="AE160" i="17" s="1"/>
  <c r="AE159" i="17"/>
  <c r="AH159" i="17"/>
  <c r="AI159" i="17"/>
  <c r="AF159" i="17"/>
  <c r="AD159" i="17"/>
  <c r="AH154" i="17"/>
  <c r="AD154" i="17"/>
  <c r="AI154" i="17"/>
  <c r="AE154" i="17"/>
  <c r="Q245" i="9"/>
  <c r="U245" i="9" s="1"/>
  <c r="E192" i="6" s="1"/>
  <c r="P245" i="9"/>
  <c r="T245" i="9" s="1"/>
  <c r="D192" i="6" s="1"/>
  <c r="M192" i="6" s="1"/>
  <c r="S245" i="9"/>
  <c r="W245" i="9" s="1"/>
  <c r="F192" i="6" s="1"/>
  <c r="AG159" i="17"/>
  <c r="K241" i="9" s="1"/>
  <c r="Q281" i="9"/>
  <c r="P281" i="9"/>
  <c r="S281" i="9"/>
  <c r="AG164" i="17"/>
  <c r="K246" i="9" s="1"/>
  <c r="AD164" i="17"/>
  <c r="AH164" i="17"/>
  <c r="AE164" i="17"/>
  <c r="AF164" i="17"/>
  <c r="AG154" i="17"/>
  <c r="K236" i="9" s="1"/>
  <c r="AC151" i="17"/>
  <c r="AF151" i="17" s="1"/>
  <c r="AG168" i="17"/>
  <c r="K250" i="9" s="1"/>
  <c r="AF168" i="17"/>
  <c r="AE168" i="17"/>
  <c r="BW128" i="17" s="1"/>
  <c r="AD168" i="17"/>
  <c r="AI168" i="17"/>
  <c r="AD163" i="17"/>
  <c r="AI163" i="17"/>
  <c r="AE163" i="17"/>
  <c r="AG153" i="17"/>
  <c r="K235" i="9" s="1"/>
  <c r="AH166" i="17"/>
  <c r="S243" i="9"/>
  <c r="W243" i="9" s="1"/>
  <c r="F190" i="6" s="1"/>
  <c r="P243" i="9"/>
  <c r="T243" i="9" s="1"/>
  <c r="D190" i="6" s="1"/>
  <c r="M190" i="6" s="1"/>
  <c r="Q243" i="9"/>
  <c r="U243" i="9" s="1"/>
  <c r="E190" i="6" s="1"/>
  <c r="N177" i="6"/>
  <c r="R177" i="6" s="1"/>
  <c r="AW40" i="6" s="1"/>
  <c r="P231" i="9"/>
  <c r="T231" i="9" s="1"/>
  <c r="D178" i="6" s="1"/>
  <c r="M178" i="6" s="1"/>
  <c r="R178" i="6" s="1"/>
  <c r="AW41" i="6" s="1"/>
  <c r="P240" i="9"/>
  <c r="T240" i="9" s="1"/>
  <c r="D187" i="6" s="1"/>
  <c r="M187" i="6" s="1"/>
  <c r="Q279" i="9"/>
  <c r="P279" i="9"/>
  <c r="S279" i="9"/>
  <c r="AF162" i="17"/>
  <c r="AE158" i="17"/>
  <c r="BW118" i="17" s="1"/>
  <c r="AF158" i="17"/>
  <c r="AD158" i="17"/>
  <c r="AC155" i="17"/>
  <c r="AH155" i="17" s="1"/>
  <c r="Q267" i="9"/>
  <c r="P267" i="9"/>
  <c r="S267" i="9"/>
  <c r="P234" i="9"/>
  <c r="T234" i="9" s="1"/>
  <c r="D181" i="6" s="1"/>
  <c r="M181" i="6" s="1"/>
  <c r="S234" i="9"/>
  <c r="W234" i="9" s="1"/>
  <c r="F181" i="6" s="1"/>
  <c r="Q234" i="9"/>
  <c r="U234" i="9" s="1"/>
  <c r="E181" i="6" s="1"/>
  <c r="AH156" i="17"/>
  <c r="AC157" i="17"/>
  <c r="AI150" i="17"/>
  <c r="T145" i="17"/>
  <c r="V145" i="17"/>
  <c r="U145" i="17"/>
  <c r="CC105" i="17" s="1"/>
  <c r="CK37" i="6" s="1"/>
  <c r="Y137" i="17"/>
  <c r="AB137" i="17"/>
  <c r="AA137" i="17"/>
  <c r="Z137" i="17"/>
  <c r="K253" i="9" s="1"/>
  <c r="W137" i="17"/>
  <c r="BV97" i="17" s="1"/>
  <c r="BU29" i="6" s="1"/>
  <c r="X137" i="17"/>
  <c r="Y141" i="17"/>
  <c r="AB141" i="17"/>
  <c r="AA141" i="17"/>
  <c r="W141" i="17"/>
  <c r="BV101" i="17" s="1"/>
  <c r="BU33" i="6" s="1"/>
  <c r="Z141" i="17"/>
  <c r="K257" i="9" s="1"/>
  <c r="X141" i="17"/>
  <c r="R146" i="17"/>
  <c r="S146" i="17" s="1"/>
  <c r="AA143" i="17"/>
  <c r="W143" i="17"/>
  <c r="BV103" i="17" s="1"/>
  <c r="BU35" i="6" s="1"/>
  <c r="Y143" i="17"/>
  <c r="AB143" i="17"/>
  <c r="Z143" i="17"/>
  <c r="X143" i="17"/>
  <c r="Z140" i="17"/>
  <c r="K256" i="9" s="1"/>
  <c r="W140" i="17"/>
  <c r="BV100" i="17" s="1"/>
  <c r="BU32" i="6" s="1"/>
  <c r="Y140" i="17"/>
  <c r="AB140" i="17"/>
  <c r="AA140" i="17"/>
  <c r="X140" i="17"/>
  <c r="Z136" i="17"/>
  <c r="K252" i="9" s="1"/>
  <c r="W136" i="17"/>
  <c r="BV96" i="17" s="1"/>
  <c r="BU28" i="6" s="1"/>
  <c r="Y136" i="17"/>
  <c r="AB136" i="17"/>
  <c r="AA136" i="17"/>
  <c r="X136" i="17"/>
  <c r="R147" i="17"/>
  <c r="S147" i="17" s="1"/>
  <c r="AB142" i="17"/>
  <c r="AA142" i="17"/>
  <c r="W142" i="17"/>
  <c r="BV102" i="17" s="1"/>
  <c r="BU34" i="6" s="1"/>
  <c r="Y142" i="17"/>
  <c r="Z142" i="17"/>
  <c r="K258" i="9" s="1"/>
  <c r="X142" i="17"/>
  <c r="W144" i="17"/>
  <c r="BV104" i="17" s="1"/>
  <c r="BU36" i="6" s="1"/>
  <c r="Y144" i="17"/>
  <c r="AB144" i="17"/>
  <c r="AA144" i="17"/>
  <c r="Z144" i="17"/>
  <c r="K260" i="9" s="1"/>
  <c r="X144" i="17"/>
  <c r="AB138" i="17"/>
  <c r="AA138" i="17"/>
  <c r="W138" i="17"/>
  <c r="BV98" i="17" s="1"/>
  <c r="BU30" i="6" s="1"/>
  <c r="Y138" i="17"/>
  <c r="Z138" i="17"/>
  <c r="K254" i="9" s="1"/>
  <c r="X138" i="17"/>
  <c r="AA139" i="17"/>
  <c r="Z139" i="17"/>
  <c r="K255" i="9" s="1"/>
  <c r="W139" i="17"/>
  <c r="BV99" i="17" s="1"/>
  <c r="BU31" i="6" s="1"/>
  <c r="Y139" i="17"/>
  <c r="AB139" i="17"/>
  <c r="X139" i="17"/>
  <c r="AC98" i="19"/>
  <c r="AB98" i="19"/>
  <c r="AC99" i="19"/>
  <c r="AB99" i="19"/>
  <c r="AC102" i="19"/>
  <c r="AB102" i="19"/>
  <c r="S240" i="9" l="1"/>
  <c r="W240" i="9" s="1"/>
  <c r="F187" i="6" s="1"/>
  <c r="N187" i="6" s="1"/>
  <c r="R187" i="6" s="1"/>
  <c r="AW50" i="6" s="1"/>
  <c r="AI160" i="17"/>
  <c r="N196" i="6"/>
  <c r="N181" i="6"/>
  <c r="R181" i="6" s="1"/>
  <c r="AW44" i="6" s="1"/>
  <c r="AI151" i="17"/>
  <c r="N192" i="6"/>
  <c r="X110" i="19"/>
  <c r="AA110" i="19" s="1"/>
  <c r="AD157" i="17"/>
  <c r="AF155" i="17"/>
  <c r="AD155" i="17"/>
  <c r="S246" i="9"/>
  <c r="W246" i="9" s="1"/>
  <c r="F193" i="6" s="1"/>
  <c r="P246" i="9"/>
  <c r="T246" i="9" s="1"/>
  <c r="D193" i="6" s="1"/>
  <c r="M193" i="6" s="1"/>
  <c r="Q246" i="9"/>
  <c r="U246" i="9" s="1"/>
  <c r="E193" i="6" s="1"/>
  <c r="Q247" i="9"/>
  <c r="U247" i="9" s="1"/>
  <c r="E194" i="6" s="1"/>
  <c r="S247" i="9"/>
  <c r="W247" i="9" s="1"/>
  <c r="F194" i="6" s="1"/>
  <c r="P247" i="9"/>
  <c r="T247" i="9" s="1"/>
  <c r="D194" i="6" s="1"/>
  <c r="M194" i="6" s="1"/>
  <c r="AE155" i="17"/>
  <c r="AC141" i="17"/>
  <c r="AD141" i="17" s="1"/>
  <c r="AJ164" i="17"/>
  <c r="X114" i="19"/>
  <c r="AA114" i="19" s="1"/>
  <c r="BW124" i="17"/>
  <c r="BV56" i="6" s="1"/>
  <c r="P241" i="9"/>
  <c r="T241" i="9" s="1"/>
  <c r="D188" i="6" s="1"/>
  <c r="M188" i="6" s="1"/>
  <c r="S241" i="9"/>
  <c r="W241" i="9" s="1"/>
  <c r="F188" i="6" s="1"/>
  <c r="Q241" i="9"/>
  <c r="U241" i="9" s="1"/>
  <c r="E188" i="6" s="1"/>
  <c r="AJ154" i="17"/>
  <c r="X104" i="19"/>
  <c r="AA104" i="19" s="1"/>
  <c r="BW114" i="17"/>
  <c r="BV46" i="6" s="1"/>
  <c r="BV59" i="6"/>
  <c r="X117" i="19"/>
  <c r="AA117" i="19" s="1"/>
  <c r="AJ167" i="17"/>
  <c r="AI157" i="17"/>
  <c r="AJ161" i="17"/>
  <c r="X111" i="19"/>
  <c r="AA111" i="19" s="1"/>
  <c r="BW121" i="17"/>
  <c r="BV53" i="6" s="1"/>
  <c r="AJ162" i="17"/>
  <c r="X112" i="19"/>
  <c r="AA112" i="19" s="1"/>
  <c r="AG157" i="17"/>
  <c r="K239" i="9" s="1"/>
  <c r="AJ150" i="17"/>
  <c r="X100" i="19"/>
  <c r="AA100" i="19" s="1"/>
  <c r="S232" i="9"/>
  <c r="W232" i="9" s="1"/>
  <c r="F179" i="6" s="1"/>
  <c r="Q232" i="9"/>
  <c r="U232" i="9" s="1"/>
  <c r="E179" i="6" s="1"/>
  <c r="P232" i="9"/>
  <c r="T232" i="9" s="1"/>
  <c r="D179" i="6" s="1"/>
  <c r="M179" i="6" s="1"/>
  <c r="R196" i="6"/>
  <c r="AW59" i="6" s="1"/>
  <c r="AG155" i="17"/>
  <c r="K237" i="9" s="1"/>
  <c r="AC136" i="17"/>
  <c r="AG136" i="17" s="1"/>
  <c r="K218" i="9" s="1"/>
  <c r="AF157" i="17"/>
  <c r="BV60" i="6"/>
  <c r="X118" i="19"/>
  <c r="AA118" i="19" s="1"/>
  <c r="AJ168" i="17"/>
  <c r="AD151" i="17"/>
  <c r="AG151" i="17"/>
  <c r="K233" i="9" s="1"/>
  <c r="AE151" i="17"/>
  <c r="BW111" i="17" s="1"/>
  <c r="X109" i="19"/>
  <c r="AA109" i="19" s="1"/>
  <c r="AJ159" i="17"/>
  <c r="BW120" i="17"/>
  <c r="BV52" i="6" s="1"/>
  <c r="AD160" i="17"/>
  <c r="AF160" i="17"/>
  <c r="AH160" i="17"/>
  <c r="AH157" i="17"/>
  <c r="Q248" i="9"/>
  <c r="U248" i="9" s="1"/>
  <c r="E195" i="6" s="1"/>
  <c r="P248" i="9"/>
  <c r="T248" i="9" s="1"/>
  <c r="D195" i="6" s="1"/>
  <c r="M195" i="6" s="1"/>
  <c r="S248" i="9"/>
  <c r="W248" i="9" s="1"/>
  <c r="F195" i="6" s="1"/>
  <c r="AG160" i="17"/>
  <c r="K242" i="9" s="1"/>
  <c r="P244" i="9"/>
  <c r="T244" i="9" s="1"/>
  <c r="D191" i="6" s="1"/>
  <c r="M191" i="6" s="1"/>
  <c r="S244" i="9"/>
  <c r="W244" i="9" s="1"/>
  <c r="F191" i="6" s="1"/>
  <c r="Q244" i="9"/>
  <c r="U244" i="9" s="1"/>
  <c r="E191" i="6" s="1"/>
  <c r="Q273" i="9"/>
  <c r="P273" i="9"/>
  <c r="S273" i="9"/>
  <c r="BW110" i="17"/>
  <c r="BV42" i="6" s="1"/>
  <c r="BV45" i="6"/>
  <c r="AJ153" i="17"/>
  <c r="X103" i="19"/>
  <c r="AA103" i="19" s="1"/>
  <c r="AJ163" i="17"/>
  <c r="X113" i="19"/>
  <c r="AA113" i="19" s="1"/>
  <c r="Q250" i="9"/>
  <c r="U250" i="9" s="1"/>
  <c r="E197" i="6" s="1"/>
  <c r="P250" i="9"/>
  <c r="T250" i="9" s="1"/>
  <c r="D197" i="6" s="1"/>
  <c r="M197" i="6" s="1"/>
  <c r="S250" i="9"/>
  <c r="W250" i="9" s="1"/>
  <c r="F197" i="6" s="1"/>
  <c r="AJ166" i="17"/>
  <c r="X116" i="19"/>
  <c r="AA116" i="19" s="1"/>
  <c r="BW126" i="17"/>
  <c r="BV58" i="6" s="1"/>
  <c r="AI155" i="17"/>
  <c r="AE157" i="17"/>
  <c r="BW117" i="17" s="1"/>
  <c r="BV50" i="6"/>
  <c r="AJ158" i="17"/>
  <c r="X108" i="19"/>
  <c r="AA108" i="19" s="1"/>
  <c r="N190" i="6"/>
  <c r="R190" i="6" s="1"/>
  <c r="AW53" i="6" s="1"/>
  <c r="S235" i="9"/>
  <c r="W235" i="9" s="1"/>
  <c r="F182" i="6" s="1"/>
  <c r="P235" i="9"/>
  <c r="T235" i="9" s="1"/>
  <c r="D182" i="6" s="1"/>
  <c r="M182" i="6" s="1"/>
  <c r="Q235" i="9"/>
  <c r="U235" i="9" s="1"/>
  <c r="E182" i="6" s="1"/>
  <c r="BW123" i="17"/>
  <c r="BV55" i="6" s="1"/>
  <c r="Q236" i="9"/>
  <c r="U236" i="9" s="1"/>
  <c r="E183" i="6" s="1"/>
  <c r="S236" i="9"/>
  <c r="W236" i="9" s="1"/>
  <c r="F183" i="6" s="1"/>
  <c r="P236" i="9"/>
  <c r="T236" i="9" s="1"/>
  <c r="D183" i="6" s="1"/>
  <c r="M183" i="6" s="1"/>
  <c r="R192" i="6"/>
  <c r="AW55" i="6" s="1"/>
  <c r="BW119" i="17"/>
  <c r="BV51" i="6" s="1"/>
  <c r="S276" i="9"/>
  <c r="P276" i="9"/>
  <c r="Q276" i="9"/>
  <c r="BW122" i="17"/>
  <c r="BV54" i="6" s="1"/>
  <c r="P238" i="9"/>
  <c r="T238" i="9" s="1"/>
  <c r="D185" i="6" s="1"/>
  <c r="M185" i="6" s="1"/>
  <c r="S238" i="9"/>
  <c r="W238" i="9" s="1"/>
  <c r="F185" i="6" s="1"/>
  <c r="Q238" i="9"/>
  <c r="U238" i="9" s="1"/>
  <c r="E185" i="6" s="1"/>
  <c r="BV48" i="6"/>
  <c r="AJ156" i="17"/>
  <c r="X106" i="19"/>
  <c r="AA106" i="19" s="1"/>
  <c r="AJ165" i="17"/>
  <c r="X115" i="19"/>
  <c r="AA115" i="19" s="1"/>
  <c r="BW125" i="17"/>
  <c r="BV57" i="6" s="1"/>
  <c r="AH151" i="17"/>
  <c r="AC143" i="17"/>
  <c r="AH143" i="17" s="1"/>
  <c r="Q258" i="9"/>
  <c r="P258" i="9"/>
  <c r="S258" i="9"/>
  <c r="P253" i="9"/>
  <c r="S253" i="9"/>
  <c r="Q253" i="9"/>
  <c r="Y145" i="17"/>
  <c r="AB145" i="17"/>
  <c r="AA145" i="17"/>
  <c r="W145" i="17"/>
  <c r="BV105" i="17" s="1"/>
  <c r="BU37" i="6" s="1"/>
  <c r="Z145" i="17"/>
  <c r="K261" i="9" s="1"/>
  <c r="X145" i="17"/>
  <c r="AC139" i="17"/>
  <c r="AI139" i="17" s="1"/>
  <c r="P255" i="9"/>
  <c r="S255" i="9"/>
  <c r="Q255" i="9"/>
  <c r="AC144" i="17"/>
  <c r="AI144" i="17" s="1"/>
  <c r="P252" i="9"/>
  <c r="Q252" i="9"/>
  <c r="S252" i="9"/>
  <c r="K259" i="9"/>
  <c r="P257" i="9"/>
  <c r="S257" i="9"/>
  <c r="Q257" i="9"/>
  <c r="P254" i="9"/>
  <c r="Q254" i="9"/>
  <c r="S254" i="9"/>
  <c r="S260" i="9"/>
  <c r="Q260" i="9"/>
  <c r="P260" i="9"/>
  <c r="AC140" i="17"/>
  <c r="AI140" i="17" s="1"/>
  <c r="AC137" i="17"/>
  <c r="AG137" i="17" s="1"/>
  <c r="K219" i="9" s="1"/>
  <c r="P219" i="9" s="1"/>
  <c r="T219" i="9" s="1"/>
  <c r="D166" i="6" s="1"/>
  <c r="M166" i="6" s="1"/>
  <c r="AC138" i="17"/>
  <c r="AC142" i="17"/>
  <c r="U147" i="17"/>
  <c r="CC107" i="17" s="1"/>
  <c r="CK39" i="6" s="1"/>
  <c r="T147" i="17"/>
  <c r="V147" i="17"/>
  <c r="S256" i="9"/>
  <c r="P256" i="9"/>
  <c r="Q256" i="9"/>
  <c r="T146" i="17"/>
  <c r="V146" i="17"/>
  <c r="U146" i="17"/>
  <c r="CC106" i="17" s="1"/>
  <c r="CK38" i="6" s="1"/>
  <c r="AE143" i="17" l="1"/>
  <c r="BW103" i="17" s="1"/>
  <c r="AF141" i="17"/>
  <c r="AD136" i="17"/>
  <c r="AH136" i="17"/>
  <c r="N188" i="6"/>
  <c r="Q218" i="9"/>
  <c r="U218" i="9" s="1"/>
  <c r="E165" i="6" s="1"/>
  <c r="S218" i="9"/>
  <c r="W218" i="9" s="1"/>
  <c r="F165" i="6" s="1"/>
  <c r="P218" i="9"/>
  <c r="T218" i="9" s="1"/>
  <c r="D165" i="6" s="1"/>
  <c r="M165" i="6" s="1"/>
  <c r="AD143" i="17"/>
  <c r="X93" i="19"/>
  <c r="AA93" i="19" s="1"/>
  <c r="AG143" i="17"/>
  <c r="K225" i="9" s="1"/>
  <c r="Q225" i="9" s="1"/>
  <c r="U225" i="9" s="1"/>
  <c r="E172" i="6" s="1"/>
  <c r="AE136" i="17"/>
  <c r="X86" i="19" s="1"/>
  <c r="AA86" i="19" s="1"/>
  <c r="AB86" i="19" s="1"/>
  <c r="AD86" i="19" s="1"/>
  <c r="AF136" i="17"/>
  <c r="AF143" i="17"/>
  <c r="AI136" i="17"/>
  <c r="N185" i="6"/>
  <c r="R185" i="6" s="1"/>
  <c r="AW48" i="6" s="1"/>
  <c r="N191" i="6"/>
  <c r="R191" i="6" s="1"/>
  <c r="AW54" i="6" s="1"/>
  <c r="N197" i="6"/>
  <c r="R197" i="6" s="1"/>
  <c r="AW60" i="6" s="1"/>
  <c r="AJ160" i="17"/>
  <c r="AJ155" i="17"/>
  <c r="N193" i="6"/>
  <c r="R193" i="6" s="1"/>
  <c r="AW56" i="6" s="1"/>
  <c r="AB115" i="19"/>
  <c r="AC115" i="19"/>
  <c r="AB118" i="19"/>
  <c r="AC118" i="19"/>
  <c r="AC114" i="19"/>
  <c r="AB114" i="19"/>
  <c r="N183" i="6"/>
  <c r="AC103" i="19"/>
  <c r="AB103" i="19"/>
  <c r="AC109" i="19"/>
  <c r="AB109" i="19"/>
  <c r="AC100" i="19"/>
  <c r="AB100" i="19"/>
  <c r="AC112" i="19"/>
  <c r="AB112" i="19"/>
  <c r="AC111" i="19"/>
  <c r="AB111" i="19"/>
  <c r="AC104" i="19"/>
  <c r="AB104" i="19"/>
  <c r="AC113" i="19"/>
  <c r="AB113" i="19"/>
  <c r="N195" i="6"/>
  <c r="R195" i="6" s="1"/>
  <c r="AW58" i="6" s="1"/>
  <c r="AC117" i="19"/>
  <c r="AB117" i="19"/>
  <c r="R188" i="6"/>
  <c r="AW51" i="6" s="1"/>
  <c r="BW115" i="17"/>
  <c r="BV47" i="6" s="1"/>
  <c r="AB110" i="19"/>
  <c r="AC110" i="19"/>
  <c r="AC108" i="19"/>
  <c r="AB108" i="19"/>
  <c r="AB116" i="19"/>
  <c r="AC116" i="19"/>
  <c r="Q233" i="9"/>
  <c r="U233" i="9" s="1"/>
  <c r="E180" i="6" s="1"/>
  <c r="S233" i="9"/>
  <c r="W233" i="9" s="1"/>
  <c r="F180" i="6" s="1"/>
  <c r="P233" i="9"/>
  <c r="T233" i="9" s="1"/>
  <c r="D180" i="6" s="1"/>
  <c r="M180" i="6" s="1"/>
  <c r="P237" i="9"/>
  <c r="T237" i="9" s="1"/>
  <c r="D184" i="6" s="1"/>
  <c r="M184" i="6" s="1"/>
  <c r="S237" i="9"/>
  <c r="W237" i="9" s="1"/>
  <c r="F184" i="6" s="1"/>
  <c r="Q237" i="9"/>
  <c r="U237" i="9" s="1"/>
  <c r="E184" i="6" s="1"/>
  <c r="S239" i="9"/>
  <c r="W239" i="9" s="1"/>
  <c r="F186" i="6" s="1"/>
  <c r="Q239" i="9"/>
  <c r="U239" i="9" s="1"/>
  <c r="E186" i="6" s="1"/>
  <c r="P239" i="9"/>
  <c r="T239" i="9" s="1"/>
  <c r="D186" i="6" s="1"/>
  <c r="M186" i="6" s="1"/>
  <c r="X105" i="19"/>
  <c r="AA105" i="19" s="1"/>
  <c r="S219" i="9"/>
  <c r="W219" i="9" s="1"/>
  <c r="F166" i="6" s="1"/>
  <c r="AI143" i="17"/>
  <c r="AB106" i="19"/>
  <c r="AC106" i="19"/>
  <c r="R183" i="6"/>
  <c r="AW46" i="6" s="1"/>
  <c r="N182" i="6"/>
  <c r="R182" i="6" s="1"/>
  <c r="AW45" i="6" s="1"/>
  <c r="BV49" i="6"/>
  <c r="AJ157" i="17"/>
  <c r="X107" i="19"/>
  <c r="AA107" i="19" s="1"/>
  <c r="S242" i="9"/>
  <c r="W242" i="9" s="1"/>
  <c r="F189" i="6" s="1"/>
  <c r="Q242" i="9"/>
  <c r="U242" i="9" s="1"/>
  <c r="E189" i="6" s="1"/>
  <c r="P242" i="9"/>
  <c r="T242" i="9" s="1"/>
  <c r="D189" i="6" s="1"/>
  <c r="M189" i="6" s="1"/>
  <c r="BV43" i="6"/>
  <c r="X101" i="19"/>
  <c r="AA101" i="19" s="1"/>
  <c r="AJ151" i="17"/>
  <c r="N179" i="6"/>
  <c r="R179" i="6" s="1"/>
  <c r="AW42" i="6" s="1"/>
  <c r="AG141" i="17"/>
  <c r="K223" i="9" s="1"/>
  <c r="AH141" i="17"/>
  <c r="AE141" i="17"/>
  <c r="AI141" i="17"/>
  <c r="N194" i="6"/>
  <c r="R194" i="6" s="1"/>
  <c r="AW57" i="6" s="1"/>
  <c r="AF142" i="17"/>
  <c r="AH142" i="17"/>
  <c r="AD142" i="17"/>
  <c r="AE142" i="17"/>
  <c r="BW102" i="17" s="1"/>
  <c r="AG142" i="17"/>
  <c r="K224" i="9" s="1"/>
  <c r="S259" i="9"/>
  <c r="P259" i="9"/>
  <c r="Q259" i="9"/>
  <c r="AE144" i="17"/>
  <c r="AD144" i="17"/>
  <c r="AF144" i="17"/>
  <c r="AG144" i="17"/>
  <c r="K226" i="9" s="1"/>
  <c r="AF139" i="17"/>
  <c r="AG139" i="17"/>
  <c r="K221" i="9" s="1"/>
  <c r="AD139" i="17"/>
  <c r="AH139" i="17"/>
  <c r="AE139" i="17"/>
  <c r="BW99" i="17" s="1"/>
  <c r="AI142" i="17"/>
  <c r="AA147" i="17"/>
  <c r="Z147" i="17"/>
  <c r="K263" i="9" s="1"/>
  <c r="W147" i="17"/>
  <c r="BV107" i="17" s="1"/>
  <c r="BU39" i="6" s="1"/>
  <c r="Y147" i="17"/>
  <c r="AB147" i="17"/>
  <c r="X147" i="17"/>
  <c r="AD138" i="17"/>
  <c r="AF138" i="17"/>
  <c r="AH138" i="17"/>
  <c r="AE138" i="17"/>
  <c r="AG138" i="17"/>
  <c r="K220" i="9" s="1"/>
  <c r="BV35" i="6"/>
  <c r="AH137" i="17"/>
  <c r="AI137" i="17"/>
  <c r="AE137" i="17"/>
  <c r="BW97" i="17" s="1"/>
  <c r="AF137" i="17"/>
  <c r="AD137" i="17"/>
  <c r="AH144" i="17"/>
  <c r="Q261" i="9"/>
  <c r="S261" i="9"/>
  <c r="P261" i="9"/>
  <c r="Q219" i="9"/>
  <c r="U219" i="9" s="1"/>
  <c r="E166" i="6" s="1"/>
  <c r="AB146" i="17"/>
  <c r="AA146" i="17"/>
  <c r="Z146" i="17"/>
  <c r="K262" i="9" s="1"/>
  <c r="W146" i="17"/>
  <c r="BV106" i="17" s="1"/>
  <c r="BU38" i="6" s="1"/>
  <c r="Y146" i="17"/>
  <c r="X146" i="17"/>
  <c r="AG140" i="17"/>
  <c r="K222" i="9" s="1"/>
  <c r="AD140" i="17"/>
  <c r="AF140" i="17"/>
  <c r="AE140" i="17"/>
  <c r="AC145" i="17"/>
  <c r="AI145" i="17" s="1"/>
  <c r="AI138" i="17"/>
  <c r="AH140" i="17"/>
  <c r="AC105" i="19"/>
  <c r="AB105" i="19"/>
  <c r="AC93" i="19"/>
  <c r="AB93" i="19"/>
  <c r="N165" i="6" l="1"/>
  <c r="S225" i="9"/>
  <c r="W225" i="9" s="1"/>
  <c r="F172" i="6" s="1"/>
  <c r="P225" i="9"/>
  <c r="T225" i="9" s="1"/>
  <c r="D172" i="6" s="1"/>
  <c r="M172" i="6" s="1"/>
  <c r="AJ143" i="17"/>
  <c r="R165" i="6"/>
  <c r="AW28" i="6" s="1"/>
  <c r="AC86" i="19"/>
  <c r="AE86" i="19" s="1"/>
  <c r="AF86" i="19" s="1"/>
  <c r="BC86" i="19" s="1"/>
  <c r="BE86" i="19" s="1"/>
  <c r="BG86" i="19" s="1"/>
  <c r="C165" i="6" s="1"/>
  <c r="L165" i="6" s="1"/>
  <c r="Q165" i="6" s="1"/>
  <c r="AV28" i="6" s="1"/>
  <c r="BW96" i="17"/>
  <c r="BV28" i="6" s="1"/>
  <c r="AJ136" i="17"/>
  <c r="N166" i="6"/>
  <c r="R166" i="6" s="1"/>
  <c r="AW29" i="6" s="1"/>
  <c r="N189" i="6"/>
  <c r="R189" i="6" s="1"/>
  <c r="AW52" i="6" s="1"/>
  <c r="Q223" i="9"/>
  <c r="U223" i="9" s="1"/>
  <c r="E170" i="6" s="1"/>
  <c r="P223" i="9"/>
  <c r="T223" i="9" s="1"/>
  <c r="D170" i="6" s="1"/>
  <c r="M170" i="6" s="1"/>
  <c r="S223" i="9"/>
  <c r="W223" i="9" s="1"/>
  <c r="F170" i="6" s="1"/>
  <c r="N184" i="6"/>
  <c r="R184" i="6" s="1"/>
  <c r="AW47" i="6" s="1"/>
  <c r="AJ141" i="17"/>
  <c r="X91" i="19"/>
  <c r="AA91" i="19" s="1"/>
  <c r="BW101" i="17"/>
  <c r="BV33" i="6" s="1"/>
  <c r="N180" i="6"/>
  <c r="R180" i="6" s="1"/>
  <c r="AW43" i="6" s="1"/>
  <c r="AB107" i="19"/>
  <c r="AC107" i="19"/>
  <c r="AB101" i="19"/>
  <c r="AC101" i="19"/>
  <c r="N186" i="6"/>
  <c r="R186" i="6" s="1"/>
  <c r="AW49" i="6" s="1"/>
  <c r="AC147" i="17"/>
  <c r="AH147" i="17" s="1"/>
  <c r="AD145" i="17"/>
  <c r="AE145" i="17"/>
  <c r="BW105" i="17" s="1"/>
  <c r="AH145" i="17"/>
  <c r="S222" i="9"/>
  <c r="W222" i="9" s="1"/>
  <c r="F169" i="6" s="1"/>
  <c r="Q222" i="9"/>
  <c r="U222" i="9" s="1"/>
  <c r="E169" i="6" s="1"/>
  <c r="P222" i="9"/>
  <c r="T222" i="9" s="1"/>
  <c r="D169" i="6" s="1"/>
  <c r="M169" i="6" s="1"/>
  <c r="X88" i="19"/>
  <c r="AA88" i="19" s="1"/>
  <c r="AJ138" i="17"/>
  <c r="BW98" i="17"/>
  <c r="BV30" i="6" s="1"/>
  <c r="P263" i="9"/>
  <c r="Q263" i="9"/>
  <c r="S263" i="9"/>
  <c r="AJ144" i="17"/>
  <c r="X94" i="19"/>
  <c r="AA94" i="19" s="1"/>
  <c r="S220" i="9"/>
  <c r="W220" i="9" s="1"/>
  <c r="F167" i="6" s="1"/>
  <c r="P220" i="9"/>
  <c r="T220" i="9" s="1"/>
  <c r="D167" i="6" s="1"/>
  <c r="M167" i="6" s="1"/>
  <c r="Q220" i="9"/>
  <c r="U220" i="9" s="1"/>
  <c r="E167" i="6" s="1"/>
  <c r="BV31" i="6"/>
  <c r="AJ139" i="17"/>
  <c r="X89" i="19"/>
  <c r="AA89" i="19" s="1"/>
  <c r="AJ140" i="17"/>
  <c r="X90" i="19"/>
  <c r="AA90" i="19" s="1"/>
  <c r="BW100" i="17"/>
  <c r="BV32" i="6" s="1"/>
  <c r="P262" i="9"/>
  <c r="S262" i="9"/>
  <c r="Q262" i="9"/>
  <c r="S226" i="9"/>
  <c r="W226" i="9" s="1"/>
  <c r="F173" i="6" s="1"/>
  <c r="P226" i="9"/>
  <c r="T226" i="9" s="1"/>
  <c r="D173" i="6" s="1"/>
  <c r="M173" i="6" s="1"/>
  <c r="Q226" i="9"/>
  <c r="U226" i="9" s="1"/>
  <c r="E173" i="6" s="1"/>
  <c r="BW104" i="17"/>
  <c r="BV36" i="6" s="1"/>
  <c r="BV34" i="6"/>
  <c r="X92" i="19"/>
  <c r="AA92" i="19" s="1"/>
  <c r="AJ142" i="17"/>
  <c r="AC146" i="17"/>
  <c r="N172" i="6"/>
  <c r="R172" i="6" s="1"/>
  <c r="AW35" i="6" s="1"/>
  <c r="BV29" i="6"/>
  <c r="AJ137" i="17"/>
  <c r="X87" i="19"/>
  <c r="AA87" i="19" s="1"/>
  <c r="AG145" i="17"/>
  <c r="K227" i="9" s="1"/>
  <c r="S221" i="9"/>
  <c r="W221" i="9" s="1"/>
  <c r="F168" i="6" s="1"/>
  <c r="P221" i="9"/>
  <c r="T221" i="9" s="1"/>
  <c r="D168" i="6" s="1"/>
  <c r="M168" i="6" s="1"/>
  <c r="Q221" i="9"/>
  <c r="U221" i="9" s="1"/>
  <c r="E168" i="6" s="1"/>
  <c r="P224" i="9"/>
  <c r="T224" i="9" s="1"/>
  <c r="D171" i="6" s="1"/>
  <c r="M171" i="6" s="1"/>
  <c r="S224" i="9"/>
  <c r="W224" i="9" s="1"/>
  <c r="F171" i="6" s="1"/>
  <c r="Q224" i="9"/>
  <c r="U224" i="9" s="1"/>
  <c r="E171" i="6" s="1"/>
  <c r="AF145" i="17"/>
  <c r="U165" i="6" l="1"/>
  <c r="AZ28" i="6" s="1"/>
  <c r="AD147" i="17"/>
  <c r="N169" i="6"/>
  <c r="N170" i="6"/>
  <c r="R170" i="6" s="1"/>
  <c r="AW33" i="6" s="1"/>
  <c r="AB91" i="19"/>
  <c r="AC91" i="19"/>
  <c r="N168" i="6"/>
  <c r="R168" i="6" s="1"/>
  <c r="AW31" i="6" s="1"/>
  <c r="N167" i="6"/>
  <c r="R167" i="6" s="1"/>
  <c r="AW30" i="6" s="1"/>
  <c r="AG147" i="17"/>
  <c r="K229" i="9" s="1"/>
  <c r="AE147" i="17"/>
  <c r="AI147" i="17"/>
  <c r="AF147" i="17"/>
  <c r="P227" i="9"/>
  <c r="T227" i="9" s="1"/>
  <c r="D174" i="6" s="1"/>
  <c r="M174" i="6" s="1"/>
  <c r="S227" i="9"/>
  <c r="W227" i="9" s="1"/>
  <c r="F174" i="6" s="1"/>
  <c r="Q227" i="9"/>
  <c r="U227" i="9" s="1"/>
  <c r="E174" i="6" s="1"/>
  <c r="AB88" i="19"/>
  <c r="AC88" i="19"/>
  <c r="AB87" i="19"/>
  <c r="AD87" i="19" s="1"/>
  <c r="AC87" i="19"/>
  <c r="AE87" i="19" s="1"/>
  <c r="AF87" i="19" s="1"/>
  <c r="BC87" i="19" s="1"/>
  <c r="BE87" i="19" s="1"/>
  <c r="BG87" i="19" s="1"/>
  <c r="C166" i="6" s="1"/>
  <c r="L166" i="6" s="1"/>
  <c r="Q166" i="6" s="1"/>
  <c r="U166" i="6" s="1"/>
  <c r="AZ29" i="6" s="1"/>
  <c r="AG146" i="17"/>
  <c r="K228" i="9" s="1"/>
  <c r="AE146" i="17"/>
  <c r="BW106" i="17" s="1"/>
  <c r="AD146" i="17"/>
  <c r="AI146" i="17"/>
  <c r="AB89" i="19"/>
  <c r="AC89" i="19"/>
  <c r="N171" i="6"/>
  <c r="R171" i="6" s="1"/>
  <c r="AW34" i="6" s="1"/>
  <c r="AH146" i="17"/>
  <c r="AB92" i="19"/>
  <c r="AC92" i="19"/>
  <c r="N173" i="6"/>
  <c r="R173" i="6" s="1"/>
  <c r="AW36" i="6" s="1"/>
  <c r="AB90" i="19"/>
  <c r="AC90" i="19"/>
  <c r="AC94" i="19"/>
  <c r="AB94" i="19"/>
  <c r="R169" i="6"/>
  <c r="AW32" i="6" s="1"/>
  <c r="BV37" i="6"/>
  <c r="X95" i="19"/>
  <c r="AA95" i="19" s="1"/>
  <c r="AJ145" i="17"/>
  <c r="AF146" i="17"/>
  <c r="N174" i="6" l="1"/>
  <c r="BW107" i="17"/>
  <c r="BV39" i="6" s="1"/>
  <c r="X97" i="19"/>
  <c r="AA97" i="19" s="1"/>
  <c r="AJ147" i="17"/>
  <c r="AV29" i="6"/>
  <c r="P229" i="9"/>
  <c r="T229" i="9" s="1"/>
  <c r="D176" i="6" s="1"/>
  <c r="M176" i="6" s="1"/>
  <c r="Q229" i="9"/>
  <c r="U229" i="9" s="1"/>
  <c r="E176" i="6" s="1"/>
  <c r="S229" i="9"/>
  <c r="W229" i="9" s="1"/>
  <c r="F176" i="6" s="1"/>
  <c r="AD88" i="19"/>
  <c r="AE89" i="19" s="1"/>
  <c r="AF89" i="19" s="1"/>
  <c r="BC89" i="19" s="1"/>
  <c r="BE89" i="19" s="1"/>
  <c r="BG89" i="19" s="1"/>
  <c r="C168" i="6" s="1"/>
  <c r="L168" i="6" s="1"/>
  <c r="Q168" i="6" s="1"/>
  <c r="AV31" i="6" s="1"/>
  <c r="BV38" i="6"/>
  <c r="AJ146" i="17"/>
  <c r="X96" i="19"/>
  <c r="AA96" i="19" s="1"/>
  <c r="AC95" i="19"/>
  <c r="AB95" i="19"/>
  <c r="P228" i="9"/>
  <c r="T228" i="9" s="1"/>
  <c r="D175" i="6" s="1"/>
  <c r="M175" i="6" s="1"/>
  <c r="S228" i="9"/>
  <c r="W228" i="9" s="1"/>
  <c r="F175" i="6" s="1"/>
  <c r="Q228" i="9"/>
  <c r="U228" i="9" s="1"/>
  <c r="E175" i="6" s="1"/>
  <c r="AE88" i="19"/>
  <c r="AF88" i="19" s="1"/>
  <c r="BC88" i="19" s="1"/>
  <c r="BE88" i="19" s="1"/>
  <c r="BG88" i="19" s="1"/>
  <c r="C167" i="6" s="1"/>
  <c r="L167" i="6" s="1"/>
  <c r="Q167" i="6" s="1"/>
  <c r="AV30" i="6" s="1"/>
  <c r="R174" i="6"/>
  <c r="AW37" i="6" s="1"/>
  <c r="U168" i="6" l="1"/>
  <c r="AZ31" i="6" s="1"/>
  <c r="AD89" i="19"/>
  <c r="N176" i="6"/>
  <c r="R176" i="6" s="1"/>
  <c r="AW39" i="6" s="1"/>
  <c r="AB97" i="19"/>
  <c r="AC97" i="19"/>
  <c r="AC96" i="19"/>
  <c r="AB96" i="19"/>
  <c r="U167" i="6"/>
  <c r="AZ30" i="6" s="1"/>
  <c r="N175" i="6"/>
  <c r="R175" i="6" s="1"/>
  <c r="AW38" i="6" s="1"/>
  <c r="AD90" i="19" l="1"/>
  <c r="AE90" i="19"/>
  <c r="AF90" i="19" s="1"/>
  <c r="BC90" i="19" s="1"/>
  <c r="BE90" i="19" s="1"/>
  <c r="BG90" i="19" s="1"/>
  <c r="C169" i="6" s="1"/>
  <c r="L169" i="6" s="1"/>
  <c r="Q169" i="6" s="1"/>
  <c r="U169" i="6" s="1"/>
  <c r="AZ32" i="6" s="1"/>
  <c r="AV32" i="6" l="1"/>
  <c r="AD91" i="19"/>
  <c r="AE91" i="19"/>
  <c r="AF91" i="19" s="1"/>
  <c r="BC91" i="19" s="1"/>
  <c r="BE91" i="19" s="1"/>
  <c r="BG91" i="19" s="1"/>
  <c r="C170" i="6" s="1"/>
  <c r="L170" i="6" s="1"/>
  <c r="Q170" i="6" s="1"/>
  <c r="U170" i="6" s="1"/>
  <c r="AZ33" i="6" s="1"/>
  <c r="AV33" i="6" l="1"/>
  <c r="AD92" i="19"/>
  <c r="AE92" i="19"/>
  <c r="AF92" i="19" s="1"/>
  <c r="BC92" i="19" s="1"/>
  <c r="BE92" i="19" s="1"/>
  <c r="BG92" i="19" s="1"/>
  <c r="C171" i="6" s="1"/>
  <c r="L171" i="6" s="1"/>
  <c r="Q171" i="6" s="1"/>
  <c r="AV34" i="6" s="1"/>
  <c r="U171" i="6" l="1"/>
  <c r="AZ34" i="6" s="1"/>
  <c r="AE93" i="19"/>
  <c r="AF93" i="19" s="1"/>
  <c r="BC93" i="19" s="1"/>
  <c r="BE93" i="19" s="1"/>
  <c r="BG93" i="19" s="1"/>
  <c r="C172" i="6" s="1"/>
  <c r="L172" i="6" s="1"/>
  <c r="Q172" i="6" s="1"/>
  <c r="U172" i="6" s="1"/>
  <c r="AZ35" i="6" s="1"/>
  <c r="AD93" i="19"/>
  <c r="AV35" i="6" l="1"/>
  <c r="AE94" i="19"/>
  <c r="AF94" i="19" s="1"/>
  <c r="BC94" i="19" s="1"/>
  <c r="BE94" i="19" s="1"/>
  <c r="BG94" i="19" s="1"/>
  <c r="C173" i="6" s="1"/>
  <c r="L173" i="6" s="1"/>
  <c r="Q173" i="6" s="1"/>
  <c r="AV36" i="6" s="1"/>
  <c r="AD94" i="19"/>
  <c r="U173" i="6" l="1"/>
  <c r="AZ36" i="6" s="1"/>
  <c r="AD95" i="19"/>
  <c r="AE95" i="19"/>
  <c r="AF95" i="19" s="1"/>
  <c r="BC95" i="19" s="1"/>
  <c r="BE95" i="19" s="1"/>
  <c r="BG95" i="19" s="1"/>
  <c r="C174" i="6" s="1"/>
  <c r="L174" i="6" s="1"/>
  <c r="Q174" i="6" s="1"/>
  <c r="AV37" i="6" s="1"/>
  <c r="U174" i="6" l="1"/>
  <c r="AZ37" i="6" s="1"/>
  <c r="AD96" i="19"/>
  <c r="AE96" i="19"/>
  <c r="AF96" i="19" s="1"/>
  <c r="BC96" i="19" s="1"/>
  <c r="BE96" i="19" s="1"/>
  <c r="BG96" i="19" s="1"/>
  <c r="C175" i="6" s="1"/>
  <c r="L175" i="6" s="1"/>
  <c r="Q175" i="6" s="1"/>
  <c r="U175" i="6" s="1"/>
  <c r="AZ38" i="6" s="1"/>
  <c r="AV38" i="6" l="1"/>
  <c r="AD97" i="19"/>
  <c r="AE97" i="19"/>
  <c r="AF97" i="19" s="1"/>
  <c r="BC97" i="19" s="1"/>
  <c r="BE97" i="19" s="1"/>
  <c r="BG97" i="19" s="1"/>
  <c r="C176" i="6" s="1"/>
  <c r="L176" i="6" s="1"/>
  <c r="Q176" i="6" s="1"/>
  <c r="AV39" i="6" s="1"/>
  <c r="U176" i="6" l="1"/>
  <c r="AZ39" i="6" s="1"/>
  <c r="AD98" i="19"/>
  <c r="AE98" i="19"/>
  <c r="AF98" i="19" s="1"/>
  <c r="BC98" i="19" s="1"/>
  <c r="BE98" i="19" s="1"/>
  <c r="BG98" i="19" s="1"/>
  <c r="C177" i="6" s="1"/>
  <c r="L177" i="6" s="1"/>
  <c r="Q177" i="6" s="1"/>
  <c r="U177" i="6" s="1"/>
  <c r="AZ40" i="6" s="1"/>
  <c r="AE99" i="19" l="1"/>
  <c r="AF99" i="19" s="1"/>
  <c r="BC99" i="19" s="1"/>
  <c r="BE99" i="19" s="1"/>
  <c r="BG99" i="19" s="1"/>
  <c r="C178" i="6" s="1"/>
  <c r="L178" i="6" s="1"/>
  <c r="Q178" i="6" s="1"/>
  <c r="U178" i="6" s="1"/>
  <c r="AZ41" i="6" s="1"/>
  <c r="AD99" i="19"/>
  <c r="AV40" i="6"/>
  <c r="AV41" i="6" l="1"/>
  <c r="AD100" i="19"/>
  <c r="AE100" i="19"/>
  <c r="AF100" i="19" s="1"/>
  <c r="BC100" i="19" s="1"/>
  <c r="BE100" i="19" s="1"/>
  <c r="BG100" i="19" s="1"/>
  <c r="C179" i="6" s="1"/>
  <c r="L179" i="6" s="1"/>
  <c r="Q179" i="6" s="1"/>
  <c r="AV42" i="6" s="1"/>
  <c r="U179" i="6" l="1"/>
  <c r="AZ42" i="6" s="1"/>
  <c r="AD101" i="19"/>
  <c r="AE101" i="19"/>
  <c r="AF101" i="19" s="1"/>
  <c r="BC101" i="19" s="1"/>
  <c r="BE101" i="19" s="1"/>
  <c r="BG101" i="19" s="1"/>
  <c r="C180" i="6" s="1"/>
  <c r="L180" i="6" s="1"/>
  <c r="Q180" i="6" s="1"/>
  <c r="AV43" i="6" s="1"/>
  <c r="U180" i="6" l="1"/>
  <c r="AZ43" i="6" s="1"/>
  <c r="AD102" i="19"/>
  <c r="AE102" i="19"/>
  <c r="AF102" i="19" s="1"/>
  <c r="BC102" i="19" s="1"/>
  <c r="BE102" i="19" s="1"/>
  <c r="BG102" i="19" s="1"/>
  <c r="C181" i="6" s="1"/>
  <c r="L181" i="6" s="1"/>
  <c r="Q181" i="6" s="1"/>
  <c r="AV44" i="6" s="1"/>
  <c r="AD103" i="19" l="1"/>
  <c r="AE103" i="19"/>
  <c r="AF103" i="19" s="1"/>
  <c r="BC103" i="19" s="1"/>
  <c r="BE103" i="19" s="1"/>
  <c r="BG103" i="19" s="1"/>
  <c r="C182" i="6" s="1"/>
  <c r="L182" i="6" s="1"/>
  <c r="Q182" i="6" s="1"/>
  <c r="U182" i="6" s="1"/>
  <c r="AZ45" i="6" s="1"/>
  <c r="U181" i="6"/>
  <c r="AZ44" i="6" s="1"/>
  <c r="AV45" i="6" l="1"/>
  <c r="AD104" i="19"/>
  <c r="AE104" i="19"/>
  <c r="AF104" i="19" s="1"/>
  <c r="BC104" i="19" s="1"/>
  <c r="BE104" i="19" s="1"/>
  <c r="BG104" i="19" s="1"/>
  <c r="C183" i="6" s="1"/>
  <c r="L183" i="6" s="1"/>
  <c r="Q183" i="6" s="1"/>
  <c r="U183" i="6" s="1"/>
  <c r="AZ46" i="6" s="1"/>
  <c r="AV46" i="6" l="1"/>
  <c r="AE105" i="19"/>
  <c r="AF105" i="19" s="1"/>
  <c r="BC105" i="19" s="1"/>
  <c r="BE105" i="19" s="1"/>
  <c r="BG105" i="19" s="1"/>
  <c r="C184" i="6" s="1"/>
  <c r="L184" i="6" s="1"/>
  <c r="Q184" i="6" s="1"/>
  <c r="AV47" i="6" s="1"/>
  <c r="AD105" i="19"/>
  <c r="U184" i="6" l="1"/>
  <c r="AZ47" i="6" s="1"/>
  <c r="AD106" i="19"/>
  <c r="AE106" i="19"/>
  <c r="AF106" i="19" s="1"/>
  <c r="BC106" i="19" s="1"/>
  <c r="BE106" i="19" s="1"/>
  <c r="BG106" i="19" s="1"/>
  <c r="C185" i="6" s="1"/>
  <c r="L185" i="6" s="1"/>
  <c r="Q185" i="6" s="1"/>
  <c r="U185" i="6" s="1"/>
  <c r="AZ48" i="6" s="1"/>
  <c r="AE107" i="19" l="1"/>
  <c r="AF107" i="19" s="1"/>
  <c r="BC107" i="19" s="1"/>
  <c r="BE107" i="19" s="1"/>
  <c r="BG107" i="19" s="1"/>
  <c r="C186" i="6" s="1"/>
  <c r="L186" i="6" s="1"/>
  <c r="Q186" i="6" s="1"/>
  <c r="AV49" i="6" s="1"/>
  <c r="AD107" i="19"/>
  <c r="AV48" i="6"/>
  <c r="U186" i="6" l="1"/>
  <c r="AZ49" i="6" s="1"/>
  <c r="AE108" i="19"/>
  <c r="AF108" i="19" s="1"/>
  <c r="BC108" i="19" s="1"/>
  <c r="BE108" i="19" s="1"/>
  <c r="BG108" i="19" s="1"/>
  <c r="C187" i="6" s="1"/>
  <c r="L187" i="6" s="1"/>
  <c r="Q187" i="6" s="1"/>
  <c r="U187" i="6" s="1"/>
  <c r="AZ50" i="6" s="1"/>
  <c r="AD108" i="19"/>
  <c r="AV50" i="6" l="1"/>
  <c r="AE109" i="19"/>
  <c r="AF109" i="19" s="1"/>
  <c r="BC109" i="19" s="1"/>
  <c r="BE109" i="19" s="1"/>
  <c r="BG109" i="19" s="1"/>
  <c r="C188" i="6" s="1"/>
  <c r="L188" i="6" s="1"/>
  <c r="Q188" i="6" s="1"/>
  <c r="U188" i="6" s="1"/>
  <c r="AZ51" i="6" s="1"/>
  <c r="AD109" i="19"/>
  <c r="AV51" i="6" l="1"/>
  <c r="AD110" i="19"/>
  <c r="AE110" i="19"/>
  <c r="AF110" i="19" s="1"/>
  <c r="BC110" i="19" s="1"/>
  <c r="BE110" i="19" s="1"/>
  <c r="BG110" i="19" s="1"/>
  <c r="C189" i="6" s="1"/>
  <c r="L189" i="6" s="1"/>
  <c r="Q189" i="6" s="1"/>
  <c r="AV52" i="6" s="1"/>
  <c r="U189" i="6" l="1"/>
  <c r="AZ52" i="6" s="1"/>
  <c r="AE111" i="19"/>
  <c r="AF111" i="19" s="1"/>
  <c r="BC111" i="19" s="1"/>
  <c r="BE111" i="19" s="1"/>
  <c r="BG111" i="19" s="1"/>
  <c r="C190" i="6" s="1"/>
  <c r="L190" i="6" s="1"/>
  <c r="Q190" i="6" s="1"/>
  <c r="AV53" i="6" s="1"/>
  <c r="AD111" i="19"/>
  <c r="U190" i="6" l="1"/>
  <c r="AZ53" i="6" s="1"/>
  <c r="AD112" i="19"/>
  <c r="AE112" i="19"/>
  <c r="AF112" i="19" s="1"/>
  <c r="BC112" i="19" s="1"/>
  <c r="BE112" i="19" s="1"/>
  <c r="BG112" i="19" s="1"/>
  <c r="C191" i="6" s="1"/>
  <c r="L191" i="6" s="1"/>
  <c r="Q191" i="6" s="1"/>
  <c r="AV54" i="6" s="1"/>
  <c r="U191" i="6" l="1"/>
  <c r="AZ54" i="6" s="1"/>
  <c r="AE113" i="19"/>
  <c r="AF113" i="19" s="1"/>
  <c r="BC113" i="19" s="1"/>
  <c r="BE113" i="19" s="1"/>
  <c r="BG113" i="19" s="1"/>
  <c r="C192" i="6" s="1"/>
  <c r="L192" i="6" s="1"/>
  <c r="Q192" i="6" s="1"/>
  <c r="U192" i="6" s="1"/>
  <c r="AZ55" i="6" s="1"/>
  <c r="AD113" i="19"/>
  <c r="AV55" i="6" l="1"/>
  <c r="AE114" i="19"/>
  <c r="AF114" i="19" s="1"/>
  <c r="BC114" i="19" s="1"/>
  <c r="BE114" i="19" s="1"/>
  <c r="BG114" i="19" s="1"/>
  <c r="C193" i="6" s="1"/>
  <c r="L193" i="6" s="1"/>
  <c r="Q193" i="6" s="1"/>
  <c r="U193" i="6" s="1"/>
  <c r="AZ56" i="6" s="1"/>
  <c r="AD114" i="19"/>
  <c r="AV56" i="6" l="1"/>
  <c r="AE115" i="19"/>
  <c r="AF115" i="19" s="1"/>
  <c r="BC115" i="19" s="1"/>
  <c r="BE115" i="19" s="1"/>
  <c r="BG115" i="19" s="1"/>
  <c r="C194" i="6" s="1"/>
  <c r="L194" i="6" s="1"/>
  <c r="Q194" i="6" s="1"/>
  <c r="U194" i="6" s="1"/>
  <c r="AZ57" i="6" s="1"/>
  <c r="AD115" i="19"/>
  <c r="AV57" i="6" l="1"/>
  <c r="AD116" i="19"/>
  <c r="AE116" i="19"/>
  <c r="AF116" i="19" s="1"/>
  <c r="BC116" i="19" s="1"/>
  <c r="BE116" i="19" s="1"/>
  <c r="BG116" i="19" s="1"/>
  <c r="C195" i="6" s="1"/>
  <c r="L195" i="6" s="1"/>
  <c r="Q195" i="6" s="1"/>
  <c r="U195" i="6" s="1"/>
  <c r="AZ58" i="6" s="1"/>
  <c r="AV58" i="6" l="1"/>
  <c r="AD117" i="19"/>
  <c r="AE117" i="19"/>
  <c r="AF117" i="19" s="1"/>
  <c r="BC117" i="19" s="1"/>
  <c r="BE117" i="19" s="1"/>
  <c r="BG117" i="19" s="1"/>
  <c r="C196" i="6" s="1"/>
  <c r="L196" i="6" s="1"/>
  <c r="Q196" i="6" s="1"/>
  <c r="AV59" i="6" s="1"/>
  <c r="U196" i="6" l="1"/>
  <c r="AZ59" i="6" s="1"/>
  <c r="AE118" i="19"/>
  <c r="AF118" i="19" s="1"/>
  <c r="BC118" i="19" s="1"/>
  <c r="BE118" i="19" s="1"/>
  <c r="BG118" i="19" s="1"/>
  <c r="C197" i="6" s="1"/>
  <c r="L197" i="6" s="1"/>
  <c r="Q197" i="6" s="1"/>
  <c r="U197" i="6" s="1"/>
  <c r="AZ60" i="6" s="1"/>
  <c r="AD118" i="19"/>
  <c r="AV60" i="6" l="1"/>
  <c r="J147" i="11"/>
  <c r="K147" i="11" s="1"/>
  <c r="J149" i="11"/>
  <c r="J150" i="11" s="1"/>
  <c r="K148" i="11"/>
  <c r="P148" i="11" s="1"/>
  <c r="Q148" i="11" s="1"/>
  <c r="R148" i="11" l="1"/>
  <c r="S148" i="11" s="1"/>
  <c r="M148" i="11"/>
  <c r="K150" i="11"/>
  <c r="J151" i="11"/>
  <c r="M147" i="11"/>
  <c r="P147" i="11"/>
  <c r="Q147" i="11" s="1"/>
  <c r="K149" i="11"/>
  <c r="V148" i="11" l="1"/>
  <c r="T148" i="11"/>
  <c r="AC40" i="6" s="1"/>
  <c r="U148" i="11"/>
  <c r="CC108" i="11" s="1"/>
  <c r="CC40" i="6" s="1"/>
  <c r="R147" i="11"/>
  <c r="S147" i="11" s="1"/>
  <c r="P149" i="11"/>
  <c r="Q149" i="11" s="1"/>
  <c r="M149" i="11"/>
  <c r="K151" i="11"/>
  <c r="J152" i="11"/>
  <c r="P150" i="11"/>
  <c r="Q150" i="11" s="1"/>
  <c r="M150" i="11"/>
  <c r="W148" i="11" l="1"/>
  <c r="BV108" i="11" s="1"/>
  <c r="BI40" i="6" s="1"/>
  <c r="AA148" i="11"/>
  <c r="AB148" i="11"/>
  <c r="Y148" i="11"/>
  <c r="Z148" i="11"/>
  <c r="K94" i="9" s="1"/>
  <c r="X148" i="11"/>
  <c r="V147" i="11"/>
  <c r="U147" i="11"/>
  <c r="CC107" i="11" s="1"/>
  <c r="CC39" i="6" s="1"/>
  <c r="T147" i="11"/>
  <c r="AC39" i="6" s="1"/>
  <c r="J153" i="11"/>
  <c r="K152" i="11"/>
  <c r="P151" i="11"/>
  <c r="Q151" i="11" s="1"/>
  <c r="M151" i="11"/>
  <c r="AC148" i="11" l="1"/>
  <c r="AH148" i="11" s="1"/>
  <c r="W147" i="11"/>
  <c r="BV107" i="11" s="1"/>
  <c r="BI39" i="6" s="1"/>
  <c r="Z147" i="11"/>
  <c r="K93" i="9" s="1"/>
  <c r="Q93" i="9" s="1"/>
  <c r="U93" i="9" s="1"/>
  <c r="E40" i="6" s="1"/>
  <c r="Y147" i="11"/>
  <c r="AB147" i="11"/>
  <c r="AA147" i="11"/>
  <c r="X147" i="11"/>
  <c r="Q94" i="9"/>
  <c r="U94" i="9" s="1"/>
  <c r="E41" i="6" s="1"/>
  <c r="P94" i="9"/>
  <c r="T94" i="9" s="1"/>
  <c r="D41" i="6" s="1"/>
  <c r="S94" i="9"/>
  <c r="W94" i="9" s="1"/>
  <c r="F41" i="6" s="1"/>
  <c r="V21" i="23" s="1"/>
  <c r="P152" i="11"/>
  <c r="Q152" i="11" s="1"/>
  <c r="M152" i="11"/>
  <c r="J154" i="11"/>
  <c r="K153" i="11"/>
  <c r="AE148" i="11" l="1"/>
  <c r="X98" i="3" s="1"/>
  <c r="AA98" i="3" s="1"/>
  <c r="AC98" i="3" s="1"/>
  <c r="AI148" i="11"/>
  <c r="AF148" i="11"/>
  <c r="AG148" i="11"/>
  <c r="M41" i="6"/>
  <c r="V18" i="23"/>
  <c r="AD148" i="11"/>
  <c r="BW108" i="11"/>
  <c r="BJ40" i="6" s="1"/>
  <c r="AJ148" i="11"/>
  <c r="N41" i="6"/>
  <c r="R41" i="6" s="1"/>
  <c r="Y40" i="6" s="1"/>
  <c r="AC147" i="11"/>
  <c r="AF147" i="11" s="1"/>
  <c r="S93" i="9"/>
  <c r="W93" i="9" s="1"/>
  <c r="F40" i="6" s="1"/>
  <c r="J155" i="11"/>
  <c r="K154" i="11"/>
  <c r="AB98" i="3"/>
  <c r="P153" i="11"/>
  <c r="Q153" i="11" s="1"/>
  <c r="M153" i="11"/>
  <c r="N40" i="6" l="1"/>
  <c r="U21" i="23"/>
  <c r="AD147" i="11"/>
  <c r="AE147" i="11"/>
  <c r="AG147" i="11"/>
  <c r="P93" i="9" s="1"/>
  <c r="T93" i="9" s="1"/>
  <c r="D40" i="6" s="1"/>
  <c r="AI147" i="11"/>
  <c r="AH147" i="11"/>
  <c r="P154" i="11"/>
  <c r="Q154" i="11" s="1"/>
  <c r="M154" i="11"/>
  <c r="J156" i="11"/>
  <c r="K155" i="11"/>
  <c r="M40" i="6" l="1"/>
  <c r="R40" i="6" s="1"/>
  <c r="Y39" i="6" s="1"/>
  <c r="U18" i="23"/>
  <c r="AJ147" i="11"/>
  <c r="BW107" i="11"/>
  <c r="BJ39" i="6" s="1"/>
  <c r="X97" i="3"/>
  <c r="AA97" i="3" s="1"/>
  <c r="J157" i="11"/>
  <c r="K156" i="11"/>
  <c r="P155" i="11"/>
  <c r="Q155" i="11" s="1"/>
  <c r="M155" i="11"/>
  <c r="AB97" i="3" l="1"/>
  <c r="AD97" i="3" s="1"/>
  <c r="AC97" i="3"/>
  <c r="AE97" i="3" s="1"/>
  <c r="AF97" i="3" s="1"/>
  <c r="BC97" i="3" s="1"/>
  <c r="BE97" i="3" s="1"/>
  <c r="BG97" i="3" s="1"/>
  <c r="C40" i="6" s="1"/>
  <c r="P156" i="11"/>
  <c r="Q156" i="11" s="1"/>
  <c r="M156" i="11"/>
  <c r="J158" i="11"/>
  <c r="K157" i="11"/>
  <c r="L40" i="6" l="1"/>
  <c r="Q40" i="6" s="1"/>
  <c r="U17" i="23"/>
  <c r="X39" i="6"/>
  <c r="AB39" i="6" s="1"/>
  <c r="U40" i="6"/>
  <c r="AE98" i="3"/>
  <c r="AF98" i="3" s="1"/>
  <c r="BC98" i="3" s="1"/>
  <c r="BE98" i="3" s="1"/>
  <c r="BG98" i="3" s="1"/>
  <c r="C41" i="6" s="1"/>
  <c r="AD98" i="3"/>
  <c r="P157" i="11"/>
  <c r="Q157" i="11" s="1"/>
  <c r="M157" i="11"/>
  <c r="J159" i="11"/>
  <c r="K158" i="11"/>
  <c r="L41" i="6" l="1"/>
  <c r="Q41" i="6" s="1"/>
  <c r="V17" i="23"/>
  <c r="U41" i="6"/>
  <c r="X40" i="6"/>
  <c r="AB40" i="6" s="1"/>
  <c r="J160" i="11"/>
  <c r="K159" i="11"/>
  <c r="P158" i="11"/>
  <c r="Q158" i="11" s="1"/>
  <c r="M158" i="11"/>
  <c r="R158" i="11" l="1"/>
  <c r="S158" i="11" s="1"/>
  <c r="P159" i="11"/>
  <c r="Q159" i="11" s="1"/>
  <c r="R159" i="11" s="1"/>
  <c r="S159" i="11" s="1"/>
  <c r="M159" i="11"/>
  <c r="J161" i="11"/>
  <c r="K160" i="11"/>
  <c r="V158" i="11" l="1"/>
  <c r="U158" i="11"/>
  <c r="CC118" i="11" s="1"/>
  <c r="CC50" i="6" s="1"/>
  <c r="T158" i="11"/>
  <c r="AC50" i="6" s="1"/>
  <c r="V159" i="11"/>
  <c r="U159" i="11"/>
  <c r="CC119" i="11" s="1"/>
  <c r="CC51" i="6" s="1"/>
  <c r="T159" i="11"/>
  <c r="AC51" i="6" s="1"/>
  <c r="J162" i="11"/>
  <c r="K161" i="11"/>
  <c r="P160" i="11"/>
  <c r="Q160" i="11" s="1"/>
  <c r="R160" i="11" s="1"/>
  <c r="S160" i="11" s="1"/>
  <c r="M160" i="11"/>
  <c r="W158" i="11" l="1"/>
  <c r="BV118" i="11" s="1"/>
  <c r="BI50" i="6" s="1"/>
  <c r="AA158" i="11"/>
  <c r="AB158" i="11"/>
  <c r="Z158" i="11"/>
  <c r="K104" i="9" s="1"/>
  <c r="Y158" i="11"/>
  <c r="X158" i="11"/>
  <c r="W159" i="11"/>
  <c r="BV119" i="11" s="1"/>
  <c r="BI51" i="6" s="1"/>
  <c r="Z159" i="11"/>
  <c r="K105" i="9" s="1"/>
  <c r="Y159" i="11"/>
  <c r="AB159" i="11"/>
  <c r="X159" i="11"/>
  <c r="AA159" i="11"/>
  <c r="V160" i="11"/>
  <c r="U160" i="11"/>
  <c r="CC120" i="11" s="1"/>
  <c r="CC52" i="6" s="1"/>
  <c r="T160" i="11"/>
  <c r="AC52" i="6" s="1"/>
  <c r="P161" i="11"/>
  <c r="Q161" i="11" s="1"/>
  <c r="R161" i="11" s="1"/>
  <c r="S161" i="11" s="1"/>
  <c r="M161" i="11"/>
  <c r="J163" i="11"/>
  <c r="K162" i="11"/>
  <c r="AC158" i="11" l="1"/>
  <c r="AC159" i="11"/>
  <c r="AE159" i="11" s="1"/>
  <c r="W160" i="11"/>
  <c r="BV120" i="11" s="1"/>
  <c r="Y160" i="11"/>
  <c r="AB160" i="11"/>
  <c r="X160" i="11"/>
  <c r="AA160" i="11"/>
  <c r="Z160" i="11"/>
  <c r="K106" i="9" s="1"/>
  <c r="T161" i="11"/>
  <c r="AC53" i="6" s="1"/>
  <c r="V161" i="11"/>
  <c r="U161" i="11"/>
  <c r="CC121" i="11" s="1"/>
  <c r="CC53" i="6" s="1"/>
  <c r="BI52" i="6"/>
  <c r="S104" i="9"/>
  <c r="W104" i="9" s="1"/>
  <c r="F51" i="6" s="1"/>
  <c r="AF21" i="23" s="1"/>
  <c r="P104" i="9"/>
  <c r="T104" i="9" s="1"/>
  <c r="D51" i="6" s="1"/>
  <c r="Q104" i="9"/>
  <c r="U104" i="9" s="1"/>
  <c r="E51" i="6" s="1"/>
  <c r="AF159" i="11"/>
  <c r="P162" i="11"/>
  <c r="Q162" i="11" s="1"/>
  <c r="R162" i="11" s="1"/>
  <c r="S162" i="11" s="1"/>
  <c r="M162" i="11"/>
  <c r="J164" i="11"/>
  <c r="K163" i="11"/>
  <c r="AI159" i="11"/>
  <c r="M51" i="6" l="1"/>
  <c r="AF18" i="23"/>
  <c r="AH159" i="11"/>
  <c r="AG159" i="11"/>
  <c r="AJ159" i="11" s="1"/>
  <c r="AD158" i="11"/>
  <c r="AE158" i="11"/>
  <c r="AF158" i="11"/>
  <c r="AI158" i="11"/>
  <c r="AH158" i="11"/>
  <c r="AG158" i="11"/>
  <c r="N51" i="6"/>
  <c r="R51" i="6" s="1"/>
  <c r="Y50" i="6" s="1"/>
  <c r="W161" i="11"/>
  <c r="BV121" i="11" s="1"/>
  <c r="BI53" i="6" s="1"/>
  <c r="AB161" i="11"/>
  <c r="X161" i="11"/>
  <c r="AA161" i="11"/>
  <c r="Z161" i="11"/>
  <c r="K107" i="9" s="1"/>
  <c r="Y161" i="11"/>
  <c r="U162" i="11"/>
  <c r="CC122" i="11" s="1"/>
  <c r="CC54" i="6" s="1"/>
  <c r="T162" i="11"/>
  <c r="AC54" i="6" s="1"/>
  <c r="V162" i="11"/>
  <c r="AC160" i="11"/>
  <c r="AD159" i="11"/>
  <c r="X109" i="3"/>
  <c r="AA109" i="3" s="1"/>
  <c r="BW119" i="11"/>
  <c r="BJ51" i="6" s="1"/>
  <c r="P163" i="11"/>
  <c r="Q163" i="11" s="1"/>
  <c r="R163" i="11" s="1"/>
  <c r="S163" i="11" s="1"/>
  <c r="M163" i="11"/>
  <c r="K164" i="11"/>
  <c r="J165" i="11"/>
  <c r="Q105" i="9"/>
  <c r="U105" i="9" s="1"/>
  <c r="E52" i="6" s="1"/>
  <c r="P105" i="9"/>
  <c r="T105" i="9" s="1"/>
  <c r="D52" i="6" s="1"/>
  <c r="S105" i="9"/>
  <c r="W105" i="9" s="1"/>
  <c r="F52" i="6" s="1"/>
  <c r="AG21" i="23" s="1"/>
  <c r="M52" i="6" l="1"/>
  <c r="AG18" i="23"/>
  <c r="AJ158" i="11"/>
  <c r="X108" i="3"/>
  <c r="AA108" i="3" s="1"/>
  <c r="BW118" i="11"/>
  <c r="BJ50" i="6" s="1"/>
  <c r="AC161" i="11"/>
  <c r="AH161" i="11" s="1"/>
  <c r="AD160" i="11"/>
  <c r="AH160" i="11"/>
  <c r="AG160" i="11"/>
  <c r="AE160" i="11"/>
  <c r="BW120" i="11" s="1"/>
  <c r="N52" i="6"/>
  <c r="R52" i="6" s="1"/>
  <c r="Y51" i="6" s="1"/>
  <c r="AF160" i="11"/>
  <c r="AI160" i="11"/>
  <c r="V163" i="11"/>
  <c r="U163" i="11"/>
  <c r="CC123" i="11" s="1"/>
  <c r="CC55" i="6" s="1"/>
  <c r="T163" i="11"/>
  <c r="AC55" i="6" s="1"/>
  <c r="W162" i="11"/>
  <c r="BV122" i="11" s="1"/>
  <c r="BI54" i="6" s="1"/>
  <c r="AA162" i="11"/>
  <c r="Z162" i="11"/>
  <c r="K108" i="9" s="1"/>
  <c r="Y162" i="11"/>
  <c r="AB162" i="11"/>
  <c r="X162" i="11"/>
  <c r="Q107" i="9"/>
  <c r="U107" i="9" s="1"/>
  <c r="E54" i="6" s="1"/>
  <c r="AC109" i="3"/>
  <c r="AB109" i="3"/>
  <c r="J166" i="11"/>
  <c r="K165" i="11"/>
  <c r="P164" i="11"/>
  <c r="Q164" i="11" s="1"/>
  <c r="R164" i="11" s="1"/>
  <c r="S164" i="11" s="1"/>
  <c r="M164" i="11"/>
  <c r="S106" i="9"/>
  <c r="W106" i="9" s="1"/>
  <c r="F53" i="6" s="1"/>
  <c r="AH21" i="23" s="1"/>
  <c r="Q106" i="9"/>
  <c r="U106" i="9" s="1"/>
  <c r="E53" i="6" s="1"/>
  <c r="P106" i="9"/>
  <c r="T106" i="9" s="1"/>
  <c r="D53" i="6" s="1"/>
  <c r="M53" i="6" l="1"/>
  <c r="AH18" i="23"/>
  <c r="AI161" i="11"/>
  <c r="AF161" i="11"/>
  <c r="AG161" i="11"/>
  <c r="S107" i="9" s="1"/>
  <c r="W107" i="9" s="1"/>
  <c r="F54" i="6" s="1"/>
  <c r="AE161" i="11"/>
  <c r="X111" i="3" s="1"/>
  <c r="AA111" i="3" s="1"/>
  <c r="AD161" i="11"/>
  <c r="AB108" i="3"/>
  <c r="AC108" i="3"/>
  <c r="N53" i="6"/>
  <c r="R53" i="6" s="1"/>
  <c r="Y52" i="6" s="1"/>
  <c r="AC162" i="11"/>
  <c r="AI162" i="11" s="1"/>
  <c r="AJ160" i="11"/>
  <c r="V164" i="11"/>
  <c r="U164" i="11"/>
  <c r="CC124" i="11" s="1"/>
  <c r="CC56" i="6" s="1"/>
  <c r="T164" i="11"/>
  <c r="AC56" i="6" s="1"/>
  <c r="BJ52" i="6"/>
  <c r="W163" i="11"/>
  <c r="BV123" i="11" s="1"/>
  <c r="BI55" i="6" s="1"/>
  <c r="Z163" i="11"/>
  <c r="K109" i="9" s="1"/>
  <c r="Y163" i="11"/>
  <c r="AB163" i="11"/>
  <c r="X163" i="11"/>
  <c r="AA163" i="11"/>
  <c r="X110" i="3"/>
  <c r="AA110" i="3" s="1"/>
  <c r="AC110" i="3" s="1"/>
  <c r="P107" i="9"/>
  <c r="T107" i="9" s="1"/>
  <c r="D54" i="6" s="1"/>
  <c r="S108" i="9"/>
  <c r="W108" i="9" s="1"/>
  <c r="F55" i="6" s="1"/>
  <c r="AJ21" i="23" s="1"/>
  <c r="P165" i="11"/>
  <c r="Q165" i="11" s="1"/>
  <c r="R165" i="11" s="1"/>
  <c r="S165" i="11" s="1"/>
  <c r="M165" i="11"/>
  <c r="J167" i="11"/>
  <c r="K166" i="11"/>
  <c r="N54" i="6" l="1"/>
  <c r="AI21" i="23"/>
  <c r="M54" i="6"/>
  <c r="AI18" i="23"/>
  <c r="AE162" i="11"/>
  <c r="X112" i="3" s="1"/>
  <c r="AF162" i="11"/>
  <c r="AB110" i="3"/>
  <c r="R54" i="6"/>
  <c r="Y53" i="6" s="1"/>
  <c r="AJ161" i="11"/>
  <c r="BW121" i="11"/>
  <c r="BJ53" i="6" s="1"/>
  <c r="AH162" i="11"/>
  <c r="AD162" i="11"/>
  <c r="AG162" i="11"/>
  <c r="P108" i="9" s="1"/>
  <c r="T108" i="9" s="1"/>
  <c r="D55" i="6" s="1"/>
  <c r="T165" i="11"/>
  <c r="AC57" i="6" s="1"/>
  <c r="V165" i="11"/>
  <c r="U165" i="11"/>
  <c r="CC125" i="11" s="1"/>
  <c r="CC57" i="6" s="1"/>
  <c r="W164" i="11"/>
  <c r="BV124" i="11" s="1"/>
  <c r="BI56" i="6" s="1"/>
  <c r="Y164" i="11"/>
  <c r="AB164" i="11"/>
  <c r="X164" i="11"/>
  <c r="AA164" i="11"/>
  <c r="Z164" i="11"/>
  <c r="K110" i="9" s="1"/>
  <c r="AC163" i="11"/>
  <c r="AG163" i="11" s="1"/>
  <c r="Q108" i="9"/>
  <c r="U108" i="9" s="1"/>
  <c r="E55" i="6" s="1"/>
  <c r="N55" i="6" s="1"/>
  <c r="Q109" i="9"/>
  <c r="U109" i="9" s="1"/>
  <c r="E56" i="6" s="1"/>
  <c r="P109" i="9"/>
  <c r="T109" i="9" s="1"/>
  <c r="D56" i="6" s="1"/>
  <c r="S109" i="9"/>
  <c r="W109" i="9" s="1"/>
  <c r="F56" i="6" s="1"/>
  <c r="AK21" i="23" s="1"/>
  <c r="P166" i="11"/>
  <c r="Q166" i="11" s="1"/>
  <c r="R166" i="11" s="1"/>
  <c r="S166" i="11" s="1"/>
  <c r="M166" i="11"/>
  <c r="AA112" i="3"/>
  <c r="J168" i="11"/>
  <c r="K168" i="11" s="1"/>
  <c r="K167" i="11"/>
  <c r="AC111" i="3"/>
  <c r="AB111" i="3"/>
  <c r="M56" i="6" l="1"/>
  <c r="AK18" i="23"/>
  <c r="BW122" i="11"/>
  <c r="BJ54" i="6" s="1"/>
  <c r="M55" i="6"/>
  <c r="R55" i="6" s="1"/>
  <c r="Y54" i="6" s="1"/>
  <c r="AJ18" i="23"/>
  <c r="AF163" i="11"/>
  <c r="AI163" i="11"/>
  <c r="AJ162" i="11"/>
  <c r="AH163" i="11"/>
  <c r="N56" i="6"/>
  <c r="R56" i="6" s="1"/>
  <c r="Y55" i="6" s="1"/>
  <c r="AD163" i="11"/>
  <c r="AC164" i="11"/>
  <c r="AG164" i="11" s="1"/>
  <c r="P110" i="9" s="1"/>
  <c r="T110" i="9" s="1"/>
  <c r="D57" i="6" s="1"/>
  <c r="W165" i="11"/>
  <c r="BV125" i="11" s="1"/>
  <c r="BI57" i="6" s="1"/>
  <c r="AB165" i="11"/>
  <c r="X165" i="11"/>
  <c r="AA165" i="11"/>
  <c r="Z165" i="11"/>
  <c r="K111" i="9" s="1"/>
  <c r="Y165" i="11"/>
  <c r="AE163" i="11"/>
  <c r="X113" i="3" s="1"/>
  <c r="AA113" i="3" s="1"/>
  <c r="U166" i="11"/>
  <c r="CC126" i="11" s="1"/>
  <c r="CC58" i="6" s="1"/>
  <c r="T166" i="11"/>
  <c r="AC58" i="6" s="1"/>
  <c r="V166" i="11"/>
  <c r="P167" i="11"/>
  <c r="Q167" i="11" s="1"/>
  <c r="R167" i="11" s="1"/>
  <c r="S167" i="11" s="1"/>
  <c r="M167" i="11"/>
  <c r="P168" i="11"/>
  <c r="Q168" i="11" s="1"/>
  <c r="M168" i="11"/>
  <c r="AC112" i="3"/>
  <c r="AB112" i="3"/>
  <c r="M57" i="6" l="1"/>
  <c r="R168" i="11"/>
  <c r="S168" i="11" s="1"/>
  <c r="V167" i="11"/>
  <c r="U167" i="11"/>
  <c r="CC127" i="11" s="1"/>
  <c r="CC59" i="6" s="1"/>
  <c r="T167" i="11"/>
  <c r="AC59" i="6" s="1"/>
  <c r="AD164" i="11"/>
  <c r="AF164" i="11"/>
  <c r="AI164" i="11"/>
  <c r="AC165" i="11"/>
  <c r="AH165" i="11" s="1"/>
  <c r="BW123" i="11"/>
  <c r="BJ55" i="6" s="1"/>
  <c r="AJ163" i="11"/>
  <c r="AE164" i="11"/>
  <c r="AH164" i="11"/>
  <c r="W166" i="11"/>
  <c r="BV126" i="11" s="1"/>
  <c r="BI58" i="6" s="1"/>
  <c r="AA166" i="11"/>
  <c r="Z166" i="11"/>
  <c r="K112" i="9" s="1"/>
  <c r="Y166" i="11"/>
  <c r="AB166" i="11"/>
  <c r="X166" i="11"/>
  <c r="S110" i="9"/>
  <c r="W110" i="9" s="1"/>
  <c r="F57" i="6" s="1"/>
  <c r="AL21" i="23" s="1"/>
  <c r="Q110" i="9"/>
  <c r="U110" i="9" s="1"/>
  <c r="E57" i="6" s="1"/>
  <c r="AL18" i="23" s="1"/>
  <c r="AC113" i="3"/>
  <c r="AB113" i="3"/>
  <c r="AE165" i="11" l="1"/>
  <c r="AG165" i="11"/>
  <c r="AI165" i="11"/>
  <c r="T168" i="11"/>
  <c r="AC60" i="6" s="1"/>
  <c r="V168" i="11"/>
  <c r="U168" i="11"/>
  <c r="CC128" i="11" s="1"/>
  <c r="CC60" i="6" s="1"/>
  <c r="X114" i="3"/>
  <c r="AA114" i="3" s="1"/>
  <c r="AC114" i="3" s="1"/>
  <c r="AJ164" i="11"/>
  <c r="N57" i="6"/>
  <c r="R57" i="6" s="1"/>
  <c r="Y56" i="6" s="1"/>
  <c r="AC166" i="11"/>
  <c r="AH166" i="11" s="1"/>
  <c r="AD165" i="11"/>
  <c r="BW125" i="11"/>
  <c r="BJ57" i="6" s="1"/>
  <c r="X115" i="3"/>
  <c r="AA115" i="3" s="1"/>
  <c r="AF165" i="11"/>
  <c r="BW124" i="11"/>
  <c r="BJ56" i="6" s="1"/>
  <c r="W167" i="11"/>
  <c r="BV127" i="11" s="1"/>
  <c r="BI59" i="6" s="1"/>
  <c r="Z167" i="11"/>
  <c r="K113" i="9" s="1"/>
  <c r="Y167" i="11"/>
  <c r="AB167" i="11"/>
  <c r="X167" i="11"/>
  <c r="AA167" i="11"/>
  <c r="Q111" i="9"/>
  <c r="U111" i="9" s="1"/>
  <c r="E58" i="6" s="1"/>
  <c r="P111" i="9"/>
  <c r="T111" i="9" s="1"/>
  <c r="D58" i="6" s="1"/>
  <c r="S111" i="9"/>
  <c r="W111" i="9" s="1"/>
  <c r="F58" i="6" s="1"/>
  <c r="AM21" i="23" s="1"/>
  <c r="P112" i="9"/>
  <c r="T112" i="9" s="1"/>
  <c r="D59" i="6" s="1"/>
  <c r="M58" i="6" l="1"/>
  <c r="AM18" i="23"/>
  <c r="M59" i="6"/>
  <c r="AN18" i="23"/>
  <c r="N58" i="6"/>
  <c r="AG166" i="11"/>
  <c r="Q112" i="9" s="1"/>
  <c r="U112" i="9" s="1"/>
  <c r="E59" i="6" s="1"/>
  <c r="AB114" i="3"/>
  <c r="AF166" i="11"/>
  <c r="AJ165" i="11"/>
  <c r="W168" i="11"/>
  <c r="BV128" i="11" s="1"/>
  <c r="BI60" i="6" s="1"/>
  <c r="AA168" i="11"/>
  <c r="AB168" i="11"/>
  <c r="Z168" i="11"/>
  <c r="K114" i="9" s="1"/>
  <c r="Y168" i="11"/>
  <c r="X168" i="11"/>
  <c r="AE166" i="11"/>
  <c r="X116" i="3" s="1"/>
  <c r="AA116" i="3" s="1"/>
  <c r="AC167" i="11"/>
  <c r="AH167" i="11" s="1"/>
  <c r="R58" i="6"/>
  <c r="Y57" i="6" s="1"/>
  <c r="AD166" i="11"/>
  <c r="AI166" i="11"/>
  <c r="S112" i="9"/>
  <c r="W112" i="9" s="1"/>
  <c r="F59" i="6" s="1"/>
  <c r="AN21" i="23" s="1"/>
  <c r="AC115" i="3"/>
  <c r="AB115" i="3"/>
  <c r="N59" i="6" l="1"/>
  <c r="R59" i="6" s="1"/>
  <c r="Y58" i="6" s="1"/>
  <c r="AE167" i="11"/>
  <c r="X117" i="3" s="1"/>
  <c r="BW126" i="11"/>
  <c r="BJ58" i="6" s="1"/>
  <c r="AJ166" i="11"/>
  <c r="AI167" i="11"/>
  <c r="AF167" i="11"/>
  <c r="AD167" i="11"/>
  <c r="AC168" i="11"/>
  <c r="AF168" i="11" s="1"/>
  <c r="AG167" i="11"/>
  <c r="S113" i="9" s="1"/>
  <c r="W113" i="9" s="1"/>
  <c r="F60" i="6" s="1"/>
  <c r="AO21" i="23" s="1"/>
  <c r="BW127" i="11"/>
  <c r="BJ59" i="6" s="1"/>
  <c r="P113" i="9"/>
  <c r="T113" i="9" s="1"/>
  <c r="D60" i="6" s="1"/>
  <c r="Q113" i="9"/>
  <c r="U113" i="9" s="1"/>
  <c r="E60" i="6" s="1"/>
  <c r="P114" i="9"/>
  <c r="T114" i="9" s="1"/>
  <c r="D61" i="6" s="1"/>
  <c r="Q114" i="9"/>
  <c r="U114" i="9" s="1"/>
  <c r="E61" i="6" s="1"/>
  <c r="S114" i="9"/>
  <c r="W114" i="9" s="1"/>
  <c r="F61" i="6" s="1"/>
  <c r="AP21" i="23" s="1"/>
  <c r="AB116" i="3"/>
  <c r="AC116" i="3"/>
  <c r="AA117" i="3"/>
  <c r="M60" i="6" l="1"/>
  <c r="AO18" i="23"/>
  <c r="M61" i="6"/>
  <c r="AP18" i="23"/>
  <c r="AJ167" i="11"/>
  <c r="N61" i="6"/>
  <c r="R61" i="6" s="1"/>
  <c r="Y60" i="6" s="1"/>
  <c r="N60" i="6"/>
  <c r="R60" i="6" s="1"/>
  <c r="Y59" i="6" s="1"/>
  <c r="AD168" i="11"/>
  <c r="AE168" i="11"/>
  <c r="X118" i="3" s="1"/>
  <c r="AA118" i="3" s="1"/>
  <c r="AB118" i="3" s="1"/>
  <c r="AI168" i="11"/>
  <c r="AH168" i="11"/>
  <c r="AG168" i="11"/>
  <c r="AC117" i="3"/>
  <c r="AB117" i="3"/>
  <c r="H149" i="11"/>
  <c r="R149" i="11"/>
  <c r="S149" i="11" s="1"/>
  <c r="AC118" i="3" l="1"/>
  <c r="AJ168" i="11"/>
  <c r="BW128" i="11"/>
  <c r="BJ60" i="6" s="1"/>
  <c r="T149" i="11"/>
  <c r="AC41" i="6" s="1"/>
  <c r="V149" i="11"/>
  <c r="U149" i="11"/>
  <c r="CC109" i="11" s="1"/>
  <c r="CC41" i="6" s="1"/>
  <c r="R151" i="11"/>
  <c r="S151" i="11" s="1"/>
  <c r="H151" i="11"/>
  <c r="R150" i="11"/>
  <c r="S150" i="11" s="1"/>
  <c r="H150" i="11"/>
  <c r="U150" i="11" l="1"/>
  <c r="CC110" i="11" s="1"/>
  <c r="CC42" i="6" s="1"/>
  <c r="T150" i="11"/>
  <c r="AC42" i="6" s="1"/>
  <c r="V150" i="11"/>
  <c r="V151" i="11"/>
  <c r="U151" i="11"/>
  <c r="CC111" i="11" s="1"/>
  <c r="CC43" i="6" s="1"/>
  <c r="T151" i="11"/>
  <c r="AC43" i="6" s="1"/>
  <c r="W149" i="11"/>
  <c r="BV109" i="11" s="1"/>
  <c r="BI41" i="6" s="1"/>
  <c r="AB149" i="11"/>
  <c r="X149" i="11"/>
  <c r="AA149" i="11"/>
  <c r="Z149" i="11"/>
  <c r="K95" i="9" s="1"/>
  <c r="Y149" i="11"/>
  <c r="H152" i="11"/>
  <c r="R152" i="11"/>
  <c r="S152" i="11" s="1"/>
  <c r="V152" i="11" l="1"/>
  <c r="U152" i="11"/>
  <c r="CC112" i="11" s="1"/>
  <c r="CC44" i="6" s="1"/>
  <c r="T152" i="11"/>
  <c r="AC44" i="6" s="1"/>
  <c r="AC149" i="11"/>
  <c r="AI149" i="11" s="1"/>
  <c r="W151" i="11"/>
  <c r="BV111" i="11" s="1"/>
  <c r="BI43" i="6" s="1"/>
  <c r="Z151" i="11"/>
  <c r="K97" i="9" s="1"/>
  <c r="Y151" i="11"/>
  <c r="AB151" i="11"/>
  <c r="X151" i="11"/>
  <c r="AA151" i="11"/>
  <c r="W150" i="11"/>
  <c r="BV110" i="11" s="1"/>
  <c r="BI42" i="6" s="1"/>
  <c r="AA150" i="11"/>
  <c r="Z150" i="11"/>
  <c r="K96" i="9" s="1"/>
  <c r="Y150" i="11"/>
  <c r="AB150" i="11"/>
  <c r="X150" i="11"/>
  <c r="R153" i="11"/>
  <c r="S153" i="11" s="1"/>
  <c r="H153" i="11"/>
  <c r="AD149" i="11" l="1"/>
  <c r="AF149" i="11"/>
  <c r="AH149" i="11"/>
  <c r="AE149" i="11"/>
  <c r="X99" i="3" s="1"/>
  <c r="AA99" i="3" s="1"/>
  <c r="AC151" i="11"/>
  <c r="AF151" i="11" s="1"/>
  <c r="AG149" i="11"/>
  <c r="T153" i="11"/>
  <c r="AC45" i="6" s="1"/>
  <c r="V153" i="11"/>
  <c r="U153" i="11"/>
  <c r="CC113" i="11" s="1"/>
  <c r="CC45" i="6" s="1"/>
  <c r="W152" i="11"/>
  <c r="BV112" i="11" s="1"/>
  <c r="BI44" i="6" s="1"/>
  <c r="Y152" i="11"/>
  <c r="AB152" i="11"/>
  <c r="X152" i="11"/>
  <c r="AA152" i="11"/>
  <c r="Z152" i="11"/>
  <c r="K98" i="9" s="1"/>
  <c r="AC150" i="11"/>
  <c r="AG150" i="11" s="1"/>
  <c r="Q95" i="9"/>
  <c r="U95" i="9" s="1"/>
  <c r="E42" i="6" s="1"/>
  <c r="P95" i="9"/>
  <c r="T95" i="9" s="1"/>
  <c r="D42" i="6" s="1"/>
  <c r="S95" i="9"/>
  <c r="W95" i="9" s="1"/>
  <c r="F42" i="6" s="1"/>
  <c r="W21" i="23" s="1"/>
  <c r="P96" i="9"/>
  <c r="T96" i="9" s="1"/>
  <c r="D43" i="6" s="1"/>
  <c r="Q96" i="9"/>
  <c r="U96" i="9" s="1"/>
  <c r="E43" i="6" s="1"/>
  <c r="S96" i="9"/>
  <c r="W96" i="9" s="1"/>
  <c r="F43" i="6" s="1"/>
  <c r="X21" i="23" s="1"/>
  <c r="H154" i="11"/>
  <c r="R154" i="11"/>
  <c r="S154" i="11" s="1"/>
  <c r="M43" i="6" l="1"/>
  <c r="X18" i="23"/>
  <c r="M42" i="6"/>
  <c r="W18" i="23"/>
  <c r="AH151" i="11"/>
  <c r="AG151" i="11"/>
  <c r="AJ149" i="11"/>
  <c r="W153" i="11"/>
  <c r="BV113" i="11" s="1"/>
  <c r="AB153" i="11"/>
  <c r="X153" i="11"/>
  <c r="AA153" i="11"/>
  <c r="Z153" i="11"/>
  <c r="K99" i="9" s="1"/>
  <c r="Y153" i="11"/>
  <c r="AD151" i="11"/>
  <c r="AI151" i="11"/>
  <c r="BW109" i="11"/>
  <c r="BJ41" i="6" s="1"/>
  <c r="AD150" i="11"/>
  <c r="N43" i="6"/>
  <c r="R43" i="6" s="1"/>
  <c r="Y42" i="6" s="1"/>
  <c r="AH150" i="11"/>
  <c r="AC152" i="11"/>
  <c r="AE152" i="11" s="1"/>
  <c r="AI150" i="11"/>
  <c r="U154" i="11"/>
  <c r="CC114" i="11" s="1"/>
  <c r="CC46" i="6" s="1"/>
  <c r="T154" i="11"/>
  <c r="AC46" i="6" s="1"/>
  <c r="V154" i="11"/>
  <c r="AE151" i="11"/>
  <c r="X101" i="3" s="1"/>
  <c r="AA101" i="3" s="1"/>
  <c r="N42" i="6"/>
  <c r="R42" i="6" s="1"/>
  <c r="Y41" i="6" s="1"/>
  <c r="AF150" i="11"/>
  <c r="AE150" i="11"/>
  <c r="X100" i="3" s="1"/>
  <c r="AA100" i="3" s="1"/>
  <c r="AB99" i="3"/>
  <c r="AD99" i="3" s="1"/>
  <c r="AC99" i="3"/>
  <c r="AE99" i="3" s="1"/>
  <c r="AF99" i="3" s="1"/>
  <c r="BC99" i="3" s="1"/>
  <c r="BE99" i="3" s="1"/>
  <c r="BG99" i="3" s="1"/>
  <c r="C42" i="6" s="1"/>
  <c r="H155" i="11"/>
  <c r="R155" i="11"/>
  <c r="S155" i="11" s="1"/>
  <c r="Q97" i="9"/>
  <c r="U97" i="9" s="1"/>
  <c r="E44" i="6" s="1"/>
  <c r="S97" i="9"/>
  <c r="W97" i="9" s="1"/>
  <c r="F44" i="6" s="1"/>
  <c r="Y21" i="23" s="1"/>
  <c r="P97" i="9"/>
  <c r="T97" i="9" s="1"/>
  <c r="D44" i="6" s="1"/>
  <c r="BI45" i="6"/>
  <c r="Q98" i="9"/>
  <c r="U98" i="9" s="1"/>
  <c r="E45" i="6" s="1"/>
  <c r="P98" i="9"/>
  <c r="T98" i="9" s="1"/>
  <c r="D45" i="6" s="1"/>
  <c r="S98" i="9"/>
  <c r="W98" i="9" s="1"/>
  <c r="F45" i="6" s="1"/>
  <c r="Z21" i="23" s="1"/>
  <c r="M44" i="6" l="1"/>
  <c r="Y18" i="23"/>
  <c r="M45" i="6"/>
  <c r="Z18" i="23"/>
  <c r="L42" i="6"/>
  <c r="Q42" i="6" s="1"/>
  <c r="U42" i="6" s="1"/>
  <c r="W17" i="23"/>
  <c r="AH152" i="11"/>
  <c r="AF152" i="11"/>
  <c r="AJ151" i="11"/>
  <c r="AI152" i="11"/>
  <c r="AJ150" i="11"/>
  <c r="N44" i="6"/>
  <c r="R44" i="6" s="1"/>
  <c r="Y43" i="6" s="1"/>
  <c r="BW110" i="11"/>
  <c r="BJ42" i="6" s="1"/>
  <c r="AB100" i="3"/>
  <c r="AD100" i="3" s="1"/>
  <c r="AC100" i="3"/>
  <c r="AE100" i="3" s="1"/>
  <c r="AF100" i="3" s="1"/>
  <c r="BC100" i="3" s="1"/>
  <c r="BE100" i="3" s="1"/>
  <c r="BG100" i="3" s="1"/>
  <c r="C43" i="6" s="1"/>
  <c r="W154" i="11"/>
  <c r="BV114" i="11" s="1"/>
  <c r="BI46" i="6" s="1"/>
  <c r="AA154" i="11"/>
  <c r="Z154" i="11"/>
  <c r="K100" i="9" s="1"/>
  <c r="Y154" i="11"/>
  <c r="AB154" i="11"/>
  <c r="X154" i="11"/>
  <c r="N45" i="6"/>
  <c r="R45" i="6" s="1"/>
  <c r="Y44" i="6" s="1"/>
  <c r="AC153" i="11"/>
  <c r="AF153" i="11" s="1"/>
  <c r="V155" i="11"/>
  <c r="U155" i="11"/>
  <c r="CC115" i="11" s="1"/>
  <c r="CC47" i="6" s="1"/>
  <c r="T155" i="11"/>
  <c r="AC47" i="6" s="1"/>
  <c r="AD152" i="11"/>
  <c r="X102" i="3"/>
  <c r="AA102" i="3" s="1"/>
  <c r="BW112" i="11"/>
  <c r="BJ44" i="6" s="1"/>
  <c r="AG152" i="11"/>
  <c r="BW111" i="11"/>
  <c r="BJ43" i="6" s="1"/>
  <c r="AB101" i="3"/>
  <c r="AC101" i="3"/>
  <c r="H156" i="11"/>
  <c r="R156" i="11"/>
  <c r="S156" i="11" s="1"/>
  <c r="X41" i="6"/>
  <c r="AB41" i="6" s="1"/>
  <c r="L43" i="6" l="1"/>
  <c r="Q43" i="6" s="1"/>
  <c r="U43" i="6" s="1"/>
  <c r="X17" i="23"/>
  <c r="AJ152" i="11"/>
  <c r="AG153" i="11"/>
  <c r="S99" i="9" s="1"/>
  <c r="W99" i="9" s="1"/>
  <c r="F46" i="6" s="1"/>
  <c r="AA21" i="23" s="1"/>
  <c r="AD101" i="3"/>
  <c r="AE101" i="3"/>
  <c r="AF101" i="3" s="1"/>
  <c r="BC101" i="3" s="1"/>
  <c r="BE101" i="3" s="1"/>
  <c r="BG101" i="3" s="1"/>
  <c r="C44" i="6" s="1"/>
  <c r="AB102" i="3"/>
  <c r="AC102" i="3"/>
  <c r="V156" i="11"/>
  <c r="U156" i="11"/>
  <c r="CC116" i="11" s="1"/>
  <c r="CC48" i="6" s="1"/>
  <c r="T156" i="11"/>
  <c r="AC48" i="6" s="1"/>
  <c r="AD153" i="11"/>
  <c r="AE153" i="11"/>
  <c r="X103" i="3" s="1"/>
  <c r="AH153" i="11"/>
  <c r="W155" i="11"/>
  <c r="BV115" i="11" s="1"/>
  <c r="BI47" i="6" s="1"/>
  <c r="Z155" i="11"/>
  <c r="K101" i="9" s="1"/>
  <c r="Y155" i="11"/>
  <c r="AB155" i="11"/>
  <c r="X155" i="11"/>
  <c r="AA155" i="11"/>
  <c r="AC154" i="11"/>
  <c r="AH154" i="11" s="1"/>
  <c r="AI153" i="11"/>
  <c r="Q99" i="9"/>
  <c r="U99" i="9" s="1"/>
  <c r="E46" i="6" s="1"/>
  <c r="P99" i="9"/>
  <c r="T99" i="9" s="1"/>
  <c r="D46" i="6" s="1"/>
  <c r="X42" i="6"/>
  <c r="AB42" i="6" s="1"/>
  <c r="H157" i="11"/>
  <c r="R157" i="11"/>
  <c r="S157" i="11" s="1"/>
  <c r="M46" i="6" l="1"/>
  <c r="AA18" i="23"/>
  <c r="L44" i="6"/>
  <c r="Q44" i="6" s="1"/>
  <c r="U44" i="6" s="1"/>
  <c r="Y17" i="23"/>
  <c r="AJ153" i="11"/>
  <c r="AE102" i="3"/>
  <c r="AF102" i="3" s="1"/>
  <c r="BC102" i="3" s="1"/>
  <c r="BE102" i="3" s="1"/>
  <c r="BG102" i="3" s="1"/>
  <c r="C45" i="6" s="1"/>
  <c r="X43" i="6"/>
  <c r="AB43" i="6" s="1"/>
  <c r="N46" i="6"/>
  <c r="R46" i="6" s="1"/>
  <c r="Y45" i="6" s="1"/>
  <c r="AD102" i="3"/>
  <c r="AC155" i="11"/>
  <c r="AI155" i="11" s="1"/>
  <c r="BW113" i="11"/>
  <c r="BJ45" i="6" s="1"/>
  <c r="W156" i="11"/>
  <c r="BV116" i="11" s="1"/>
  <c r="BI48" i="6" s="1"/>
  <c r="Y156" i="11"/>
  <c r="AB156" i="11"/>
  <c r="X156" i="11"/>
  <c r="AA156" i="11"/>
  <c r="Z156" i="11"/>
  <c r="K102" i="9" s="1"/>
  <c r="T157" i="11"/>
  <c r="AC49" i="6" s="1"/>
  <c r="V157" i="11"/>
  <c r="U157" i="11"/>
  <c r="CC117" i="11" s="1"/>
  <c r="CC49" i="6" s="1"/>
  <c r="AG154" i="11"/>
  <c r="S100" i="9" s="1"/>
  <c r="W100" i="9" s="1"/>
  <c r="F47" i="6" s="1"/>
  <c r="AB21" i="23" s="1"/>
  <c r="AI154" i="11"/>
  <c r="AD154" i="11"/>
  <c r="AF154" i="11"/>
  <c r="AE154" i="11"/>
  <c r="X104" i="3" s="1"/>
  <c r="AA104" i="3" s="1"/>
  <c r="AA103" i="3"/>
  <c r="Q100" i="9"/>
  <c r="U100" i="9" s="1"/>
  <c r="E47" i="6" s="1"/>
  <c r="P100" i="9"/>
  <c r="T100" i="9" s="1"/>
  <c r="D47" i="6" s="1"/>
  <c r="S101" i="9"/>
  <c r="W101" i="9" s="1"/>
  <c r="F48" i="6" s="1"/>
  <c r="AC21" i="23" s="1"/>
  <c r="P101" i="9"/>
  <c r="T101" i="9" s="1"/>
  <c r="D48" i="6" s="1"/>
  <c r="Q101" i="9"/>
  <c r="U101" i="9" s="1"/>
  <c r="E48" i="6" s="1"/>
  <c r="M48" i="6" l="1"/>
  <c r="AC18" i="23"/>
  <c r="M47" i="6"/>
  <c r="AB18" i="23"/>
  <c r="AD155" i="11"/>
  <c r="L45" i="6"/>
  <c r="Q45" i="6" s="1"/>
  <c r="U45" i="6" s="1"/>
  <c r="Z17" i="23"/>
  <c r="AF155" i="11"/>
  <c r="N48" i="6"/>
  <c r="R48" i="6" s="1"/>
  <c r="Y47" i="6" s="1"/>
  <c r="AH155" i="11"/>
  <c r="AG155" i="11"/>
  <c r="AE155" i="11"/>
  <c r="BW115" i="11" s="1"/>
  <c r="BJ47" i="6" s="1"/>
  <c r="AJ154" i="11"/>
  <c r="N47" i="6"/>
  <c r="AB104" i="3"/>
  <c r="AC104" i="3"/>
  <c r="AC156" i="11"/>
  <c r="AF156" i="11" s="1"/>
  <c r="BW114" i="11"/>
  <c r="BJ46" i="6" s="1"/>
  <c r="AB103" i="3"/>
  <c r="AD103" i="3" s="1"/>
  <c r="AC103" i="3"/>
  <c r="AE103" i="3" s="1"/>
  <c r="AF103" i="3" s="1"/>
  <c r="BC103" i="3" s="1"/>
  <c r="BE103" i="3" s="1"/>
  <c r="BG103" i="3" s="1"/>
  <c r="C46" i="6" s="1"/>
  <c r="W157" i="11"/>
  <c r="BV117" i="11" s="1"/>
  <c r="BI49" i="6" s="1"/>
  <c r="AB157" i="11"/>
  <c r="X157" i="11"/>
  <c r="AA157" i="11"/>
  <c r="Z157" i="11"/>
  <c r="K103" i="9" s="1"/>
  <c r="Y157" i="11"/>
  <c r="R47" i="6" l="1"/>
  <c r="Y46" i="6" s="1"/>
  <c r="X44" i="6"/>
  <c r="AB44" i="6" s="1"/>
  <c r="L46" i="6"/>
  <c r="Q46" i="6" s="1"/>
  <c r="AA17" i="23"/>
  <c r="X105" i="3"/>
  <c r="AA105" i="3" s="1"/>
  <c r="AC105" i="3" s="1"/>
  <c r="AE104" i="3"/>
  <c r="AF104" i="3" s="1"/>
  <c r="BC104" i="3" s="1"/>
  <c r="BE104" i="3" s="1"/>
  <c r="BG104" i="3" s="1"/>
  <c r="C47" i="6" s="1"/>
  <c r="AD104" i="3"/>
  <c r="AJ155" i="11"/>
  <c r="X45" i="6"/>
  <c r="AB45" i="6" s="1"/>
  <c r="U46" i="6"/>
  <c r="AG156" i="11"/>
  <c r="AC157" i="11"/>
  <c r="AH157" i="11" s="1"/>
  <c r="AD156" i="11"/>
  <c r="AH156" i="11"/>
  <c r="AI156" i="11"/>
  <c r="AE156" i="11"/>
  <c r="X106" i="3" s="1"/>
  <c r="AA106" i="3" s="1"/>
  <c r="P102" i="9"/>
  <c r="T102" i="9" s="1"/>
  <c r="D49" i="6" s="1"/>
  <c r="Q102" i="9"/>
  <c r="U102" i="9" s="1"/>
  <c r="E49" i="6" s="1"/>
  <c r="S102" i="9"/>
  <c r="W102" i="9" s="1"/>
  <c r="F49" i="6" s="1"/>
  <c r="AD21" i="23" s="1"/>
  <c r="M49" i="6" l="1"/>
  <c r="AD18" i="23"/>
  <c r="AB105" i="3"/>
  <c r="AD105" i="3"/>
  <c r="L47" i="6"/>
  <c r="Q47" i="6" s="1"/>
  <c r="X46" i="6" s="1"/>
  <c r="AB46" i="6" s="1"/>
  <c r="AB17" i="23"/>
  <c r="U47" i="6"/>
  <c r="AG157" i="11"/>
  <c r="AE105" i="3"/>
  <c r="AF105" i="3" s="1"/>
  <c r="BC105" i="3" s="1"/>
  <c r="BE105" i="3" s="1"/>
  <c r="BG105" i="3" s="1"/>
  <c r="C48" i="6" s="1"/>
  <c r="BW116" i="11"/>
  <c r="BJ48" i="6" s="1"/>
  <c r="AJ156" i="11"/>
  <c r="N49" i="6"/>
  <c r="R49" i="6" s="1"/>
  <c r="Y48" i="6" s="1"/>
  <c r="AD157" i="11"/>
  <c r="AI157" i="11"/>
  <c r="AE157" i="11"/>
  <c r="X107" i="3" s="1"/>
  <c r="AA107" i="3" s="1"/>
  <c r="AF157" i="11"/>
  <c r="P103" i="9"/>
  <c r="T103" i="9" s="1"/>
  <c r="D50" i="6" s="1"/>
  <c r="Q103" i="9"/>
  <c r="U103" i="9" s="1"/>
  <c r="E50" i="6" s="1"/>
  <c r="S103" i="9"/>
  <c r="W103" i="9" s="1"/>
  <c r="F50" i="6" s="1"/>
  <c r="AE21" i="23" s="1"/>
  <c r="AB106" i="3"/>
  <c r="AD106" i="3" s="1"/>
  <c r="AC106" i="3"/>
  <c r="AE106" i="3" s="1"/>
  <c r="AF106" i="3" s="1"/>
  <c r="BC106" i="3" s="1"/>
  <c r="BE106" i="3" s="1"/>
  <c r="BG106" i="3" s="1"/>
  <c r="C49" i="6" s="1"/>
  <c r="M50" i="6" l="1"/>
  <c r="AE18" i="23"/>
  <c r="L49" i="6"/>
  <c r="Q49" i="6" s="1"/>
  <c r="AD17" i="23"/>
  <c r="L48" i="6"/>
  <c r="Q48" i="6" s="1"/>
  <c r="AC17" i="23"/>
  <c r="N50" i="6"/>
  <c r="AJ157" i="11"/>
  <c r="BW117" i="11"/>
  <c r="BJ49" i="6" s="1"/>
  <c r="R50" i="6"/>
  <c r="Y49" i="6" s="1"/>
  <c r="U49" i="6"/>
  <c r="X48" i="6"/>
  <c r="AB48" i="6" s="1"/>
  <c r="AC107" i="3"/>
  <c r="AE107" i="3" s="1"/>
  <c r="AF107" i="3" s="1"/>
  <c r="BC107" i="3" s="1"/>
  <c r="BE107" i="3" s="1"/>
  <c r="BG107" i="3" s="1"/>
  <c r="C50" i="6" s="1"/>
  <c r="AB107" i="3"/>
  <c r="AD107" i="3" s="1"/>
  <c r="L50" i="6" l="1"/>
  <c r="Q50" i="6" s="1"/>
  <c r="X49" i="6" s="1"/>
  <c r="AB49" i="6" s="1"/>
  <c r="AE17" i="23"/>
  <c r="U48" i="6"/>
  <c r="X47" i="6"/>
  <c r="AB47" i="6" s="1"/>
  <c r="AE108" i="3"/>
  <c r="AF108" i="3" s="1"/>
  <c r="BC108" i="3" s="1"/>
  <c r="BE108" i="3" s="1"/>
  <c r="BG108" i="3" s="1"/>
  <c r="C51" i="6" s="1"/>
  <c r="AD108" i="3"/>
  <c r="U50" i="6"/>
  <c r="L51" i="6" l="1"/>
  <c r="Q51" i="6" s="1"/>
  <c r="AF17" i="23"/>
  <c r="AD109" i="3"/>
  <c r="AE109" i="3"/>
  <c r="AF109" i="3" s="1"/>
  <c r="BC109" i="3" s="1"/>
  <c r="BE109" i="3" s="1"/>
  <c r="BG109" i="3" s="1"/>
  <c r="C52" i="6" s="1"/>
  <c r="U51" i="6"/>
  <c r="X50" i="6"/>
  <c r="AB50" i="6" s="1"/>
  <c r="L52" i="6" l="1"/>
  <c r="Q52" i="6" s="1"/>
  <c r="AG17" i="23"/>
  <c r="X51" i="6"/>
  <c r="AB51" i="6" s="1"/>
  <c r="U52" i="6"/>
  <c r="AE110" i="3"/>
  <c r="AF110" i="3" s="1"/>
  <c r="BC110" i="3" s="1"/>
  <c r="BE110" i="3" s="1"/>
  <c r="BG110" i="3" s="1"/>
  <c r="C53" i="6" s="1"/>
  <c r="AD110" i="3"/>
  <c r="L53" i="6" l="1"/>
  <c r="Q53" i="6" s="1"/>
  <c r="X52" i="6" s="1"/>
  <c r="AB52" i="6" s="1"/>
  <c r="AH17" i="23"/>
  <c r="AE111" i="3"/>
  <c r="AF111" i="3" s="1"/>
  <c r="BC111" i="3" s="1"/>
  <c r="BE111" i="3" s="1"/>
  <c r="BG111" i="3" s="1"/>
  <c r="C54" i="6" s="1"/>
  <c r="AD111" i="3"/>
  <c r="U53" i="6"/>
  <c r="L54" i="6" l="1"/>
  <c r="Q54" i="6" s="1"/>
  <c r="AI17" i="23"/>
  <c r="AD112" i="3"/>
  <c r="AE112" i="3"/>
  <c r="AF112" i="3" s="1"/>
  <c r="BC112" i="3" s="1"/>
  <c r="BE112" i="3" s="1"/>
  <c r="BG112" i="3" s="1"/>
  <c r="C55" i="6" s="1"/>
  <c r="X53" i="6"/>
  <c r="AB53" i="6" s="1"/>
  <c r="U54" i="6"/>
  <c r="L55" i="6" l="1"/>
  <c r="Q55" i="6" s="1"/>
  <c r="AJ17" i="23"/>
  <c r="X54" i="6"/>
  <c r="AB54" i="6" s="1"/>
  <c r="U55" i="6"/>
  <c r="AD113" i="3"/>
  <c r="AE113" i="3"/>
  <c r="AF113" i="3" s="1"/>
  <c r="BC113" i="3" s="1"/>
  <c r="BE113" i="3" s="1"/>
  <c r="BG113" i="3" s="1"/>
  <c r="C56" i="6" s="1"/>
  <c r="L56" i="6" l="1"/>
  <c r="Q56" i="6" s="1"/>
  <c r="AK17" i="23"/>
  <c r="X55" i="6"/>
  <c r="AB55" i="6" s="1"/>
  <c r="U56" i="6"/>
  <c r="AE114" i="3"/>
  <c r="AF114" i="3" s="1"/>
  <c r="BC114" i="3" s="1"/>
  <c r="BE114" i="3" s="1"/>
  <c r="BG114" i="3" s="1"/>
  <c r="C57" i="6" s="1"/>
  <c r="AD114" i="3"/>
  <c r="L57" i="6" l="1"/>
  <c r="Q57" i="6" s="1"/>
  <c r="AL17" i="23"/>
  <c r="X56" i="6"/>
  <c r="AB56" i="6" s="1"/>
  <c r="U57" i="6"/>
  <c r="AE115" i="3"/>
  <c r="AF115" i="3" s="1"/>
  <c r="BC115" i="3" s="1"/>
  <c r="BE115" i="3" s="1"/>
  <c r="BG115" i="3" s="1"/>
  <c r="C58" i="6" s="1"/>
  <c r="AD115" i="3"/>
  <c r="L58" i="6" l="1"/>
  <c r="Q58" i="6" s="1"/>
  <c r="X57" i="6" s="1"/>
  <c r="AB57" i="6" s="1"/>
  <c r="AM17" i="23"/>
  <c r="AD116" i="3"/>
  <c r="AE116" i="3"/>
  <c r="AF116" i="3" s="1"/>
  <c r="BC116" i="3" s="1"/>
  <c r="BE116" i="3" s="1"/>
  <c r="BG116" i="3" s="1"/>
  <c r="C59" i="6" s="1"/>
  <c r="L59" i="6" l="1"/>
  <c r="Q59" i="6" s="1"/>
  <c r="AN17" i="23"/>
  <c r="U58" i="6"/>
  <c r="AE117" i="3"/>
  <c r="AF117" i="3" s="1"/>
  <c r="BC117" i="3" s="1"/>
  <c r="BE117" i="3" s="1"/>
  <c r="BG117" i="3" s="1"/>
  <c r="C60" i="6" s="1"/>
  <c r="AD117" i="3"/>
  <c r="X58" i="6"/>
  <c r="AB58" i="6" s="1"/>
  <c r="U59" i="6"/>
  <c r="L60" i="6" l="1"/>
  <c r="Q60" i="6" s="1"/>
  <c r="X59" i="6" s="1"/>
  <c r="AB59" i="6" s="1"/>
  <c r="AO17" i="23"/>
  <c r="AE118" i="3"/>
  <c r="AF118" i="3" s="1"/>
  <c r="BC118" i="3" s="1"/>
  <c r="BE118" i="3" s="1"/>
  <c r="BG118" i="3" s="1"/>
  <c r="C61" i="6" s="1"/>
  <c r="AD118" i="3"/>
  <c r="U60" i="6"/>
  <c r="L61" i="6" l="1"/>
  <c r="Q61" i="6" s="1"/>
  <c r="U61" i="6" s="1"/>
  <c r="AP17" i="23"/>
  <c r="X60" i="6"/>
  <c r="AB60" i="6" s="1"/>
  <c r="C257" i="9" l="1"/>
  <c r="C258" i="9" s="1"/>
  <c r="D257" i="9"/>
  <c r="J257" i="9" s="1"/>
  <c r="W257" i="9" s="1"/>
  <c r="F204" i="6" s="1"/>
  <c r="G256" i="9"/>
  <c r="T256" i="9" s="1"/>
  <c r="D203" i="6" s="1"/>
  <c r="M203" i="6" s="1"/>
  <c r="D256" i="9"/>
  <c r="J256" i="9" s="1"/>
  <c r="W256" i="9" s="1"/>
  <c r="F203" i="6" s="1"/>
  <c r="C252" i="9"/>
  <c r="D252" i="9" s="1"/>
  <c r="H257" i="9" l="1"/>
  <c r="U257" i="9" s="1"/>
  <c r="E204" i="6" s="1"/>
  <c r="N204" i="6" s="1"/>
  <c r="H256" i="9"/>
  <c r="U256" i="9" s="1"/>
  <c r="E203" i="6" s="1"/>
  <c r="N203" i="6" s="1"/>
  <c r="R203" i="6" s="1"/>
  <c r="G257" i="9"/>
  <c r="T257" i="9" s="1"/>
  <c r="D204" i="6" s="1"/>
  <c r="M204" i="6" s="1"/>
  <c r="J252" i="9"/>
  <c r="W252" i="9" s="1"/>
  <c r="F199" i="6" s="1"/>
  <c r="H252" i="9"/>
  <c r="U252" i="9" s="1"/>
  <c r="E199" i="6" s="1"/>
  <c r="C253" i="9"/>
  <c r="G253" i="9" s="1"/>
  <c r="T253" i="9" s="1"/>
  <c r="D200" i="6" s="1"/>
  <c r="M200" i="6" s="1"/>
  <c r="G252" i="9"/>
  <c r="T252" i="9" s="1"/>
  <c r="D199" i="6" s="1"/>
  <c r="M199" i="6" s="1"/>
  <c r="G258" i="9"/>
  <c r="T258" i="9" s="1"/>
  <c r="D205" i="6" s="1"/>
  <c r="M205" i="6" s="1"/>
  <c r="C259" i="9"/>
  <c r="D258" i="9"/>
  <c r="R204" i="6" l="1"/>
  <c r="BC33" i="6"/>
  <c r="BF33" i="6" s="1"/>
  <c r="U204" i="6"/>
  <c r="N199" i="6"/>
  <c r="R199" i="6" s="1"/>
  <c r="BC32" i="6"/>
  <c r="BF32" i="6" s="1"/>
  <c r="U203" i="6"/>
  <c r="C254" i="9"/>
  <c r="D253" i="9"/>
  <c r="J253" i="9" s="1"/>
  <c r="W253" i="9" s="1"/>
  <c r="F200" i="6" s="1"/>
  <c r="H258" i="9"/>
  <c r="U258" i="9" s="1"/>
  <c r="E205" i="6" s="1"/>
  <c r="J258" i="9"/>
  <c r="W258" i="9" s="1"/>
  <c r="F205" i="6" s="1"/>
  <c r="D259" i="9"/>
  <c r="G259" i="9"/>
  <c r="T259" i="9" s="1"/>
  <c r="D206" i="6" s="1"/>
  <c r="M206" i="6" s="1"/>
  <c r="C260" i="9"/>
  <c r="H253" i="9" l="1"/>
  <c r="U253" i="9" s="1"/>
  <c r="E200" i="6" s="1"/>
  <c r="N200" i="6" s="1"/>
  <c r="R200" i="6" s="1"/>
  <c r="BC28" i="6"/>
  <c r="BF28" i="6" s="1"/>
  <c r="U199" i="6"/>
  <c r="N205" i="6"/>
  <c r="R205" i="6" s="1"/>
  <c r="C255" i="9"/>
  <c r="D254" i="9"/>
  <c r="G254" i="9"/>
  <c r="T254" i="9" s="1"/>
  <c r="D201" i="6" s="1"/>
  <c r="M201" i="6" s="1"/>
  <c r="C261" i="9"/>
  <c r="D260" i="9"/>
  <c r="G260" i="9"/>
  <c r="T260" i="9" s="1"/>
  <c r="D207" i="6" s="1"/>
  <c r="M207" i="6" s="1"/>
  <c r="H259" i="9"/>
  <c r="U259" i="9" s="1"/>
  <c r="E206" i="6" s="1"/>
  <c r="J259" i="9"/>
  <c r="W259" i="9" s="1"/>
  <c r="F206" i="6" s="1"/>
  <c r="BC34" i="6" l="1"/>
  <c r="BF34" i="6" s="1"/>
  <c r="U205" i="6"/>
  <c r="N206" i="6"/>
  <c r="R206" i="6" s="1"/>
  <c r="H254" i="9"/>
  <c r="U254" i="9" s="1"/>
  <c r="E201" i="6" s="1"/>
  <c r="J254" i="9"/>
  <c r="W254" i="9" s="1"/>
  <c r="F201" i="6" s="1"/>
  <c r="G255" i="9"/>
  <c r="T255" i="9" s="1"/>
  <c r="D202" i="6" s="1"/>
  <c r="M202" i="6" s="1"/>
  <c r="D255" i="9"/>
  <c r="BC29" i="6"/>
  <c r="BF29" i="6" s="1"/>
  <c r="U200" i="6"/>
  <c r="J260" i="9"/>
  <c r="W260" i="9" s="1"/>
  <c r="F207" i="6" s="1"/>
  <c r="H260" i="9"/>
  <c r="U260" i="9" s="1"/>
  <c r="E207" i="6" s="1"/>
  <c r="C262" i="9"/>
  <c r="G261" i="9"/>
  <c r="T261" i="9" s="1"/>
  <c r="D208" i="6" s="1"/>
  <c r="M208" i="6" s="1"/>
  <c r="D261" i="9"/>
  <c r="N207" i="6" l="1"/>
  <c r="R207" i="6" s="1"/>
  <c r="H255" i="9"/>
  <c r="U255" i="9" s="1"/>
  <c r="E202" i="6" s="1"/>
  <c r="J255" i="9"/>
  <c r="W255" i="9" s="1"/>
  <c r="F202" i="6" s="1"/>
  <c r="BC35" i="6"/>
  <c r="BF35" i="6" s="1"/>
  <c r="U206" i="6"/>
  <c r="N201" i="6"/>
  <c r="R201" i="6" s="1"/>
  <c r="D262" i="9"/>
  <c r="C263" i="9"/>
  <c r="G262" i="9"/>
  <c r="T262" i="9" s="1"/>
  <c r="D209" i="6" s="1"/>
  <c r="M209" i="6" s="1"/>
  <c r="H261" i="9"/>
  <c r="U261" i="9" s="1"/>
  <c r="E208" i="6" s="1"/>
  <c r="J261" i="9"/>
  <c r="W261" i="9" s="1"/>
  <c r="F208" i="6" s="1"/>
  <c r="N208" i="6" l="1"/>
  <c r="R208" i="6" s="1"/>
  <c r="BC37" i="6" s="1"/>
  <c r="BF37" i="6" s="1"/>
  <c r="N202" i="6"/>
  <c r="R202" i="6" s="1"/>
  <c r="BC36" i="6"/>
  <c r="BF36" i="6" s="1"/>
  <c r="U207" i="6"/>
  <c r="BC30" i="6"/>
  <c r="BF30" i="6" s="1"/>
  <c r="U201" i="6"/>
  <c r="J262" i="9"/>
  <c r="W262" i="9" s="1"/>
  <c r="F209" i="6" s="1"/>
  <c r="H262" i="9"/>
  <c r="U262" i="9" s="1"/>
  <c r="E209" i="6" s="1"/>
  <c r="D263" i="9"/>
  <c r="G263" i="9"/>
  <c r="T263" i="9" s="1"/>
  <c r="D210" i="6" s="1"/>
  <c r="M210" i="6" s="1"/>
  <c r="C264" i="9"/>
  <c r="U208" i="6" l="1"/>
  <c r="N209" i="6"/>
  <c r="R209" i="6" s="1"/>
  <c r="BC38" i="6" s="1"/>
  <c r="BF38" i="6" s="1"/>
  <c r="BC31" i="6"/>
  <c r="BF31" i="6" s="1"/>
  <c r="U202" i="6"/>
  <c r="H263" i="9"/>
  <c r="U263" i="9" s="1"/>
  <c r="E210" i="6" s="1"/>
  <c r="J263" i="9"/>
  <c r="W263" i="9" s="1"/>
  <c r="F210" i="6" s="1"/>
  <c r="C265" i="9"/>
  <c r="D264" i="9"/>
  <c r="G264" i="9"/>
  <c r="T264" i="9" s="1"/>
  <c r="D211" i="6" s="1"/>
  <c r="M211" i="6" s="1"/>
  <c r="U209" i="6" l="1"/>
  <c r="N210" i="6"/>
  <c r="R210" i="6" s="1"/>
  <c r="H264" i="9"/>
  <c r="U264" i="9" s="1"/>
  <c r="E211" i="6" s="1"/>
  <c r="J264" i="9"/>
  <c r="W264" i="9" s="1"/>
  <c r="F211" i="6" s="1"/>
  <c r="C266" i="9"/>
  <c r="D265" i="9"/>
  <c r="G265" i="9"/>
  <c r="T265" i="9" s="1"/>
  <c r="D212" i="6" s="1"/>
  <c r="M212" i="6" s="1"/>
  <c r="N211" i="6" l="1"/>
  <c r="R211" i="6" s="1"/>
  <c r="BC39" i="6"/>
  <c r="BF39" i="6" s="1"/>
  <c r="U210" i="6"/>
  <c r="H265" i="9"/>
  <c r="U265" i="9" s="1"/>
  <c r="E212" i="6" s="1"/>
  <c r="J265" i="9"/>
  <c r="W265" i="9" s="1"/>
  <c r="F212" i="6" s="1"/>
  <c r="D266" i="9"/>
  <c r="G266" i="9"/>
  <c r="T266" i="9" s="1"/>
  <c r="D213" i="6" s="1"/>
  <c r="M213" i="6" s="1"/>
  <c r="C267" i="9"/>
  <c r="N212" i="6" l="1"/>
  <c r="R212" i="6" s="1"/>
  <c r="BC41" i="6"/>
  <c r="BF41" i="6" s="1"/>
  <c r="U212" i="6"/>
  <c r="BC40" i="6"/>
  <c r="BF40" i="6" s="1"/>
  <c r="U211" i="6"/>
  <c r="J266" i="9"/>
  <c r="W266" i="9" s="1"/>
  <c r="F213" i="6" s="1"/>
  <c r="H266" i="9"/>
  <c r="U266" i="9" s="1"/>
  <c r="E213" i="6" s="1"/>
  <c r="D267" i="9"/>
  <c r="C268" i="9"/>
  <c r="G267" i="9"/>
  <c r="T267" i="9" s="1"/>
  <c r="D214" i="6" s="1"/>
  <c r="M214" i="6" s="1"/>
  <c r="N213" i="6" l="1"/>
  <c r="R213" i="6" s="1"/>
  <c r="BC42" i="6"/>
  <c r="BF42" i="6" s="1"/>
  <c r="U213" i="6"/>
  <c r="H267" i="9"/>
  <c r="U267" i="9" s="1"/>
  <c r="E214" i="6" s="1"/>
  <c r="J267" i="9"/>
  <c r="W267" i="9" s="1"/>
  <c r="F214" i="6" s="1"/>
  <c r="D268" i="9"/>
  <c r="G268" i="9"/>
  <c r="T268" i="9" s="1"/>
  <c r="D215" i="6" s="1"/>
  <c r="M215" i="6" s="1"/>
  <c r="C269" i="9"/>
  <c r="N214" i="6" l="1"/>
  <c r="R214" i="6" s="1"/>
  <c r="BC43" i="6" s="1"/>
  <c r="BF43" i="6" s="1"/>
  <c r="J268" i="9"/>
  <c r="W268" i="9" s="1"/>
  <c r="F215" i="6" s="1"/>
  <c r="H268" i="9"/>
  <c r="U268" i="9" s="1"/>
  <c r="E215" i="6" s="1"/>
  <c r="D269" i="9"/>
  <c r="C270" i="9"/>
  <c r="G269" i="9"/>
  <c r="T269" i="9" s="1"/>
  <c r="D216" i="6" s="1"/>
  <c r="M216" i="6" s="1"/>
  <c r="U214" i="6" l="1"/>
  <c r="N215" i="6"/>
  <c r="R215" i="6" s="1"/>
  <c r="J269" i="9"/>
  <c r="W269" i="9" s="1"/>
  <c r="F216" i="6" s="1"/>
  <c r="H269" i="9"/>
  <c r="U269" i="9" s="1"/>
  <c r="E216" i="6" s="1"/>
  <c r="C271" i="9"/>
  <c r="D270" i="9"/>
  <c r="G270" i="9"/>
  <c r="T270" i="9" s="1"/>
  <c r="D217" i="6" s="1"/>
  <c r="M217" i="6" s="1"/>
  <c r="N216" i="6" l="1"/>
  <c r="R216" i="6" s="1"/>
  <c r="BC45" i="6"/>
  <c r="BF45" i="6" s="1"/>
  <c r="U216" i="6"/>
  <c r="BC44" i="6"/>
  <c r="BF44" i="6" s="1"/>
  <c r="U215" i="6"/>
  <c r="J270" i="9"/>
  <c r="W270" i="9" s="1"/>
  <c r="F217" i="6" s="1"/>
  <c r="H270" i="9"/>
  <c r="U270" i="9" s="1"/>
  <c r="E217" i="6" s="1"/>
  <c r="D271" i="9"/>
  <c r="G271" i="9"/>
  <c r="T271" i="9" s="1"/>
  <c r="D218" i="6" s="1"/>
  <c r="M218" i="6" s="1"/>
  <c r="C272" i="9"/>
  <c r="N217" i="6" l="1"/>
  <c r="R217" i="6" s="1"/>
  <c r="BC46" i="6"/>
  <c r="BF46" i="6" s="1"/>
  <c r="U217" i="6"/>
  <c r="J271" i="9"/>
  <c r="W271" i="9" s="1"/>
  <c r="F218" i="6" s="1"/>
  <c r="H271" i="9"/>
  <c r="U271" i="9" s="1"/>
  <c r="E218" i="6" s="1"/>
  <c r="D272" i="9"/>
  <c r="G272" i="9"/>
  <c r="T272" i="9" s="1"/>
  <c r="D219" i="6" s="1"/>
  <c r="M219" i="6" s="1"/>
  <c r="C273" i="9"/>
  <c r="N218" i="6" l="1"/>
  <c r="R218" i="6" s="1"/>
  <c r="J272" i="9"/>
  <c r="W272" i="9" s="1"/>
  <c r="F219" i="6" s="1"/>
  <c r="H272" i="9"/>
  <c r="U272" i="9" s="1"/>
  <c r="E219" i="6" s="1"/>
  <c r="D273" i="9"/>
  <c r="G273" i="9"/>
  <c r="T273" i="9" s="1"/>
  <c r="D220" i="6" s="1"/>
  <c r="M220" i="6" s="1"/>
  <c r="C274" i="9"/>
  <c r="N219" i="6" l="1"/>
  <c r="R219" i="6" s="1"/>
  <c r="BC48" i="6" s="1"/>
  <c r="BF48" i="6" s="1"/>
  <c r="BC47" i="6"/>
  <c r="BF47" i="6" s="1"/>
  <c r="U218" i="6"/>
  <c r="J273" i="9"/>
  <c r="W273" i="9" s="1"/>
  <c r="F220" i="6" s="1"/>
  <c r="H273" i="9"/>
  <c r="U273" i="9" s="1"/>
  <c r="E220" i="6" s="1"/>
  <c r="D274" i="9"/>
  <c r="G274" i="9"/>
  <c r="T274" i="9" s="1"/>
  <c r="D221" i="6" s="1"/>
  <c r="M221" i="6" s="1"/>
  <c r="C275" i="9"/>
  <c r="N220" i="6" l="1"/>
  <c r="R220" i="6" s="1"/>
  <c r="BC49" i="6" s="1"/>
  <c r="BF49" i="6" s="1"/>
  <c r="U219" i="6"/>
  <c r="H274" i="9"/>
  <c r="U274" i="9" s="1"/>
  <c r="E221" i="6" s="1"/>
  <c r="J274" i="9"/>
  <c r="W274" i="9" s="1"/>
  <c r="F221" i="6" s="1"/>
  <c r="D275" i="9"/>
  <c r="G275" i="9"/>
  <c r="T275" i="9" s="1"/>
  <c r="D222" i="6" s="1"/>
  <c r="M222" i="6" s="1"/>
  <c r="C276" i="9"/>
  <c r="U220" i="6" l="1"/>
  <c r="N221" i="6"/>
  <c r="R221" i="6" s="1"/>
  <c r="BC50" i="6" s="1"/>
  <c r="BF50" i="6" s="1"/>
  <c r="H275" i="9"/>
  <c r="U275" i="9" s="1"/>
  <c r="E222" i="6" s="1"/>
  <c r="J275" i="9"/>
  <c r="W275" i="9" s="1"/>
  <c r="F222" i="6" s="1"/>
  <c r="D276" i="9"/>
  <c r="G276" i="9"/>
  <c r="T276" i="9" s="1"/>
  <c r="D223" i="6" s="1"/>
  <c r="M223" i="6" s="1"/>
  <c r="C277" i="9"/>
  <c r="U221" i="6" l="1"/>
  <c r="N222" i="6"/>
  <c r="R222" i="6" s="1"/>
  <c r="BC51" i="6" s="1"/>
  <c r="BF51" i="6" s="1"/>
  <c r="H276" i="9"/>
  <c r="U276" i="9" s="1"/>
  <c r="E223" i="6" s="1"/>
  <c r="J276" i="9"/>
  <c r="W276" i="9" s="1"/>
  <c r="F223" i="6" s="1"/>
  <c r="D277" i="9"/>
  <c r="G277" i="9"/>
  <c r="T277" i="9" s="1"/>
  <c r="D224" i="6" s="1"/>
  <c r="M224" i="6" s="1"/>
  <c r="C278" i="9"/>
  <c r="U222" i="6" l="1"/>
  <c r="N223" i="6"/>
  <c r="R223" i="6" s="1"/>
  <c r="D278" i="9"/>
  <c r="C279" i="9"/>
  <c r="G278" i="9"/>
  <c r="T278" i="9" s="1"/>
  <c r="D225" i="6" s="1"/>
  <c r="M225" i="6" s="1"/>
  <c r="J277" i="9"/>
  <c r="W277" i="9" s="1"/>
  <c r="F224" i="6" s="1"/>
  <c r="H277" i="9"/>
  <c r="U277" i="9" s="1"/>
  <c r="E224" i="6" s="1"/>
  <c r="N224" i="6" l="1"/>
  <c r="R224" i="6" s="1"/>
  <c r="BC53" i="6" s="1"/>
  <c r="BF53" i="6" s="1"/>
  <c r="BC52" i="6"/>
  <c r="BF52" i="6" s="1"/>
  <c r="U223" i="6"/>
  <c r="D279" i="9"/>
  <c r="G279" i="9"/>
  <c r="T279" i="9" s="1"/>
  <c r="D226" i="6" s="1"/>
  <c r="M226" i="6" s="1"/>
  <c r="C280" i="9"/>
  <c r="J278" i="9"/>
  <c r="W278" i="9" s="1"/>
  <c r="F225" i="6" s="1"/>
  <c r="H278" i="9"/>
  <c r="U278" i="9" s="1"/>
  <c r="E225" i="6" s="1"/>
  <c r="U224" i="6" l="1"/>
  <c r="N225" i="6"/>
  <c r="R225" i="6" s="1"/>
  <c r="BC54" i="6" s="1"/>
  <c r="BF54" i="6" s="1"/>
  <c r="D280" i="9"/>
  <c r="G280" i="9"/>
  <c r="T280" i="9" s="1"/>
  <c r="D227" i="6" s="1"/>
  <c r="M227" i="6" s="1"/>
  <c r="C281" i="9"/>
  <c r="H279" i="9"/>
  <c r="U279" i="9" s="1"/>
  <c r="E226" i="6" s="1"/>
  <c r="J279" i="9"/>
  <c r="W279" i="9" s="1"/>
  <c r="F226" i="6" s="1"/>
  <c r="U225" i="6" l="1"/>
  <c r="N226" i="6"/>
  <c r="R226" i="6" s="1"/>
  <c r="H280" i="9"/>
  <c r="U280" i="9" s="1"/>
  <c r="E227" i="6" s="1"/>
  <c r="J280" i="9"/>
  <c r="W280" i="9" s="1"/>
  <c r="F227" i="6" s="1"/>
  <c r="C282" i="9"/>
  <c r="D281" i="9"/>
  <c r="G281" i="9"/>
  <c r="T281" i="9" s="1"/>
  <c r="D228" i="6" s="1"/>
  <c r="M228" i="6" s="1"/>
  <c r="N227" i="6" l="1"/>
  <c r="R227" i="6" s="1"/>
  <c r="BC55" i="6"/>
  <c r="BF55" i="6" s="1"/>
  <c r="U226" i="6"/>
  <c r="J281" i="9"/>
  <c r="W281" i="9" s="1"/>
  <c r="F228" i="6" s="1"/>
  <c r="H281" i="9"/>
  <c r="U281" i="9" s="1"/>
  <c r="E228" i="6" s="1"/>
  <c r="G282" i="9"/>
  <c r="T282" i="9" s="1"/>
  <c r="D229" i="6" s="1"/>
  <c r="M229" i="6" s="1"/>
  <c r="D282" i="9"/>
  <c r="C283" i="9"/>
  <c r="N228" i="6" l="1"/>
  <c r="R228" i="6" s="1"/>
  <c r="BC56" i="6"/>
  <c r="BF56" i="6" s="1"/>
  <c r="U227" i="6"/>
  <c r="H282" i="9"/>
  <c r="U282" i="9" s="1"/>
  <c r="E229" i="6" s="1"/>
  <c r="J282" i="9"/>
  <c r="W282" i="9" s="1"/>
  <c r="F229" i="6" s="1"/>
  <c r="C284" i="9"/>
  <c r="D283" i="9"/>
  <c r="G283" i="9"/>
  <c r="T283" i="9" s="1"/>
  <c r="D230" i="6" s="1"/>
  <c r="M230" i="6" s="1"/>
  <c r="BC57" i="6" l="1"/>
  <c r="BF57" i="6" s="1"/>
  <c r="U228" i="6"/>
  <c r="N229" i="6"/>
  <c r="R229" i="6" s="1"/>
  <c r="H283" i="9"/>
  <c r="U283" i="9" s="1"/>
  <c r="E230" i="6" s="1"/>
  <c r="J283" i="9"/>
  <c r="W283" i="9" s="1"/>
  <c r="F230" i="6" s="1"/>
  <c r="D284" i="9"/>
  <c r="G284" i="9"/>
  <c r="T284" i="9" s="1"/>
  <c r="D231" i="6" s="1"/>
  <c r="M231" i="6" s="1"/>
  <c r="BC58" i="6" l="1"/>
  <c r="BF58" i="6" s="1"/>
  <c r="U229" i="6"/>
  <c r="N230" i="6"/>
  <c r="R230" i="6" s="1"/>
  <c r="H284" i="9"/>
  <c r="U284" i="9" s="1"/>
  <c r="E231" i="6" s="1"/>
  <c r="J284" i="9"/>
  <c r="W284" i="9" s="1"/>
  <c r="F231" i="6" s="1"/>
  <c r="BC59" i="6" l="1"/>
  <c r="BF59" i="6" s="1"/>
  <c r="U230" i="6"/>
  <c r="N231" i="6"/>
  <c r="R231" i="6" s="1"/>
  <c r="BC60" i="6" l="1"/>
  <c r="BF60" i="6" s="1"/>
  <c r="U23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12" authorId="0" shapeId="0" xr:uid="{AD327F68-8929-4C9D-8D15-0D4C34F21D41}">
      <text>
        <r>
          <rPr>
            <b/>
            <sz val="8"/>
            <color indexed="81"/>
            <rFont val="Tahoma"/>
            <family val="2"/>
          </rPr>
          <t>Inert waste, i.e. not containing degradable organic carbon, e.g. glass, metal etc. (DOC=0)</t>
        </r>
        <r>
          <rPr>
            <sz val="8"/>
            <color indexed="81"/>
            <rFont val="Tahoma"/>
            <family val="2"/>
          </rPr>
          <t xml:space="preserve">
</t>
        </r>
      </text>
    </comment>
    <comment ref="S47" authorId="0" shapeId="0" xr:uid="{D85E4EBA-8556-438C-8624-8B11FD307CA3}">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2D46BA5B-484B-450B-9990-76973AEDC2ED}">
      <text>
        <r>
          <rPr>
            <sz val="8"/>
            <color indexed="81"/>
            <rFont val="Tahoma"/>
            <family val="2"/>
          </rPr>
          <t xml:space="preserve">Calculates e^-k for use in columns H and I
</t>
        </r>
      </text>
    </comment>
    <comment ref="C9" authorId="0" shapeId="0" xr:uid="{C22EF99C-5797-4999-9AF9-6B1A8BD33D2F}">
      <text>
        <r>
          <rPr>
            <sz val="8"/>
            <color indexed="81"/>
            <rFont val="Tahoma"/>
            <family val="2"/>
          </rPr>
          <t>Zero delay is equivalent to average decomposition start at beginning of month 7 (half way through the first year of deposition)</t>
        </r>
      </text>
    </comment>
    <comment ref="C10" authorId="0" shapeId="0" xr:uid="{866A4D61-FDC7-44D2-99F3-30E2EE0C465A}">
      <text>
        <r>
          <rPr>
            <sz val="8"/>
            <color indexed="81"/>
            <rFont val="Tahoma"/>
            <family val="2"/>
          </rPr>
          <t xml:space="preserve">Calculates e^-k*((13-M)/12) for use in columns F and G.
</t>
        </r>
      </text>
    </comment>
    <comment ref="B14" authorId="1" shapeId="0" xr:uid="{71830717-B7F0-4DD8-8FA4-FD3DC979D4EF}">
      <text>
        <r>
          <rPr>
            <sz val="8"/>
            <color indexed="81"/>
            <rFont val="Tahoma"/>
            <family val="2"/>
          </rPr>
          <t xml:space="preserve">Enter the population for which waste collection is organised (could be urban population)
</t>
        </r>
      </text>
    </comment>
    <comment ref="D14" authorId="1" shapeId="0" xr:uid="{401CA4BB-58D1-4EC5-A2FA-5C24FF31553F}">
      <text>
        <r>
          <rPr>
            <sz val="8"/>
            <color indexed="81"/>
            <rFont val="Tahoma"/>
            <family val="2"/>
          </rPr>
          <t>Enter the percentage of waste generated which goes to solid waste disposal sites</t>
        </r>
      </text>
    </comment>
    <comment ref="K14" authorId="1" shapeId="0" xr:uid="{B4D5271C-58F6-4EDE-8782-86F29AE63FD5}">
      <text>
        <r>
          <rPr>
            <b/>
            <sz val="8"/>
            <color indexed="81"/>
            <rFont val="Tahoma"/>
            <family val="2"/>
          </rPr>
          <t>Inert waste, i.e. not containing degradable organic carbon, e.g. glass, metal etc. (DOC=0)</t>
        </r>
        <r>
          <rPr>
            <sz val="8"/>
            <color indexed="81"/>
            <rFont val="Tahoma"/>
            <family val="2"/>
          </rPr>
          <t xml:space="preserve">
</t>
        </r>
      </text>
    </comment>
    <comment ref="N14" authorId="0" shapeId="0" xr:uid="{89FCF9F0-43CA-44FE-8A5F-0055DA8E4FC7}">
      <text>
        <r>
          <rPr>
            <sz val="8"/>
            <color indexed="81"/>
            <rFont val="Tahoma"/>
            <family val="2"/>
          </rPr>
          <t>Transferred from activity sheet</t>
        </r>
      </text>
    </comment>
    <comment ref="O14" authorId="1" shapeId="0" xr:uid="{FDF41B60-2ADF-464C-96C5-097FC95ECD0A}">
      <text>
        <r>
          <rPr>
            <sz val="8"/>
            <color indexed="81"/>
            <rFont val="Tahoma"/>
            <family val="2"/>
          </rPr>
          <t>Methane correction factor from MCF sheet</t>
        </r>
        <r>
          <rPr>
            <sz val="8"/>
            <color indexed="81"/>
            <rFont val="Tahoma"/>
            <family val="2"/>
          </rPr>
          <t xml:space="preserve">
</t>
        </r>
      </text>
    </comment>
    <comment ref="Q14" authorId="0" shapeId="0" xr:uid="{C90001E6-47C4-44B8-B0FB-C7E6E910A644}">
      <text>
        <r>
          <rPr>
            <sz val="8"/>
            <color indexed="81"/>
            <rFont val="Tahoma"/>
            <family val="2"/>
          </rPr>
          <t>Calculates the mass of DOC in the deposited material which will actually degrade in the SWDS. Equation 4 on the Theory sheet.</t>
        </r>
      </text>
    </comment>
    <comment ref="R14" authorId="0" shapeId="0" xr:uid="{C1F5A376-2B08-42AB-8C5B-1A3862D11BAC}">
      <text>
        <r>
          <rPr>
            <sz val="8"/>
            <color indexed="81"/>
            <rFont val="Tahoma"/>
            <family val="2"/>
          </rPr>
          <t>Calculates the mass of DDOC from material deposited in each year which is left in the SWDS at the end of the year. Equation 5 on the Theory sheet.</t>
        </r>
      </text>
    </comment>
    <comment ref="S14" authorId="0" shapeId="0" xr:uid="{C4B8B87E-FC24-4EF5-9CBE-83911C913075}">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4" authorId="0" shapeId="0" xr:uid="{06A49E4D-3A7B-4447-B0B7-9C1882BC6A58}">
      <text>
        <r>
          <rPr>
            <sz val="8"/>
            <color indexed="81"/>
            <rFont val="Tahoma"/>
            <family val="2"/>
          </rPr>
          <t>Calculates the total amount of DDOCm left not decomposed in the SWDS at the end of the year. Equation 7 on the Theory sheet.</t>
        </r>
      </text>
    </comment>
    <comment ref="U14" authorId="0" shapeId="0" xr:uid="{9017E4C6-3752-4006-BF15-5BB05CBB7263}">
      <text>
        <r>
          <rPr>
            <sz val="8"/>
            <color indexed="81"/>
            <rFont val="Tahoma"/>
            <family val="2"/>
          </rPr>
          <t>Calculates the total mass of DDOC dedomposed to methane and carbon dioxide each year. Equation 8 on the Theory sheet.</t>
        </r>
      </text>
    </comment>
    <comment ref="V14" authorId="0" shapeId="0" xr:uid="{27B31D7D-593C-44CC-9885-ECFD46A54150}">
      <text>
        <r>
          <rPr>
            <sz val="8"/>
            <color indexed="81"/>
            <rFont val="Tahoma"/>
            <family val="2"/>
          </rPr>
          <t>Calculates the mass of methane formed from DDOCm decomposed. Equation 9 on the Theory sheet.</t>
        </r>
      </text>
    </comment>
    <comment ref="X14" authorId="0" shapeId="0" xr:uid="{41197FAB-FAC3-4CB3-B551-C55545194216}">
      <text>
        <r>
          <rPr>
            <sz val="8"/>
            <color indexed="81"/>
            <rFont val="Tahoma"/>
            <family val="2"/>
          </rPr>
          <t>Transferred from activity sheet</t>
        </r>
      </text>
    </comment>
    <comment ref="Y14" authorId="1" shapeId="0" xr:uid="{0835216D-9DDF-4D93-BCE5-39F4DF676E72}">
      <text>
        <r>
          <rPr>
            <sz val="8"/>
            <color indexed="81"/>
            <rFont val="Tahoma"/>
            <family val="2"/>
          </rPr>
          <t>Methane correction factor from MCF sheet</t>
        </r>
        <r>
          <rPr>
            <sz val="8"/>
            <color indexed="81"/>
            <rFont val="Tahoma"/>
            <family val="2"/>
          </rPr>
          <t xml:space="preserve">
</t>
        </r>
      </text>
    </comment>
    <comment ref="AA14" authorId="0" shapeId="0" xr:uid="{2936249A-C1BC-4F04-9E43-5E40D790F930}">
      <text>
        <r>
          <rPr>
            <sz val="8"/>
            <color indexed="81"/>
            <rFont val="Tahoma"/>
            <family val="2"/>
          </rPr>
          <t>Calculates the mass of DOC in the deposited material which will actually degrade in the SWDS. Equation 4 on the Theory sheet.</t>
        </r>
      </text>
    </comment>
    <comment ref="AB14" authorId="0" shapeId="0" xr:uid="{CAB9C7A6-9DF1-41DE-A62A-6CA2B35275A7}">
      <text>
        <r>
          <rPr>
            <sz val="8"/>
            <color indexed="81"/>
            <rFont val="Tahoma"/>
            <family val="2"/>
          </rPr>
          <t>Calculates the mass of DDOC from material deposited in each year which is left in the SWDS at the end of the year. Equation 5 on the Theory sheet.</t>
        </r>
      </text>
    </comment>
    <comment ref="AC14" authorId="0" shapeId="0" xr:uid="{D80A30D4-24E3-435A-B99D-AF4983FA4F18}">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4" authorId="0" shapeId="0" xr:uid="{44574628-235F-4D4F-89CC-7BE185AA4D7E}">
      <text>
        <r>
          <rPr>
            <sz val="8"/>
            <color indexed="81"/>
            <rFont val="Tahoma"/>
            <family val="2"/>
          </rPr>
          <t>Calculates the total amount of DDOCm left not decomposed in the SWDS at the end of the year. Equation 7 on the Theory sheet.</t>
        </r>
      </text>
    </comment>
    <comment ref="AE14" authorId="0" shapeId="0" xr:uid="{155943DA-E383-434E-A95B-D6E8EB2DF0FC}">
      <text>
        <r>
          <rPr>
            <sz val="8"/>
            <color indexed="81"/>
            <rFont val="Tahoma"/>
            <family val="2"/>
          </rPr>
          <t>Calculates the total mass of DDOC dedomposed to methane and carbon dioxide each year. Equation 8 on the Theory sheet.</t>
        </r>
      </text>
    </comment>
    <comment ref="AF14" authorId="0" shapeId="0" xr:uid="{7E8A16F4-71EF-4502-BC4C-87D614402F3C}">
      <text>
        <r>
          <rPr>
            <sz val="8"/>
            <color indexed="81"/>
            <rFont val="Tahoma"/>
            <family val="2"/>
          </rPr>
          <t>Calculates the mass of methane formed from DDOCm decomposed. Equation 9 on the Theory sheet.</t>
        </r>
      </text>
    </comment>
    <comment ref="AH14" authorId="0" shapeId="0" xr:uid="{9E34DB9E-050C-4FD3-A4C4-B86E9937B5FE}">
      <text>
        <r>
          <rPr>
            <sz val="8"/>
            <color indexed="81"/>
            <rFont val="Tahoma"/>
            <family val="2"/>
          </rPr>
          <t>Transferred from activity sheet</t>
        </r>
      </text>
    </comment>
    <comment ref="AI14" authorId="1" shapeId="0" xr:uid="{1492CAB8-7EB3-46FD-BECF-1A263E7E481B}">
      <text>
        <r>
          <rPr>
            <sz val="8"/>
            <color indexed="81"/>
            <rFont val="Tahoma"/>
            <family val="2"/>
          </rPr>
          <t>Methane correction factor from MCF sheet</t>
        </r>
        <r>
          <rPr>
            <sz val="8"/>
            <color indexed="81"/>
            <rFont val="Tahoma"/>
            <family val="2"/>
          </rPr>
          <t xml:space="preserve">
</t>
        </r>
      </text>
    </comment>
    <comment ref="AK14" authorId="0" shapeId="0" xr:uid="{3C751E5B-399F-4054-B3FA-E21572BADF42}">
      <text>
        <r>
          <rPr>
            <sz val="8"/>
            <color indexed="81"/>
            <rFont val="Tahoma"/>
            <family val="2"/>
          </rPr>
          <t>Calculates the mass of DOC in the deposited material which will actually degrade in the SWDS. Equation 4 on the Theory sheet.</t>
        </r>
      </text>
    </comment>
    <comment ref="AL14" authorId="0" shapeId="0" xr:uid="{BA47E307-DDB8-4299-ACC4-A8464B2DC661}">
      <text>
        <r>
          <rPr>
            <sz val="8"/>
            <color indexed="81"/>
            <rFont val="Tahoma"/>
            <family val="2"/>
          </rPr>
          <t>Calculates the mass of DDOC from material deposited in each year which is left in the SWDS at the end of the year. Equation 5 on the Theory sheet.</t>
        </r>
      </text>
    </comment>
    <comment ref="AM14" authorId="0" shapeId="0" xr:uid="{9786FB31-8789-4C91-AEE1-FFD51989E168}">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4" authorId="0" shapeId="0" xr:uid="{88091C52-6837-4348-A0C6-A1F2898CA90B}">
      <text>
        <r>
          <rPr>
            <sz val="8"/>
            <color indexed="81"/>
            <rFont val="Tahoma"/>
            <family val="2"/>
          </rPr>
          <t>Calculates the total amount of DDOCm left not decomposed in the SWDS at the end of the year. Equation 7 on the Theory sheet.</t>
        </r>
      </text>
    </comment>
    <comment ref="AO14" authorId="0" shapeId="0" xr:uid="{6589A662-60A1-44EA-A983-255C0177EDBE}">
      <text>
        <r>
          <rPr>
            <sz val="8"/>
            <color indexed="81"/>
            <rFont val="Tahoma"/>
            <family val="2"/>
          </rPr>
          <t>Calculates the total mass of DDOC dedomposed to methane and carbon dioxide each year. Equation 8 on the Theory sheet.</t>
        </r>
      </text>
    </comment>
    <comment ref="AP14" authorId="0" shapeId="0" xr:uid="{C32A76B4-C5CA-4A7C-9E0B-E4380C1E2CF5}">
      <text>
        <r>
          <rPr>
            <sz val="8"/>
            <color indexed="81"/>
            <rFont val="Tahoma"/>
            <family val="2"/>
          </rPr>
          <t>Calculates the mass of methane formed from DDOCm decomposed. Equation 9 on the Theory sheet.</t>
        </r>
      </text>
    </comment>
    <comment ref="AR14" authorId="0" shapeId="0" xr:uid="{758850EE-BB1F-460E-B4B3-5B6DDE45627E}">
      <text>
        <r>
          <rPr>
            <sz val="8"/>
            <color indexed="81"/>
            <rFont val="Tahoma"/>
            <family val="2"/>
          </rPr>
          <t>Transferred from activity sheet</t>
        </r>
      </text>
    </comment>
    <comment ref="AS14" authorId="1" shapeId="0" xr:uid="{3C58A4A4-1995-4603-9760-4D9C17302106}">
      <text>
        <r>
          <rPr>
            <sz val="8"/>
            <color indexed="81"/>
            <rFont val="Tahoma"/>
            <family val="2"/>
          </rPr>
          <t>Methane correction factor from MCF sheet</t>
        </r>
        <r>
          <rPr>
            <sz val="8"/>
            <color indexed="81"/>
            <rFont val="Tahoma"/>
            <family val="2"/>
          </rPr>
          <t xml:space="preserve">
</t>
        </r>
      </text>
    </comment>
    <comment ref="AU14" authorId="0" shapeId="0" xr:uid="{FF640477-7631-4DBC-92EE-E0CF4AB8BB69}">
      <text>
        <r>
          <rPr>
            <sz val="8"/>
            <color indexed="81"/>
            <rFont val="Tahoma"/>
            <family val="2"/>
          </rPr>
          <t>Calculates the mass of DOC in the deposited material which will actually degrade in the SWDS. Equation 4 on the Theory sheet.</t>
        </r>
      </text>
    </comment>
    <comment ref="AV14" authorId="0" shapeId="0" xr:uid="{F554196E-D1A3-4307-BB04-F2EA770C9E7F}">
      <text>
        <r>
          <rPr>
            <sz val="8"/>
            <color indexed="81"/>
            <rFont val="Tahoma"/>
            <family val="2"/>
          </rPr>
          <t>Calculates the mass of DDOC from material deposited in each year which is left in the SWDS at the end of the year. Equation 5 on the Theory sheet.</t>
        </r>
      </text>
    </comment>
    <comment ref="AW14" authorId="0" shapeId="0" xr:uid="{536C8BD7-691B-4B57-A7BA-AD65E087624E}">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4" authorId="0" shapeId="0" xr:uid="{6AFB21C4-BA36-49F9-A6B3-CA432E8E93EA}">
      <text>
        <r>
          <rPr>
            <sz val="8"/>
            <color indexed="81"/>
            <rFont val="Tahoma"/>
            <family val="2"/>
          </rPr>
          <t>Calculates the total amount of DDOCm left not decomposed in the SWDS at the end of the year. Equation 7 on the Theory sheet.</t>
        </r>
      </text>
    </comment>
    <comment ref="AY14" authorId="0" shapeId="0" xr:uid="{D7C41AFB-DA47-4971-A023-087D77DBD84B}">
      <text>
        <r>
          <rPr>
            <sz val="8"/>
            <color indexed="81"/>
            <rFont val="Tahoma"/>
            <family val="2"/>
          </rPr>
          <t>Calculates the total mass of DDOC dedomposed to methane and carbon dioxide each year. Equation 8 on the Theory sheet.</t>
        </r>
      </text>
    </comment>
    <comment ref="AZ14" authorId="0" shapeId="0" xr:uid="{75F203D6-F8C3-49B4-A9BC-7D08E362231A}">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19" authorId="0" shapeId="0" xr:uid="{4886386A-6DC0-4263-B901-C4C1212DA67D}">
      <text>
        <r>
          <rPr>
            <b/>
            <sz val="8"/>
            <color indexed="81"/>
            <rFont val="Tahoma"/>
            <family val="2"/>
          </rPr>
          <t>Inert waste, i.e. not containing degradable organic carbon, e.g. glass, metal etc. (DOC=0)</t>
        </r>
        <r>
          <rPr>
            <sz val="8"/>
            <color indexed="81"/>
            <rFont val="Tahoma"/>
            <family val="2"/>
          </rPr>
          <t xml:space="preserve">
</t>
        </r>
      </text>
    </comment>
    <comment ref="Q19" authorId="0" shapeId="0" xr:uid="{4F1833B1-11C8-442D-A9FA-5A3AF9A84629}">
      <text>
        <r>
          <rPr>
            <b/>
            <sz val="8"/>
            <color indexed="81"/>
            <rFont val="Tahoma"/>
            <family val="2"/>
          </rPr>
          <t>Inert waste, i.e. not containing degradable organic carbon, e.g. glass, metal etc. (DOC=0)</t>
        </r>
        <r>
          <rPr>
            <sz val="8"/>
            <color indexed="81"/>
            <rFont val="Tahoma"/>
            <family val="2"/>
          </rPr>
          <t xml:space="preserve">
</t>
        </r>
      </text>
    </comment>
    <comment ref="Y19" authorId="0" shapeId="0" xr:uid="{817E3C16-EDD5-4E21-944E-4E6D1361CA5D}">
      <text>
        <r>
          <rPr>
            <b/>
            <sz val="8"/>
            <color indexed="81"/>
            <rFont val="Tahoma"/>
            <family val="2"/>
          </rPr>
          <t>Inert waste, i.e. not containing degradable organic carbon, e.g. glass, metal etc. (DOC=0)</t>
        </r>
        <r>
          <rPr>
            <sz val="8"/>
            <color indexed="81"/>
            <rFont val="Tahoma"/>
            <family val="2"/>
          </rPr>
          <t xml:space="preserve">
</t>
        </r>
      </text>
    </comment>
    <comment ref="AG19" authorId="0" shapeId="0" xr:uid="{2C871352-B1D0-4123-8BCE-B8B7FC78328A}">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AEA Technology</author>
    <author>Jeff Coburn</author>
  </authors>
  <commentList>
    <comment ref="N18" authorId="0" shapeId="0" xr:uid="{4B0B62F5-58F3-4D1E-8006-453A4F7BCA36}">
      <text>
        <r>
          <rPr>
            <b/>
            <sz val="8"/>
            <color indexed="81"/>
            <rFont val="Tahoma"/>
            <family val="2"/>
          </rPr>
          <t>This cell records which climate zone is selected in the drop-down box on the parameter sheet.</t>
        </r>
      </text>
    </comment>
    <comment ref="A35" authorId="1" shapeId="0" xr:uid="{76CD7304-1B65-425B-8BF2-54690BC5745E}">
      <text>
        <r>
          <rPr>
            <sz val="8"/>
            <color indexed="81"/>
            <rFont val="Tahoma"/>
            <family val="2"/>
          </rPr>
          <t>Includes plastic, metal, glass, ash, and other inert material (i.e., material with DOC=0).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J5" authorId="0" shapeId="0" xr:uid="{0987CCB6-B1E5-4E0C-BD6A-2492038AB967}">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25405B6B-26E3-4CE6-A3DF-BFF7A2DCBDAD}">
      <text>
        <r>
          <rPr>
            <b/>
            <sz val="8"/>
            <color indexed="81"/>
            <rFont val="Tahoma"/>
            <family val="2"/>
          </rPr>
          <t>Inert waste, i.e. not containing degradable organic carbon, e.g. glass, metal etc. (DOC=0)</t>
        </r>
        <r>
          <rPr>
            <sz val="8"/>
            <color indexed="81"/>
            <rFont val="Tahoma"/>
            <family val="2"/>
          </rPr>
          <t xml:space="preserve">
</t>
        </r>
      </text>
    </comment>
    <comment ref="BP76" authorId="0" shapeId="0" xr:uid="{A565818F-A66A-4227-AA46-D027C4613D12}">
      <text>
        <r>
          <rPr>
            <b/>
            <sz val="8"/>
            <color indexed="81"/>
            <rFont val="Tahoma"/>
            <family val="2"/>
          </rPr>
          <t>Inert waste, i.e. not containing degradable organic carbon, e.g. glass, metal etc. (DOC=0)</t>
        </r>
        <r>
          <rPr>
            <sz val="8"/>
            <color indexed="81"/>
            <rFont val="Tahoma"/>
            <family val="2"/>
          </rPr>
          <t xml:space="preserve">
</t>
        </r>
      </text>
    </comment>
    <comment ref="AX93" authorId="0" shapeId="0" xr:uid="{011C1638-ABE7-4323-8875-068FA4537F4B}">
      <text>
        <r>
          <rPr>
            <b/>
            <sz val="8"/>
            <color indexed="81"/>
            <rFont val="Tahoma"/>
            <family val="2"/>
          </rPr>
          <t>Inert waste, i.e. not containing degradable organic carbon, e.g. glass, metal etc. (DOC=0)</t>
        </r>
        <r>
          <rPr>
            <sz val="8"/>
            <color indexed="81"/>
            <rFont val="Tahoma"/>
            <family val="2"/>
          </rPr>
          <t xml:space="preserve">
</t>
        </r>
      </text>
    </comment>
    <comment ref="BK93" authorId="0" shapeId="0" xr:uid="{B4E6711C-A3B8-4E67-A955-E3B37C7E7307}">
      <text>
        <r>
          <rPr>
            <b/>
            <sz val="8"/>
            <color indexed="81"/>
            <rFont val="Tahoma"/>
            <family val="2"/>
          </rPr>
          <t>Inert waste, i.e. not containing degradable organic carbon, e.g. glass, metal etc. (DOC=0)</t>
        </r>
        <r>
          <rPr>
            <sz val="8"/>
            <color indexed="81"/>
            <rFont val="Tahoma"/>
            <family val="2"/>
          </rPr>
          <t xml:space="preserve">
</t>
        </r>
      </text>
    </comment>
    <comment ref="BS93" authorId="0" shapeId="0" xr:uid="{ECFF4BA4-9AC4-44F0-BD97-B8C141034FD6}">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D3266109-ECAC-42B0-B15C-C5BC73E951E6}">
      <text>
        <r>
          <rPr>
            <b/>
            <sz val="8"/>
            <color indexed="81"/>
            <rFont val="Tahoma"/>
            <family val="2"/>
          </rPr>
          <t>Inert waste, i.e. not containing degradable organic carbon, e.g. glass, metal etc. (DOC=0)</t>
        </r>
        <r>
          <rPr>
            <sz val="8"/>
            <color indexed="81"/>
            <rFont val="Tahoma"/>
            <family val="2"/>
          </rPr>
          <t xml:space="preserve">
</t>
        </r>
      </text>
    </comment>
    <comment ref="AX93" authorId="0" shapeId="0" xr:uid="{094A5337-3BDB-4663-9037-4AAE04E0D7FB}">
      <text>
        <r>
          <rPr>
            <b/>
            <sz val="8"/>
            <color indexed="81"/>
            <rFont val="Tahoma"/>
            <family val="2"/>
          </rPr>
          <t>Inert waste, i.e. not containing degradable organic carbon, e.g. glass, metal etc. (DOC=0)</t>
        </r>
        <r>
          <rPr>
            <sz val="8"/>
            <color indexed="81"/>
            <rFont val="Tahoma"/>
            <family val="2"/>
          </rPr>
          <t xml:space="preserve">
</t>
        </r>
      </text>
    </comment>
    <comment ref="BK93" authorId="0" shapeId="0" xr:uid="{F676F69F-5C07-4F38-975C-5AEF4DCE2541}">
      <text>
        <r>
          <rPr>
            <b/>
            <sz val="8"/>
            <color indexed="81"/>
            <rFont val="Tahoma"/>
            <family val="2"/>
          </rPr>
          <t>Inert waste, i.e. not containing degradable organic carbon, e.g. glass, metal etc. (DOC=0)</t>
        </r>
        <r>
          <rPr>
            <sz val="8"/>
            <color indexed="81"/>
            <rFont val="Tahoma"/>
            <family val="2"/>
          </rPr>
          <t xml:space="preserve">
</t>
        </r>
      </text>
    </comment>
    <comment ref="BS93" authorId="0" shapeId="0" xr:uid="{E58B6D8F-82C1-4B13-9CA0-7C5D9C63F0DA}">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56B15E18-9650-4A89-82FB-267B1FE008E1}">
      <text>
        <r>
          <rPr>
            <b/>
            <sz val="8"/>
            <color indexed="81"/>
            <rFont val="Tahoma"/>
            <family val="2"/>
          </rPr>
          <t>Inert waste, i.e. not containing degradable organic carbon, e.g. glass, metal etc. (DOC=0)</t>
        </r>
        <r>
          <rPr>
            <sz val="8"/>
            <color indexed="81"/>
            <rFont val="Tahoma"/>
            <family val="2"/>
          </rPr>
          <t xml:space="preserve">
</t>
        </r>
      </text>
    </comment>
    <comment ref="AX93" authorId="0" shapeId="0" xr:uid="{B96A47A9-FCB5-49C2-9C85-0330AFB09065}">
      <text>
        <r>
          <rPr>
            <b/>
            <sz val="8"/>
            <color indexed="81"/>
            <rFont val="Tahoma"/>
            <family val="2"/>
          </rPr>
          <t>Inert waste, i.e. not containing degradable organic carbon, e.g. glass, metal etc. (DOC=0)</t>
        </r>
        <r>
          <rPr>
            <sz val="8"/>
            <color indexed="81"/>
            <rFont val="Tahoma"/>
            <family val="2"/>
          </rPr>
          <t xml:space="preserve">
</t>
        </r>
      </text>
    </comment>
    <comment ref="BK93" authorId="0" shapeId="0" xr:uid="{AACF87B5-BDDD-4E6B-96FE-9553DE9D4D2D}">
      <text>
        <r>
          <rPr>
            <b/>
            <sz val="8"/>
            <color indexed="81"/>
            <rFont val="Tahoma"/>
            <family val="2"/>
          </rPr>
          <t>Inert waste, i.e. not containing degradable organic carbon, e.g. glass, metal etc. (DOC=0)</t>
        </r>
        <r>
          <rPr>
            <sz val="8"/>
            <color indexed="81"/>
            <rFont val="Tahoma"/>
            <family val="2"/>
          </rPr>
          <t xml:space="preserve">
</t>
        </r>
      </text>
    </comment>
    <comment ref="BS93" authorId="0" shapeId="0" xr:uid="{4B7B2DB4-9327-49F2-B128-CB7453B0681F}">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26" authorId="0" shapeId="0" xr:uid="{26F1C625-96A6-4146-BE6A-4D7C0456CB9C}">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Per Svardal</author>
    <author>Jeff Coburn</author>
  </authors>
  <commentList>
    <comment ref="D99" authorId="0" shapeId="0" xr:uid="{9E112BDF-A97E-4663-A1CA-0B511E1A9820}">
      <text>
        <r>
          <rPr>
            <sz val="8"/>
            <color indexed="81"/>
            <rFont val="Tahoma"/>
            <family val="2"/>
          </rPr>
          <t xml:space="preserve">Calculates e^-k for use in columns H and I
</t>
        </r>
      </text>
    </comment>
    <comment ref="D100" authorId="0" shapeId="0" xr:uid="{BA9F8EFE-FE53-4D7F-8328-F9FE62D78741}">
      <text>
        <r>
          <rPr>
            <sz val="8"/>
            <color indexed="81"/>
            <rFont val="Tahoma"/>
            <family val="2"/>
          </rPr>
          <t>Zero delay is equivalent to average decomposition start at beginning of month 7 (half way through the first year of deposition)</t>
        </r>
      </text>
    </comment>
    <comment ref="D101" authorId="0" shapeId="0" xr:uid="{30EDAE7A-5932-46D9-BE83-5341442EDBE7}">
      <text>
        <r>
          <rPr>
            <sz val="8"/>
            <color indexed="81"/>
            <rFont val="Tahoma"/>
            <family val="2"/>
          </rPr>
          <t xml:space="preserve">Calculates e^-k*((13-M)/12) for use in columns F and G.
</t>
        </r>
      </text>
    </comment>
    <comment ref="C119" authorId="1" shapeId="0" xr:uid="{6D15E7B3-A998-4863-9A9A-D6FD82601E1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19" authorId="1" shapeId="0" xr:uid="{EB3C83C0-7C29-466F-B49E-114C7BA1313D}">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19" authorId="1" shapeId="0" xr:uid="{0151C234-8CBF-4D0D-BB9C-69441CF2E95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19" authorId="1" shapeId="0" xr:uid="{BC2D34D4-618F-4D13-9D19-4CF0C2FD1F1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19" authorId="1" shapeId="0" xr:uid="{585FD5E3-8A16-41AD-92FF-5058A17CEB5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19" authorId="1" shapeId="0" xr:uid="{8DE1590F-C126-4070-837E-55B0D7FDCEC1}">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19" authorId="1" shapeId="0" xr:uid="{63663556-024E-4976-B297-4DC4F6DBABCB}">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19" authorId="1" shapeId="0" xr:uid="{EF8DD0CF-1D09-4DD6-8A3D-CFAD17F2EC6E}">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I121" authorId="1" shapeId="0" xr:uid="{CF79EAC0-26FA-4395-881A-175610B26A88}">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21" authorId="1" shapeId="0" xr:uid="{CB236E63-1CF4-4F4B-BAD5-0882F735FCEF}">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21" authorId="1" shapeId="0" xr:uid="{916ED5D2-759F-4303-9318-89E89AD1C27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21" authorId="1" shapeId="0" xr:uid="{D19E47A2-2490-46F1-BA1C-714BAC39313C}">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A54333CF-C902-422D-BB1A-220E1BF8B337}">
      <text>
        <r>
          <rPr>
            <sz val="8"/>
            <color indexed="81"/>
            <rFont val="Tahoma"/>
            <family val="2"/>
          </rPr>
          <t xml:space="preserve">Calculates e^-k for use in columns H and I
</t>
        </r>
      </text>
    </comment>
    <comment ref="C9" authorId="0" shapeId="0" xr:uid="{B044FB74-8E0B-43C2-A2A6-C9DA38F32F45}">
      <text>
        <r>
          <rPr>
            <sz val="8"/>
            <color indexed="81"/>
            <rFont val="Tahoma"/>
            <family val="2"/>
          </rPr>
          <t>Zero delay is equivalent to average decomposition start at beginning of month 7 (half way through the first year of deposition)</t>
        </r>
      </text>
    </comment>
    <comment ref="C10" authorId="0" shapeId="0" xr:uid="{043D698E-6703-4174-8879-17AEF8DD62A9}">
      <text>
        <r>
          <rPr>
            <sz val="8"/>
            <color indexed="81"/>
            <rFont val="Tahoma"/>
            <family val="2"/>
          </rPr>
          <t xml:space="preserve">Calculates e^-k*((13-M)/12) for use in columns F and G.
</t>
        </r>
      </text>
    </comment>
    <comment ref="B14" authorId="1" shapeId="0" xr:uid="{F946A7D4-4842-443B-BDB1-6EC40A9224EE}">
      <text>
        <r>
          <rPr>
            <sz val="8"/>
            <color indexed="81"/>
            <rFont val="Tahoma"/>
            <family val="2"/>
          </rPr>
          <t xml:space="preserve">Enter the population for which waste collection is organised (could be urban population)
</t>
        </r>
      </text>
    </comment>
    <comment ref="D14" authorId="1" shapeId="0" xr:uid="{9D6C6A44-6AB9-40A7-87F5-95F294166584}">
      <text>
        <r>
          <rPr>
            <sz val="8"/>
            <color indexed="81"/>
            <rFont val="Tahoma"/>
            <family val="2"/>
          </rPr>
          <t>Enter the percentage of waste generated which goes to solid waste disposal sites</t>
        </r>
      </text>
    </comment>
    <comment ref="K14" authorId="1" shapeId="0" xr:uid="{5FF08A41-D91B-4CE2-AF47-B26E6B649E8B}">
      <text>
        <r>
          <rPr>
            <b/>
            <sz val="8"/>
            <color indexed="81"/>
            <rFont val="Tahoma"/>
            <family val="2"/>
          </rPr>
          <t>Inert waste, i.e. not containing degradable organic carbon, e.g. glass, metal etc. (DOC=0)</t>
        </r>
        <r>
          <rPr>
            <sz val="8"/>
            <color indexed="81"/>
            <rFont val="Tahoma"/>
            <family val="2"/>
          </rPr>
          <t xml:space="preserve">
</t>
        </r>
      </text>
    </comment>
    <comment ref="N14" authorId="0" shapeId="0" xr:uid="{7E83BA6A-55F3-46EA-BDE3-E1525E147E54}">
      <text>
        <r>
          <rPr>
            <sz val="8"/>
            <color indexed="81"/>
            <rFont val="Tahoma"/>
            <family val="2"/>
          </rPr>
          <t>Transferred from activity sheet</t>
        </r>
      </text>
    </comment>
    <comment ref="O14" authorId="1" shapeId="0" xr:uid="{26A0416F-D5FC-46FC-9279-885D5340419F}">
      <text>
        <r>
          <rPr>
            <sz val="8"/>
            <color indexed="81"/>
            <rFont val="Tahoma"/>
            <family val="2"/>
          </rPr>
          <t>Methane correction factor from MCF sheet</t>
        </r>
        <r>
          <rPr>
            <sz val="8"/>
            <color indexed="81"/>
            <rFont val="Tahoma"/>
            <family val="2"/>
          </rPr>
          <t xml:space="preserve">
</t>
        </r>
      </text>
    </comment>
    <comment ref="Q14" authorId="0" shapeId="0" xr:uid="{69FF36A2-530C-4789-9CC8-B954A3D56128}">
      <text>
        <r>
          <rPr>
            <sz val="8"/>
            <color indexed="81"/>
            <rFont val="Tahoma"/>
            <family val="2"/>
          </rPr>
          <t>Calculates the mass of DOC in the deposited material which will actually degrade in the SWDS. Equation 4 on the Theory sheet.</t>
        </r>
      </text>
    </comment>
    <comment ref="R14" authorId="0" shapeId="0" xr:uid="{7E45A331-CCD3-4EF4-A86A-08D18AE96334}">
      <text>
        <r>
          <rPr>
            <sz val="8"/>
            <color indexed="81"/>
            <rFont val="Tahoma"/>
            <family val="2"/>
          </rPr>
          <t>Calculates the mass of DDOC from material deposited in each year which is left in the SWDS at the end of the year. Equation 5 on the Theory sheet.</t>
        </r>
      </text>
    </comment>
    <comment ref="S14" authorId="0" shapeId="0" xr:uid="{F1818317-9528-49F7-9AB5-AD3BA38D629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4" authorId="0" shapeId="0" xr:uid="{ECC105CB-B0E4-4A4F-9008-37B36E30C52A}">
      <text>
        <r>
          <rPr>
            <sz val="8"/>
            <color indexed="81"/>
            <rFont val="Tahoma"/>
            <family val="2"/>
          </rPr>
          <t>Calculates the total amount of DDOCm left not decomposed in the SWDS at the end of the year. Equation 7 on the Theory sheet.</t>
        </r>
      </text>
    </comment>
    <comment ref="U14" authorId="0" shapeId="0" xr:uid="{C3E684E3-6586-41E1-AE7D-F839BADE7929}">
      <text>
        <r>
          <rPr>
            <sz val="8"/>
            <color indexed="81"/>
            <rFont val="Tahoma"/>
            <family val="2"/>
          </rPr>
          <t>Calculates the total mass of DDOC dedomposed to methane and carbon dioxide each year. Equation 8 on the Theory sheet.</t>
        </r>
      </text>
    </comment>
    <comment ref="V14" authorId="0" shapeId="0" xr:uid="{44CB9F2C-D607-4B1B-91C6-B2316DF6111A}">
      <text>
        <r>
          <rPr>
            <sz val="8"/>
            <color indexed="81"/>
            <rFont val="Tahoma"/>
            <family val="2"/>
          </rPr>
          <t>Calculates the mass of methane formed from DDOCm decomposed. Equation 9 on the Theory sheet.</t>
        </r>
      </text>
    </comment>
    <comment ref="X14" authorId="0" shapeId="0" xr:uid="{2D0BBB18-A617-45F8-AEE5-EC64359D3624}">
      <text>
        <r>
          <rPr>
            <sz val="8"/>
            <color indexed="81"/>
            <rFont val="Tahoma"/>
            <family val="2"/>
          </rPr>
          <t>Transferred from activity sheet</t>
        </r>
      </text>
    </comment>
    <comment ref="Y14" authorId="1" shapeId="0" xr:uid="{DB30E89E-5F03-45CD-8855-E49B6AE08040}">
      <text>
        <r>
          <rPr>
            <sz val="8"/>
            <color indexed="81"/>
            <rFont val="Tahoma"/>
            <family val="2"/>
          </rPr>
          <t>Methane correction factor from MCF sheet</t>
        </r>
        <r>
          <rPr>
            <sz val="8"/>
            <color indexed="81"/>
            <rFont val="Tahoma"/>
            <family val="2"/>
          </rPr>
          <t xml:space="preserve">
</t>
        </r>
      </text>
    </comment>
    <comment ref="AA14" authorId="0" shapeId="0" xr:uid="{CD3C17A9-F9F3-4DE0-BA06-CF26FD0D620F}">
      <text>
        <r>
          <rPr>
            <sz val="8"/>
            <color indexed="81"/>
            <rFont val="Tahoma"/>
            <family val="2"/>
          </rPr>
          <t>Calculates the mass of DOC in the deposited material which will actually degrade in the SWDS. Equation 4 on the Theory sheet.</t>
        </r>
      </text>
    </comment>
    <comment ref="AB14" authorId="0" shapeId="0" xr:uid="{1F0916A5-4741-4F8E-92B7-7C0BA2DC582A}">
      <text>
        <r>
          <rPr>
            <sz val="8"/>
            <color indexed="81"/>
            <rFont val="Tahoma"/>
            <family val="2"/>
          </rPr>
          <t>Calculates the mass of DDOC from material deposited in each year which is left in the SWDS at the end of the year. Equation 5 on the Theory sheet.</t>
        </r>
      </text>
    </comment>
    <comment ref="AC14" authorId="0" shapeId="0" xr:uid="{6DF713EA-529C-463F-8C50-6426E53B082B}">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4" authorId="0" shapeId="0" xr:uid="{86F9834E-D123-4464-8C25-5D475CEDB265}">
      <text>
        <r>
          <rPr>
            <sz val="8"/>
            <color indexed="81"/>
            <rFont val="Tahoma"/>
            <family val="2"/>
          </rPr>
          <t>Calculates the total amount of DDOCm left not decomposed in the SWDS at the end of the year. Equation 7 on the Theory sheet.</t>
        </r>
      </text>
    </comment>
    <comment ref="AE14" authorId="0" shapeId="0" xr:uid="{7F23DD53-6031-48DF-8472-A18932828738}">
      <text>
        <r>
          <rPr>
            <sz val="8"/>
            <color indexed="81"/>
            <rFont val="Tahoma"/>
            <family val="2"/>
          </rPr>
          <t>Calculates the total mass of DDOC dedomposed to methane and carbon dioxide each year. Equation 8 on the Theory sheet.</t>
        </r>
      </text>
    </comment>
    <comment ref="AF14" authorId="0" shapeId="0" xr:uid="{92C73135-9BC4-41CB-9364-339F88BEA396}">
      <text>
        <r>
          <rPr>
            <sz val="8"/>
            <color indexed="81"/>
            <rFont val="Tahoma"/>
            <family val="2"/>
          </rPr>
          <t>Calculates the mass of methane formed from DDOCm decomposed. Equation 9 on the Theory sheet.</t>
        </r>
      </text>
    </comment>
    <comment ref="AH14" authorId="0" shapeId="0" xr:uid="{577F3B9E-C787-43A6-8282-EDBEAEF63FF0}">
      <text>
        <r>
          <rPr>
            <sz val="8"/>
            <color indexed="81"/>
            <rFont val="Tahoma"/>
            <family val="2"/>
          </rPr>
          <t>Transferred from activity sheet</t>
        </r>
      </text>
    </comment>
    <comment ref="AI14" authorId="1" shapeId="0" xr:uid="{A74B3EC8-F2BF-4F60-BC7F-BD7982FAE892}">
      <text>
        <r>
          <rPr>
            <sz val="8"/>
            <color indexed="81"/>
            <rFont val="Tahoma"/>
            <family val="2"/>
          </rPr>
          <t>Methane correction factor from MCF sheet</t>
        </r>
        <r>
          <rPr>
            <sz val="8"/>
            <color indexed="81"/>
            <rFont val="Tahoma"/>
            <family val="2"/>
          </rPr>
          <t xml:space="preserve">
</t>
        </r>
      </text>
    </comment>
    <comment ref="AK14" authorId="0" shapeId="0" xr:uid="{80E8DD38-6872-42AF-ABB2-CE2CC9E58346}">
      <text>
        <r>
          <rPr>
            <sz val="8"/>
            <color indexed="81"/>
            <rFont val="Tahoma"/>
            <family val="2"/>
          </rPr>
          <t>Calculates the mass of DOC in the deposited material which will actually degrade in the SWDS. Equation 4 on the Theory sheet.</t>
        </r>
      </text>
    </comment>
    <comment ref="AL14" authorId="0" shapeId="0" xr:uid="{5E3F1A3D-DC7B-47EC-814F-42E0A9E1AD18}">
      <text>
        <r>
          <rPr>
            <sz val="8"/>
            <color indexed="81"/>
            <rFont val="Tahoma"/>
            <family val="2"/>
          </rPr>
          <t>Calculates the mass of DDOC from material deposited in each year which is left in the SWDS at the end of the year. Equation 5 on the Theory sheet.</t>
        </r>
      </text>
    </comment>
    <comment ref="AM14" authorId="0" shapeId="0" xr:uid="{FB3E31CE-D5CA-4983-9794-4A11F1538134}">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4" authorId="0" shapeId="0" xr:uid="{E8A0ECB6-6E41-4527-A468-E63CD06FC947}">
      <text>
        <r>
          <rPr>
            <sz val="8"/>
            <color indexed="81"/>
            <rFont val="Tahoma"/>
            <family val="2"/>
          </rPr>
          <t>Calculates the total amount of DDOCm left not decomposed in the SWDS at the end of the year. Equation 7 on the Theory sheet.</t>
        </r>
      </text>
    </comment>
    <comment ref="AO14" authorId="0" shapeId="0" xr:uid="{509C0C47-E5DB-4BCB-9FD9-DB3D3887F63E}">
      <text>
        <r>
          <rPr>
            <sz val="8"/>
            <color indexed="81"/>
            <rFont val="Tahoma"/>
            <family val="2"/>
          </rPr>
          <t>Calculates the total mass of DDOC dedomposed to methane and carbon dioxide each year. Equation 8 on the Theory sheet.</t>
        </r>
      </text>
    </comment>
    <comment ref="AP14" authorId="0" shapeId="0" xr:uid="{A7272FC4-A3CC-4F88-B12A-3FFDFABB8A9D}">
      <text>
        <r>
          <rPr>
            <sz val="8"/>
            <color indexed="81"/>
            <rFont val="Tahoma"/>
            <family val="2"/>
          </rPr>
          <t>Calculates the mass of methane formed from DDOCm decomposed. Equation 9 on the Theory sheet.</t>
        </r>
      </text>
    </comment>
    <comment ref="AR14" authorId="0" shapeId="0" xr:uid="{75235870-FD48-477A-B58B-8B09CA5C629C}">
      <text>
        <r>
          <rPr>
            <sz val="8"/>
            <color indexed="81"/>
            <rFont val="Tahoma"/>
            <family val="2"/>
          </rPr>
          <t>Transferred from activity sheet</t>
        </r>
      </text>
    </comment>
    <comment ref="AS14" authorId="1" shapeId="0" xr:uid="{D663A1F2-1237-4D5F-A0C9-1A0466A52611}">
      <text>
        <r>
          <rPr>
            <sz val="8"/>
            <color indexed="81"/>
            <rFont val="Tahoma"/>
            <family val="2"/>
          </rPr>
          <t>Methane correction factor from MCF sheet</t>
        </r>
        <r>
          <rPr>
            <sz val="8"/>
            <color indexed="81"/>
            <rFont val="Tahoma"/>
            <family val="2"/>
          </rPr>
          <t xml:space="preserve">
</t>
        </r>
      </text>
    </comment>
    <comment ref="AU14" authorId="0" shapeId="0" xr:uid="{3627676F-C4D6-4720-8CEA-23B5DB2517D7}">
      <text>
        <r>
          <rPr>
            <sz val="8"/>
            <color indexed="81"/>
            <rFont val="Tahoma"/>
            <family val="2"/>
          </rPr>
          <t>Calculates the mass of DOC in the deposited material which will actually degrade in the SWDS. Equation 4 on the Theory sheet.</t>
        </r>
      </text>
    </comment>
    <comment ref="AV14" authorId="0" shapeId="0" xr:uid="{89DC1E21-0195-4427-92E5-49CBEB50681F}">
      <text>
        <r>
          <rPr>
            <sz val="8"/>
            <color indexed="81"/>
            <rFont val="Tahoma"/>
            <family val="2"/>
          </rPr>
          <t>Calculates the mass of DDOC from material deposited in each year which is left in the SWDS at the end of the year. Equation 5 on the Theory sheet.</t>
        </r>
      </text>
    </comment>
    <comment ref="AW14" authorId="0" shapeId="0" xr:uid="{C4CAEB0C-21CC-44B6-A11C-904AE3C3919F}">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4" authorId="0" shapeId="0" xr:uid="{0C1F0BB4-9A7B-4C5B-A4D8-5E8F94CDD28E}">
      <text>
        <r>
          <rPr>
            <sz val="8"/>
            <color indexed="81"/>
            <rFont val="Tahoma"/>
            <family val="2"/>
          </rPr>
          <t>Calculates the total amount of DDOCm left not decomposed in the SWDS at the end of the year. Equation 7 on the Theory sheet.</t>
        </r>
      </text>
    </comment>
    <comment ref="AY14" authorId="0" shapeId="0" xr:uid="{20E5B74E-A8BF-42B9-97CE-D665456217FC}">
      <text>
        <r>
          <rPr>
            <sz val="8"/>
            <color indexed="81"/>
            <rFont val="Tahoma"/>
            <family val="2"/>
          </rPr>
          <t>Calculates the total mass of DDOC dedomposed to methane and carbon dioxide each year. Equation 8 on the Theory sheet.</t>
        </r>
      </text>
    </comment>
    <comment ref="AZ14" authorId="0" shapeId="0" xr:uid="{55EB95C9-DB82-4079-B119-1D21F2F525F7}">
      <text>
        <r>
          <rPr>
            <sz val="8"/>
            <color indexed="81"/>
            <rFont val="Tahoma"/>
            <family val="2"/>
          </rPr>
          <t>Calculates the mass of methane formed from DDOCm decomposed. Equation 9 on the Theory sheet.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2012A7B0-1E1C-42ED-99F6-9B8E20950197}">
      <text>
        <r>
          <rPr>
            <sz val="8"/>
            <color indexed="81"/>
            <rFont val="Tahoma"/>
            <family val="2"/>
          </rPr>
          <t xml:space="preserve">Calculates e^-k for use in columns H and I
</t>
        </r>
      </text>
    </comment>
    <comment ref="C9" authorId="0" shapeId="0" xr:uid="{70AD56AF-4E31-404F-9E4A-6601C42272C9}">
      <text>
        <r>
          <rPr>
            <sz val="8"/>
            <color indexed="81"/>
            <rFont val="Tahoma"/>
            <family val="2"/>
          </rPr>
          <t>Zero delay is equivalent to average decomposition start at beginning of month 7 (half way through the first year of deposition)</t>
        </r>
      </text>
    </comment>
    <comment ref="C10" authorId="0" shapeId="0" xr:uid="{77BBD9EF-A963-4736-923B-2A6C71984E36}">
      <text>
        <r>
          <rPr>
            <sz val="8"/>
            <color indexed="81"/>
            <rFont val="Tahoma"/>
            <family val="2"/>
          </rPr>
          <t xml:space="preserve">Calculates e^-k*((13-M)/12) for use in columns F and G.
</t>
        </r>
      </text>
    </comment>
    <comment ref="B14" authorId="1" shapeId="0" xr:uid="{41490F4F-7420-4BB2-B424-6A1BC3E176C3}">
      <text>
        <r>
          <rPr>
            <sz val="8"/>
            <color indexed="81"/>
            <rFont val="Tahoma"/>
            <family val="2"/>
          </rPr>
          <t xml:space="preserve">Enter the population for which waste collection is organised (could be urban population)
</t>
        </r>
      </text>
    </comment>
    <comment ref="D14" authorId="1" shapeId="0" xr:uid="{7EE0911A-BA4C-4200-B3D4-20F41728AEB9}">
      <text>
        <r>
          <rPr>
            <sz val="8"/>
            <color indexed="81"/>
            <rFont val="Tahoma"/>
            <family val="2"/>
          </rPr>
          <t>Enter the percentage of waste generated which goes to solid waste disposal sites</t>
        </r>
      </text>
    </comment>
    <comment ref="K14" authorId="1" shapeId="0" xr:uid="{4B430FCB-8838-4BB6-A648-CA682E7B1B88}">
      <text>
        <r>
          <rPr>
            <b/>
            <sz val="8"/>
            <color indexed="81"/>
            <rFont val="Tahoma"/>
            <family val="2"/>
          </rPr>
          <t>Inert waste, i.e. not containing degradable organic carbon, e.g. glass, metal etc. (DOC=0)</t>
        </r>
        <r>
          <rPr>
            <sz val="8"/>
            <color indexed="81"/>
            <rFont val="Tahoma"/>
            <family val="2"/>
          </rPr>
          <t xml:space="preserve">
</t>
        </r>
      </text>
    </comment>
    <comment ref="N14" authorId="0" shapeId="0" xr:uid="{11957BA8-3C2C-45DF-8123-0A613BD91F99}">
      <text>
        <r>
          <rPr>
            <sz val="8"/>
            <color indexed="81"/>
            <rFont val="Tahoma"/>
            <family val="2"/>
          </rPr>
          <t>Transferred from activity sheet</t>
        </r>
      </text>
    </comment>
    <comment ref="O14" authorId="1" shapeId="0" xr:uid="{1939C028-8C40-41DF-A432-722116C2C1B8}">
      <text>
        <r>
          <rPr>
            <sz val="8"/>
            <color indexed="81"/>
            <rFont val="Tahoma"/>
            <family val="2"/>
          </rPr>
          <t>Methane correction factor from MCF sheet</t>
        </r>
        <r>
          <rPr>
            <sz val="8"/>
            <color indexed="81"/>
            <rFont val="Tahoma"/>
            <family val="2"/>
          </rPr>
          <t xml:space="preserve">
</t>
        </r>
      </text>
    </comment>
    <comment ref="Q14" authorId="0" shapeId="0" xr:uid="{6664FACD-9F15-4525-A016-EB482A48F32E}">
      <text>
        <r>
          <rPr>
            <sz val="8"/>
            <color indexed="81"/>
            <rFont val="Tahoma"/>
            <family val="2"/>
          </rPr>
          <t>Calculates the mass of DOC in the deposited material which will actually degrade in the SWDS. Equation 4 on the Theory sheet.</t>
        </r>
      </text>
    </comment>
    <comment ref="R14" authorId="0" shapeId="0" xr:uid="{EEB90C72-CA67-4629-80DC-DFC4FCE17CE4}">
      <text>
        <r>
          <rPr>
            <sz val="8"/>
            <color indexed="81"/>
            <rFont val="Tahoma"/>
            <family val="2"/>
          </rPr>
          <t>Calculates the mass of DDOC from material deposited in each year which is left in the SWDS at the end of the year. Equation 5 on the Theory sheet.</t>
        </r>
      </text>
    </comment>
    <comment ref="S14" authorId="0" shapeId="0" xr:uid="{A38B49CB-26A2-42C1-BE68-9C68F9F14423}">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4" authorId="0" shapeId="0" xr:uid="{61680A96-8EC1-4726-AA2F-027CEBC3E89E}">
      <text>
        <r>
          <rPr>
            <sz val="8"/>
            <color indexed="81"/>
            <rFont val="Tahoma"/>
            <family val="2"/>
          </rPr>
          <t>Calculates the total amount of DDOCm left not decomposed in the SWDS at the end of the year. Equation 7 on the Theory sheet.</t>
        </r>
      </text>
    </comment>
    <comment ref="U14" authorId="0" shapeId="0" xr:uid="{AEAF2787-FE5D-4F8B-942F-D0BBE30D29BE}">
      <text>
        <r>
          <rPr>
            <sz val="8"/>
            <color indexed="81"/>
            <rFont val="Tahoma"/>
            <family val="2"/>
          </rPr>
          <t>Calculates the total mass of DDOC dedomposed to methane and carbon dioxide each year. Equation 8 on the Theory sheet.</t>
        </r>
      </text>
    </comment>
    <comment ref="V14" authorId="0" shapeId="0" xr:uid="{E5BB3F2A-AF0B-4952-B130-1040AF468DF5}">
      <text>
        <r>
          <rPr>
            <sz val="8"/>
            <color indexed="81"/>
            <rFont val="Tahoma"/>
            <family val="2"/>
          </rPr>
          <t>Calculates the mass of methane formed from DDOCm decomposed. Equation 9 on the Theory sheet.</t>
        </r>
      </text>
    </comment>
    <comment ref="X14" authorId="0" shapeId="0" xr:uid="{C39D37E6-9552-4272-A7FA-49E304D52CD6}">
      <text>
        <r>
          <rPr>
            <sz val="8"/>
            <color indexed="81"/>
            <rFont val="Tahoma"/>
            <family val="2"/>
          </rPr>
          <t>Transferred from activity sheet</t>
        </r>
      </text>
    </comment>
    <comment ref="Y14" authorId="1" shapeId="0" xr:uid="{54460441-0E03-4AB4-91E6-14DBCD6F7F94}">
      <text>
        <r>
          <rPr>
            <sz val="8"/>
            <color indexed="81"/>
            <rFont val="Tahoma"/>
            <family val="2"/>
          </rPr>
          <t>Methane correction factor from MCF sheet</t>
        </r>
        <r>
          <rPr>
            <sz val="8"/>
            <color indexed="81"/>
            <rFont val="Tahoma"/>
            <family val="2"/>
          </rPr>
          <t xml:space="preserve">
</t>
        </r>
      </text>
    </comment>
    <comment ref="AA14" authorId="0" shapeId="0" xr:uid="{1E812A8E-2320-4459-A6F2-C9250B1CCBA2}">
      <text>
        <r>
          <rPr>
            <sz val="8"/>
            <color indexed="81"/>
            <rFont val="Tahoma"/>
            <family val="2"/>
          </rPr>
          <t>Calculates the mass of DOC in the deposited material which will actually degrade in the SWDS. Equation 4 on the Theory sheet.</t>
        </r>
      </text>
    </comment>
    <comment ref="AB14" authorId="0" shapeId="0" xr:uid="{00ED8EB2-26E7-4B6C-B021-CC643DAE0626}">
      <text>
        <r>
          <rPr>
            <sz val="8"/>
            <color indexed="81"/>
            <rFont val="Tahoma"/>
            <family val="2"/>
          </rPr>
          <t>Calculates the mass of DDOC from material deposited in each year which is left in the SWDS at the end of the year. Equation 5 on the Theory sheet.</t>
        </r>
      </text>
    </comment>
    <comment ref="AC14" authorId="0" shapeId="0" xr:uid="{741CA0EF-5DE3-482F-B848-F9FA1361972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4" authorId="0" shapeId="0" xr:uid="{2E3EDB9D-40AC-4381-B963-E106FB34C38D}">
      <text>
        <r>
          <rPr>
            <sz val="8"/>
            <color indexed="81"/>
            <rFont val="Tahoma"/>
            <family val="2"/>
          </rPr>
          <t>Calculates the total amount of DDOCm left not decomposed in the SWDS at the end of the year. Equation 7 on the Theory sheet.</t>
        </r>
      </text>
    </comment>
    <comment ref="AE14" authorId="0" shapeId="0" xr:uid="{26FD2F0F-DCC9-44FE-9809-284691D8DA54}">
      <text>
        <r>
          <rPr>
            <sz val="8"/>
            <color indexed="81"/>
            <rFont val="Tahoma"/>
            <family val="2"/>
          </rPr>
          <t>Calculates the total mass of DDOC dedomposed to methane and carbon dioxide each year. Equation 8 on the Theory sheet.</t>
        </r>
      </text>
    </comment>
    <comment ref="AF14" authorId="0" shapeId="0" xr:uid="{608CEDBA-2F77-412C-8A36-DB6B2473B215}">
      <text>
        <r>
          <rPr>
            <sz val="8"/>
            <color indexed="81"/>
            <rFont val="Tahoma"/>
            <family val="2"/>
          </rPr>
          <t>Calculates the mass of methane formed from DDOCm decomposed. Equation 9 on the Theory sheet.</t>
        </r>
      </text>
    </comment>
    <comment ref="AH14" authorId="0" shapeId="0" xr:uid="{029E4615-B768-41E7-AC19-C155E56442A4}">
      <text>
        <r>
          <rPr>
            <sz val="8"/>
            <color indexed="81"/>
            <rFont val="Tahoma"/>
            <family val="2"/>
          </rPr>
          <t>Transferred from activity sheet</t>
        </r>
      </text>
    </comment>
    <comment ref="AI14" authorId="1" shapeId="0" xr:uid="{7D04BFE7-5F17-4FDF-95C7-82D28122C48C}">
      <text>
        <r>
          <rPr>
            <sz val="8"/>
            <color indexed="81"/>
            <rFont val="Tahoma"/>
            <family val="2"/>
          </rPr>
          <t>Methane correction factor from MCF sheet</t>
        </r>
        <r>
          <rPr>
            <sz val="8"/>
            <color indexed="81"/>
            <rFont val="Tahoma"/>
            <family val="2"/>
          </rPr>
          <t xml:space="preserve">
</t>
        </r>
      </text>
    </comment>
    <comment ref="AK14" authorId="0" shapeId="0" xr:uid="{A06C355B-E34A-4BEA-96B3-278BD6C92B96}">
      <text>
        <r>
          <rPr>
            <sz val="8"/>
            <color indexed="81"/>
            <rFont val="Tahoma"/>
            <family val="2"/>
          </rPr>
          <t>Calculates the mass of DOC in the deposited material which will actually degrade in the SWDS. Equation 4 on the Theory sheet.</t>
        </r>
      </text>
    </comment>
    <comment ref="AL14" authorId="0" shapeId="0" xr:uid="{5E6F58C9-B743-4198-B63F-75F26B8DD959}">
      <text>
        <r>
          <rPr>
            <sz val="8"/>
            <color indexed="81"/>
            <rFont val="Tahoma"/>
            <family val="2"/>
          </rPr>
          <t>Calculates the mass of DDOC from material deposited in each year which is left in the SWDS at the end of the year. Equation 5 on the Theory sheet.</t>
        </r>
      </text>
    </comment>
    <comment ref="AM14" authorId="0" shapeId="0" xr:uid="{1AABD2B9-5638-427E-B064-201AF66A8129}">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4" authorId="0" shapeId="0" xr:uid="{BBC6569B-5F7A-488B-AF4A-9819C86EB711}">
      <text>
        <r>
          <rPr>
            <sz val="8"/>
            <color indexed="81"/>
            <rFont val="Tahoma"/>
            <family val="2"/>
          </rPr>
          <t>Calculates the total amount of DDOCm left not decomposed in the SWDS at the end of the year. Equation 7 on the Theory sheet.</t>
        </r>
      </text>
    </comment>
    <comment ref="AO14" authorId="0" shapeId="0" xr:uid="{6ECB36C2-5306-47C4-90CF-75B42297394B}">
      <text>
        <r>
          <rPr>
            <sz val="8"/>
            <color indexed="81"/>
            <rFont val="Tahoma"/>
            <family val="2"/>
          </rPr>
          <t>Calculates the total mass of DDOC dedomposed to methane and carbon dioxide each year. Equation 8 on the Theory sheet.</t>
        </r>
      </text>
    </comment>
    <comment ref="AP14" authorId="0" shapeId="0" xr:uid="{B9E64778-B2D0-4252-8F00-CECCCA4F0792}">
      <text>
        <r>
          <rPr>
            <sz val="8"/>
            <color indexed="81"/>
            <rFont val="Tahoma"/>
            <family val="2"/>
          </rPr>
          <t>Calculates the mass of methane formed from DDOCm decomposed. Equation 9 on the Theory sheet.</t>
        </r>
      </text>
    </comment>
    <comment ref="AR14" authorId="0" shapeId="0" xr:uid="{91A4838D-37DC-48E5-8A39-CC447AE0636A}">
      <text>
        <r>
          <rPr>
            <sz val="8"/>
            <color indexed="81"/>
            <rFont val="Tahoma"/>
            <family val="2"/>
          </rPr>
          <t>Transferred from activity sheet</t>
        </r>
      </text>
    </comment>
    <comment ref="AS14" authorId="1" shapeId="0" xr:uid="{A29BAB4D-2A8B-4ABD-BBBE-9612240905AE}">
      <text>
        <r>
          <rPr>
            <sz val="8"/>
            <color indexed="81"/>
            <rFont val="Tahoma"/>
            <family val="2"/>
          </rPr>
          <t>Methane correction factor from MCF sheet</t>
        </r>
        <r>
          <rPr>
            <sz val="8"/>
            <color indexed="81"/>
            <rFont val="Tahoma"/>
            <family val="2"/>
          </rPr>
          <t xml:space="preserve">
</t>
        </r>
      </text>
    </comment>
    <comment ref="AU14" authorId="0" shapeId="0" xr:uid="{09561469-AF63-4324-91B9-66F24C6F0780}">
      <text>
        <r>
          <rPr>
            <sz val="8"/>
            <color indexed="81"/>
            <rFont val="Tahoma"/>
            <family val="2"/>
          </rPr>
          <t>Calculates the mass of DOC in the deposited material which will actually degrade in the SWDS. Equation 4 on the Theory sheet.</t>
        </r>
      </text>
    </comment>
    <comment ref="AV14" authorId="0" shapeId="0" xr:uid="{6AA66A71-6C3D-41C5-B274-BBB6FAE8C1F7}">
      <text>
        <r>
          <rPr>
            <sz val="8"/>
            <color indexed="81"/>
            <rFont val="Tahoma"/>
            <family val="2"/>
          </rPr>
          <t>Calculates the mass of DDOC from material deposited in each year which is left in the SWDS at the end of the year. Equation 5 on the Theory sheet.</t>
        </r>
      </text>
    </comment>
    <comment ref="AW14" authorId="0" shapeId="0" xr:uid="{A3EB742E-0EC9-48CA-A0EB-E2DDC7D39B4E}">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4" authorId="0" shapeId="0" xr:uid="{78A88FC7-F480-4FF5-A96A-7FA53123A746}">
      <text>
        <r>
          <rPr>
            <sz val="8"/>
            <color indexed="81"/>
            <rFont val="Tahoma"/>
            <family val="2"/>
          </rPr>
          <t>Calculates the total amount of DDOCm left not decomposed in the SWDS at the end of the year. Equation 7 on the Theory sheet.</t>
        </r>
      </text>
    </comment>
    <comment ref="AY14" authorId="0" shapeId="0" xr:uid="{7F27F8B0-66CE-4624-8480-8FEB6093A4F1}">
      <text>
        <r>
          <rPr>
            <sz val="8"/>
            <color indexed="81"/>
            <rFont val="Tahoma"/>
            <family val="2"/>
          </rPr>
          <t>Calculates the total mass of DDOC dedomposed to methane and carbon dioxide each year. Equation 8 on the Theory sheet.</t>
        </r>
      </text>
    </comment>
    <comment ref="AZ14" authorId="0" shapeId="0" xr:uid="{520477F3-F0EE-4073-84CB-280DDE14BF34}">
      <text>
        <r>
          <rPr>
            <sz val="8"/>
            <color indexed="81"/>
            <rFont val="Tahoma"/>
            <family val="2"/>
          </rPr>
          <t>Calculates the mass of methane formed from DDOCm decomposed. Equation 9 on the Theory sheet.</t>
        </r>
      </text>
    </comment>
  </commentList>
</comments>
</file>

<file path=xl/sharedStrings.xml><?xml version="1.0" encoding="utf-8"?>
<sst xmlns="http://schemas.openxmlformats.org/spreadsheetml/2006/main" count="3477" uniqueCount="810">
  <si>
    <t xml:space="preserve">Fixed parameters </t>
  </si>
  <si>
    <t>Wastewater treatment and discharge</t>
  </si>
  <si>
    <t>Units</t>
  </si>
  <si>
    <t>kg/capita/yr</t>
  </si>
  <si>
    <t>Value</t>
  </si>
  <si>
    <t>Urbanization (U)</t>
  </si>
  <si>
    <t xml:space="preserve">Rural </t>
  </si>
  <si>
    <t>Fraction of population</t>
  </si>
  <si>
    <t>U= Rural</t>
  </si>
  <si>
    <t>Other</t>
  </si>
  <si>
    <t>None</t>
  </si>
  <si>
    <t>U= Urban high</t>
  </si>
  <si>
    <t xml:space="preserve">U= Urban-low </t>
  </si>
  <si>
    <t>Urban-high income</t>
  </si>
  <si>
    <t>Urban-low income</t>
  </si>
  <si>
    <t>kgCH4 /kg COD</t>
  </si>
  <si>
    <t>kgCH4 /kg BOD</t>
  </si>
  <si>
    <t>Stagnant sewer</t>
  </si>
  <si>
    <t>Flowing sewer (open/closed)</t>
  </si>
  <si>
    <t>Septic System</t>
  </si>
  <si>
    <t>Latrine (Urban-low)</t>
  </si>
  <si>
    <t>Latrine (rural)</t>
  </si>
  <si>
    <t>MCF</t>
  </si>
  <si>
    <t>Flowing Sewer (open or closed)</t>
  </si>
  <si>
    <t>Latrine (Urban-high)</t>
  </si>
  <si>
    <t>Fraction</t>
  </si>
  <si>
    <t>Default Methane correction factor values for domestic wastewater</t>
  </si>
  <si>
    <t>Notes</t>
  </si>
  <si>
    <t>Factor</t>
  </si>
  <si>
    <r>
      <t xml:space="preserve">Correction factor for additional industrial BOD discharge in sewers, </t>
    </r>
    <r>
      <rPr>
        <b/>
        <sz val="11"/>
        <color theme="1"/>
        <rFont val="Calibri"/>
        <family val="2"/>
        <scheme val="minor"/>
      </rPr>
      <t>collected</t>
    </r>
    <r>
      <rPr>
        <b/>
        <sz val="11"/>
        <color rgb="FFC00000"/>
        <rFont val="Calibri"/>
        <family val="2"/>
        <scheme val="minor"/>
      </rPr>
      <t xml:space="preserve"> (I)</t>
    </r>
  </si>
  <si>
    <r>
      <t xml:space="preserve">Correction factor for additional industrial BOD discharge in sewers, </t>
    </r>
    <r>
      <rPr>
        <b/>
        <sz val="11"/>
        <color theme="1"/>
        <rFont val="Calibri"/>
        <family val="2"/>
        <scheme val="minor"/>
      </rPr>
      <t xml:space="preserve">uncollected </t>
    </r>
    <r>
      <rPr>
        <b/>
        <sz val="11"/>
        <color rgb="FFC00000"/>
        <rFont val="Calibri"/>
        <family val="2"/>
        <scheme val="minor"/>
      </rPr>
      <t>(I)</t>
    </r>
  </si>
  <si>
    <r>
      <t xml:space="preserve">Maximum CH4 producing capacity </t>
    </r>
    <r>
      <rPr>
        <b/>
        <sz val="11"/>
        <color rgb="FFC00000"/>
        <rFont val="Calibri"/>
        <family val="2"/>
        <scheme val="minor"/>
      </rPr>
      <t>(Bo)</t>
    </r>
  </si>
  <si>
    <r>
      <t xml:space="preserve">Degradable organic component </t>
    </r>
    <r>
      <rPr>
        <b/>
        <sz val="11"/>
        <color rgb="FFC00000"/>
        <rFont val="Calibri"/>
        <family val="2"/>
        <scheme val="minor"/>
      </rPr>
      <t>(BOD)</t>
    </r>
  </si>
  <si>
    <r>
      <t xml:space="preserve">Degree of Utilisation of treatment/discharge pathway </t>
    </r>
    <r>
      <rPr>
        <b/>
        <sz val="11"/>
        <color rgb="FFC00000"/>
        <rFont val="Calibri"/>
        <family val="2"/>
        <scheme val="minor"/>
      </rPr>
      <t>Ti,j</t>
    </r>
  </si>
  <si>
    <t xml:space="preserve">Emission factor  (EF) </t>
  </si>
  <si>
    <t>*EF=Bo. MCFj</t>
  </si>
  <si>
    <t>EFj</t>
  </si>
  <si>
    <t>For all systems</t>
  </si>
  <si>
    <t>Incineration and open burning of waste</t>
  </si>
  <si>
    <t>CH4 EMISSIONS</t>
  </si>
  <si>
    <t>N2O EMISSIONS</t>
  </si>
  <si>
    <t>fraction</t>
  </si>
  <si>
    <t>kg N/kg protein</t>
  </si>
  <si>
    <t>Constant Variables</t>
  </si>
  <si>
    <r>
      <t xml:space="preserve">Fraction nitrogen in protein  </t>
    </r>
    <r>
      <rPr>
        <b/>
        <sz val="11"/>
        <color rgb="FFC00000"/>
        <rFont val="Calibri"/>
        <family val="2"/>
        <scheme val="minor"/>
      </rPr>
      <t>(F_NPR)</t>
    </r>
  </si>
  <si>
    <r>
      <t xml:space="preserve">Emission factor N2O </t>
    </r>
    <r>
      <rPr>
        <b/>
        <sz val="11"/>
        <color rgb="FFC00000"/>
        <rFont val="Calibri"/>
        <family val="2"/>
        <scheme val="minor"/>
      </rPr>
      <t>(EF_effluent)</t>
    </r>
  </si>
  <si>
    <r>
      <t xml:space="preserve">Factor for non-consumed protein added to wastewater </t>
    </r>
    <r>
      <rPr>
        <b/>
        <sz val="11"/>
        <color rgb="FFC00000"/>
        <rFont val="Calibri"/>
        <family val="2"/>
        <scheme val="minor"/>
      </rPr>
      <t>(F_non-con)</t>
    </r>
  </si>
  <si>
    <r>
      <t xml:space="preserve">Factor for industrial and commecial co-discharged protein into sewer system </t>
    </r>
    <r>
      <rPr>
        <b/>
        <sz val="11"/>
        <color rgb="FFC00000"/>
        <rFont val="Calibri"/>
        <family val="2"/>
        <scheme val="minor"/>
      </rPr>
      <t xml:space="preserve">(F_ind-com) </t>
    </r>
  </si>
  <si>
    <t>kg N/yr</t>
  </si>
  <si>
    <t>Factor conversion kg N2O-N into kg N2O</t>
  </si>
  <si>
    <t>*averaged from 2000 to 2017 (FAO)</t>
  </si>
  <si>
    <r>
      <t>Per capita protein consumption</t>
    </r>
    <r>
      <rPr>
        <b/>
        <sz val="11"/>
        <color rgb="FFC00000"/>
        <rFont val="Calibri"/>
        <family val="2"/>
        <scheme val="minor"/>
      </rPr>
      <t xml:space="preserve"> (Protein)</t>
    </r>
  </si>
  <si>
    <t>kg protein/capita/yr</t>
  </si>
  <si>
    <t>Temperate</t>
  </si>
  <si>
    <t>Tropical</t>
  </si>
  <si>
    <t>Dry</t>
  </si>
  <si>
    <t>Wet</t>
  </si>
  <si>
    <t>Moist and Wet</t>
  </si>
  <si>
    <t>Type of Waste</t>
  </si>
  <si>
    <t>Default Value</t>
  </si>
  <si>
    <t>Range</t>
  </si>
  <si>
    <t>Slowly degrading waste</t>
  </si>
  <si>
    <t>Paper/textile waste</t>
  </si>
  <si>
    <t>0.03–0.05</t>
  </si>
  <si>
    <t>0.05–0.07</t>
  </si>
  <si>
    <t>0.04–0.06</t>
  </si>
  <si>
    <t>0.06–0.085</t>
  </si>
  <si>
    <t>Wood/ straw/ rubber waste</t>
  </si>
  <si>
    <t>0.01–0.03</t>
  </si>
  <si>
    <t>0.02–0.04</t>
  </si>
  <si>
    <t>Moderately degrading waste</t>
  </si>
  <si>
    <t>Garden and park waste</t>
  </si>
  <si>
    <t>0.06–0.1</t>
  </si>
  <si>
    <t>0.05–0.08</t>
  </si>
  <si>
    <t>0.15–0.2</t>
  </si>
  <si>
    <t>Rapidly degrading waste</t>
  </si>
  <si>
    <t>Food waste/ sewage sludge</t>
  </si>
  <si>
    <t>0.1–0.2</t>
  </si>
  <si>
    <t>0.07–0.1</t>
  </si>
  <si>
    <t xml:space="preserve">0.17–0.7 </t>
  </si>
  <si>
    <t>Bulk MSW or Industrial Waste</t>
  </si>
  <si>
    <t>Mixed composition</t>
  </si>
  <si>
    <t>0.08–0.1</t>
  </si>
  <si>
    <t>Food waste</t>
  </si>
  <si>
    <t>0.08-0.20</t>
  </si>
  <si>
    <t>Garden</t>
  </si>
  <si>
    <t>0.18-0.22</t>
  </si>
  <si>
    <t>Paper</t>
  </si>
  <si>
    <t>0.36-0.45</t>
  </si>
  <si>
    <t>Wood and straw</t>
  </si>
  <si>
    <t>0.39-0.46</t>
  </si>
  <si>
    <t>Textiles</t>
  </si>
  <si>
    <t>0.20-0.40</t>
  </si>
  <si>
    <t>Disposable nappies</t>
  </si>
  <si>
    <t>0.18-0.32</t>
  </si>
  <si>
    <t>Rubber</t>
  </si>
  <si>
    <t>0.39</t>
  </si>
  <si>
    <t>Bulk MSW waste</t>
  </si>
  <si>
    <t>0.12-0.28</t>
  </si>
  <si>
    <t>Industrial waste</t>
  </si>
  <si>
    <t>0-0.54</t>
  </si>
  <si>
    <t>IPCC DOC content in wet waste</t>
  </si>
  <si>
    <t xml:space="preserve">IPCC default values for DOC and fossil carbon content in different types of waste </t>
  </si>
  <si>
    <t>MSW component</t>
  </si>
  <si>
    <t>Plastics</t>
  </si>
  <si>
    <t xml:space="preserve">Metals </t>
  </si>
  <si>
    <t xml:space="preserve">Glass </t>
  </si>
  <si>
    <t xml:space="preserve">Other, inert waste </t>
  </si>
  <si>
    <t>-</t>
  </si>
  <si>
    <t xml:space="preserve">Total carbon fraction of dry weight </t>
  </si>
  <si>
    <t>Fossil carbon fraction of total carbon</t>
  </si>
  <si>
    <t xml:space="preserve">Dry matter fraction of wet weight </t>
  </si>
  <si>
    <t>IPCC default values for DOC and fossil carbon content in industrial waste (in wet waste produced)</t>
  </si>
  <si>
    <t xml:space="preserve">Industry type </t>
  </si>
  <si>
    <t>Food, beverages and tobacco (other than sludge)</t>
  </si>
  <si>
    <t>Textile</t>
  </si>
  <si>
    <t>Wood and wood products</t>
  </si>
  <si>
    <t>Pulp and paper</t>
  </si>
  <si>
    <t>Petroleum products, solvebts, plastics</t>
  </si>
  <si>
    <t>Construction and demolition</t>
  </si>
  <si>
    <t>DOC fraction</t>
  </si>
  <si>
    <t>(0.39)'</t>
  </si>
  <si>
    <t>*Natural rubbers will likely not degrade under anaerobic conditions in SWDS</t>
  </si>
  <si>
    <t>Fossil Carbon</t>
  </si>
  <si>
    <t>Total Carbon</t>
  </si>
  <si>
    <t>Water Content</t>
  </si>
  <si>
    <t>IPCC DEFAULT METHANE GENERATION RATE CONSTANTS (1/yr)</t>
  </si>
  <si>
    <t>IPCC Climate Zone Definitions</t>
  </si>
  <si>
    <t>MAT</t>
  </si>
  <si>
    <t>MAP</t>
  </si>
  <si>
    <t>MAP/PET</t>
  </si>
  <si>
    <t>Dry temperate</t>
  </si>
  <si>
    <t>0 - 20°C</t>
  </si>
  <si>
    <t>&lt;1</t>
  </si>
  <si>
    <t>Wet temperate</t>
  </si>
  <si>
    <t>&gt;1</t>
  </si>
  <si>
    <t>Dry tropical</t>
  </si>
  <si>
    <t>&gt; 20°C</t>
  </si>
  <si>
    <t>&lt;1000 mm</t>
  </si>
  <si>
    <t>Moist and wet tropical</t>
  </si>
  <si>
    <t>&gt;1000 mm</t>
  </si>
  <si>
    <t xml:space="preserve">MAT – Mean annual temperature; </t>
  </si>
  <si>
    <t xml:space="preserve">MAP – Mean annual precipitation; </t>
  </si>
  <si>
    <t xml:space="preserve">PET  – Potential evapotranspiration. </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</si>
  <si>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</si>
  <si>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</si>
  <si>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</si>
  <si>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</si>
  <si>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</si>
  <si>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t>Half life (years)</t>
  </si>
  <si>
    <t>DOC fraction in wet waste</t>
  </si>
  <si>
    <t>DOC fraction in dry waste</t>
  </si>
  <si>
    <t>Other waste types</t>
  </si>
  <si>
    <t>Hazardous waste</t>
  </si>
  <si>
    <t>Clinical waste</t>
  </si>
  <si>
    <t>NA</t>
  </si>
  <si>
    <t>*higher fossil carbon for waste with lower water content</t>
  </si>
  <si>
    <t>0.05-0.50'</t>
  </si>
  <si>
    <t>0.10-0.90'</t>
  </si>
  <si>
    <t>Derived from k values obtained in experimental measurements, calculated by models, or used in GHG inventories and other studies</t>
  </si>
  <si>
    <r>
      <t>Decay rate constant (y</t>
    </r>
    <r>
      <rPr>
        <b/>
        <vertAlign val="superscript"/>
        <sz val="11"/>
        <rFont val="Calibri"/>
        <family val="2"/>
        <scheme val="minor"/>
      </rPr>
      <t>-1</t>
    </r>
    <r>
      <rPr>
        <b/>
        <sz val="11"/>
        <rFont val="Calibri"/>
        <family val="2"/>
        <scheme val="minor"/>
      </rPr>
      <t>)</t>
    </r>
  </si>
  <si>
    <r>
      <t>Decay rate constant  (y</t>
    </r>
    <r>
      <rPr>
        <b/>
        <vertAlign val="superscript"/>
        <sz val="11"/>
        <rFont val="Calibri"/>
        <family val="2"/>
        <scheme val="minor"/>
      </rPr>
      <t>-1</t>
    </r>
    <r>
      <rPr>
        <b/>
        <sz val="11"/>
        <rFont val="Calibri"/>
        <family val="2"/>
        <scheme val="minor"/>
      </rPr>
      <t>)</t>
    </r>
  </si>
  <si>
    <t>Open burning of waste</t>
  </si>
  <si>
    <r>
      <t xml:space="preserve">Fraction of the amount of waste burnt relatuve to total amount of waste treated </t>
    </r>
    <r>
      <rPr>
        <b/>
        <sz val="11"/>
        <color rgb="FFC00000"/>
        <rFont val="Calibri"/>
        <family val="2"/>
        <scheme val="minor"/>
      </rPr>
      <t>(B_frac)</t>
    </r>
  </si>
  <si>
    <r>
      <rPr>
        <sz val="11"/>
        <color theme="1"/>
        <rFont val="Calibri"/>
        <family val="2"/>
        <scheme val="minor"/>
      </rPr>
      <t>Fraction of the population  burning waste</t>
    </r>
    <r>
      <rPr>
        <b/>
        <sz val="11"/>
        <color theme="1"/>
        <rFont val="Calibri"/>
        <family val="2"/>
        <scheme val="minor"/>
      </rPr>
      <t xml:space="preserve"> </t>
    </r>
    <r>
      <rPr>
        <b/>
        <sz val="11"/>
        <color rgb="FFC00000"/>
        <rFont val="Calibri"/>
        <family val="2"/>
        <scheme val="minor"/>
      </rPr>
      <t>(Pfrac)</t>
    </r>
  </si>
  <si>
    <t>*depends on fraction sent to recycling, SWDS</t>
  </si>
  <si>
    <r>
      <t xml:space="preserve">Nitrogen removed with sludge </t>
    </r>
    <r>
      <rPr>
        <b/>
        <sz val="11"/>
        <color rgb="FFC00000"/>
        <rFont val="Calibri"/>
        <family val="2"/>
        <scheme val="minor"/>
      </rPr>
      <t>(N_sludge)</t>
    </r>
  </si>
  <si>
    <t>kg N2O-N/kg N</t>
  </si>
  <si>
    <t>*open burning of waste</t>
  </si>
  <si>
    <t>kg/ Gg MSW</t>
  </si>
  <si>
    <r>
      <t>CH4 emission factor  (open burning of waste)</t>
    </r>
    <r>
      <rPr>
        <b/>
        <sz val="11"/>
        <color rgb="FFC00000"/>
        <rFont val="Calibri"/>
        <family val="2"/>
        <scheme val="minor"/>
      </rPr>
      <t xml:space="preserve"> (EF_CH4)</t>
    </r>
  </si>
  <si>
    <r>
      <t xml:space="preserve">N2O emission factor (open burning of waste)  </t>
    </r>
    <r>
      <rPr>
        <b/>
        <sz val="11"/>
        <color rgb="FFC00000"/>
        <rFont val="Calibri"/>
        <family val="2"/>
        <scheme val="minor"/>
      </rPr>
      <t>(EF_N2O)</t>
    </r>
  </si>
  <si>
    <r>
      <t xml:space="preserve">kg/ Gg MSW </t>
    </r>
    <r>
      <rPr>
        <b/>
        <sz val="11"/>
        <color theme="1"/>
        <rFont val="Calibri"/>
        <family val="2"/>
        <scheme val="minor"/>
      </rPr>
      <t>(dry weight)</t>
    </r>
  </si>
  <si>
    <r>
      <t xml:space="preserve">Oxidation factor (for CO2 emissions) </t>
    </r>
    <r>
      <rPr>
        <b/>
        <sz val="11"/>
        <color rgb="FFC00000"/>
        <rFont val="Calibri"/>
        <family val="2"/>
        <scheme val="minor"/>
      </rPr>
      <t>(OF)</t>
    </r>
  </si>
  <si>
    <t xml:space="preserve">Biological treatment of solid waste </t>
  </si>
  <si>
    <t>CH4 emission factors</t>
  </si>
  <si>
    <t xml:space="preserve">Composting </t>
  </si>
  <si>
    <t>Dry weight basis</t>
  </si>
  <si>
    <t>Wet weight basis</t>
  </si>
  <si>
    <t xml:space="preserve">gCH4/kg waste treated </t>
  </si>
  <si>
    <t xml:space="preserve">Anaerobic digestion at biogas facilities </t>
  </si>
  <si>
    <t>N2O Emission factors</t>
  </si>
  <si>
    <t>neg.</t>
  </si>
  <si>
    <t xml:space="preserve">gN2O/kg waste treated </t>
  </si>
  <si>
    <t>25-50% DOC in dry matter, 2% N in dry matter, moisture content 60%. Emissions for dry waste are estimated from wet waste assuming a moisture content of 60%</t>
  </si>
  <si>
    <t>Assumptions on the waste treated</t>
  </si>
  <si>
    <t>Carbon emission factor (the product of dm, CF and FCF for each component)</t>
  </si>
  <si>
    <t>4A</t>
  </si>
  <si>
    <t>CH4</t>
  </si>
  <si>
    <t>4C2</t>
  </si>
  <si>
    <t>CO2</t>
  </si>
  <si>
    <t>N2O</t>
  </si>
  <si>
    <t>4D1</t>
  </si>
  <si>
    <t>Wastewater Treatment and Discharge</t>
  </si>
  <si>
    <t>4B</t>
  </si>
  <si>
    <t>conversion factor from C to CO2</t>
  </si>
  <si>
    <t>factor</t>
  </si>
  <si>
    <t>Conversion of kg to Gg</t>
  </si>
  <si>
    <t>Solid waste disposal</t>
  </si>
  <si>
    <t xml:space="preserve">Constant variables </t>
  </si>
  <si>
    <t>Type of site</t>
  </si>
  <si>
    <t>Managed - anaerobic</t>
  </si>
  <si>
    <t>Managed -semi-aerobic</t>
  </si>
  <si>
    <t>Unmanaged - deep (&gt;5m waste) and/or high water table</t>
  </si>
  <si>
    <t>Unmanaged - shallow (&lt;5m waste)</t>
  </si>
  <si>
    <t>Uncategorised SWDS</t>
  </si>
  <si>
    <t>Methane Correction factors for SWDS default values</t>
  </si>
  <si>
    <t>Managed, unmanaged and uncategorised SWDS</t>
  </si>
  <si>
    <t>Managed covered with CH4 oxidising material</t>
  </si>
  <si>
    <t>OX</t>
  </si>
  <si>
    <r>
      <rPr>
        <b/>
        <sz val="11"/>
        <color theme="1"/>
        <rFont val="Calibri"/>
        <family val="2"/>
        <scheme val="minor"/>
      </rPr>
      <t>Oxidation factor</t>
    </r>
    <r>
      <rPr>
        <sz val="11"/>
        <color theme="1"/>
        <rFont val="Calibri"/>
        <family val="2"/>
        <scheme val="minor"/>
      </rPr>
      <t xml:space="preserve"> </t>
    </r>
    <r>
      <rPr>
        <b/>
        <sz val="11"/>
        <color rgb="FFC00000"/>
        <rFont val="Calibri"/>
        <family val="2"/>
        <scheme val="minor"/>
      </rPr>
      <t>(OX)</t>
    </r>
    <r>
      <rPr>
        <sz val="11"/>
        <color theme="1"/>
        <rFont val="Calibri"/>
        <family val="2"/>
        <scheme val="minor"/>
      </rPr>
      <t xml:space="preserve"> </t>
    </r>
    <r>
      <rPr>
        <b/>
        <sz val="11"/>
        <color theme="1"/>
        <rFont val="Calibri"/>
        <family val="2"/>
        <scheme val="minor"/>
      </rPr>
      <t>default values</t>
    </r>
  </si>
  <si>
    <t>years</t>
  </si>
  <si>
    <t>h=ln2/(k)</t>
  </si>
  <si>
    <t>Climate zone of ZA</t>
  </si>
  <si>
    <t>MAP/PET&lt;1</t>
  </si>
  <si>
    <t xml:space="preserve">*for bulk waste, based on climate zone (see shet MSW Charactersitics for more details </t>
  </si>
  <si>
    <t>Dry, Temperate</t>
  </si>
  <si>
    <t>Year</t>
  </si>
  <si>
    <t>Population</t>
  </si>
  <si>
    <t>Waste per capita</t>
  </si>
  <si>
    <t>% to SWDS</t>
  </si>
  <si>
    <t>Food</t>
  </si>
  <si>
    <t>Wood</t>
  </si>
  <si>
    <t>Nappies</t>
  </si>
  <si>
    <t>Plastics, other inert</t>
  </si>
  <si>
    <t>Total</t>
  </si>
  <si>
    <t>millions</t>
  </si>
  <si>
    <t>kg/cap/yr</t>
  </si>
  <si>
    <t>Gg</t>
  </si>
  <si>
    <t>%</t>
  </si>
  <si>
    <t>(=100%)</t>
  </si>
  <si>
    <t xml:space="preserve">Input data for the waste model </t>
  </si>
  <si>
    <t xml:space="preserve">millions </t>
  </si>
  <si>
    <t>SWDS</t>
  </si>
  <si>
    <t>Anaerobic digestion</t>
  </si>
  <si>
    <t>Amount deposited</t>
  </si>
  <si>
    <t>DOC</t>
  </si>
  <si>
    <t>Decomposable DOC (DDOCm) deposited</t>
  </si>
  <si>
    <t>DDOCm not reacted. Deposition year</t>
  </si>
  <si>
    <t>DDOCm decomposed. Deposition year</t>
  </si>
  <si>
    <t>DDOCm accumulated in SWDS end of year</t>
  </si>
  <si>
    <t>DDOCm decomposed</t>
  </si>
  <si>
    <t xml:space="preserve">W </t>
  </si>
  <si>
    <t>D = W * DOC * DOCf * MCF</t>
  </si>
  <si>
    <t>B = D * exp2</t>
  </si>
  <si>
    <t>C = D * (1- exp2)</t>
  </si>
  <si>
    <t>Q = E * 16/12 * F</t>
  </si>
  <si>
    <t>All other, inerts</t>
  </si>
  <si>
    <t>exp1</t>
  </si>
  <si>
    <t xml:space="preserve"> exp(-k)</t>
  </si>
  <si>
    <t>Process start in deposition year. Month M</t>
  </si>
  <si>
    <t>M</t>
  </si>
  <si>
    <t>exp2</t>
  </si>
  <si>
    <t>exp(-k*((13-M)/12))</t>
  </si>
  <si>
    <t>F</t>
  </si>
  <si>
    <t>Delay time</t>
  </si>
  <si>
    <t>months</t>
  </si>
  <si>
    <r>
      <t xml:space="preserve">Methane generation rate constant </t>
    </r>
    <r>
      <rPr>
        <b/>
        <sz val="11"/>
        <color rgb="FFC00000"/>
        <rFont val="Calibri"/>
        <family val="2"/>
        <scheme val="minor"/>
      </rPr>
      <t>(k)</t>
    </r>
  </si>
  <si>
    <r>
      <t xml:space="preserve">Half-life time </t>
    </r>
    <r>
      <rPr>
        <b/>
        <sz val="11"/>
        <color rgb="FFC00000"/>
        <rFont val="Calibri"/>
        <family val="2"/>
        <scheme val="minor"/>
      </rPr>
      <t>(t 1/2)</t>
    </r>
  </si>
  <si>
    <r>
      <t xml:space="preserve">Fraction to CH4 </t>
    </r>
    <r>
      <rPr>
        <b/>
        <sz val="11"/>
        <color rgb="FFC00000"/>
        <rFont val="Calibri"/>
        <family val="2"/>
        <scheme val="minor"/>
      </rPr>
      <t>(F)</t>
    </r>
  </si>
  <si>
    <r>
      <rPr>
        <sz val="11"/>
        <rFont val="Calibri"/>
        <family val="2"/>
        <scheme val="minor"/>
      </rPr>
      <t xml:space="preserve">Fraction of DOC dissimilated </t>
    </r>
    <r>
      <rPr>
        <b/>
        <sz val="11"/>
        <color rgb="FFC00000"/>
        <rFont val="Calibri"/>
        <family val="2"/>
        <scheme val="minor"/>
      </rPr>
      <t>(DOCf)</t>
    </r>
  </si>
  <si>
    <t>Methane Correction Factor (MCF)</t>
  </si>
  <si>
    <t>Calculated values for MCF</t>
  </si>
  <si>
    <t>This worksheet calculates a weighted average MCF from the estimated distribution of site types</t>
  </si>
  <si>
    <t>Enter either IPCC default values or national values into the yellow MCF cells in row 12</t>
  </si>
  <si>
    <t>Then enter the approximate distribution of waste disposals (by mass) between site types in the columns below.</t>
  </si>
  <si>
    <t>Totals on each row must add up to 100% (see "distribution check" values)</t>
  </si>
  <si>
    <t>MSW</t>
  </si>
  <si>
    <t>Industrial</t>
  </si>
  <si>
    <t>Un-managed, shallow</t>
  </si>
  <si>
    <t>Un-managed, deep</t>
  </si>
  <si>
    <t>Managed</t>
  </si>
  <si>
    <t>Managed, semi-aerobic</t>
  </si>
  <si>
    <t>Uncate-gorised</t>
  </si>
  <si>
    <t>Distri-bution Check</t>
  </si>
  <si>
    <t>References / remarks</t>
  </si>
  <si>
    <t>Weighted average MCF for MSW</t>
  </si>
  <si>
    <t>Weighted average MCF for Industrial Waste</t>
  </si>
  <si>
    <t>IPCC default</t>
  </si>
  <si>
    <t>Country-specific value</t>
  </si>
  <si>
    <t>Distribution of Waste by Waste Management Type</t>
  </si>
  <si>
    <t>"Fixed" Country-specifc value</t>
  </si>
  <si>
    <t>Total (100%)</t>
  </si>
  <si>
    <t>wt. fraction</t>
  </si>
  <si>
    <t>Open-burning</t>
  </si>
  <si>
    <t>CH4emis=IWi*Efi*convesion factor'</t>
  </si>
  <si>
    <t>CO2 emissions (Gg)</t>
  </si>
  <si>
    <t>N2O emissions (Gg)</t>
  </si>
  <si>
    <t>Mass of MSW produced</t>
  </si>
  <si>
    <t xml:space="preserve">Methane recovery (R) </t>
  </si>
  <si>
    <t>Overall CH4 emissions (Gg)</t>
  </si>
  <si>
    <t>CH4 emissions (Gg)</t>
  </si>
  <si>
    <t>IPCC code</t>
  </si>
  <si>
    <t>Gas</t>
  </si>
  <si>
    <t>Total emissions for the waste sector (Gg)</t>
  </si>
  <si>
    <r>
      <t>Per capita protein consumption</t>
    </r>
    <r>
      <rPr>
        <b/>
        <sz val="12"/>
        <color rgb="FFC00000"/>
        <rFont val="Calibri"/>
        <family val="2"/>
        <scheme val="minor"/>
      </rPr>
      <t xml:space="preserve"> (Protein)</t>
    </r>
  </si>
  <si>
    <t>Total organically degradable material in wastewater (TOW)</t>
  </si>
  <si>
    <t>kg BOD/yr</t>
  </si>
  <si>
    <t>Urban-high</t>
  </si>
  <si>
    <t>Urban-low</t>
  </si>
  <si>
    <r>
      <t>CH</t>
    </r>
    <r>
      <rPr>
        <b/>
        <vertAlign val="subscript"/>
        <sz val="10"/>
        <color indexed="8"/>
        <rFont val="Calibri"/>
        <family val="2"/>
        <scheme val="minor"/>
      </rPr>
      <t>4</t>
    </r>
    <r>
      <rPr>
        <b/>
        <sz val="10"/>
        <color indexed="8"/>
        <rFont val="Calibri"/>
        <family val="2"/>
        <scheme val="minor"/>
      </rPr>
      <t xml:space="preserve"> generated</t>
    </r>
    <r>
      <rPr>
        <b/>
        <sz val="10"/>
        <rFont val="Calibri"/>
        <family val="2"/>
        <scheme val="minor"/>
      </rPr>
      <t xml:space="preserve"> </t>
    </r>
  </si>
  <si>
    <r>
      <t>H = B + (H</t>
    </r>
    <r>
      <rPr>
        <vertAlign val="subscript"/>
        <sz val="8"/>
        <rFont val="Calibri"/>
        <family val="2"/>
        <scheme val="minor"/>
      </rPr>
      <t>last year</t>
    </r>
    <r>
      <rPr>
        <sz val="8"/>
        <rFont val="Calibri"/>
        <family val="2"/>
        <scheme val="minor"/>
      </rPr>
      <t xml:space="preserve"> * exp1)</t>
    </r>
  </si>
  <si>
    <r>
      <t>E = C + H</t>
    </r>
    <r>
      <rPr>
        <vertAlign val="subscript"/>
        <sz val="8"/>
        <rFont val="Calibri"/>
        <family val="2"/>
        <scheme val="minor"/>
      </rPr>
      <t>last year</t>
    </r>
    <r>
      <rPr>
        <sz val="8"/>
        <rFont val="Calibri"/>
        <family val="2"/>
        <scheme val="minor"/>
      </rPr>
      <t xml:space="preserve"> * (1 - exp1)</t>
    </r>
  </si>
  <si>
    <t xml:space="preserve">Total </t>
  </si>
  <si>
    <t xml:space="preserve">Latrine </t>
  </si>
  <si>
    <t>Total CH4 emissions</t>
  </si>
  <si>
    <t>Urban-low - CH4 emissions (kg CH4/yr)</t>
  </si>
  <si>
    <t>Urban-high - CH4 emissions  (kg CH4/yr)</t>
  </si>
  <si>
    <t>Rural - CH4 emissions  (kg CH4/yr)</t>
  </si>
  <si>
    <t>Organic component removed as sludge (S)</t>
  </si>
  <si>
    <t>Total organically degradable material in wastewater post sludge removal  (TOW-S)</t>
  </si>
  <si>
    <t xml:space="preserve">Amount of methane recovered </t>
  </si>
  <si>
    <t xml:space="preserve"> (Gg CH4/yr)</t>
  </si>
  <si>
    <t>N2O emissions</t>
  </si>
  <si>
    <t>Gg N2O/yr</t>
  </si>
  <si>
    <t>Implementation of policies</t>
  </si>
  <si>
    <t>Strategic Objective</t>
  </si>
  <si>
    <t>Case 1: Policy targets achieved as stated</t>
  </si>
  <si>
    <t xml:space="preserve">Case 2: Policy targets only partially or not achieved </t>
  </si>
  <si>
    <t>Case 3: Policy targets are exceeded</t>
  </si>
  <si>
    <t>M1.1</t>
  </si>
  <si>
    <t>Prevent waste through cleaner production, industrial symbiosis, and extended producer responsibility</t>
  </si>
  <si>
    <t>M1.2</t>
  </si>
  <si>
    <t>Increase reuse, recycling and recovery rates</t>
  </si>
  <si>
    <t>From the SASoW for 2017, assuming no further gains to 2030:</t>
  </si>
  <si>
    <t>M1.3</t>
  </si>
  <si>
    <t xml:space="preserve">Divert organic waste from landfill through composting and the recovery of energy </t>
  </si>
  <si>
    <r>
      <t>•</t>
    </r>
    <r>
      <rPr>
        <sz val="11"/>
        <color rgb="FF000000"/>
        <rFont val="Calibri"/>
        <family val="2"/>
      </rPr>
      <t>Reduction in waste disposed to landfill</t>
    </r>
  </si>
  <si>
    <r>
      <t>•</t>
    </r>
    <r>
      <rPr>
        <sz val="11"/>
        <color rgb="FF000000"/>
        <rFont val="Calibri"/>
        <family val="2"/>
      </rPr>
      <t>50% within 5 years</t>
    </r>
  </si>
  <si>
    <r>
      <t>•</t>
    </r>
    <r>
      <rPr>
        <sz val="11"/>
        <color rgb="FF000000"/>
        <rFont val="Calibri"/>
        <family val="2"/>
      </rPr>
      <t>50% within  10 years</t>
    </r>
  </si>
  <si>
    <r>
      <t>•</t>
    </r>
    <r>
      <rPr>
        <sz val="11"/>
        <color rgb="FF000000"/>
        <rFont val="Calibri"/>
        <family val="2"/>
      </rPr>
      <t xml:space="preserve">65% within 10 years </t>
    </r>
  </si>
  <si>
    <r>
      <t>•</t>
    </r>
    <r>
      <rPr>
        <sz val="11"/>
        <color rgb="FF000000"/>
        <rFont val="Calibri"/>
        <family val="2"/>
      </rPr>
      <t xml:space="preserve">65% within 20 years </t>
    </r>
  </si>
  <si>
    <r>
      <t>•</t>
    </r>
    <r>
      <rPr>
        <sz val="11"/>
        <color rgb="FF000000"/>
        <rFont val="Calibri"/>
        <family val="2"/>
      </rPr>
      <t xml:space="preserve">At least 80% within 15 years  </t>
    </r>
  </si>
  <si>
    <r>
      <t>•</t>
    </r>
    <r>
      <rPr>
        <sz val="11"/>
        <color rgb="FF000000"/>
        <rFont val="Calibri"/>
        <family val="2"/>
      </rPr>
      <t xml:space="preserve">At least 80% within 30 years  </t>
    </r>
  </si>
  <si>
    <r>
      <t>•</t>
    </r>
    <r>
      <rPr>
        <sz val="11"/>
        <color rgb="FF000000"/>
        <rFont val="Calibri"/>
        <family val="2"/>
      </rPr>
      <t>70% of paper recycled</t>
    </r>
  </si>
  <si>
    <r>
      <t>•</t>
    </r>
    <r>
      <rPr>
        <sz val="11"/>
        <color rgb="FF000000"/>
        <rFont val="Calibri"/>
        <family val="2"/>
      </rPr>
      <t>60% of plastic recycled</t>
    </r>
  </si>
  <si>
    <r>
      <t>•</t>
    </r>
    <r>
      <rPr>
        <sz val="11"/>
        <color rgb="FF000000"/>
        <rFont val="Calibri"/>
        <family val="2"/>
      </rPr>
      <t>58% of paper recycled</t>
    </r>
  </si>
  <si>
    <r>
      <t>•</t>
    </r>
    <r>
      <rPr>
        <sz val="11"/>
        <color rgb="FF000000"/>
        <rFont val="Calibri"/>
        <family val="2"/>
      </rPr>
      <t>90% of glass recycled</t>
    </r>
  </si>
  <si>
    <r>
      <t>•</t>
    </r>
    <r>
      <rPr>
        <sz val="11"/>
        <color rgb="FF000000"/>
        <rFont val="Calibri"/>
        <family val="2"/>
      </rPr>
      <t>43.7% of plastic recycled</t>
    </r>
  </si>
  <si>
    <r>
      <t>•</t>
    </r>
    <r>
      <rPr>
        <sz val="11"/>
        <color rgb="FF000000"/>
        <rFont val="Calibri"/>
        <family val="2"/>
      </rPr>
      <t>90% of metals recycled</t>
    </r>
  </si>
  <si>
    <r>
      <t>•</t>
    </r>
    <r>
      <rPr>
        <sz val="11"/>
        <color rgb="FF000000"/>
        <rFont val="Calibri"/>
        <family val="2"/>
      </rPr>
      <t>71.2% of glass recycled</t>
    </r>
  </si>
  <si>
    <r>
      <t>•</t>
    </r>
    <r>
      <rPr>
        <sz val="11"/>
        <color rgb="FF000000"/>
        <rFont val="Calibri"/>
        <family val="2"/>
      </rPr>
      <t>40% of fly -ash recycled</t>
    </r>
  </si>
  <si>
    <r>
      <t>•</t>
    </r>
    <r>
      <rPr>
        <sz val="11"/>
        <color rgb="FF000000"/>
        <rFont val="Calibri"/>
        <family val="2"/>
      </rPr>
      <t>80% of metals recycled</t>
    </r>
  </si>
  <si>
    <r>
      <t>•</t>
    </r>
    <r>
      <rPr>
        <sz val="11"/>
        <color rgb="FF000000"/>
        <rFont val="Calibri"/>
        <family val="2"/>
      </rPr>
      <t>3.1% of fly -ash recycled</t>
    </r>
  </si>
  <si>
    <r>
      <t>•</t>
    </r>
    <r>
      <rPr>
        <sz val="11"/>
        <color rgb="FF000000"/>
        <rFont val="Calibri"/>
        <family val="2"/>
      </rPr>
      <t xml:space="preserve">50% reduction in volume of organic waste disposed to landfill within 5 years </t>
    </r>
    <r>
      <rPr>
        <sz val="11"/>
        <color rgb="FFFF0000"/>
        <rFont val="Calibri"/>
        <family val="2"/>
      </rPr>
      <t>(need to determine what the composting/AD split would be)</t>
    </r>
  </si>
  <si>
    <r>
      <t>•</t>
    </r>
    <r>
      <rPr>
        <sz val="11"/>
        <color rgb="FF000000"/>
        <rFont val="Calibri"/>
        <family val="2"/>
      </rPr>
      <t>25% reduction in volume of organic waste disposed to landfill within 5; 50% in 10 years</t>
    </r>
  </si>
  <si>
    <r>
      <t>Growth of the energy recovery industry double the anticipated</t>
    </r>
    <r>
      <rPr>
        <sz val="11"/>
        <color rgb="FFFF0000"/>
        <rFont val="Calibri"/>
        <family val="2"/>
      </rPr>
      <t xml:space="preserve"> (?)</t>
    </r>
  </si>
  <si>
    <t>Ensure municipal landfill sites and waste management facilities comply with licensing</t>
  </si>
  <si>
    <t>requirements  (not part of waste minimisation)</t>
  </si>
  <si>
    <t>Achieve universal, sustainable sanitation provision</t>
  </si>
  <si>
    <t>M1.4</t>
  </si>
  <si>
    <t>M2</t>
  </si>
  <si>
    <r>
      <t>•</t>
    </r>
    <r>
      <rPr>
        <sz val="11"/>
        <color rgb="FF000000"/>
        <rFont val="Calibri"/>
        <family val="2"/>
      </rPr>
      <t>All landfill sites are converted from unmanaged to managed (by 2030)</t>
    </r>
  </si>
  <si>
    <r>
      <t>•</t>
    </r>
    <r>
      <rPr>
        <sz val="11"/>
        <color rgb="FFC00000"/>
        <rFont val="Calibri"/>
        <family val="2"/>
      </rPr>
      <t>50% conversion from unmanaged to managed (by 2030)</t>
    </r>
  </si>
  <si>
    <r>
      <t>•</t>
    </r>
    <r>
      <rPr>
        <sz val="11"/>
        <color rgb="FF000000"/>
        <rFont val="Calibri"/>
        <family val="2"/>
      </rPr>
      <t>Provide 48% of the rural population and 20% of the urban low-income previously not receiving sanitation treatment with adequate sanitation (based on IPCC default values) by 2030</t>
    </r>
  </si>
  <si>
    <r>
      <t>•</t>
    </r>
    <r>
      <rPr>
        <sz val="11"/>
        <color rgb="FF000000"/>
        <rFont val="Calibri"/>
        <family val="2"/>
      </rPr>
      <t>Policy target not achieved by 2030 and only 2050</t>
    </r>
  </si>
  <si>
    <t>Industry</t>
  </si>
  <si>
    <r>
      <t xml:space="preserve">Degradable organic carbon content </t>
    </r>
    <r>
      <rPr>
        <b/>
        <sz val="11"/>
        <color rgb="FFC00000"/>
        <rFont val="Calibri"/>
        <family val="2"/>
        <scheme val="minor"/>
      </rPr>
      <t>(DOC)</t>
    </r>
  </si>
  <si>
    <t>varies</t>
  </si>
  <si>
    <t>Industry waste</t>
  </si>
  <si>
    <t>Methane emissions</t>
  </si>
  <si>
    <t>Sludge</t>
  </si>
  <si>
    <t>Methane recovery</t>
  </si>
  <si>
    <t>Total methane emissions</t>
  </si>
  <si>
    <t>Plastic</t>
  </si>
  <si>
    <t>Glass</t>
  </si>
  <si>
    <t>Metal</t>
  </si>
  <si>
    <t>Fly ash</t>
  </si>
  <si>
    <t>waste incinerated</t>
  </si>
  <si>
    <t>waste landfilled</t>
  </si>
  <si>
    <t>informal dumping</t>
  </si>
  <si>
    <t>recycling</t>
  </si>
  <si>
    <t>Mass of waste (ton)</t>
  </si>
  <si>
    <t>Plastics, other inert*</t>
  </si>
  <si>
    <t>Plastic (GW51)</t>
  </si>
  <si>
    <t>Glass (GW52)</t>
  </si>
  <si>
    <t>Metals (GW53)</t>
  </si>
  <si>
    <t>Tyres (GW54)</t>
  </si>
  <si>
    <t>Households (unserviced)*</t>
  </si>
  <si>
    <t>GW01</t>
  </si>
  <si>
    <t>Households (serviced)*</t>
  </si>
  <si>
    <t>GW10</t>
  </si>
  <si>
    <t>Commerce &amp; light industry*</t>
  </si>
  <si>
    <t>GW50-54</t>
  </si>
  <si>
    <t>Recyclables to landfill</t>
  </si>
  <si>
    <t>Recyclables to recycling</t>
  </si>
  <si>
    <t>GW20</t>
  </si>
  <si>
    <t>Garden and food wastes</t>
  </si>
  <si>
    <t xml:space="preserve">Totals </t>
  </si>
  <si>
    <t>Composition</t>
  </si>
  <si>
    <t>Households (unserviced)</t>
  </si>
  <si>
    <t>Households (serviced)</t>
  </si>
  <si>
    <t>Commerce &amp; light industry</t>
  </si>
  <si>
    <t>Overall composition</t>
  </si>
  <si>
    <t>Waste main category</t>
  </si>
  <si>
    <t>Waste sub-category</t>
  </si>
  <si>
    <t>Data (in metric tonnes, maybe in 1000)</t>
  </si>
  <si>
    <t>as available and as detailed as possible</t>
  </si>
  <si>
    <t>urban/rural, formal/informal, ....</t>
  </si>
  <si>
    <t>unknown/ treatment</t>
  </si>
  <si>
    <t>MSW per capita</t>
  </si>
  <si>
    <t>(total)</t>
  </si>
  <si>
    <t>General waste</t>
  </si>
  <si>
    <t>GW01, GW10, GW50-54, GW20</t>
  </si>
  <si>
    <t>GW30</t>
  </si>
  <si>
    <t>Construction &amp; demolition</t>
  </si>
  <si>
    <t>Industrial General waste</t>
  </si>
  <si>
    <t>Biomass</t>
  </si>
  <si>
    <t>GW14&amp;15</t>
  </si>
  <si>
    <t>fly ash, dust &amp; bottom ash - Sasol</t>
  </si>
  <si>
    <t>GW16&amp;99</t>
  </si>
  <si>
    <t>Other general waste</t>
  </si>
  <si>
    <t>Hazardous other waste</t>
  </si>
  <si>
    <t>HW14&amp;15</t>
  </si>
  <si>
    <t>fly ash, dust &amp; bottom ash (Eskom?)</t>
  </si>
  <si>
    <t>HW07,08,09,10,11</t>
  </si>
  <si>
    <t xml:space="preserve">Organic material </t>
  </si>
  <si>
    <t>Inorganic/inert materials</t>
  </si>
  <si>
    <t>All waste</t>
  </si>
  <si>
    <t xml:space="preserve">Overall Total </t>
  </si>
  <si>
    <t>Percentage (%)</t>
  </si>
  <si>
    <t xml:space="preserve">Garden waste </t>
  </si>
  <si>
    <t>Garden waste recycling rate (%/yr)</t>
  </si>
  <si>
    <t>Current recycling rate</t>
  </si>
  <si>
    <t>Paper (GW50)</t>
  </si>
  <si>
    <t>Recyling rate goal</t>
  </si>
  <si>
    <t>Landfill</t>
  </si>
  <si>
    <t>Recyled</t>
  </si>
  <si>
    <t>Organics</t>
  </si>
  <si>
    <t>Open burning</t>
  </si>
  <si>
    <t>5 year plan case 1</t>
  </si>
  <si>
    <t>%reduction in landfill</t>
  </si>
  <si>
    <t>Required waste in landfill</t>
  </si>
  <si>
    <t>therefore need to reduce</t>
  </si>
  <si>
    <t>ton waste through SRF</t>
  </si>
  <si>
    <t>SRF</t>
  </si>
  <si>
    <t>New waste</t>
  </si>
  <si>
    <t>*includes fly ash</t>
  </si>
  <si>
    <t>FOR ALL INDUSTRIAL WASTE</t>
  </si>
  <si>
    <t>through SRF</t>
  </si>
  <si>
    <t>All fly ash</t>
  </si>
  <si>
    <t>Ash (Eskom and Sasol)</t>
  </si>
  <si>
    <t>Total of GW50 to 54</t>
  </si>
  <si>
    <t>Total (of all)</t>
  </si>
  <si>
    <t>5 year plan - case 1</t>
  </si>
  <si>
    <t>New waste (2025)</t>
  </si>
  <si>
    <t xml:space="preserve">Summary of all recycling </t>
  </si>
  <si>
    <t>Fly ash (all)</t>
  </si>
  <si>
    <t>Summary recyling/landfill MSW and ash</t>
  </si>
  <si>
    <t>Case 1 (recycling goals) 2025</t>
  </si>
  <si>
    <t>kg/cap.yr</t>
  </si>
  <si>
    <t>Meta information</t>
  </si>
  <si>
    <t>source (please provide key documents on BOKU-drive)</t>
  </si>
  <si>
    <t>year</t>
  </si>
  <si>
    <t>data quality</t>
  </si>
  <si>
    <t>comment</t>
  </si>
  <si>
    <t>good</t>
  </si>
  <si>
    <t>medium</t>
  </si>
  <si>
    <t>poor</t>
  </si>
  <si>
    <t>Total industrial waste (includes C&amp;D)</t>
  </si>
  <si>
    <t xml:space="preserve">Calculation of industrial waste generation based on GDP </t>
  </si>
  <si>
    <t>Exchange rate</t>
  </si>
  <si>
    <t>SA cents/ USD</t>
  </si>
  <si>
    <t>*nominal exchange rate - still needs to be checked</t>
  </si>
  <si>
    <t>GDP</t>
  </si>
  <si>
    <t>Real Total Value Added</t>
  </si>
  <si>
    <t>Industrial waste generation</t>
  </si>
  <si>
    <t>ton industrial waste/Rmill GDP</t>
  </si>
  <si>
    <t>*based on real total value added (as mentioned in email from Faaiqa)</t>
  </si>
  <si>
    <t>ton industrial waste/USD mill GDP</t>
  </si>
  <si>
    <t>Individual lists from SASOW (and waste data 2017 tab)</t>
  </si>
  <si>
    <t>Rodseth et al (2020), adjusted</t>
  </si>
  <si>
    <t>x</t>
  </si>
  <si>
    <t>adjusted estimate to 2017 by using population stats, could refine</t>
  </si>
  <si>
    <t>Rodseth et al (2020) &amp; SASoW (2020)</t>
  </si>
  <si>
    <t>recycling determined as Rodseth total less informal less SASoW landfilled (incl. organics)</t>
  </si>
  <si>
    <t>SASoW (2020)</t>
  </si>
  <si>
    <t>recycling determined as total GW50-54 less recycling from households</t>
  </si>
  <si>
    <t>Recyclables</t>
  </si>
  <si>
    <t>the portion arising in non-serviced households is included in that row</t>
  </si>
  <si>
    <t>these numbers include moisture!</t>
  </si>
  <si>
    <t>assumed fraction recycled</t>
  </si>
  <si>
    <t>C&amp;D</t>
  </si>
  <si>
    <t>definition of 'recycling' in SASoW probably very broad, incl. cover material in landfills?</t>
  </si>
  <si>
    <t>Total MSW + C&amp;D</t>
  </si>
  <si>
    <t>own sum of above</t>
  </si>
  <si>
    <t>Industrial wastes</t>
  </si>
  <si>
    <t>fly ash, dust &amp; bottom ash</t>
  </si>
  <si>
    <t>Coal to liquid fuels - Sasol</t>
  </si>
  <si>
    <t>GW16</t>
  </si>
  <si>
    <t>non hazardous slags</t>
  </si>
  <si>
    <t>SASoW (2020) cites JMA (2013), Mining and metallurgy</t>
  </si>
  <si>
    <t xml:space="preserve">Organic non hazardous </t>
  </si>
  <si>
    <t>GW99</t>
  </si>
  <si>
    <t>HW01</t>
  </si>
  <si>
    <t>Gaseous Waste</t>
  </si>
  <si>
    <t>HW02</t>
  </si>
  <si>
    <t>Mecury containing waste</t>
  </si>
  <si>
    <t>HW03</t>
  </si>
  <si>
    <t>Batteries</t>
  </si>
  <si>
    <t>HW04</t>
  </si>
  <si>
    <t>POP waste</t>
  </si>
  <si>
    <t>HW05</t>
  </si>
  <si>
    <t>Inorganic hazardous waste</t>
  </si>
  <si>
    <t>HW06</t>
  </si>
  <si>
    <t>Asbestos containing waste</t>
  </si>
  <si>
    <t>*includes imports</t>
  </si>
  <si>
    <t>HW07</t>
  </si>
  <si>
    <t>Waste oils</t>
  </si>
  <si>
    <t>HW07, note sizeable imports included</t>
  </si>
  <si>
    <t>HW08</t>
  </si>
  <si>
    <t>Organic solvents with halogens and sulphur containing solvents</t>
  </si>
  <si>
    <t>HW09</t>
  </si>
  <si>
    <t>Organic solvents with halogens and sulphur containing waste</t>
  </si>
  <si>
    <t>HW10</t>
  </si>
  <si>
    <t>Organic solvents without halogens and sulphur</t>
  </si>
  <si>
    <t>HW11</t>
  </si>
  <si>
    <t>Organic hazardous waste</t>
  </si>
  <si>
    <t>HW12</t>
  </si>
  <si>
    <t>Tarry &amp; bituminous waste</t>
  </si>
  <si>
    <t>HW13</t>
  </si>
  <si>
    <t>Brines</t>
  </si>
  <si>
    <t>HW13, these are mostly water, but salts (1-3%?) are an environmental challenge</t>
  </si>
  <si>
    <t>Eskom?</t>
  </si>
  <si>
    <t>HW16</t>
  </si>
  <si>
    <t>hazardous slags</t>
  </si>
  <si>
    <t>HW17</t>
  </si>
  <si>
    <t>Hazardous mineral wastes</t>
  </si>
  <si>
    <t>HW17, spent foundry sand</t>
  </si>
  <si>
    <t>HW18</t>
  </si>
  <si>
    <t>WEEE</t>
  </si>
  <si>
    <t>HW18, SASoW (2020) reports 89% 'stockpiled'</t>
  </si>
  <si>
    <t>Grand total</t>
  </si>
  <si>
    <t>Expanding on the 'recyclables' within MSW</t>
  </si>
  <si>
    <t>SASOW (2020)</t>
  </si>
  <si>
    <t>von Blottnitz et al. (2018)</t>
  </si>
  <si>
    <t>contrary to SASOW we combine short-lived and durable waste, and work with a full MFA, not input recycling rate</t>
  </si>
  <si>
    <t>Source: von Blottnitz et al. (2018)</t>
  </si>
  <si>
    <t>SASOW says that the bulk is 'stockpiled'</t>
  </si>
  <si>
    <t>Total in material classes</t>
  </si>
  <si>
    <t>WOM</t>
  </si>
  <si>
    <t>WEM</t>
  </si>
  <si>
    <t>Dif</t>
  </si>
  <si>
    <t xml:space="preserve">Total MSW </t>
  </si>
  <si>
    <t>Source</t>
  </si>
  <si>
    <t xml:space="preserve">Calculated from SASoW (2018) </t>
  </si>
  <si>
    <t xml:space="preserve">Calculated from SASoW (2018)  </t>
  </si>
  <si>
    <t>Default value for SA - 2006 IPCC Guidelines</t>
  </si>
  <si>
    <t>Other inert*</t>
  </si>
  <si>
    <t xml:space="preserve">Solid waste disposal </t>
  </si>
  <si>
    <t>Averaged from 2000 to 2013 Statistics (FAO, 2019)</t>
  </si>
  <si>
    <t>Industrial waste generation rate</t>
  </si>
  <si>
    <r>
      <t xml:space="preserve">Per capita degradable organic component </t>
    </r>
    <r>
      <rPr>
        <b/>
        <sz val="12"/>
        <color rgb="FFC00000"/>
        <rFont val="Calibri"/>
        <family val="2"/>
        <scheme val="minor"/>
      </rPr>
      <t>(BOD)</t>
    </r>
    <r>
      <rPr>
        <b/>
        <sz val="12"/>
        <color theme="1"/>
        <rFont val="Calibri"/>
        <family val="2"/>
        <scheme val="minor"/>
      </rPr>
      <t xml:space="preserve"> </t>
    </r>
  </si>
  <si>
    <t xml:space="preserve">Waste Incineration </t>
  </si>
  <si>
    <t>MSW per Capita</t>
  </si>
  <si>
    <t xml:space="preserve">Mass of industrial waste produced </t>
  </si>
  <si>
    <t>Ton</t>
  </si>
  <si>
    <t>Composition of MSW(%)</t>
  </si>
  <si>
    <t>R billions</t>
  </si>
  <si>
    <t>Baseline up to 2017</t>
  </si>
  <si>
    <t>Total MSW</t>
  </si>
  <si>
    <t>Waste Treatment Pathway</t>
  </si>
  <si>
    <t>MSW generation rate (from 2017 onwards)</t>
  </si>
  <si>
    <t>NIR (2017)</t>
  </si>
  <si>
    <t>MSW generation rate (up to 2010)</t>
  </si>
  <si>
    <t xml:space="preserve">Recycling </t>
  </si>
  <si>
    <t>Recycling of inert material</t>
  </si>
  <si>
    <t>Inert recycling</t>
  </si>
  <si>
    <t xml:space="preserve">Recycling split </t>
  </si>
  <si>
    <t>Inert</t>
  </si>
  <si>
    <t>Organic</t>
  </si>
  <si>
    <t xml:space="preserve">Organic waste treatment split </t>
  </si>
  <si>
    <t>Total waste to landfill</t>
  </si>
  <si>
    <t>Composition of MSW in landfill</t>
  </si>
  <si>
    <t>Unknown</t>
  </si>
  <si>
    <t>2017 NIR</t>
  </si>
  <si>
    <t>Actual amount of ash generated (SATIM)</t>
  </si>
  <si>
    <t>Population with access to safe sanitation</t>
  </si>
  <si>
    <t>Amount of sludge deposited per person connected to a sewer</t>
  </si>
  <si>
    <t xml:space="preserve">Dry matter fraction </t>
  </si>
  <si>
    <t>% of the population connected to a central WWTP</t>
  </si>
  <si>
    <t>Population connected to a central WWTP (sewer)</t>
  </si>
  <si>
    <t>Population access to safe sanitation</t>
  </si>
  <si>
    <t>Total Industrial waste</t>
  </si>
  <si>
    <t>Total N2O emissions</t>
  </si>
  <si>
    <t>Total CH4 emissions (Gg)</t>
  </si>
  <si>
    <t xml:space="preserve">Industrial waste biological treatment </t>
  </si>
  <si>
    <t xml:space="preserve">MSW biological treatment </t>
  </si>
  <si>
    <t>Overall emissions</t>
  </si>
  <si>
    <t>Biological treatment of solid waste</t>
  </si>
  <si>
    <t>4C</t>
  </si>
  <si>
    <t xml:space="preserve">4D1 </t>
  </si>
  <si>
    <t>CO2eq</t>
  </si>
  <si>
    <t>Total emissions for each waste sector (CO2eq) (Gg)</t>
  </si>
  <si>
    <t xml:space="preserve">4D </t>
  </si>
  <si>
    <t>Overall emissions (CO2eq) (Gg)</t>
  </si>
  <si>
    <t>Conversions to CO2 eq</t>
  </si>
  <si>
    <t>Plots</t>
  </si>
  <si>
    <t>And, another little challenge: it would be super-cool if the spreadsheet could generate graphic outputs, e.g. stacked bar graphs for the different types of wastes generated, recycled and disposed, for the different scenarios.</t>
  </si>
  <si>
    <t>FOR SOLID WASTE DISPOSAL</t>
  </si>
  <si>
    <t>Summary of waste generated</t>
  </si>
  <si>
    <t>Recycling (inert)</t>
  </si>
  <si>
    <t>Recycling (organic)</t>
  </si>
  <si>
    <t>MSW (Gg)</t>
  </si>
  <si>
    <t>Industrial waste (Gg)</t>
  </si>
  <si>
    <t>From SATIM</t>
  </si>
  <si>
    <t xml:space="preserve">Sludge deposited </t>
  </si>
  <si>
    <t>Fixed till 2017 (after 2017 based on PAMS)</t>
  </si>
  <si>
    <t>Fixed</t>
  </si>
  <si>
    <t>Total waste generated</t>
  </si>
  <si>
    <t>Recycling split (of total amount recycled)</t>
  </si>
  <si>
    <t>From SASOW for the year 2017 (Baseline)</t>
  </si>
  <si>
    <t xml:space="preserve">Calculated from 2017 NIR </t>
  </si>
  <si>
    <t>Varies based on PAMS - see table below</t>
  </si>
  <si>
    <t xml:space="preserve">for the Waste Sector </t>
  </si>
  <si>
    <t xml:space="preserve">South Africa </t>
  </si>
  <si>
    <t>GHG Emissions Model</t>
  </si>
  <si>
    <t>NDC 2020</t>
  </si>
  <si>
    <t xml:space="preserve">Julia Mc Gregor </t>
  </si>
  <si>
    <t xml:space="preserve">Prof. Harro von Blottnitz </t>
  </si>
  <si>
    <t xml:space="preserve">Determination of the SRF </t>
  </si>
  <si>
    <t xml:space="preserve">Measure </t>
  </si>
  <si>
    <t>Recycling</t>
  </si>
  <si>
    <t>Waste generated</t>
  </si>
  <si>
    <t>Waste incinerated</t>
  </si>
  <si>
    <t>Waste landfilled</t>
  </si>
  <si>
    <t>Informal dumping</t>
  </si>
  <si>
    <t>Fly ash  (SASOW (2017))</t>
  </si>
  <si>
    <t>From SASOW- 2017 data</t>
  </si>
  <si>
    <t>Case 1</t>
  </si>
  <si>
    <t>Case 2</t>
  </si>
  <si>
    <t>Case 3</t>
  </si>
  <si>
    <t>M1.2 Recycling</t>
  </si>
  <si>
    <t>M1.1 Reduction in waste disposed to landfill</t>
  </si>
  <si>
    <t xml:space="preserve">Reduction </t>
  </si>
  <si>
    <t>Percentage</t>
  </si>
  <si>
    <t>Year achieved</t>
  </si>
  <si>
    <t>M1.3 Diversion of organics from landfill</t>
  </si>
  <si>
    <t>Diversion of organics</t>
  </si>
  <si>
    <t>AD/Composting split</t>
  </si>
  <si>
    <t>AD</t>
  </si>
  <si>
    <t>M1.4 Ensure muncipal landfill sites are compliant</t>
  </si>
  <si>
    <t>Current distribution of site types</t>
  </si>
  <si>
    <t>*50% of conversion from unmanaged to managed</t>
  </si>
  <si>
    <t>*100% conversion from unmanaged to managed</t>
  </si>
  <si>
    <t>M2 Achieve universal, sustainable sanitation provisions</t>
  </si>
  <si>
    <t xml:space="preserve">Current distribution of water treatment pathways </t>
  </si>
  <si>
    <t>CASE 1</t>
  </si>
  <si>
    <t>Industrial waste generation rate (excl. ash)</t>
  </si>
  <si>
    <t>*excluding ash</t>
  </si>
  <si>
    <t>Current percentage</t>
  </si>
  <si>
    <t xml:space="preserve">MSW </t>
  </si>
  <si>
    <t>Current (2017)</t>
  </si>
  <si>
    <t xml:space="preserve">Current recycling rate </t>
  </si>
  <si>
    <t xml:space="preserve">MSW organics </t>
  </si>
  <si>
    <t>Industrial waste (includes C&amp;D ex ash)</t>
  </si>
  <si>
    <t>Industrial (incl. ash)</t>
  </si>
  <si>
    <t>Industrial (excl. ash)</t>
  </si>
  <si>
    <t>excl. ash</t>
  </si>
  <si>
    <t>incl.ash</t>
  </si>
  <si>
    <t>Tyres</t>
  </si>
  <si>
    <t>Mass of waste to be reduced by SRF</t>
  </si>
  <si>
    <t>HW01,02,03,04,05,06,12,13,16,17,18. 19, 20, 99</t>
  </si>
  <si>
    <t>HW19</t>
  </si>
  <si>
    <t>HCRW</t>
  </si>
  <si>
    <t>HW20</t>
  </si>
  <si>
    <t xml:space="preserve">Sewage Sludge </t>
  </si>
  <si>
    <t>HW99</t>
  </si>
  <si>
    <t>Miscellaneous</t>
  </si>
  <si>
    <t>should = 0</t>
  </si>
  <si>
    <t xml:space="preserve">Gg/GDP </t>
  </si>
  <si>
    <t>Check balance</t>
  </si>
  <si>
    <t>Industrial waste treatment pathway</t>
  </si>
  <si>
    <t>Population (2017)</t>
  </si>
  <si>
    <t>MSW to landfill (kg per capita)</t>
  </si>
  <si>
    <t>Total mass of waste diverted from SWD (organic and inert)</t>
  </si>
  <si>
    <t>SRF for MSW</t>
  </si>
  <si>
    <t>Mass of Industrial waste to SWD</t>
  </si>
  <si>
    <t>MSW sent to SWD</t>
  </si>
  <si>
    <t>MSW to be diverted from SWD</t>
  </si>
  <si>
    <t>Industrial waste  to be diverted from SWD</t>
  </si>
  <si>
    <t>Mass of waste to SWD post diversion</t>
  </si>
  <si>
    <t>MSW generated post SRF</t>
  </si>
  <si>
    <t xml:space="preserve">MSW Recycling rates </t>
  </si>
  <si>
    <t xml:space="preserve">MSW Mass of waste recycled </t>
  </si>
  <si>
    <t>Total inert MSW  recycled</t>
  </si>
  <si>
    <t>Sanitation policy implementation</t>
  </si>
  <si>
    <t>MSW PRE SOURCE REDUCTION FACTOR</t>
  </si>
  <si>
    <t>Input from 'Input data'</t>
  </si>
  <si>
    <t>Gg/GDP ZAR billion</t>
  </si>
  <si>
    <t>Industrial waste PRE SOURCE REDUCTION FACTOR</t>
  </si>
  <si>
    <t xml:space="preserve">Recycling rates and mass of inert waste recycled </t>
  </si>
  <si>
    <t>Gg/GDP ZAR_billion</t>
  </si>
  <si>
    <t xml:space="preserve">Mass of remaining inert waste recycled </t>
  </si>
  <si>
    <t>Percent of organics in SWD to be diverted</t>
  </si>
  <si>
    <t xml:space="preserve">Mass of organics </t>
  </si>
  <si>
    <t>Diversion of industry organics from SWD</t>
  </si>
  <si>
    <t>Diversion of MSW organics from SWD</t>
  </si>
  <si>
    <t>Total mass of inert waste recycled</t>
  </si>
  <si>
    <t>Mass of industry waste generated  post SRF</t>
  </si>
  <si>
    <t xml:space="preserve">MSW Treatment Pathway </t>
  </si>
  <si>
    <t>Composition of MSW going to SWD</t>
  </si>
  <si>
    <t>Check must = 0</t>
  </si>
  <si>
    <t xml:space="preserve">Plastic and other inerts </t>
  </si>
  <si>
    <t>Mass of MSW going to SWD</t>
  </si>
  <si>
    <t>Percentage of organics in industrial waste disposed in SWDS in 2017</t>
  </si>
  <si>
    <t>Uncategorised</t>
  </si>
  <si>
    <t>Wastewater treatment and discharge  (up to 2017)</t>
  </si>
  <si>
    <t>Balance Check,  must = 0</t>
  </si>
  <si>
    <t xml:space="preserve">Balance </t>
  </si>
  <si>
    <t>CASE 2</t>
  </si>
  <si>
    <t>Total MSW treated via biological treatment</t>
  </si>
  <si>
    <t>CASE 3</t>
  </si>
  <si>
    <t>Total mass of MSW</t>
  </si>
  <si>
    <t>Composition of MSW</t>
  </si>
  <si>
    <t xml:space="preserve">CASE 2 </t>
  </si>
  <si>
    <t xml:space="preserve">Case 2 </t>
  </si>
  <si>
    <t>Indicators</t>
  </si>
  <si>
    <t>Percent of all waste diverted from landfill</t>
  </si>
  <si>
    <t>Mt</t>
  </si>
  <si>
    <t xml:space="preserve">Coal Ash generated </t>
  </si>
  <si>
    <t xml:space="preserve">Mass of Coal Ash generated </t>
  </si>
  <si>
    <t>Total Waste Emissions</t>
  </si>
  <si>
    <t>BASELINE</t>
  </si>
  <si>
    <t xml:space="preserve">Coal ash generated - ‘IRP realistic’ </t>
  </si>
  <si>
    <t>Coal ash generated - 'No new coal'</t>
  </si>
  <si>
    <t>Total waste generated (prior to policy implementation)</t>
  </si>
  <si>
    <t xml:space="preserve">Industry waste </t>
  </si>
  <si>
    <t>MSW SRF relative to 2017</t>
  </si>
  <si>
    <t>Industry waste SRF relative to 2017 (excludes ash waste)</t>
  </si>
  <si>
    <t>Corrected industry waste SRF relative to 2017 (excludes ash waste) (upper limit of 85% SRF)</t>
  </si>
  <si>
    <t>Policy measures met?</t>
  </si>
  <si>
    <t>Mass of industry waste generated post SRF</t>
  </si>
  <si>
    <t>SRF Corrected?</t>
  </si>
  <si>
    <t>Draft for Emissions Projection Model - 7 July 2020</t>
  </si>
  <si>
    <t xml:space="preserve">Industry </t>
  </si>
  <si>
    <t>SRF for MSW - Case 1-B/G</t>
  </si>
  <si>
    <t>Indicators -  Coal ash generated - ‘IRP realistic’ - Case 1-B</t>
  </si>
  <si>
    <t>SRF relative to 2017 waste generation rate - Case 1-B</t>
  </si>
  <si>
    <t>SRF for Industrial waste - Coal ash generated - ‘IRP realistic’  - Case 1-B</t>
  </si>
  <si>
    <t>Indicators - Coal ash generated - 'No new coal' - Case 1-G</t>
  </si>
  <si>
    <t>SRF relative to 2017 waste generation rate - Case 1-G</t>
  </si>
  <si>
    <t>Industrial waste - Coal ash generated - 'No new coal' Case 1-G</t>
  </si>
  <si>
    <t>Case 1-G</t>
  </si>
  <si>
    <t>Total waste generated - Case 1-G</t>
  </si>
  <si>
    <t>Percent of all waste diverted from landfill -Case 1-G</t>
  </si>
  <si>
    <t>Coal ash generated - 'No new coal' - Case 1-G</t>
  </si>
  <si>
    <t>SRF Industry Case 1-G</t>
  </si>
  <si>
    <t>Case 1-B</t>
  </si>
  <si>
    <t>Total waste generated - Case 1-B</t>
  </si>
  <si>
    <t>Percent of all waste diverted from landfill -Case 1-B</t>
  </si>
  <si>
    <t>Coal ash generated - ‘IRP realistic’ Case 1-B</t>
  </si>
  <si>
    <t>SRF Industry Case 1-B</t>
  </si>
  <si>
    <t>Case 2-B</t>
  </si>
  <si>
    <t>Indicators -  Coal ash generated - ‘IRP realistic’ - Case 2-B</t>
  </si>
  <si>
    <t>SRF relative to 2017 waste generation rate - Case 2-B</t>
  </si>
  <si>
    <t>Total waste generated - Case 2-B</t>
  </si>
  <si>
    <t>Percent of all waste diverted from landfill -Case 2-B</t>
  </si>
  <si>
    <t xml:space="preserve">Coal ash generated - ‘IRP realistic’ - Case 2-B </t>
  </si>
  <si>
    <t>SRF Industry Case 2-B</t>
  </si>
  <si>
    <t>Case 2-G</t>
  </si>
  <si>
    <t>Indicators - Coal ash generated - 'No new coal' - Case 2-G</t>
  </si>
  <si>
    <t>SRF relative to 2017 waste generation rate - Case 2-G</t>
  </si>
  <si>
    <t>Total waste generated - Case 2-G</t>
  </si>
  <si>
    <t>Percent of all waste diverted from landfill -Case 2-G</t>
  </si>
  <si>
    <t>Coal ash generated - 'No new coal' - Case 2-G</t>
  </si>
  <si>
    <t>SRF Industry Case 2-G</t>
  </si>
  <si>
    <t>SRF Industrial waste - Coal ash generated - 'No new coal' - Case 2-G</t>
  </si>
  <si>
    <t>SRF for Industrial waste - Coal ash generated - ‘IRP realistic’  Case 2-B</t>
  </si>
  <si>
    <t>Case 3-G</t>
  </si>
  <si>
    <t>Indicators - Coal ash generated - 'No new coal' - Case 3-G</t>
  </si>
  <si>
    <t>SRF relative to 2017 waste generation rate - Case 3-G</t>
  </si>
  <si>
    <t>Total waste generated - Case 3-G</t>
  </si>
  <si>
    <t>Percent of all waste diverted from landfill - Case 3-G</t>
  </si>
  <si>
    <t>Coal ash generated - 'No new coal' - Case 3-G</t>
  </si>
  <si>
    <t>SRF Industry Case 3-G</t>
  </si>
  <si>
    <t>Case 3-B</t>
  </si>
  <si>
    <t>Indicators -  Coal ash generated - ‘IRP realistic’ - Case 3-B</t>
  </si>
  <si>
    <t>SRF relative to 2017 waste generation rate - Case 3-B</t>
  </si>
  <si>
    <t>Total waste generated - Case 3-B</t>
  </si>
  <si>
    <t>Percent of all waste diverted from landfill -Case 3-B</t>
  </si>
  <si>
    <t>Coal ash generated - ‘IRP realistic’ - Case 3-B</t>
  </si>
  <si>
    <t>SRF Industry Case 3-B</t>
  </si>
  <si>
    <t>SRF for Industrial waste - Coal ash generated - ‘IRP realistic’  - Case 3-B</t>
  </si>
  <si>
    <t>SRF for Industrial waste - Coal ash generated - 'No new coal' - Case 3-B</t>
  </si>
  <si>
    <t xml:space="preserve">SRF relative to 2017 waste generation rate </t>
  </si>
  <si>
    <t xml:space="preserve">*B refers to IRP realistic and </t>
  </si>
  <si>
    <t>Policies met?</t>
  </si>
  <si>
    <t>OVERALL GHG EMISSIONS FOR CASES 1 TO 3</t>
  </si>
  <si>
    <t>rdim</t>
  </si>
  <si>
    <t>cdim</t>
  </si>
  <si>
    <t>dim</t>
  </si>
  <si>
    <t>par</t>
  </si>
  <si>
    <t>WasteEmissions</t>
  </si>
  <si>
    <t>Selected Scenario</t>
  </si>
  <si>
    <t>1=high GHG, 2 = mid GHG, 3 = low</t>
  </si>
  <si>
    <t>4A Solid Waste Disposal</t>
  </si>
  <si>
    <t>4C2 Open Burning of Waste</t>
  </si>
  <si>
    <t>4D1 Wastewater Treatment and Discharge</t>
  </si>
  <si>
    <t>4B Biological treatment of solid waste</t>
  </si>
  <si>
    <t>W4A</t>
  </si>
  <si>
    <t>W4B</t>
  </si>
  <si>
    <t>W4C2</t>
  </si>
  <si>
    <t>W4D1</t>
  </si>
  <si>
    <t>Column Address</t>
  </si>
  <si>
    <t>Width</t>
  </si>
  <si>
    <t>Category</t>
  </si>
  <si>
    <t>Row Address offset</t>
  </si>
  <si>
    <t>Coal Burnt</t>
  </si>
  <si>
    <t>CoalAshCoal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</si>
</sst>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1" formatCode="_-* #,##0_-;\-* #,##0_-;_-* &quot;-&quot;_-;_-@_-"/>
    <numFmt numFmtId="43" formatCode="_-* #,##0.00_-;\-* #,##0.00_-;_-* &quot;-&quot;??_-;_-@_-"/>
    <numFmt numFmtId="164" formatCode="0.0"/>
    <numFmt numFmtId="165" formatCode="0.000000"/>
    <numFmt numFmtId="166" formatCode="0.000"/>
    <numFmt numFmtId="167" formatCode="0.0E+00"/>
    <numFmt numFmtId="168" formatCode="#,##0.000"/>
    <numFmt numFmtId="169" formatCode="#,##0.0"/>
    <numFmt numFmtId="170" formatCode="_-* #,##0.0_-;\-* #,##0.0_-;_-* &quot;-&quot;_-;_-@_-"/>
    <numFmt numFmtId="171" formatCode="_-* #,##0.00_-;\-* #,##0.00_-;_-* &quot;-&quot;_-;_-@_-"/>
    <numFmt numFmtId="172" formatCode="_-* #,##0\ _€_-;\-* #,##0\ _€_-;_-* &quot;-&quot;??\ _€_-;_-@_-"/>
    <numFmt numFmtId="173" formatCode="0.0%"/>
    <numFmt numFmtId="174" formatCode="_-* #,##0.0_-;\-* #,##0.0_-;_-* &quot;-&quot;?_-;_-@_-"/>
    <numFmt numFmtId="175" formatCode="0.000%"/>
    <numFmt numFmtId="176" formatCode="0.0000"/>
    <numFmt numFmtId="177" formatCode="_-* #,##0.0_-;\-* #,##0.0_-;_-* &quot;-&quot;??_-;_-@_-"/>
    <numFmt numFmtId="178" formatCode="_-* #,##0_-;\-* #,##0_-;_-* &quot;-&quot;??_-;_-@_-"/>
    <numFmt numFmtId="179" formatCode="_-* #,##0.00000\ _€_-;\-* #,##0.00000\ _€_-;_-* &quot;-&quot;??\ _€_-;_-@_-"/>
    <numFmt numFmtId="180" formatCode="_-* #,##0.000_-;\-* #,##0.000_-;_-* &quot;-&quot;??_-;_-@_-"/>
    <numFmt numFmtId="181" formatCode="_-* #,##0.000000_-;\-* #,##0.000000_-;_-* &quot;-&quot;??_-;_-@_-"/>
    <numFmt numFmtId="182" formatCode="_-* #,##0.00000000_-;\-* #,##0.00000000_-;_-* &quot;-&quot;??_-;_-@_-"/>
    <numFmt numFmtId="183" formatCode="_-* #,##0.0\ _€_-;\-* #,##0.0\ _€_-;_-* &quot;-&quot;??\ _€_-;_-@_-"/>
    <numFmt numFmtId="184" formatCode="_-* #,##0.00000_-;\-* #,##0.00000_-;_-* &quot;-&quot;??_-;_-@_-"/>
    <numFmt numFmtId="185" formatCode="#,##0.0000"/>
  </numFmts>
  <fonts count="82">
    <font>
      <sz val="11"/>
      <color theme="1"/>
      <name val="Calibri"/>
      <family val="2"/>
      <scheme val="minor"/>
    </font>
    <font>
      <b/>
      <sz val="11"/>
      <color theme="1"/>
      <name val="Calibri"/>
      <family val="2"/>
      <scheme val="minor"/>
    </font>
    <font>
      <b/>
      <u/>
      <sz val="11"/>
      <color theme="1"/>
      <name val="Calibri"/>
      <family val="2"/>
      <scheme val="minor"/>
    </font>
    <font>
      <sz val="11"/>
      <color theme="1"/>
      <name val="Calibri"/>
      <family val="2"/>
      <scheme val="minor"/>
    </font>
    <font>
      <b/>
      <sz val="11"/>
      <color rgb="FFC00000"/>
      <name val="Calibri"/>
      <family val="2"/>
      <scheme val="minor"/>
    </font>
    <font>
      <b/>
      <u/>
      <sz val="11"/>
      <color theme="9" tint="-0.499984740745262"/>
      <name val="Calibri"/>
      <family val="2"/>
      <scheme val="minor"/>
    </font>
    <font>
      <b/>
      <u/>
      <sz val="11"/>
      <color theme="7" tint="-0.499984740745262"/>
      <name val="Calibri"/>
      <family val="2"/>
      <scheme val="minor"/>
    </font>
    <font>
      <sz val="11"/>
      <name val="Calibri"/>
      <family val="2"/>
      <scheme val="minor"/>
    </font>
    <font>
      <b/>
      <sz val="10"/>
      <name val="Arial"/>
      <family val="2"/>
    </font>
    <font>
      <sz val="10"/>
      <name val="Arial"/>
      <family val="2"/>
    </font>
    <font>
      <b/>
      <sz val="11"/>
      <name val="Calibri"/>
      <family val="2"/>
      <scheme val="minor"/>
    </font>
    <font>
      <b/>
      <u/>
      <sz val="11"/>
      <name val="Calibri"/>
      <family val="2"/>
      <scheme val="minor"/>
    </font>
    <font>
      <b/>
      <sz val="8"/>
      <color indexed="81"/>
      <name val="Tahoma"/>
      <family val="2"/>
    </font>
    <font>
      <b/>
      <vertAlign val="superscript"/>
      <sz val="11"/>
      <name val="Calibri"/>
      <family val="2"/>
      <scheme val="minor"/>
    </font>
    <font>
      <b/>
      <sz val="11"/>
      <color theme="5" tint="-0.249977111117893"/>
      <name val="Calibri"/>
      <family val="2"/>
      <scheme val="minor"/>
    </font>
    <font>
      <sz val="11"/>
      <color rgb="FF000000"/>
      <name val="Calibri"/>
      <family val="2"/>
      <scheme val="minor"/>
    </font>
    <font>
      <sz val="8"/>
      <name val="Calibri"/>
      <family val="2"/>
      <scheme val="minor"/>
    </font>
    <font>
      <sz val="8"/>
      <color indexed="81"/>
      <name val="Tahoma"/>
      <family val="2"/>
    </font>
    <font>
      <sz val="8"/>
      <name val="Arial"/>
      <family val="2"/>
    </font>
    <font>
      <b/>
      <sz val="12"/>
      <name val="Arial"/>
      <family val="2"/>
    </font>
    <font>
      <b/>
      <u/>
      <sz val="12"/>
      <color theme="1"/>
      <name val="Calibri"/>
      <family val="2"/>
      <scheme val="minor"/>
    </font>
    <font>
      <sz val="12"/>
      <color theme="1"/>
      <name val="Calibri"/>
      <family val="2"/>
      <scheme val="minor"/>
    </font>
    <font>
      <b/>
      <sz val="12"/>
      <color theme="1"/>
      <name val="Calibri"/>
      <family val="2"/>
      <scheme val="minor"/>
    </font>
    <font>
      <b/>
      <sz val="12"/>
      <color rgb="FFC00000"/>
      <name val="Calibri"/>
      <family val="2"/>
      <scheme val="minor"/>
    </font>
    <font>
      <b/>
      <sz val="12"/>
      <name val="Calibri"/>
      <family val="2"/>
      <scheme val="minor"/>
    </font>
    <font>
      <b/>
      <sz val="10"/>
      <name val="Calibri"/>
      <family val="2"/>
      <scheme val="minor"/>
    </font>
    <font>
      <b/>
      <sz val="10"/>
      <color indexed="8"/>
      <name val="Calibri"/>
      <family val="2"/>
      <scheme val="minor"/>
    </font>
    <font>
      <b/>
      <vertAlign val="subscript"/>
      <sz val="10"/>
      <color indexed="8"/>
      <name val="Calibri"/>
      <family val="2"/>
      <scheme val="minor"/>
    </font>
    <font>
      <sz val="10"/>
      <name val="Calibri"/>
      <family val="2"/>
      <scheme val="minor"/>
    </font>
    <font>
      <vertAlign val="subscript"/>
      <sz val="8"/>
      <name val="Calibri"/>
      <family val="2"/>
      <scheme val="minor"/>
    </font>
    <font>
      <b/>
      <u/>
      <sz val="11"/>
      <color rgb="FFC00000"/>
      <name val="Calibri"/>
      <family val="2"/>
      <scheme val="minor"/>
    </font>
    <font>
      <sz val="11"/>
      <name val="Arial"/>
      <family val="2"/>
    </font>
    <font>
      <b/>
      <sz val="11"/>
      <color rgb="FF000000"/>
      <name val="Calibri"/>
      <family val="2"/>
    </font>
    <font>
      <sz val="11"/>
      <color rgb="FF000000"/>
      <name val="Calibri"/>
      <family val="2"/>
    </font>
    <font>
      <sz val="11"/>
      <color rgb="FFFF0000"/>
      <name val="Calibri"/>
      <family val="2"/>
    </font>
    <font>
      <sz val="11"/>
      <color rgb="FFC00000"/>
      <name val="Calibri"/>
      <family val="2"/>
    </font>
    <font>
      <i/>
      <sz val="12"/>
      <color theme="1"/>
      <name val="Calibri"/>
      <family val="2"/>
      <scheme val="minor"/>
    </font>
    <font>
      <sz val="12"/>
      <color rgb="FFFF0000"/>
      <name val="Calibri"/>
      <family val="2"/>
      <scheme val="minor"/>
    </font>
    <font>
      <sz val="11"/>
      <color rgb="FFFF0000"/>
      <name val="Calibri"/>
      <family val="2"/>
      <scheme val="minor"/>
    </font>
    <font>
      <b/>
      <i/>
      <u/>
      <sz val="12"/>
      <color theme="1"/>
      <name val="Calibri"/>
      <family val="2"/>
      <scheme val="minor"/>
    </font>
    <font>
      <sz val="12"/>
      <color rgb="FFC00000"/>
      <name val="Calibri"/>
      <family val="2"/>
      <scheme val="minor"/>
    </font>
    <font>
      <b/>
      <sz val="11"/>
      <color rgb="FFFF0000"/>
      <name val="Calibri"/>
      <family val="2"/>
      <scheme val="minor"/>
    </font>
    <font>
      <sz val="11"/>
      <color rgb="FFC00000"/>
      <name val="Calibri"/>
      <family val="2"/>
      <scheme val="minor"/>
    </font>
    <font>
      <b/>
      <u/>
      <sz val="11"/>
      <color rgb="FFFF0000"/>
      <name val="Calibri"/>
      <family val="2"/>
      <scheme val="minor"/>
    </font>
    <font>
      <i/>
      <sz val="11"/>
      <color theme="1"/>
      <name val="Calibri"/>
      <family val="2"/>
      <scheme val="minor"/>
    </font>
    <font>
      <b/>
      <u/>
      <sz val="11"/>
      <color theme="9" tint="-0.249977111117893"/>
      <name val="Calibri"/>
      <family val="2"/>
      <scheme val="minor"/>
    </font>
    <font>
      <b/>
      <sz val="11"/>
      <color theme="9" tint="-0.249977111117893"/>
      <name val="Calibri"/>
      <family val="2"/>
      <scheme val="minor"/>
    </font>
    <font>
      <sz val="12"/>
      <color theme="0"/>
      <name val="Calibri"/>
      <family val="2"/>
      <scheme val="minor"/>
    </font>
    <font>
      <b/>
      <sz val="12"/>
      <color theme="9" tint="-0.249977111117893"/>
      <name val="Calibri"/>
      <family val="2"/>
      <scheme val="minor"/>
    </font>
    <font>
      <i/>
      <sz val="12"/>
      <color rgb="FFC00000"/>
      <name val="Calibri"/>
      <family val="2"/>
      <scheme val="minor"/>
    </font>
    <font>
      <b/>
      <i/>
      <sz val="12"/>
      <color rgb="FFC00000"/>
      <name val="Calibri"/>
      <family val="2"/>
      <scheme val="minor"/>
    </font>
    <font>
      <b/>
      <sz val="12"/>
      <color theme="8" tint="-0.249977111117893"/>
      <name val="Calibri"/>
      <family val="2"/>
      <scheme val="minor"/>
    </font>
    <font>
      <b/>
      <i/>
      <sz val="12"/>
      <color theme="1"/>
      <name val="Calibri"/>
      <family val="2"/>
      <scheme val="minor"/>
    </font>
    <font>
      <sz val="11"/>
      <name val="Calibri"/>
      <family val="2"/>
    </font>
    <font>
      <b/>
      <sz val="11"/>
      <name val="Calibri"/>
      <family val="2"/>
    </font>
    <font>
      <b/>
      <sz val="12"/>
      <color theme="5" tint="-0.499984740745262"/>
      <name val="Calibri"/>
      <family val="2"/>
      <scheme val="minor"/>
    </font>
    <font>
      <i/>
      <sz val="12"/>
      <color rgb="FFFF0000"/>
      <name val="Calibri"/>
      <family val="2"/>
      <scheme val="minor"/>
    </font>
    <font>
      <b/>
      <sz val="11"/>
      <name val="Arial"/>
      <family val="2"/>
    </font>
    <font>
      <i/>
      <sz val="12"/>
      <color rgb="FF00B050"/>
      <name val="Calibri"/>
      <family val="2"/>
      <scheme val="minor"/>
    </font>
    <font>
      <sz val="12"/>
      <color rgb="FF00B050"/>
      <name val="Calibri"/>
      <family val="2"/>
      <scheme val="minor"/>
    </font>
    <font>
      <sz val="10"/>
      <color rgb="FFFF0000"/>
      <name val="Calibri Light"/>
      <family val="2"/>
    </font>
    <font>
      <b/>
      <u/>
      <sz val="14"/>
      <color rgb="FF000000"/>
      <name val="Calibri"/>
      <family val="2"/>
    </font>
    <font>
      <b/>
      <u/>
      <sz val="12"/>
      <color rgb="FFC00000"/>
      <name val="Calibri"/>
      <family val="2"/>
      <scheme val="minor"/>
    </font>
    <font>
      <sz val="11"/>
      <color rgb="FF1F497D"/>
      <name val="Calibri"/>
      <family val="2"/>
      <scheme val="minor"/>
    </font>
    <font>
      <b/>
      <sz val="14"/>
      <color rgb="FFC00000"/>
      <name val="Calibri"/>
      <family val="2"/>
      <scheme val="minor"/>
    </font>
    <font>
      <b/>
      <sz val="12"/>
      <color rgb="FFFF0000"/>
      <name val="Calibri"/>
      <family val="2"/>
      <scheme val="minor"/>
    </font>
    <font>
      <sz val="24"/>
      <color theme="0"/>
      <name val="Helvetica Light"/>
    </font>
    <font>
      <sz val="40"/>
      <color theme="0"/>
      <name val="Helvetica Light"/>
    </font>
    <font>
      <sz val="16"/>
      <color theme="0"/>
      <name val="Helvetica Light"/>
    </font>
    <font>
      <sz val="14"/>
      <color theme="0"/>
      <name val="Calibri"/>
      <family val="2"/>
      <scheme val="minor"/>
    </font>
    <font>
      <b/>
      <sz val="18"/>
      <color rgb="FFFF0000"/>
      <name val="Calibri"/>
      <family val="2"/>
      <scheme val="minor"/>
    </font>
    <font>
      <b/>
      <sz val="16"/>
      <color rgb="FFFF0000"/>
      <name val="Calibri"/>
      <family val="2"/>
      <scheme val="minor"/>
    </font>
    <font>
      <sz val="8"/>
      <color theme="1"/>
      <name val="Calibri Light"/>
      <family val="2"/>
    </font>
    <font>
      <sz val="8"/>
      <color rgb="FF000000"/>
      <name val="Calibri Light"/>
      <family val="2"/>
    </font>
    <font>
      <sz val="10"/>
      <color rgb="FF000000"/>
      <name val="Calibri Light"/>
      <family val="2"/>
    </font>
    <font>
      <b/>
      <sz val="22"/>
      <color rgb="FFFF0000"/>
      <name val="Calibri"/>
      <family val="2"/>
      <scheme val="minor"/>
    </font>
    <font>
      <b/>
      <sz val="14"/>
      <name val="Calibri"/>
      <family val="2"/>
      <scheme val="minor"/>
    </font>
    <font>
      <b/>
      <sz val="16"/>
      <name val="Calibri"/>
      <family val="2"/>
      <scheme val="minor"/>
    </font>
    <font>
      <b/>
      <sz val="16"/>
      <color rgb="FFC00000"/>
      <name val="Calibri"/>
      <family val="2"/>
      <scheme val="minor"/>
    </font>
    <font>
      <b/>
      <sz val="16"/>
      <color theme="1"/>
      <name val="Calibri"/>
      <family val="2"/>
      <scheme val="minor"/>
    </font>
    <font>
      <b/>
      <sz val="20"/>
      <color theme="1"/>
      <name val="Calibri"/>
      <family val="2"/>
      <scheme val="minor"/>
    </font>
    <font>
      <sz val="11"/>
      <color rgb="FF3F3F76"/>
      <name val="Calibri"/>
      <family val="2"/>
      <scheme val="minor"/>
    </font>
  </fonts>
  <fills count="28">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rgb="FFE9EBF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bgColor indexed="64"/>
      </patternFill>
    </fill>
    <fill>
      <patternFill patternType="solid">
        <fgColor theme="4"/>
        <bgColor indexed="64"/>
      </patternFill>
    </fill>
    <fill>
      <patternFill patternType="solid">
        <fgColor theme="4" tint="0.59999389629810485"/>
        <bgColor indexed="64"/>
      </patternFill>
    </fill>
    <fill>
      <patternFill patternType="solid">
        <fgColor theme="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3"/>
        <bgColor indexed="64"/>
      </patternFill>
    </fill>
    <fill>
      <patternFill patternType="solid">
        <fgColor theme="1" tint="0.499984740745262"/>
        <bgColor indexed="64"/>
      </patternFill>
    </fill>
    <fill>
      <patternFill patternType="solid">
        <fgColor rgb="FFFFCC99"/>
      </patternFill>
    </fill>
    <fill>
      <patternFill patternType="solid">
        <fgColor rgb="FFFFFFCC"/>
      </patternFill>
    </fill>
  </fills>
  <borders count="7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top/>
      <bottom/>
      <diagonal/>
    </border>
    <border>
      <left/>
      <right style="medium">
        <color rgb="FFFFFFFF"/>
      </right>
      <top/>
      <bottom/>
      <diagonal/>
    </border>
    <border>
      <left/>
      <right style="thin">
        <color rgb="FFD8D8D7"/>
      </right>
      <top style="thin">
        <color rgb="FFE8E8E7"/>
      </top>
      <bottom style="thin">
        <color rgb="FFD8D8D7"/>
      </bottom>
      <diagonal/>
    </border>
    <border>
      <left/>
      <right style="medium">
        <color rgb="FFD4D4D4"/>
      </right>
      <top/>
      <bottom style="medium">
        <color rgb="FFD4D4D4"/>
      </bottom>
      <diagonal/>
    </border>
    <border>
      <left/>
      <right/>
      <top/>
      <bottom style="medium">
        <color rgb="FFD4D4D4"/>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7">
    <xf numFmtId="0" fontId="0" fillId="0" borderId="0"/>
    <xf numFmtId="9" fontId="3" fillId="0" borderId="0" applyFont="0" applyFill="0" applyBorder="0" applyAlignment="0" applyProtection="0"/>
    <xf numFmtId="0" fontId="72" fillId="0" borderId="0"/>
    <xf numFmtId="43" fontId="72" fillId="0" borderId="0" applyFont="0" applyFill="0" applyBorder="0" applyAlignment="0" applyProtection="0"/>
    <xf numFmtId="9" fontId="72" fillId="0" borderId="0" applyFont="0" applyFill="0" applyBorder="0" applyAlignment="0" applyProtection="0"/>
    <xf numFmtId="0" fontId="81" fillId="26" borderId="76" applyNumberFormat="0" applyAlignment="0" applyProtection="0"/>
    <xf numFmtId="0" fontId="3" fillId="27" borderId="77" applyNumberFormat="0" applyFont="0" applyAlignment="0" applyProtection="0"/>
  </cellStyleXfs>
  <cellXfs count="1789">
    <xf numFmtId="0" fontId="0" fillId="0" borderId="0" xfId="0"/>
    <xf numFmtId="0" fontId="1" fillId="0" borderId="0" xfId="0" applyFont="1"/>
    <xf numFmtId="0" fontId="2" fillId="0" borderId="0" xfId="0" applyFont="1"/>
    <xf numFmtId="2" fontId="0" fillId="0" borderId="0" xfId="0" applyNumberFormat="1"/>
    <xf numFmtId="0" fontId="0" fillId="0" borderId="0" xfId="0" applyFill="1"/>
    <xf numFmtId="0" fontId="0" fillId="0" borderId="0" xfId="0" applyAlignment="1">
      <alignment wrapText="1"/>
    </xf>
    <xf numFmtId="2" fontId="0" fillId="0" borderId="32" xfId="0" applyNumberFormat="1" applyBorder="1"/>
    <xf numFmtId="0" fontId="0" fillId="0" borderId="0" xfId="0" applyFont="1" applyFill="1"/>
    <xf numFmtId="0" fontId="0" fillId="0" borderId="0" xfId="0" applyFill="1" applyBorder="1" applyAlignment="1">
      <alignment horizontal="center" vertical="center"/>
    </xf>
    <xf numFmtId="0" fontId="10" fillId="0" borderId="0" xfId="0" applyFont="1" applyFill="1" applyAlignment="1">
      <alignment horizontal="left"/>
    </xf>
    <xf numFmtId="0" fontId="0" fillId="0" borderId="0" xfId="0" applyFont="1"/>
    <xf numFmtId="2" fontId="0" fillId="0" borderId="32" xfId="0" applyNumberFormat="1" applyFont="1" applyBorder="1" applyAlignment="1">
      <alignment horizontal="center"/>
    </xf>
    <xf numFmtId="0" fontId="0" fillId="0" borderId="32" xfId="0" applyFont="1" applyBorder="1" applyAlignment="1">
      <alignment horizontal="center"/>
    </xf>
    <xf numFmtId="0" fontId="0" fillId="0" borderId="0" xfId="0" quotePrefix="1" applyFont="1"/>
    <xf numFmtId="2" fontId="0" fillId="0" borderId="0" xfId="0" applyNumberFormat="1" applyFont="1" applyAlignment="1">
      <alignment horizontal="center"/>
    </xf>
    <xf numFmtId="0" fontId="7" fillId="0" borderId="0" xfId="0" applyFont="1" applyFill="1"/>
    <xf numFmtId="0" fontId="10" fillId="0" borderId="0" xfId="0" applyFont="1" applyFill="1" applyBorder="1" applyAlignment="1">
      <alignment vertical="top" wrapText="1"/>
    </xf>
    <xf numFmtId="0" fontId="7" fillId="0" borderId="16" xfId="0" applyFont="1" applyFill="1" applyBorder="1" applyAlignment="1">
      <alignment horizontal="center" vertical="top"/>
    </xf>
    <xf numFmtId="49" fontId="7" fillId="0" borderId="20" xfId="0" applyNumberFormat="1" applyFont="1" applyFill="1" applyBorder="1" applyAlignment="1">
      <alignment horizontal="center" vertical="top"/>
    </xf>
    <xf numFmtId="0" fontId="7" fillId="0" borderId="18" xfId="0" applyFont="1" applyFill="1" applyBorder="1" applyAlignment="1">
      <alignment horizontal="center" vertical="top"/>
    </xf>
    <xf numFmtId="49" fontId="7" fillId="0" borderId="17" xfId="0" applyNumberFormat="1" applyFont="1" applyFill="1" applyBorder="1" applyAlignment="1">
      <alignment horizontal="center" vertical="top"/>
    </xf>
    <xf numFmtId="0" fontId="7" fillId="0" borderId="28" xfId="0" applyFont="1" applyFill="1" applyBorder="1" applyAlignment="1">
      <alignment horizontal="center" vertical="top"/>
    </xf>
    <xf numFmtId="49" fontId="7" fillId="0" borderId="29" xfId="0" applyNumberFormat="1" applyFont="1" applyFill="1" applyBorder="1" applyAlignment="1">
      <alignment horizontal="center" vertical="top"/>
    </xf>
    <xf numFmtId="0" fontId="7" fillId="0" borderId="12" xfId="0" applyFont="1" applyFill="1" applyBorder="1" applyAlignment="1">
      <alignment horizontal="center" vertical="top"/>
    </xf>
    <xf numFmtId="49" fontId="7" fillId="0" borderId="30" xfId="0" applyNumberFormat="1" applyFont="1" applyFill="1" applyBorder="1" applyAlignment="1">
      <alignment horizontal="center" vertical="top"/>
    </xf>
    <xf numFmtId="0" fontId="7" fillId="0" borderId="21" xfId="0" applyFont="1" applyFill="1" applyBorder="1" applyAlignment="1">
      <alignment horizontal="center" vertical="top"/>
    </xf>
    <xf numFmtId="49" fontId="7" fillId="0" borderId="22" xfId="0" applyNumberFormat="1" applyFont="1" applyFill="1" applyBorder="1" applyAlignment="1">
      <alignment horizontal="center" vertical="top"/>
    </xf>
    <xf numFmtId="0" fontId="11" fillId="0" borderId="0" xfId="0" applyFont="1" applyFill="1" applyBorder="1" applyAlignment="1">
      <alignment vertical="top"/>
    </xf>
    <xf numFmtId="0" fontId="7" fillId="0" borderId="32" xfId="0" applyFont="1" applyFill="1" applyBorder="1" applyAlignment="1">
      <alignment horizontal="center" vertical="top"/>
    </xf>
    <xf numFmtId="2" fontId="7" fillId="0" borderId="32" xfId="0" applyNumberFormat="1" applyFont="1" applyFill="1" applyBorder="1" applyAlignment="1">
      <alignment horizontal="center" vertical="top"/>
    </xf>
    <xf numFmtId="0" fontId="0" fillId="0" borderId="32" xfId="0" applyFont="1" applyFill="1" applyBorder="1" applyAlignment="1">
      <alignment horizontal="center"/>
    </xf>
    <xf numFmtId="2" fontId="0" fillId="0" borderId="32" xfId="0" applyNumberFormat="1" applyFont="1" applyBorder="1" applyAlignment="1">
      <alignment horizontal="center" vertical="center"/>
    </xf>
    <xf numFmtId="0" fontId="0" fillId="0" borderId="32" xfId="0" applyFont="1" applyBorder="1" applyAlignment="1">
      <alignment horizontal="center" vertical="center"/>
    </xf>
    <xf numFmtId="0" fontId="0" fillId="0" borderId="32" xfId="0" applyFont="1" applyFill="1" applyBorder="1" applyAlignment="1">
      <alignment horizontal="center" vertical="center"/>
    </xf>
    <xf numFmtId="0" fontId="7" fillId="0" borderId="0" xfId="0" applyFont="1" applyFill="1" applyBorder="1" applyAlignment="1">
      <alignment horizontal="center" vertical="top"/>
    </xf>
    <xf numFmtId="49" fontId="7" fillId="0" borderId="0" xfId="0" applyNumberFormat="1" applyFont="1" applyFill="1" applyBorder="1" applyAlignment="1">
      <alignment horizontal="center" vertical="top"/>
    </xf>
    <xf numFmtId="2" fontId="0" fillId="0" borderId="32" xfId="0" applyNumberFormat="1" applyFont="1" applyFill="1" applyBorder="1" applyAlignment="1">
      <alignment horizontal="center" vertical="center"/>
    </xf>
    <xf numFmtId="0" fontId="10" fillId="0" borderId="0" xfId="0" applyFont="1" applyFill="1" applyAlignment="1">
      <alignment horizontal="left" wrapText="1" shrinkToFit="1"/>
    </xf>
    <xf numFmtId="0" fontId="0" fillId="0" borderId="0" xfId="0" applyFont="1" applyAlignment="1">
      <alignment wrapText="1"/>
    </xf>
    <xf numFmtId="0" fontId="10" fillId="4" borderId="32" xfId="0" applyFont="1" applyFill="1" applyBorder="1" applyAlignment="1">
      <alignment vertical="top" wrapText="1"/>
    </xf>
    <xf numFmtId="0" fontId="10" fillId="4" borderId="32" xfId="0" applyFont="1" applyFill="1" applyBorder="1" applyAlignment="1">
      <alignment horizontal="center" vertical="center" wrapText="1"/>
    </xf>
    <xf numFmtId="0" fontId="10" fillId="4" borderId="7" xfId="0" applyFont="1" applyFill="1" applyBorder="1" applyAlignment="1">
      <alignment vertical="top"/>
    </xf>
    <xf numFmtId="0" fontId="10" fillId="4" borderId="25" xfId="0" applyFont="1" applyFill="1" applyBorder="1" applyAlignment="1">
      <alignment vertical="top" wrapText="1"/>
    </xf>
    <xf numFmtId="0" fontId="10" fillId="4" borderId="26" xfId="0" applyFont="1" applyFill="1" applyBorder="1" applyAlignment="1">
      <alignment vertical="top" wrapText="1"/>
    </xf>
    <xf numFmtId="0" fontId="10" fillId="4" borderId="27" xfId="0" applyFont="1" applyFill="1" applyBorder="1" applyAlignment="1">
      <alignment vertical="top" wrapText="1"/>
    </xf>
    <xf numFmtId="0" fontId="10" fillId="4" borderId="1" xfId="0" applyFont="1" applyFill="1" applyBorder="1" applyAlignment="1">
      <alignment vertical="top" wrapText="1"/>
    </xf>
    <xf numFmtId="0" fontId="10" fillId="4" borderId="31" xfId="0" applyFont="1" applyFill="1" applyBorder="1" applyAlignment="1">
      <alignment vertical="top" wrapText="1"/>
    </xf>
    <xf numFmtId="0" fontId="10" fillId="4" borderId="9" xfId="0" applyFont="1" applyFill="1" applyBorder="1" applyAlignment="1">
      <alignment horizontal="center" vertical="top" wrapText="1"/>
    </xf>
    <xf numFmtId="0" fontId="10" fillId="4" borderId="10" xfId="0" applyFont="1" applyFill="1" applyBorder="1" applyAlignment="1">
      <alignment horizontal="center" wrapText="1"/>
    </xf>
    <xf numFmtId="0" fontId="1" fillId="4" borderId="32" xfId="0" applyFont="1" applyFill="1" applyBorder="1" applyAlignment="1">
      <alignment horizontal="center" vertical="center" wrapText="1"/>
    </xf>
    <xf numFmtId="0" fontId="11" fillId="4" borderId="32" xfId="0" applyFont="1" applyFill="1" applyBorder="1" applyAlignment="1">
      <alignment vertical="top" wrapText="1"/>
    </xf>
    <xf numFmtId="0" fontId="1" fillId="4" borderId="32" xfId="0" applyFont="1" applyFill="1" applyBorder="1" applyAlignment="1">
      <alignment horizontal="center"/>
    </xf>
    <xf numFmtId="0" fontId="11" fillId="0" borderId="0" xfId="0" applyFont="1"/>
    <xf numFmtId="0" fontId="7" fillId="0" borderId="0" xfId="0" applyFont="1"/>
    <xf numFmtId="0" fontId="10" fillId="4" borderId="7" xfId="0" applyFont="1" applyFill="1" applyBorder="1" applyAlignment="1">
      <alignment horizontal="left" vertical="top" wrapText="1" indent="1"/>
    </xf>
    <xf numFmtId="0" fontId="10" fillId="4" borderId="34" xfId="0" applyFont="1" applyFill="1" applyBorder="1" applyAlignment="1">
      <alignment horizontal="left" vertical="top" wrapText="1" indent="1"/>
    </xf>
    <xf numFmtId="0" fontId="7" fillId="0" borderId="0" xfId="0" applyFont="1" applyAlignment="1">
      <alignment wrapText="1"/>
    </xf>
    <xf numFmtId="0" fontId="7" fillId="0" borderId="0" xfId="0" applyFont="1" applyFill="1" applyBorder="1"/>
    <xf numFmtId="0" fontId="7" fillId="0" borderId="0" xfId="0" applyFont="1" applyBorder="1"/>
    <xf numFmtId="0" fontId="10" fillId="0" borderId="0" xfId="0" applyFont="1"/>
    <xf numFmtId="0" fontId="10" fillId="0" borderId="0" xfId="0" applyFont="1" applyFill="1" applyBorder="1" applyAlignment="1" applyProtection="1">
      <alignment horizontal="center" vertical="top" wrapText="1"/>
      <protection locked="0"/>
    </xf>
    <xf numFmtId="0" fontId="7" fillId="0" borderId="0" xfId="0" applyFont="1" applyFill="1" applyBorder="1" applyProtection="1">
      <protection locked="0"/>
    </xf>
    <xf numFmtId="0" fontId="10" fillId="4" borderId="14" xfId="0" applyFont="1" applyFill="1" applyBorder="1"/>
    <xf numFmtId="0" fontId="10" fillId="4" borderId="18" xfId="0" applyFont="1" applyFill="1" applyBorder="1" applyAlignment="1">
      <alignment vertical="center" wrapText="1"/>
    </xf>
    <xf numFmtId="49" fontId="7" fillId="0" borderId="17" xfId="0" applyNumberFormat="1" applyFont="1" applyFill="1" applyBorder="1" applyAlignment="1">
      <alignment horizontal="center" vertical="top" wrapText="1"/>
    </xf>
    <xf numFmtId="0" fontId="10" fillId="4" borderId="18" xfId="0" applyFont="1" applyFill="1" applyBorder="1" applyAlignment="1">
      <alignment vertical="top" wrapText="1"/>
    </xf>
    <xf numFmtId="49" fontId="7" fillId="0" borderId="22" xfId="0" applyNumberFormat="1" applyFont="1" applyFill="1" applyBorder="1" applyAlignment="1">
      <alignment horizontal="center" vertical="top" wrapText="1"/>
    </xf>
    <xf numFmtId="0" fontId="10" fillId="4" borderId="21" xfId="0" applyFont="1" applyFill="1" applyBorder="1" applyAlignment="1">
      <alignment horizontal="center" vertical="center" wrapText="1"/>
    </xf>
    <xf numFmtId="0" fontId="10" fillId="4" borderId="22" xfId="0" applyFont="1" applyFill="1" applyBorder="1" applyAlignment="1">
      <alignment horizontal="center" vertical="center" wrapText="1"/>
    </xf>
    <xf numFmtId="0" fontId="14" fillId="5" borderId="21" xfId="0" applyFont="1" applyFill="1" applyBorder="1" applyAlignment="1">
      <alignment horizontal="center"/>
    </xf>
    <xf numFmtId="0" fontId="14" fillId="5" borderId="18" xfId="0" applyFont="1" applyFill="1" applyBorder="1" applyAlignment="1">
      <alignment horizontal="center"/>
    </xf>
    <xf numFmtId="0" fontId="10" fillId="4" borderId="17" xfId="0" applyFont="1" applyFill="1" applyBorder="1" applyAlignment="1">
      <alignment horizontal="left" vertical="center" wrapText="1"/>
    </xf>
    <xf numFmtId="0" fontId="10" fillId="4" borderId="20" xfId="0" applyFont="1" applyFill="1" applyBorder="1" applyAlignment="1">
      <alignment vertical="top" wrapText="1"/>
    </xf>
    <xf numFmtId="0" fontId="7" fillId="0" borderId="14" xfId="0" applyFont="1" applyBorder="1" applyAlignment="1">
      <alignment horizontal="center" vertical="center"/>
    </xf>
    <xf numFmtId="0" fontId="7" fillId="0" borderId="35" xfId="0" applyFont="1" applyBorder="1" applyAlignment="1">
      <alignment horizontal="center" vertical="center"/>
    </xf>
    <xf numFmtId="0" fontId="7" fillId="0" borderId="13" xfId="0" applyFont="1" applyBorder="1" applyAlignment="1">
      <alignment horizontal="center" vertical="center"/>
    </xf>
    <xf numFmtId="0" fontId="7" fillId="0" borderId="18" xfId="0" applyFont="1" applyBorder="1" applyAlignment="1">
      <alignment horizontal="center" vertical="center"/>
    </xf>
    <xf numFmtId="0" fontId="7" fillId="0" borderId="32" xfId="0" applyFont="1" applyBorder="1" applyAlignment="1">
      <alignment horizontal="center" vertical="center"/>
    </xf>
    <xf numFmtId="0" fontId="7" fillId="0" borderId="17" xfId="0" applyFont="1" applyBorder="1" applyAlignment="1">
      <alignment horizontal="center" vertical="center"/>
    </xf>
    <xf numFmtId="0" fontId="7" fillId="0" borderId="21" xfId="0" applyFont="1" applyBorder="1" applyAlignment="1">
      <alignment horizontal="center" vertical="center"/>
    </xf>
    <xf numFmtId="0" fontId="7" fillId="0" borderId="36" xfId="0" applyFont="1" applyBorder="1" applyAlignment="1">
      <alignment horizontal="center" vertical="center"/>
    </xf>
    <xf numFmtId="0" fontId="7" fillId="0" borderId="22" xfId="0" applyFont="1" applyBorder="1" applyAlignment="1">
      <alignment horizontal="center" vertical="center"/>
    </xf>
    <xf numFmtId="0" fontId="10" fillId="4" borderId="28" xfId="0" applyFont="1" applyFill="1" applyBorder="1" applyAlignment="1">
      <alignment horizontal="left" vertical="center" wrapText="1"/>
    </xf>
    <xf numFmtId="0" fontId="10" fillId="4" borderId="29" xfId="0" applyFont="1" applyFill="1" applyBorder="1" applyAlignment="1">
      <alignment horizontal="left" vertical="center" wrapText="1"/>
    </xf>
    <xf numFmtId="0" fontId="10" fillId="4" borderId="9" xfId="0" applyFont="1" applyFill="1" applyBorder="1" applyAlignment="1">
      <alignment vertical="top" wrapText="1"/>
    </xf>
    <xf numFmtId="0" fontId="10" fillId="4" borderId="10" xfId="0" applyFont="1" applyFill="1" applyBorder="1" applyAlignment="1">
      <alignment vertical="top" wrapText="1"/>
    </xf>
    <xf numFmtId="0" fontId="14" fillId="0" borderId="11" xfId="0" applyFont="1" applyFill="1" applyBorder="1" applyAlignment="1">
      <alignment horizontal="center" vertical="top" wrapText="1"/>
    </xf>
    <xf numFmtId="49" fontId="7" fillId="0" borderId="46" xfId="0" applyNumberFormat="1" applyFont="1" applyFill="1" applyBorder="1" applyAlignment="1">
      <alignment horizontal="center" vertical="top" wrapText="1"/>
    </xf>
    <xf numFmtId="0" fontId="7" fillId="0" borderId="46" xfId="0" applyFont="1" applyFill="1" applyBorder="1" applyAlignment="1">
      <alignment horizontal="center" vertical="top" wrapText="1"/>
    </xf>
    <xf numFmtId="49" fontId="7" fillId="0" borderId="10" xfId="0" applyNumberFormat="1" applyFont="1" applyFill="1" applyBorder="1" applyAlignment="1">
      <alignment horizontal="center" vertical="top" wrapText="1"/>
    </xf>
    <xf numFmtId="0" fontId="14" fillId="0" borderId="14" xfId="0" applyFont="1" applyFill="1" applyBorder="1" applyAlignment="1">
      <alignment horizontal="center" vertical="top" wrapText="1"/>
    </xf>
    <xf numFmtId="49" fontId="7" fillId="0" borderId="13" xfId="0" applyNumberFormat="1" applyFont="1" applyFill="1" applyBorder="1" applyAlignment="1">
      <alignment horizontal="center" vertical="top" wrapText="1"/>
    </xf>
    <xf numFmtId="0" fontId="14" fillId="0" borderId="18" xfId="0" applyFont="1" applyFill="1" applyBorder="1" applyAlignment="1">
      <alignment horizontal="center" vertical="top" wrapText="1"/>
    </xf>
    <xf numFmtId="0" fontId="14" fillId="0" borderId="21" xfId="0" applyFont="1" applyFill="1" applyBorder="1" applyAlignment="1">
      <alignment horizontal="center" vertical="top" wrapText="1"/>
    </xf>
    <xf numFmtId="0" fontId="7" fillId="0" borderId="14" xfId="0" applyFont="1" applyFill="1" applyBorder="1" applyAlignment="1">
      <alignment horizontal="center" vertical="top" wrapText="1"/>
    </xf>
    <xf numFmtId="49" fontId="7" fillId="0" borderId="13" xfId="0" quotePrefix="1" applyNumberFormat="1" applyFont="1" applyFill="1" applyBorder="1" applyAlignment="1">
      <alignment horizontal="center" vertical="top" wrapText="1"/>
    </xf>
    <xf numFmtId="0" fontId="7" fillId="0" borderId="18" xfId="0" applyFont="1" applyFill="1" applyBorder="1" applyAlignment="1">
      <alignment horizontal="center" vertical="top" wrapText="1"/>
    </xf>
    <xf numFmtId="2" fontId="7" fillId="0" borderId="18" xfId="0" applyNumberFormat="1" applyFont="1" applyFill="1" applyBorder="1" applyAlignment="1">
      <alignment horizontal="center" vertical="top" wrapText="1"/>
    </xf>
    <xf numFmtId="0" fontId="7" fillId="0" borderId="21" xfId="0" applyFont="1" applyFill="1" applyBorder="1" applyAlignment="1">
      <alignment horizontal="center" vertical="top" wrapText="1"/>
    </xf>
    <xf numFmtId="0" fontId="0" fillId="0" borderId="0" xfId="0" applyFill="1" applyBorder="1"/>
    <xf numFmtId="0" fontId="0" fillId="0" borderId="6" xfId="0" applyFill="1" applyBorder="1"/>
    <xf numFmtId="10" fontId="0" fillId="0" borderId="0" xfId="0" applyNumberFormat="1"/>
    <xf numFmtId="10" fontId="0" fillId="0" borderId="0" xfId="1" applyNumberFormat="1" applyFont="1" applyBorder="1"/>
    <xf numFmtId="49" fontId="7" fillId="0" borderId="24" xfId="0" applyNumberFormat="1" applyFont="1" applyFill="1" applyBorder="1" applyAlignment="1">
      <alignment horizontal="center" vertical="top"/>
    </xf>
    <xf numFmtId="0" fontId="0" fillId="0" borderId="0" xfId="0" applyBorder="1"/>
    <xf numFmtId="164" fontId="0" fillId="0" borderId="0" xfId="0" applyNumberFormat="1" applyBorder="1"/>
    <xf numFmtId="164" fontId="0" fillId="0" borderId="0" xfId="0" applyNumberFormat="1" applyFill="1" applyBorder="1"/>
    <xf numFmtId="0" fontId="0" fillId="0" borderId="0" xfId="0" applyFill="1" applyBorder="1" applyAlignment="1">
      <alignment horizontal="left"/>
    </xf>
    <xf numFmtId="0" fontId="18" fillId="0" borderId="0" xfId="0" applyFont="1" applyFill="1" applyBorder="1" applyAlignment="1">
      <alignment horizontal="left"/>
    </xf>
    <xf numFmtId="2" fontId="0" fillId="0" borderId="0" xfId="0" applyNumberFormat="1" applyFill="1" applyBorder="1" applyAlignment="1">
      <alignment horizontal="center"/>
    </xf>
    <xf numFmtId="168" fontId="0" fillId="0" borderId="0" xfId="0" applyNumberFormat="1" applyFill="1" applyBorder="1" applyAlignment="1">
      <alignment horizontal="center"/>
    </xf>
    <xf numFmtId="169" fontId="0" fillId="0" borderId="0" xfId="0" applyNumberFormat="1" applyFill="1" applyBorder="1" applyAlignment="1">
      <alignment horizontal="center"/>
    </xf>
    <xf numFmtId="0" fontId="19" fillId="0" borderId="0" xfId="0" applyFont="1"/>
    <xf numFmtId="0" fontId="8" fillId="0" borderId="0" xfId="0" applyFont="1" applyAlignment="1">
      <alignment wrapText="1"/>
    </xf>
    <xf numFmtId="9" fontId="0" fillId="0" borderId="0" xfId="0" applyNumberFormat="1"/>
    <xf numFmtId="0" fontId="0" fillId="0" borderId="2" xfId="0" applyBorder="1"/>
    <xf numFmtId="0" fontId="0" fillId="0" borderId="33" xfId="0" applyBorder="1"/>
    <xf numFmtId="2" fontId="0" fillId="0" borderId="6" xfId="0" applyNumberFormat="1" applyBorder="1"/>
    <xf numFmtId="2" fontId="0" fillId="0" borderId="0" xfId="0" applyNumberFormat="1" applyBorder="1"/>
    <xf numFmtId="2" fontId="1" fillId="0" borderId="58" xfId="0" applyNumberFormat="1" applyFont="1" applyBorder="1"/>
    <xf numFmtId="2" fontId="0" fillId="0" borderId="43" xfId="0" applyNumberFormat="1" applyBorder="1"/>
    <xf numFmtId="2" fontId="0" fillId="0" borderId="51" xfId="0" applyNumberFormat="1" applyBorder="1"/>
    <xf numFmtId="9" fontId="0" fillId="0" borderId="52" xfId="0" applyNumberFormat="1" applyBorder="1"/>
    <xf numFmtId="0" fontId="1" fillId="0" borderId="52" xfId="0" applyFont="1" applyBorder="1" applyAlignment="1">
      <alignment horizontal="right" vertical="center"/>
    </xf>
    <xf numFmtId="0" fontId="1" fillId="0" borderId="1" xfId="0" applyFont="1" applyBorder="1"/>
    <xf numFmtId="0" fontId="0" fillId="0" borderId="2" xfId="0" applyFont="1" applyBorder="1" applyAlignment="1">
      <alignment horizontal="center"/>
    </xf>
    <xf numFmtId="0" fontId="0" fillId="6" borderId="2" xfId="0" applyFill="1" applyBorder="1"/>
    <xf numFmtId="0" fontId="0" fillId="0" borderId="6" xfId="0" applyBorder="1"/>
    <xf numFmtId="0" fontId="0" fillId="0" borderId="0" xfId="0" applyFont="1" applyBorder="1" applyAlignment="1">
      <alignment horizontal="center"/>
    </xf>
    <xf numFmtId="2" fontId="0" fillId="2" borderId="0" xfId="0" applyNumberFormat="1" applyFill="1" applyBorder="1"/>
    <xf numFmtId="0" fontId="0" fillId="0" borderId="58" xfId="0" applyBorder="1"/>
    <xf numFmtId="0" fontId="0" fillId="0" borderId="0" xfId="0" applyBorder="1" applyAlignment="1">
      <alignment horizontal="center" vertical="center"/>
    </xf>
    <xf numFmtId="165" fontId="0" fillId="2" borderId="0" xfId="0" applyNumberFormat="1" applyFill="1" applyBorder="1"/>
    <xf numFmtId="1" fontId="0" fillId="0" borderId="0" xfId="0" applyNumberFormat="1" applyFill="1" applyBorder="1"/>
    <xf numFmtId="0" fontId="10" fillId="0" borderId="6" xfId="0" applyFont="1" applyFill="1" applyBorder="1" applyAlignment="1">
      <alignment horizontal="left" vertical="center" wrapText="1"/>
    </xf>
    <xf numFmtId="0" fontId="4" fillId="0" borderId="0" xfId="0" applyFont="1" applyBorder="1" applyAlignment="1">
      <alignment horizontal="center"/>
    </xf>
    <xf numFmtId="166" fontId="0" fillId="0" borderId="0" xfId="0" applyNumberFormat="1" applyBorder="1"/>
    <xf numFmtId="0" fontId="7" fillId="0" borderId="43" xfId="0" applyFont="1" applyFill="1" applyBorder="1" applyAlignment="1">
      <alignment vertical="top" wrapText="1"/>
    </xf>
    <xf numFmtId="0" fontId="0" fillId="0" borderId="51" xfId="0" applyFont="1" applyBorder="1" applyAlignment="1">
      <alignment horizontal="center"/>
    </xf>
    <xf numFmtId="166" fontId="0" fillId="0" borderId="51" xfId="0" applyNumberFormat="1" applyBorder="1"/>
    <xf numFmtId="0" fontId="0" fillId="0" borderId="44" xfId="0" applyBorder="1"/>
    <xf numFmtId="0" fontId="2" fillId="0" borderId="1" xfId="0" applyFont="1" applyFill="1" applyBorder="1"/>
    <xf numFmtId="0" fontId="6" fillId="0" borderId="6" xfId="0" applyFont="1" applyBorder="1"/>
    <xf numFmtId="0" fontId="1" fillId="6" borderId="6" xfId="0" applyFont="1" applyFill="1" applyBorder="1"/>
    <xf numFmtId="0" fontId="0" fillId="6" borderId="0" xfId="0" applyFill="1" applyBorder="1"/>
    <xf numFmtId="0" fontId="4" fillId="6" borderId="0" xfId="0" applyFont="1" applyFill="1" applyBorder="1" applyAlignment="1">
      <alignment horizontal="center"/>
    </xf>
    <xf numFmtId="0" fontId="15" fillId="0" borderId="0" xfId="0" applyFont="1" applyBorder="1" applyAlignment="1">
      <alignment vertical="center"/>
    </xf>
    <xf numFmtId="0" fontId="0" fillId="6" borderId="6" xfId="0" applyFill="1" applyBorder="1"/>
    <xf numFmtId="0" fontId="0" fillId="6" borderId="0" xfId="0" applyFont="1" applyFill="1" applyBorder="1" applyAlignment="1">
      <alignment horizontal="center"/>
    </xf>
    <xf numFmtId="164" fontId="0" fillId="6" borderId="0" xfId="0" applyNumberFormat="1" applyFill="1" applyBorder="1"/>
    <xf numFmtId="0" fontId="0" fillId="0" borderId="6" xfId="0" applyFont="1" applyFill="1" applyBorder="1"/>
    <xf numFmtId="0" fontId="0" fillId="0" borderId="6" xfId="0" applyFont="1" applyFill="1" applyBorder="1" applyAlignment="1">
      <alignment horizontal="left"/>
    </xf>
    <xf numFmtId="0" fontId="0" fillId="0" borderId="43" xfId="0" applyFont="1" applyFill="1" applyBorder="1" applyAlignment="1">
      <alignment horizontal="left"/>
    </xf>
    <xf numFmtId="0" fontId="18" fillId="0" borderId="51" xfId="0" applyFont="1" applyFill="1" applyBorder="1" applyAlignment="1">
      <alignment horizontal="left"/>
    </xf>
    <xf numFmtId="168" fontId="0" fillId="0" borderId="51" xfId="0" applyNumberFormat="1" applyFill="1" applyBorder="1" applyAlignment="1">
      <alignment horizontal="center"/>
    </xf>
    <xf numFmtId="0" fontId="0" fillId="0" borderId="51" xfId="0" applyFill="1" applyBorder="1" applyAlignment="1">
      <alignment horizontal="left"/>
    </xf>
    <xf numFmtId="0" fontId="2" fillId="0" borderId="1" xfId="0" applyFont="1" applyBorder="1"/>
    <xf numFmtId="0" fontId="1" fillId="0" borderId="6" xfId="0" applyFont="1" applyBorder="1"/>
    <xf numFmtId="2" fontId="0" fillId="0" borderId="0" xfId="0" applyNumberFormat="1" applyFill="1" applyBorder="1"/>
    <xf numFmtId="1" fontId="0" fillId="2" borderId="0" xfId="0" applyNumberFormat="1" applyFill="1" applyBorder="1"/>
    <xf numFmtId="167" fontId="0" fillId="2" borderId="0" xfId="0" applyNumberFormat="1" applyFill="1" applyBorder="1"/>
    <xf numFmtId="0" fontId="0" fillId="0" borderId="43" xfId="0" applyFill="1" applyBorder="1"/>
    <xf numFmtId="0" fontId="0" fillId="0" borderId="51" xfId="0" applyFill="1" applyBorder="1"/>
    <xf numFmtId="0" fontId="0" fillId="0" borderId="51" xfId="0" applyBorder="1"/>
    <xf numFmtId="0" fontId="5" fillId="0" borderId="6" xfId="0" applyFont="1" applyBorder="1"/>
    <xf numFmtId="0" fontId="1" fillId="0" borderId="0" xfId="0" applyFont="1" applyBorder="1"/>
    <xf numFmtId="0" fontId="1" fillId="0" borderId="58" xfId="0" applyFont="1" applyBorder="1"/>
    <xf numFmtId="0" fontId="0" fillId="2" borderId="0" xfId="0" applyFill="1" applyBorder="1"/>
    <xf numFmtId="0" fontId="1" fillId="0" borderId="0" xfId="0" applyFont="1" applyBorder="1" applyAlignment="1">
      <alignment horizontal="center"/>
    </xf>
    <xf numFmtId="0" fontId="0" fillId="0" borderId="0" xfId="0" applyBorder="1" applyAlignment="1">
      <alignment horizontal="center"/>
    </xf>
    <xf numFmtId="2" fontId="0" fillId="3" borderId="0" xfId="0" applyNumberFormat="1" applyFill="1" applyBorder="1"/>
    <xf numFmtId="166" fontId="0" fillId="2" borderId="0" xfId="0" applyNumberFormat="1" applyFill="1" applyBorder="1"/>
    <xf numFmtId="0" fontId="0" fillId="0" borderId="43" xfId="0" applyBorder="1"/>
    <xf numFmtId="166" fontId="0" fillId="0" borderId="51" xfId="0" applyNumberFormat="1" applyFill="1" applyBorder="1"/>
    <xf numFmtId="0" fontId="0" fillId="0" borderId="6" xfId="0" applyFont="1" applyFill="1" applyBorder="1" applyAlignment="1">
      <alignment horizontal="left" vertical="center"/>
    </xf>
    <xf numFmtId="0" fontId="0" fillId="0" borderId="0" xfId="0" applyFill="1" applyBorder="1" applyAlignment="1">
      <alignment horizontal="left" vertical="center"/>
    </xf>
    <xf numFmtId="0" fontId="0" fillId="0" borderId="0" xfId="0" applyFill="1" applyBorder="1" applyAlignment="1">
      <alignment horizontal="right" vertical="center"/>
    </xf>
    <xf numFmtId="0" fontId="0" fillId="0" borderId="2" xfId="0" applyFill="1" applyBorder="1"/>
    <xf numFmtId="170" fontId="0" fillId="0" borderId="0" xfId="0" applyNumberFormat="1"/>
    <xf numFmtId="3" fontId="4" fillId="0" borderId="42" xfId="0" applyNumberFormat="1" applyFont="1" applyFill="1" applyBorder="1" applyAlignment="1">
      <alignment horizontal="center" wrapText="1"/>
    </xf>
    <xf numFmtId="2" fontId="0" fillId="8" borderId="0" xfId="0" applyNumberFormat="1" applyFill="1" applyBorder="1"/>
    <xf numFmtId="2" fontId="0" fillId="9" borderId="0" xfId="0" applyNumberFormat="1" applyFill="1" applyBorder="1"/>
    <xf numFmtId="0" fontId="20" fillId="0" borderId="0" xfId="0" applyFont="1" applyFill="1"/>
    <xf numFmtId="0" fontId="21" fillId="0" borderId="0" xfId="0" applyFont="1" applyFill="1"/>
    <xf numFmtId="0" fontId="21" fillId="0" borderId="0" xfId="0" applyFont="1" applyFill="1" applyBorder="1"/>
    <xf numFmtId="0" fontId="24" fillId="4" borderId="36" xfId="0" applyFont="1" applyFill="1" applyBorder="1" applyAlignment="1">
      <alignment horizontal="center" vertical="center" wrapText="1"/>
    </xf>
    <xf numFmtId="9" fontId="21" fillId="0" borderId="0" xfId="0" applyNumberFormat="1" applyFont="1" applyFill="1" applyBorder="1"/>
    <xf numFmtId="0" fontId="21" fillId="0" borderId="6" xfId="0" applyFont="1" applyFill="1" applyBorder="1"/>
    <xf numFmtId="0" fontId="24" fillId="4" borderId="22" xfId="0" applyFont="1" applyFill="1" applyBorder="1" applyAlignment="1">
      <alignment horizontal="center" vertical="center" wrapText="1"/>
    </xf>
    <xf numFmtId="41" fontId="21" fillId="0" borderId="58" xfId="0" applyNumberFormat="1" applyFont="1" applyFill="1" applyBorder="1" applyProtection="1">
      <protection locked="0"/>
    </xf>
    <xf numFmtId="0" fontId="22" fillId="5" borderId="18" xfId="0" applyFont="1" applyFill="1" applyBorder="1" applyAlignment="1">
      <alignment horizontal="center" vertical="center" wrapText="1"/>
    </xf>
    <xf numFmtId="0" fontId="21" fillId="5" borderId="32" xfId="0" applyFont="1" applyFill="1" applyBorder="1" applyAlignment="1">
      <alignment horizontal="center" vertical="center"/>
    </xf>
    <xf numFmtId="0" fontId="22" fillId="5" borderId="21" xfId="0" applyFont="1" applyFill="1" applyBorder="1" applyAlignment="1">
      <alignment horizontal="center" vertical="center" wrapText="1"/>
    </xf>
    <xf numFmtId="0" fontId="21" fillId="5" borderId="36" xfId="0" applyFont="1" applyFill="1" applyBorder="1" applyAlignment="1">
      <alignment horizontal="center" vertical="center"/>
    </xf>
    <xf numFmtId="0" fontId="0" fillId="0" borderId="52" xfId="0" applyFont="1" applyBorder="1" applyAlignment="1">
      <alignment horizontal="right" vertical="center"/>
    </xf>
    <xf numFmtId="0" fontId="0" fillId="0" borderId="53" xfId="0" applyFont="1" applyBorder="1" applyAlignment="1">
      <alignment horizontal="right" vertical="center"/>
    </xf>
    <xf numFmtId="0" fontId="0" fillId="0" borderId="56" xfId="0" applyFont="1" applyBorder="1" applyAlignment="1">
      <alignment horizontal="right" vertical="center"/>
    </xf>
    <xf numFmtId="0" fontId="21" fillId="5" borderId="17" xfId="0" applyFont="1" applyFill="1" applyBorder="1" applyAlignment="1">
      <alignment horizontal="center" vertical="center" wrapText="1"/>
    </xf>
    <xf numFmtId="0" fontId="21" fillId="5" borderId="22" xfId="0" applyFont="1" applyFill="1" applyBorder="1" applyAlignment="1">
      <alignment horizontal="center" vertical="center" wrapText="1"/>
    </xf>
    <xf numFmtId="0" fontId="0" fillId="0" borderId="0" xfId="0" applyFont="1" applyFill="1" applyBorder="1"/>
    <xf numFmtId="0" fontId="0" fillId="0" borderId="0" xfId="0" applyFill="1" applyBorder="1" applyAlignment="1">
      <alignment horizontal="left" vertical="center" wrapText="1"/>
    </xf>
    <xf numFmtId="0" fontId="1" fillId="0" borderId="6" xfId="0" applyFont="1" applyBorder="1" applyAlignment="1">
      <alignment horizontal="left"/>
    </xf>
    <xf numFmtId="0" fontId="0" fillId="0" borderId="43" xfId="0" applyFill="1" applyBorder="1" applyAlignment="1">
      <alignment horizontal="left"/>
    </xf>
    <xf numFmtId="0" fontId="1" fillId="0" borderId="0" xfId="0" applyFont="1" applyFill="1" applyBorder="1" applyAlignment="1">
      <alignment horizontal="center"/>
    </xf>
    <xf numFmtId="0" fontId="0" fillId="0" borderId="0" xfId="0" applyFont="1" applyFill="1" applyBorder="1" applyAlignment="1">
      <alignment horizontal="center"/>
    </xf>
    <xf numFmtId="0" fontId="1" fillId="0" borderId="0" xfId="0" applyFont="1" applyBorder="1" applyAlignment="1">
      <alignment horizontal="center" vertical="center" wrapText="1"/>
    </xf>
    <xf numFmtId="2" fontId="0" fillId="0" borderId="58" xfId="0" applyNumberFormat="1" applyBorder="1"/>
    <xf numFmtId="2" fontId="0" fillId="0" borderId="44" xfId="0" applyNumberFormat="1" applyBorder="1"/>
    <xf numFmtId="164" fontId="0" fillId="0" borderId="1" xfId="0" applyNumberFormat="1" applyFont="1" applyBorder="1" applyAlignment="1">
      <alignment horizontal="right" vertical="center"/>
    </xf>
    <xf numFmtId="164" fontId="0" fillId="0" borderId="6" xfId="0" applyNumberFormat="1" applyFont="1" applyBorder="1" applyAlignment="1">
      <alignment horizontal="right" vertical="center"/>
    </xf>
    <xf numFmtId="164" fontId="0" fillId="0" borderId="43" xfId="0" applyNumberFormat="1" applyFont="1" applyBorder="1" applyAlignment="1">
      <alignment horizontal="right" vertical="center"/>
    </xf>
    <xf numFmtId="0" fontId="1" fillId="7" borderId="18" xfId="0" applyFont="1" applyFill="1" applyBorder="1" applyAlignment="1">
      <alignment horizontal="center" vertical="center" wrapText="1"/>
    </xf>
    <xf numFmtId="0" fontId="1" fillId="7" borderId="32" xfId="0" applyFont="1" applyFill="1" applyBorder="1" applyAlignment="1">
      <alignment horizontal="center" vertical="center" wrapText="1"/>
    </xf>
    <xf numFmtId="0" fontId="0" fillId="0" borderId="6" xfId="0" applyFont="1" applyBorder="1" applyAlignment="1">
      <alignment horizontal="left"/>
    </xf>
    <xf numFmtId="0" fontId="1" fillId="11" borderId="35" xfId="0" applyFont="1" applyFill="1" applyBorder="1" applyAlignment="1">
      <alignment horizontal="center" wrapText="1"/>
    </xf>
    <xf numFmtId="2" fontId="1" fillId="11" borderId="35" xfId="0" applyNumberFormat="1" applyFont="1" applyFill="1" applyBorder="1" applyAlignment="1">
      <alignment horizontal="center" wrapText="1"/>
    </xf>
    <xf numFmtId="3" fontId="1" fillId="11" borderId="35" xfId="0" applyNumberFormat="1" applyFont="1" applyFill="1" applyBorder="1" applyAlignment="1">
      <alignment horizontal="center" wrapText="1"/>
    </xf>
    <xf numFmtId="0" fontId="0" fillId="11" borderId="21" xfId="0" applyFont="1" applyFill="1" applyBorder="1" applyAlignment="1">
      <alignment horizontal="center" wrapText="1"/>
    </xf>
    <xf numFmtId="0" fontId="0" fillId="11" borderId="36" xfId="0" applyFont="1" applyFill="1" applyBorder="1" applyAlignment="1">
      <alignment horizontal="center" wrapText="1"/>
    </xf>
    <xf numFmtId="2" fontId="0" fillId="11" borderId="36" xfId="0" applyNumberFormat="1" applyFont="1" applyFill="1" applyBorder="1" applyAlignment="1">
      <alignment horizontal="center" wrapText="1"/>
    </xf>
    <xf numFmtId="3" fontId="0" fillId="11" borderId="36" xfId="0" applyNumberFormat="1" applyFont="1" applyFill="1" applyBorder="1" applyAlignment="1">
      <alignment horizontal="center" wrapText="1"/>
    </xf>
    <xf numFmtId="3" fontId="0" fillId="11" borderId="22" xfId="0" applyNumberFormat="1" applyFont="1" applyFill="1" applyBorder="1" applyAlignment="1">
      <alignment horizontal="center" wrapText="1"/>
    </xf>
    <xf numFmtId="3" fontId="26" fillId="11" borderId="13" xfId="0" applyNumberFormat="1" applyFont="1" applyFill="1" applyBorder="1" applyAlignment="1">
      <alignment horizontal="center" wrapText="1"/>
    </xf>
    <xf numFmtId="0" fontId="16" fillId="11" borderId="41" xfId="0" applyFont="1" applyFill="1" applyBorder="1" applyAlignment="1">
      <alignment horizontal="center" wrapText="1"/>
    </xf>
    <xf numFmtId="2" fontId="16" fillId="11" borderId="41" xfId="0" applyNumberFormat="1" applyFont="1" applyFill="1" applyBorder="1" applyAlignment="1">
      <alignment horizontal="center" wrapText="1"/>
    </xf>
    <xf numFmtId="3" fontId="16" fillId="11" borderId="41" xfId="0" applyNumberFormat="1" applyFont="1" applyFill="1" applyBorder="1" applyAlignment="1">
      <alignment horizontal="center" wrapText="1"/>
    </xf>
    <xf numFmtId="3" fontId="16" fillId="11" borderId="24" xfId="0" applyNumberFormat="1" applyFont="1" applyFill="1" applyBorder="1" applyAlignment="1">
      <alignment horizontal="center" wrapText="1"/>
    </xf>
    <xf numFmtId="0" fontId="0" fillId="0" borderId="6" xfId="0" applyFont="1" applyFill="1" applyBorder="1" applyAlignment="1">
      <alignment horizontal="center" wrapText="1"/>
    </xf>
    <xf numFmtId="0" fontId="0" fillId="0" borderId="42" xfId="0" applyFont="1" applyFill="1" applyBorder="1" applyAlignment="1">
      <alignment horizontal="center" wrapText="1"/>
    </xf>
    <xf numFmtId="0" fontId="0" fillId="0" borderId="0" xfId="0" applyFont="1" applyFill="1" applyBorder="1" applyAlignment="1">
      <alignment horizontal="center" wrapText="1"/>
    </xf>
    <xf numFmtId="2" fontId="0" fillId="0" borderId="42" xfId="0" applyNumberFormat="1" applyFont="1" applyFill="1" applyBorder="1" applyAlignment="1">
      <alignment horizontal="center" wrapText="1"/>
    </xf>
    <xf numFmtId="3" fontId="0" fillId="0" borderId="42" xfId="0" applyNumberFormat="1" applyFont="1" applyFill="1" applyBorder="1" applyAlignment="1">
      <alignment horizontal="center" wrapText="1"/>
    </xf>
    <xf numFmtId="0" fontId="0" fillId="0" borderId="32" xfId="0" applyFont="1" applyBorder="1"/>
    <xf numFmtId="0" fontId="30" fillId="0" borderId="0" xfId="0" applyFont="1"/>
    <xf numFmtId="0" fontId="1" fillId="7" borderId="21" xfId="0" applyFont="1" applyFill="1" applyBorder="1" applyAlignment="1">
      <alignment horizontal="center" vertical="center" wrapText="1"/>
    </xf>
    <xf numFmtId="0" fontId="1" fillId="7" borderId="36" xfId="0" applyFont="1" applyFill="1" applyBorder="1" applyAlignment="1">
      <alignment horizontal="center" vertical="center" wrapText="1"/>
    </xf>
    <xf numFmtId="0" fontId="1" fillId="7" borderId="38" xfId="0" applyFont="1" applyFill="1" applyBorder="1" applyAlignment="1">
      <alignment horizontal="center" vertical="center" wrapText="1"/>
    </xf>
    <xf numFmtId="41" fontId="0" fillId="0" borderId="6" xfId="0" applyNumberFormat="1" applyBorder="1"/>
    <xf numFmtId="41" fontId="0" fillId="0" borderId="0" xfId="0" applyNumberFormat="1" applyBorder="1"/>
    <xf numFmtId="41" fontId="0" fillId="0" borderId="58" xfId="0" applyNumberFormat="1" applyBorder="1"/>
    <xf numFmtId="41" fontId="0" fillId="0" borderId="43" xfId="0" applyNumberFormat="1" applyBorder="1"/>
    <xf numFmtId="41" fontId="0" fillId="0" borderId="51" xfId="0" applyNumberFormat="1" applyBorder="1"/>
    <xf numFmtId="41" fontId="0" fillId="0" borderId="44" xfId="0" applyNumberFormat="1" applyBorder="1"/>
    <xf numFmtId="0" fontId="1" fillId="7" borderId="39" xfId="0" applyFont="1" applyFill="1" applyBorder="1" applyAlignment="1">
      <alignment horizontal="center" vertical="center" wrapText="1"/>
    </xf>
    <xf numFmtId="41" fontId="0" fillId="10" borderId="0" xfId="0" applyNumberFormat="1" applyFill="1" applyBorder="1"/>
    <xf numFmtId="41" fontId="0" fillId="10" borderId="51" xfId="0" applyNumberFormat="1" applyFill="1" applyBorder="1"/>
    <xf numFmtId="0" fontId="4" fillId="12" borderId="18" xfId="0" applyFont="1" applyFill="1" applyBorder="1" applyAlignment="1">
      <alignment horizontal="center" vertical="center"/>
    </xf>
    <xf numFmtId="0" fontId="4" fillId="12" borderId="14" xfId="0" applyFont="1" applyFill="1" applyBorder="1" applyAlignment="1">
      <alignment horizontal="center" vertical="center" wrapText="1"/>
    </xf>
    <xf numFmtId="170" fontId="4" fillId="12" borderId="6" xfId="0" applyNumberFormat="1" applyFont="1" applyFill="1" applyBorder="1"/>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xf>
    <xf numFmtId="170" fontId="4" fillId="12" borderId="43" xfId="0" applyNumberFormat="1" applyFont="1" applyFill="1" applyBorder="1"/>
    <xf numFmtId="0" fontId="10" fillId="12" borderId="3" xfId="0" applyFont="1" applyFill="1" applyBorder="1" applyAlignment="1">
      <alignment horizontal="center" vertical="center" wrapText="1"/>
    </xf>
    <xf numFmtId="0" fontId="10" fillId="12" borderId="26" xfId="0" applyFont="1" applyFill="1" applyBorder="1" applyAlignment="1">
      <alignment horizontal="center" vertical="center"/>
    </xf>
    <xf numFmtId="41" fontId="0" fillId="10" borderId="6" xfId="0" applyNumberFormat="1" applyFill="1" applyBorder="1"/>
    <xf numFmtId="170" fontId="10" fillId="12" borderId="27" xfId="0" applyNumberFormat="1" applyFont="1" applyFill="1" applyBorder="1"/>
    <xf numFmtId="170" fontId="10" fillId="12" borderId="6" xfId="0" applyNumberFormat="1" applyFont="1" applyFill="1" applyBorder="1"/>
    <xf numFmtId="170" fontId="10" fillId="12" borderId="43" xfId="0" applyNumberFormat="1" applyFont="1" applyFill="1" applyBorder="1"/>
    <xf numFmtId="166" fontId="0" fillId="8" borderId="0" xfId="0" applyNumberFormat="1" applyFill="1" applyBorder="1"/>
    <xf numFmtId="171" fontId="4" fillId="12" borderId="24" xfId="0" applyNumberFormat="1" applyFont="1" applyFill="1" applyBorder="1"/>
    <xf numFmtId="171" fontId="4" fillId="12" borderId="57" xfId="0" applyNumberFormat="1" applyFont="1" applyFill="1" applyBorder="1"/>
    <xf numFmtId="0" fontId="0" fillId="0" borderId="12" xfId="0" applyFill="1" applyBorder="1" applyAlignment="1">
      <alignment horizontal="center" wrapText="1"/>
    </xf>
    <xf numFmtId="0" fontId="0" fillId="0" borderId="55" xfId="0" applyFill="1" applyBorder="1" applyAlignment="1">
      <alignment horizontal="center" wrapText="1"/>
    </xf>
    <xf numFmtId="0" fontId="0" fillId="0" borderId="30" xfId="0" applyFill="1" applyBorder="1" applyAlignment="1">
      <alignment horizontal="center" wrapText="1"/>
    </xf>
    <xf numFmtId="0" fontId="0" fillId="0" borderId="34" xfId="0" applyFill="1" applyBorder="1" applyAlignment="1">
      <alignment wrapText="1"/>
    </xf>
    <xf numFmtId="0" fontId="0" fillId="0" borderId="9" xfId="0" applyFill="1" applyBorder="1" applyAlignment="1" applyProtection="1">
      <alignment horizontal="center" wrapText="1"/>
      <protection locked="0"/>
    </xf>
    <xf numFmtId="0" fontId="0" fillId="0" borderId="46" xfId="0" applyFill="1" applyBorder="1" applyAlignment="1" applyProtection="1">
      <alignment horizontal="center" wrapText="1"/>
      <protection locked="0"/>
    </xf>
    <xf numFmtId="0" fontId="0" fillId="0" borderId="10" xfId="0" applyFill="1" applyBorder="1" applyAlignment="1" applyProtection="1">
      <alignment wrapText="1"/>
      <protection locked="0"/>
    </xf>
    <xf numFmtId="0" fontId="0" fillId="0" borderId="34" xfId="0" applyFill="1" applyBorder="1" applyAlignment="1" applyProtection="1">
      <alignment wrapText="1"/>
      <protection locked="0"/>
    </xf>
    <xf numFmtId="0" fontId="0" fillId="0" borderId="23" xfId="0" applyFill="1" applyBorder="1" applyAlignment="1">
      <alignment horizontal="center" wrapText="1"/>
    </xf>
    <xf numFmtId="0" fontId="0" fillId="0" borderId="41" xfId="0" applyFill="1" applyBorder="1" applyAlignment="1">
      <alignment horizontal="center" wrapText="1"/>
    </xf>
    <xf numFmtId="0" fontId="0" fillId="0" borderId="24" xfId="0" applyFill="1" applyBorder="1" applyAlignment="1">
      <alignment horizontal="center" wrapText="1"/>
    </xf>
    <xf numFmtId="0" fontId="0" fillId="0" borderId="53" xfId="0" applyFill="1" applyBorder="1" applyAlignment="1">
      <alignment wrapText="1"/>
    </xf>
    <xf numFmtId="9" fontId="0" fillId="0" borderId="18" xfId="1" applyFont="1" applyFill="1" applyBorder="1" applyAlignment="1" applyProtection="1">
      <alignment horizontal="center" wrapText="1"/>
      <protection locked="0"/>
    </xf>
    <xf numFmtId="9" fontId="0" fillId="0" borderId="32" xfId="1" applyFont="1" applyFill="1" applyBorder="1" applyAlignment="1" applyProtection="1">
      <alignment horizontal="center" wrapText="1"/>
      <protection locked="0"/>
    </xf>
    <xf numFmtId="0" fontId="8" fillId="4" borderId="12" xfId="0" applyFont="1" applyFill="1" applyBorder="1" applyAlignment="1">
      <alignment horizontal="center" wrapText="1"/>
    </xf>
    <xf numFmtId="0" fontId="8" fillId="4" borderId="12" xfId="0" applyFont="1" applyFill="1" applyBorder="1" applyAlignment="1">
      <alignment horizontal="center" vertical="center" wrapText="1"/>
    </xf>
    <xf numFmtId="0" fontId="8" fillId="4" borderId="55" xfId="0" applyFont="1" applyFill="1" applyBorder="1" applyAlignment="1">
      <alignment horizontal="center" vertical="center" wrapText="1"/>
    </xf>
    <xf numFmtId="0" fontId="8" fillId="4" borderId="30" xfId="0" applyFont="1" applyFill="1" applyBorder="1" applyAlignment="1">
      <alignment horizontal="center" vertical="center" wrapText="1"/>
    </xf>
    <xf numFmtId="0" fontId="8" fillId="4" borderId="47" xfId="0" applyFont="1" applyFill="1" applyBorder="1" applyAlignment="1">
      <alignment horizontal="center" vertical="center" wrapText="1"/>
    </xf>
    <xf numFmtId="0" fontId="0" fillId="4" borderId="28" xfId="0" applyFill="1" applyBorder="1" applyAlignment="1">
      <alignment horizontal="center" wrapText="1"/>
    </xf>
    <xf numFmtId="0" fontId="0" fillId="4" borderId="45" xfId="0" applyFill="1" applyBorder="1" applyAlignment="1">
      <alignment horizontal="center" wrapText="1"/>
    </xf>
    <xf numFmtId="0" fontId="0" fillId="4" borderId="29" xfId="0" applyFill="1" applyBorder="1" applyAlignment="1">
      <alignment horizontal="center" wrapText="1"/>
    </xf>
    <xf numFmtId="0" fontId="0" fillId="4" borderId="48" xfId="0" applyFill="1" applyBorder="1" applyAlignment="1">
      <alignment wrapText="1"/>
    </xf>
    <xf numFmtId="0" fontId="0" fillId="4" borderId="34" xfId="0" applyFill="1" applyBorder="1" applyAlignment="1">
      <alignment horizontal="center" wrapText="1"/>
    </xf>
    <xf numFmtId="0" fontId="0" fillId="4" borderId="14" xfId="0" applyFill="1" applyBorder="1" applyAlignment="1">
      <alignment horizontal="center" wrapText="1"/>
    </xf>
    <xf numFmtId="0" fontId="0" fillId="4" borderId="47" xfId="0" applyFill="1" applyBorder="1" applyAlignment="1">
      <alignment wrapText="1"/>
    </xf>
    <xf numFmtId="0" fontId="0" fillId="4" borderId="50" xfId="0" applyFill="1" applyBorder="1" applyAlignment="1" applyProtection="1">
      <alignment horizontal="center" wrapText="1"/>
      <protection locked="0"/>
    </xf>
    <xf numFmtId="0" fontId="31" fillId="13" borderId="62" xfId="0" applyFont="1" applyFill="1" applyBorder="1" applyAlignment="1">
      <alignment wrapText="1"/>
    </xf>
    <xf numFmtId="0" fontId="32" fillId="13" borderId="62" xfId="0" applyFont="1" applyFill="1" applyBorder="1" applyAlignment="1">
      <alignment horizontal="center" vertical="center" wrapText="1" readingOrder="1"/>
    </xf>
    <xf numFmtId="0" fontId="31" fillId="13" borderId="63" xfId="0" applyFont="1" applyFill="1" applyBorder="1" applyAlignment="1">
      <alignment horizontal="left" vertical="center" wrapText="1" indent="3" readingOrder="1"/>
    </xf>
    <xf numFmtId="0" fontId="31" fillId="13" borderId="64" xfId="0" applyFont="1" applyFill="1" applyBorder="1" applyAlignment="1">
      <alignment horizontal="left" vertical="center" wrapText="1" indent="8" readingOrder="1"/>
    </xf>
    <xf numFmtId="0" fontId="31" fillId="13" borderId="65" xfId="0" applyFont="1" applyFill="1" applyBorder="1" applyAlignment="1">
      <alignment horizontal="left" vertical="center" wrapText="1" indent="8" readingOrder="1"/>
    </xf>
    <xf numFmtId="0" fontId="31" fillId="13" borderId="63" xfId="0" applyFont="1" applyFill="1" applyBorder="1" applyAlignment="1">
      <alignment horizontal="left" wrapText="1" indent="4" readingOrder="1"/>
    </xf>
    <xf numFmtId="0" fontId="33" fillId="13" borderId="63" xfId="0" applyFont="1" applyFill="1" applyBorder="1" applyAlignment="1">
      <alignment horizontal="left" wrapText="1" indent="2" readingOrder="1"/>
    </xf>
    <xf numFmtId="0" fontId="31" fillId="13" borderId="64" xfId="0" applyFont="1" applyFill="1" applyBorder="1" applyAlignment="1">
      <alignment horizontal="left" wrapText="1" indent="4" readingOrder="1"/>
    </xf>
    <xf numFmtId="0" fontId="0" fillId="13" borderId="65" xfId="0" applyFont="1" applyFill="1" applyBorder="1" applyAlignment="1">
      <alignment vertical="center" wrapText="1"/>
    </xf>
    <xf numFmtId="0" fontId="31" fillId="13" borderId="65" xfId="0" applyFont="1" applyFill="1" applyBorder="1" applyAlignment="1">
      <alignment horizontal="left" wrapText="1" indent="4" readingOrder="1"/>
    </xf>
    <xf numFmtId="0" fontId="33" fillId="13" borderId="62" xfId="0" applyFont="1" applyFill="1" applyBorder="1" applyAlignment="1">
      <alignment horizontal="center" vertical="center" wrapText="1" readingOrder="1"/>
    </xf>
    <xf numFmtId="0" fontId="33" fillId="13" borderId="62" xfId="0" applyFont="1" applyFill="1" applyBorder="1" applyAlignment="1">
      <alignment horizontal="left" vertical="center" wrapText="1" indent="5" readingOrder="1"/>
    </xf>
    <xf numFmtId="0" fontId="31" fillId="13" borderId="62" xfId="0" applyFont="1" applyFill="1" applyBorder="1" applyAlignment="1">
      <alignment horizontal="left" vertical="center" wrapText="1" indent="3" readingOrder="1"/>
    </xf>
    <xf numFmtId="0" fontId="33" fillId="13" borderId="62" xfId="0" applyFont="1" applyFill="1" applyBorder="1" applyAlignment="1">
      <alignment horizontal="left" wrapText="1" indent="2" readingOrder="1"/>
    </xf>
    <xf numFmtId="0" fontId="33" fillId="13" borderId="63" xfId="0" applyFont="1" applyFill="1" applyBorder="1" applyAlignment="1">
      <alignment horizontal="left" vertical="center" wrapText="1" indent="5" readingOrder="1"/>
    </xf>
    <xf numFmtId="0" fontId="33" fillId="13" borderId="65" xfId="0" applyFont="1" applyFill="1" applyBorder="1" applyAlignment="1">
      <alignment horizontal="left" vertical="center" wrapText="1" indent="5" readingOrder="1"/>
    </xf>
    <xf numFmtId="0" fontId="31" fillId="13" borderId="62" xfId="0" applyFont="1" applyFill="1" applyBorder="1" applyAlignment="1">
      <alignment horizontal="left" vertical="center" wrapText="1" indent="4" readingOrder="1"/>
    </xf>
    <xf numFmtId="41" fontId="0" fillId="0" borderId="0" xfId="0" applyNumberFormat="1" applyFont="1" applyBorder="1"/>
    <xf numFmtId="0" fontId="0" fillId="0" borderId="0" xfId="0" applyFont="1" applyBorder="1"/>
    <xf numFmtId="0" fontId="22" fillId="4" borderId="36" xfId="0" applyFont="1" applyFill="1" applyBorder="1" applyAlignment="1">
      <alignment horizontal="center" vertical="center" wrapText="1"/>
    </xf>
    <xf numFmtId="0" fontId="2" fillId="0" borderId="2" xfId="0" applyFont="1" applyFill="1" applyBorder="1"/>
    <xf numFmtId="0" fontId="1" fillId="0" borderId="0" xfId="0" applyFont="1" applyBorder="1" applyAlignment="1">
      <alignment horizontal="right" vertical="center"/>
    </xf>
    <xf numFmtId="0" fontId="8" fillId="4" borderId="34" xfId="0" applyFont="1" applyFill="1" applyBorder="1" applyAlignment="1">
      <alignment horizontal="center"/>
    </xf>
    <xf numFmtId="0" fontId="8" fillId="4" borderId="8" xfId="0" applyFont="1" applyFill="1" applyBorder="1" applyAlignment="1">
      <alignment horizontal="center"/>
    </xf>
    <xf numFmtId="164" fontId="1" fillId="0" borderId="0" xfId="0" applyNumberFormat="1" applyFont="1" applyBorder="1" applyAlignment="1">
      <alignment horizontal="center"/>
    </xf>
    <xf numFmtId="168" fontId="0" fillId="0" borderId="0" xfId="0" applyNumberFormat="1" applyBorder="1"/>
    <xf numFmtId="0" fontId="0" fillId="0" borderId="0" xfId="0" applyFill="1" applyBorder="1" applyAlignment="1">
      <alignment horizontal="center"/>
    </xf>
    <xf numFmtId="0" fontId="0" fillId="0" borderId="0" xfId="0" applyBorder="1" applyAlignment="1">
      <alignment horizontal="right" vertical="center"/>
    </xf>
    <xf numFmtId="0" fontId="1" fillId="0" borderId="2" xfId="0" applyFont="1" applyBorder="1" applyAlignment="1">
      <alignment horizontal="center" vertical="center"/>
    </xf>
    <xf numFmtId="0" fontId="25" fillId="0" borderId="4" xfId="0" applyFont="1" applyFill="1" applyBorder="1" applyAlignment="1">
      <alignment horizontal="center" wrapText="1"/>
    </xf>
    <xf numFmtId="0" fontId="28" fillId="0" borderId="0" xfId="0" applyFont="1" applyFill="1" applyBorder="1" applyAlignment="1">
      <alignment horizontal="center" wrapText="1"/>
    </xf>
    <xf numFmtId="0" fontId="0" fillId="0" borderId="61" xfId="0" applyFont="1" applyFill="1" applyBorder="1" applyAlignment="1">
      <alignment horizontal="center" wrapText="1"/>
    </xf>
    <xf numFmtId="3" fontId="7" fillId="11" borderId="32" xfId="0" applyNumberFormat="1" applyFont="1" applyFill="1" applyBorder="1" applyAlignment="1">
      <alignment horizontal="center" wrapText="1"/>
    </xf>
    <xf numFmtId="3" fontId="7" fillId="11" borderId="18" xfId="0" applyNumberFormat="1" applyFont="1" applyFill="1" applyBorder="1" applyAlignment="1">
      <alignment horizontal="center" wrapText="1"/>
    </xf>
    <xf numFmtId="3" fontId="7" fillId="11" borderId="17" xfId="0" applyNumberFormat="1" applyFont="1" applyFill="1" applyBorder="1" applyAlignment="1">
      <alignment horizontal="center" wrapText="1"/>
    </xf>
    <xf numFmtId="3" fontId="0" fillId="0" borderId="6" xfId="0" applyNumberFormat="1" applyBorder="1"/>
    <xf numFmtId="3" fontId="0" fillId="0" borderId="0" xfId="0" applyNumberFormat="1" applyBorder="1"/>
    <xf numFmtId="3" fontId="0" fillId="0" borderId="58" xfId="0" applyNumberFormat="1" applyBorder="1"/>
    <xf numFmtId="3" fontId="0" fillId="0" borderId="51" xfId="0" applyNumberFormat="1" applyBorder="1"/>
    <xf numFmtId="0" fontId="1" fillId="11" borderId="14" xfId="0" applyFont="1" applyFill="1" applyBorder="1" applyAlignment="1">
      <alignment horizontal="center" wrapText="1"/>
    </xf>
    <xf numFmtId="0" fontId="16" fillId="11" borderId="23" xfId="0" applyFont="1" applyFill="1" applyBorder="1" applyAlignment="1">
      <alignment horizontal="center" wrapText="1"/>
    </xf>
    <xf numFmtId="1" fontId="0" fillId="0" borderId="0" xfId="0" applyNumberFormat="1"/>
    <xf numFmtId="0" fontId="1" fillId="11" borderId="3" xfId="0" applyFont="1" applyFill="1" applyBorder="1" applyAlignment="1">
      <alignment horizontal="center"/>
    </xf>
    <xf numFmtId="0" fontId="1" fillId="11" borderId="31" xfId="0" applyFont="1" applyFill="1" applyBorder="1" applyAlignment="1">
      <alignment horizontal="center"/>
    </xf>
    <xf numFmtId="0" fontId="1" fillId="11" borderId="21" xfId="0" applyFont="1" applyFill="1" applyBorder="1" applyAlignment="1">
      <alignment horizontal="center"/>
    </xf>
    <xf numFmtId="0" fontId="1" fillId="11" borderId="36" xfId="0" applyFont="1" applyFill="1" applyBorder="1" applyAlignment="1">
      <alignment horizontal="center"/>
    </xf>
    <xf numFmtId="0" fontId="1" fillId="11" borderId="22" xfId="0" applyFont="1" applyFill="1" applyBorder="1" applyAlignment="1">
      <alignment horizontal="center"/>
    </xf>
    <xf numFmtId="0" fontId="1" fillId="11" borderId="60" xfId="0" applyFont="1" applyFill="1" applyBorder="1" applyAlignment="1">
      <alignment horizontal="center"/>
    </xf>
    <xf numFmtId="3" fontId="36" fillId="0" borderId="0" xfId="0" applyNumberFormat="1" applyFont="1"/>
    <xf numFmtId="3" fontId="37" fillId="0" borderId="0" xfId="0" applyNumberFormat="1" applyFont="1"/>
    <xf numFmtId="3" fontId="0" fillId="0" borderId="0" xfId="0" applyNumberFormat="1"/>
    <xf numFmtId="0" fontId="37" fillId="0" borderId="0" xfId="0" applyFont="1"/>
    <xf numFmtId="0" fontId="0" fillId="15" borderId="0" xfId="0" applyFill="1"/>
    <xf numFmtId="164" fontId="0" fillId="0" borderId="0" xfId="0" applyNumberFormat="1"/>
    <xf numFmtId="2" fontId="39" fillId="0" borderId="0" xfId="0" applyNumberFormat="1" applyFont="1"/>
    <xf numFmtId="0" fontId="0" fillId="0" borderId="32" xfId="0" applyBorder="1"/>
    <xf numFmtId="0" fontId="22" fillId="0" borderId="32" xfId="0" applyFont="1" applyBorder="1"/>
    <xf numFmtId="172" fontId="0" fillId="0" borderId="32" xfId="0" applyNumberFormat="1" applyBorder="1" applyAlignment="1">
      <alignment horizontal="right" vertical="center"/>
    </xf>
    <xf numFmtId="2" fontId="23" fillId="0" borderId="32" xfId="0" applyNumberFormat="1" applyFont="1" applyBorder="1"/>
    <xf numFmtId="172" fontId="40" fillId="0" borderId="32" xfId="0" applyNumberFormat="1" applyFont="1" applyBorder="1" applyAlignment="1">
      <alignment horizontal="right" vertical="center"/>
    </xf>
    <xf numFmtId="2" fontId="20" fillId="0" borderId="32" xfId="0" applyNumberFormat="1" applyFont="1" applyBorder="1" applyAlignment="1">
      <alignment horizontal="center"/>
    </xf>
    <xf numFmtId="10" fontId="0" fillId="0" borderId="32" xfId="0" applyNumberFormat="1" applyBorder="1"/>
    <xf numFmtId="172" fontId="0" fillId="0" borderId="32" xfId="0" applyNumberFormat="1" applyBorder="1"/>
    <xf numFmtId="9" fontId="0" fillId="0" borderId="32" xfId="0" applyNumberFormat="1" applyBorder="1"/>
    <xf numFmtId="173" fontId="40" fillId="0" borderId="32" xfId="0" applyNumberFormat="1" applyFont="1" applyBorder="1"/>
    <xf numFmtId="0" fontId="22" fillId="0" borderId="0" xfId="0" applyFont="1" applyFill="1" applyBorder="1" applyAlignment="1">
      <alignment horizontal="center" vertical="center" wrapText="1"/>
    </xf>
    <xf numFmtId="0" fontId="21" fillId="0" borderId="0" xfId="0" applyFont="1" applyFill="1" applyBorder="1" applyAlignment="1">
      <alignment horizontal="center" vertical="center"/>
    </xf>
    <xf numFmtId="2" fontId="23" fillId="0" borderId="0" xfId="0" applyNumberFormat="1" applyFont="1" applyFill="1" applyBorder="1" applyAlignment="1">
      <alignment horizontal="center" vertical="center"/>
    </xf>
    <xf numFmtId="0" fontId="21" fillId="0" borderId="0" xfId="0" applyFont="1" applyFill="1" applyBorder="1" applyAlignment="1">
      <alignment horizontal="center" vertical="center" wrapText="1"/>
    </xf>
    <xf numFmtId="2" fontId="23" fillId="0" borderId="0" xfId="0" applyNumberFormat="1" applyFont="1" applyBorder="1"/>
    <xf numFmtId="9" fontId="40" fillId="0" borderId="0" xfId="0" applyNumberFormat="1" applyFont="1" applyBorder="1"/>
    <xf numFmtId="0" fontId="22" fillId="0" borderId="0" xfId="0" applyFont="1" applyFill="1"/>
    <xf numFmtId="172" fontId="38" fillId="0" borderId="32" xfId="0" applyNumberFormat="1" applyFont="1" applyBorder="1" applyAlignment="1">
      <alignment horizontal="right" vertical="center"/>
    </xf>
    <xf numFmtId="2" fontId="0" fillId="0" borderId="0" xfId="0" applyNumberFormat="1" applyFont="1"/>
    <xf numFmtId="172" fontId="0" fillId="0" borderId="32" xfId="0" applyNumberFormat="1" applyFont="1" applyBorder="1" applyAlignment="1">
      <alignment horizontal="right" vertical="center"/>
    </xf>
    <xf numFmtId="0" fontId="2" fillId="0" borderId="32" xfId="0" applyFont="1" applyBorder="1" applyAlignment="1">
      <alignment horizontal="center" vertical="center"/>
    </xf>
    <xf numFmtId="0" fontId="1" fillId="0" borderId="32" xfId="0" applyFont="1" applyBorder="1"/>
    <xf numFmtId="2" fontId="4" fillId="0" borderId="32" xfId="0" applyNumberFormat="1" applyFont="1" applyBorder="1"/>
    <xf numFmtId="0" fontId="1" fillId="0" borderId="0" xfId="0" applyFont="1" applyFill="1" applyBorder="1" applyAlignment="1">
      <alignment horizontal="center" vertical="center" wrapText="1"/>
    </xf>
    <xf numFmtId="0" fontId="43" fillId="0" borderId="0" xfId="0" applyFont="1"/>
    <xf numFmtId="172" fontId="0" fillId="0" borderId="32" xfId="0" applyNumberFormat="1" applyFont="1" applyBorder="1"/>
    <xf numFmtId="3" fontId="44" fillId="0" borderId="0" xfId="0" applyNumberFormat="1" applyFont="1"/>
    <xf numFmtId="9" fontId="42" fillId="0" borderId="32" xfId="0" applyNumberFormat="1" applyFont="1" applyBorder="1"/>
    <xf numFmtId="0" fontId="0" fillId="0" borderId="41" xfId="0" applyFont="1" applyBorder="1"/>
    <xf numFmtId="9" fontId="42" fillId="0" borderId="0" xfId="0" applyNumberFormat="1" applyFont="1" applyBorder="1"/>
    <xf numFmtId="9" fontId="42" fillId="0" borderId="42" xfId="0" applyNumberFormat="1" applyFont="1" applyBorder="1"/>
    <xf numFmtId="0" fontId="2" fillId="0" borderId="32" xfId="0" applyFont="1" applyFill="1" applyBorder="1" applyAlignment="1">
      <alignment horizontal="center"/>
    </xf>
    <xf numFmtId="0" fontId="1" fillId="0" borderId="0" xfId="0" applyFont="1" applyFill="1" applyBorder="1"/>
    <xf numFmtId="0" fontId="41" fillId="0" borderId="0" xfId="0" applyFont="1" applyFill="1" applyBorder="1" applyAlignment="1">
      <alignment horizontal="center" vertical="center"/>
    </xf>
    <xf numFmtId="0" fontId="41" fillId="0" borderId="0" xfId="0" applyFont="1" applyFill="1" applyBorder="1" applyAlignment="1">
      <alignment wrapText="1"/>
    </xf>
    <xf numFmtId="0" fontId="0" fillId="0" borderId="0" xfId="0" applyAlignment="1">
      <alignment vertical="center"/>
    </xf>
    <xf numFmtId="172" fontId="0" fillId="0" borderId="0" xfId="0" applyNumberFormat="1"/>
    <xf numFmtId="0" fontId="0" fillId="0" borderId="38" xfId="0" applyFont="1" applyBorder="1" applyAlignment="1">
      <alignment horizontal="center"/>
    </xf>
    <xf numFmtId="172" fontId="1" fillId="0" borderId="32" xfId="0" applyNumberFormat="1" applyFont="1" applyFill="1" applyBorder="1" applyAlignment="1">
      <alignment vertical="center" wrapText="1"/>
    </xf>
    <xf numFmtId="0" fontId="0" fillId="0" borderId="32" xfId="0" applyFill="1" applyBorder="1"/>
    <xf numFmtId="10" fontId="0" fillId="0" borderId="32" xfId="0" applyNumberFormat="1" applyFill="1" applyBorder="1"/>
    <xf numFmtId="43" fontId="0" fillId="0" borderId="0" xfId="0" applyNumberFormat="1" applyFont="1"/>
    <xf numFmtId="172" fontId="0" fillId="0" borderId="32" xfId="0" applyNumberFormat="1" applyFont="1" applyFill="1" applyBorder="1" applyAlignment="1">
      <alignment vertical="center" wrapText="1"/>
    </xf>
    <xf numFmtId="172" fontId="10" fillId="4" borderId="32" xfId="0" applyNumberFormat="1" applyFont="1" applyFill="1" applyBorder="1" applyAlignment="1">
      <alignment horizontal="center" vertical="center" wrapText="1"/>
    </xf>
    <xf numFmtId="0" fontId="10" fillId="0" borderId="59" xfId="0" applyFont="1" applyFill="1" applyBorder="1" applyAlignment="1">
      <alignment horizontal="center" vertical="center" wrapText="1"/>
    </xf>
    <xf numFmtId="172" fontId="44" fillId="0" borderId="32" xfId="0" applyNumberFormat="1" applyFont="1" applyBorder="1"/>
    <xf numFmtId="172" fontId="0" fillId="0" borderId="32" xfId="0" applyNumberFormat="1" applyFill="1" applyBorder="1"/>
    <xf numFmtId="9" fontId="0" fillId="0" borderId="32" xfId="0" applyNumberFormat="1" applyFill="1" applyBorder="1"/>
    <xf numFmtId="0" fontId="10" fillId="0" borderId="32" xfId="0" applyFont="1" applyFill="1" applyBorder="1" applyAlignment="1">
      <alignment horizontal="center" vertical="center" wrapText="1"/>
    </xf>
    <xf numFmtId="9" fontId="0" fillId="0" borderId="32" xfId="0" applyNumberFormat="1" applyFont="1" applyBorder="1" applyAlignment="1">
      <alignment horizontal="right" vertical="center"/>
    </xf>
    <xf numFmtId="0" fontId="1" fillId="0" borderId="32" xfId="0" applyFont="1" applyFill="1" applyBorder="1"/>
    <xf numFmtId="174" fontId="0" fillId="0" borderId="32" xfId="0" applyNumberFormat="1" applyFill="1" applyBorder="1"/>
    <xf numFmtId="43" fontId="0" fillId="0" borderId="32" xfId="0" applyNumberFormat="1" applyFill="1" applyBorder="1"/>
    <xf numFmtId="43" fontId="0" fillId="0" borderId="32" xfId="0" applyNumberFormat="1" applyBorder="1"/>
    <xf numFmtId="174" fontId="1" fillId="0" borderId="32" xfId="0" applyNumberFormat="1" applyFont="1" applyFill="1" applyBorder="1"/>
    <xf numFmtId="172" fontId="0" fillId="0" borderId="41" xfId="0" applyNumberFormat="1" applyFont="1" applyFill="1" applyBorder="1" applyAlignment="1">
      <alignment horizontal="right" vertical="center"/>
    </xf>
    <xf numFmtId="172" fontId="0" fillId="0" borderId="38" xfId="0" applyNumberFormat="1" applyFill="1" applyBorder="1"/>
    <xf numFmtId="172" fontId="44" fillId="0" borderId="38" xfId="0" applyNumberFormat="1" applyFont="1" applyBorder="1"/>
    <xf numFmtId="10" fontId="0" fillId="0" borderId="38" xfId="0" applyNumberFormat="1" applyFill="1" applyBorder="1"/>
    <xf numFmtId="9" fontId="0" fillId="0" borderId="38" xfId="0" applyNumberFormat="1" applyFill="1" applyBorder="1"/>
    <xf numFmtId="172" fontId="1" fillId="0" borderId="32" xfId="0" applyNumberFormat="1" applyFont="1" applyFill="1" applyBorder="1"/>
    <xf numFmtId="0" fontId="1" fillId="16" borderId="0" xfId="0" applyFont="1" applyFill="1"/>
    <xf numFmtId="0" fontId="1" fillId="16" borderId="32" xfId="0" applyFont="1" applyFill="1" applyBorder="1"/>
    <xf numFmtId="172" fontId="1" fillId="16" borderId="32" xfId="0" applyNumberFormat="1" applyFont="1" applyFill="1" applyBorder="1" applyAlignment="1">
      <alignment horizontal="right" vertical="center"/>
    </xf>
    <xf numFmtId="0" fontId="0" fillId="16" borderId="0" xfId="0" applyFill="1"/>
    <xf numFmtId="172" fontId="0" fillId="16" borderId="32" xfId="0" applyNumberFormat="1" applyFill="1" applyBorder="1"/>
    <xf numFmtId="10" fontId="0" fillId="16" borderId="32" xfId="0" applyNumberFormat="1" applyFill="1" applyBorder="1"/>
    <xf numFmtId="0" fontId="0" fillId="16" borderId="32" xfId="0" applyFill="1" applyBorder="1"/>
    <xf numFmtId="0" fontId="41" fillId="16" borderId="32" xfId="0" applyFont="1" applyFill="1" applyBorder="1"/>
    <xf numFmtId="43" fontId="38" fillId="16" borderId="32" xfId="0" applyNumberFormat="1" applyFont="1" applyFill="1" applyBorder="1"/>
    <xf numFmtId="43" fontId="41" fillId="16" borderId="32" xfId="0" applyNumberFormat="1" applyFont="1" applyFill="1" applyBorder="1"/>
    <xf numFmtId="0" fontId="38" fillId="16" borderId="32" xfId="0" applyFont="1" applyFill="1" applyBorder="1"/>
    <xf numFmtId="9" fontId="0" fillId="16" borderId="32" xfId="0" applyNumberFormat="1" applyFill="1" applyBorder="1"/>
    <xf numFmtId="43" fontId="0" fillId="16" borderId="32" xfId="0" applyNumberFormat="1" applyFill="1" applyBorder="1"/>
    <xf numFmtId="0" fontId="45" fillId="0" borderId="0" xfId="0" applyFont="1" applyAlignment="1">
      <alignment vertical="center"/>
    </xf>
    <xf numFmtId="0" fontId="46" fillId="0" borderId="0" xfId="0" applyFont="1" applyFill="1" applyBorder="1" applyAlignment="1">
      <alignment horizontal="center"/>
    </xf>
    <xf numFmtId="0" fontId="0" fillId="17" borderId="0" xfId="0" applyFill="1"/>
    <xf numFmtId="0" fontId="47" fillId="18" borderId="0" xfId="0" applyFont="1" applyFill="1"/>
    <xf numFmtId="0" fontId="0" fillId="18" borderId="0" xfId="0" applyFill="1"/>
    <xf numFmtId="0" fontId="47" fillId="9" borderId="0" xfId="0" applyFont="1" applyFill="1"/>
    <xf numFmtId="0" fontId="0" fillId="9" borderId="0" xfId="0" applyFill="1"/>
    <xf numFmtId="0" fontId="47" fillId="0" borderId="0" xfId="0" applyFont="1"/>
    <xf numFmtId="0" fontId="0" fillId="5" borderId="0" xfId="0" applyFill="1" applyAlignment="1">
      <alignment wrapText="1"/>
    </xf>
    <xf numFmtId="0" fontId="0" fillId="10" borderId="0" xfId="0" applyFill="1" applyAlignment="1">
      <alignment wrapText="1"/>
    </xf>
    <xf numFmtId="0" fontId="0" fillId="19" borderId="0" xfId="0" applyFill="1"/>
    <xf numFmtId="0" fontId="0" fillId="10" borderId="0" xfId="0" applyFill="1"/>
    <xf numFmtId="2" fontId="48" fillId="12" borderId="0" xfId="0" applyNumberFormat="1" applyFont="1" applyFill="1" applyAlignment="1">
      <alignment horizontal="center" vertical="center" wrapText="1"/>
    </xf>
    <xf numFmtId="0" fontId="9" fillId="0" borderId="0" xfId="0" applyFont="1" applyAlignment="1">
      <alignment wrapText="1"/>
    </xf>
    <xf numFmtId="0" fontId="0" fillId="5" borderId="0" xfId="0" applyFill="1"/>
    <xf numFmtId="0" fontId="9" fillId="0" borderId="0" xfId="0" applyFont="1"/>
    <xf numFmtId="0" fontId="0" fillId="0" borderId="0" xfId="0" applyAlignment="1">
      <alignment horizontal="center" vertical="center"/>
    </xf>
    <xf numFmtId="2" fontId="48" fillId="12" borderId="0" xfId="0" applyNumberFormat="1" applyFont="1" applyFill="1" applyAlignment="1">
      <alignment wrapText="1"/>
    </xf>
    <xf numFmtId="0" fontId="48" fillId="12" borderId="0" xfId="0" applyFont="1" applyFill="1"/>
    <xf numFmtId="0" fontId="49" fillId="0" borderId="0" xfId="0" applyFont="1"/>
    <xf numFmtId="0" fontId="36" fillId="0" borderId="0" xfId="0" applyFont="1"/>
    <xf numFmtId="3" fontId="49" fillId="0" borderId="0" xfId="0" applyNumberFormat="1" applyFont="1"/>
    <xf numFmtId="3" fontId="50" fillId="12" borderId="0" xfId="0" applyNumberFormat="1" applyFont="1" applyFill="1"/>
    <xf numFmtId="0" fontId="0" fillId="0" borderId="0" xfId="0" applyAlignment="1">
      <alignment horizontal="left" vertical="center" wrapText="1"/>
    </xf>
    <xf numFmtId="0" fontId="22" fillId="0" borderId="0" xfId="0" applyFont="1"/>
    <xf numFmtId="0" fontId="50" fillId="0" borderId="0" xfId="0" applyFont="1"/>
    <xf numFmtId="3" fontId="50" fillId="0" borderId="0" xfId="0" applyNumberFormat="1" applyFont="1"/>
    <xf numFmtId="10" fontId="50" fillId="0" borderId="0" xfId="0" applyNumberFormat="1" applyFont="1"/>
    <xf numFmtId="0" fontId="51" fillId="0" borderId="0" xfId="0" applyFont="1"/>
    <xf numFmtId="0" fontId="52" fillId="0" borderId="0" xfId="0" applyFont="1"/>
    <xf numFmtId="4" fontId="0" fillId="0" borderId="0" xfId="0" applyNumberFormat="1"/>
    <xf numFmtId="0" fontId="53" fillId="0" borderId="68" xfId="0" applyFont="1" applyBorder="1" applyAlignment="1">
      <alignment vertical="top"/>
    </xf>
    <xf numFmtId="0" fontId="54" fillId="0" borderId="0" xfId="0" applyFont="1"/>
    <xf numFmtId="0" fontId="53" fillId="0" borderId="0" xfId="0" applyFont="1" applyAlignment="1">
      <alignment horizontal="center" vertical="center"/>
    </xf>
    <xf numFmtId="0" fontId="54" fillId="7" borderId="0" xfId="0" applyFont="1" applyFill="1" applyAlignment="1">
      <alignment horizontal="center" vertical="center"/>
    </xf>
    <xf numFmtId="43" fontId="54" fillId="7" borderId="0" xfId="0" applyNumberFormat="1" applyFont="1" applyFill="1"/>
    <xf numFmtId="0" fontId="0" fillId="7" borderId="0" xfId="0" applyFill="1"/>
    <xf numFmtId="43" fontId="54" fillId="0" borderId="0" xfId="0" applyNumberFormat="1" applyFont="1"/>
    <xf numFmtId="3" fontId="0" fillId="5" borderId="0" xfId="0" applyNumberFormat="1" applyFill="1"/>
    <xf numFmtId="0" fontId="0" fillId="20" borderId="0" xfId="0" applyFill="1"/>
    <xf numFmtId="0" fontId="1" fillId="5" borderId="0" xfId="0" applyFont="1" applyFill="1" applyAlignment="1">
      <alignment horizontal="center" vertical="center"/>
    </xf>
    <xf numFmtId="1" fontId="36" fillId="0" borderId="0" xfId="0" applyNumberFormat="1" applyFont="1"/>
    <xf numFmtId="1" fontId="56" fillId="0" borderId="0" xfId="0" applyNumberFormat="1" applyFont="1"/>
    <xf numFmtId="172" fontId="57" fillId="0" borderId="0" xfId="0" applyNumberFormat="1" applyFont="1"/>
    <xf numFmtId="0" fontId="52" fillId="5" borderId="0" xfId="0" applyFont="1" applyFill="1"/>
    <xf numFmtId="0" fontId="36" fillId="5" borderId="0" xfId="0" applyFont="1" applyFill="1"/>
    <xf numFmtId="3" fontId="36" fillId="5" borderId="0" xfId="0" applyNumberFormat="1" applyFont="1" applyFill="1"/>
    <xf numFmtId="9" fontId="36" fillId="0" borderId="0" xfId="1" applyFont="1" applyFill="1" applyBorder="1"/>
    <xf numFmtId="9" fontId="56" fillId="0" borderId="0" xfId="1" applyFont="1" applyFill="1" applyBorder="1"/>
    <xf numFmtId="0" fontId="58" fillId="0" borderId="0" xfId="0" applyFont="1"/>
    <xf numFmtId="0" fontId="59" fillId="0" borderId="0" xfId="0" applyFont="1"/>
    <xf numFmtId="9" fontId="58" fillId="0" borderId="0" xfId="1" applyFont="1" applyAlignment="1">
      <alignment horizontal="left"/>
    </xf>
    <xf numFmtId="3" fontId="58" fillId="0" borderId="0" xfId="0" applyNumberFormat="1" applyFont="1"/>
    <xf numFmtId="175" fontId="58" fillId="0" borderId="0" xfId="1" applyNumberFormat="1" applyFont="1"/>
    <xf numFmtId="0" fontId="1" fillId="5" borderId="0" xfId="0" applyFont="1" applyFill="1"/>
    <xf numFmtId="0" fontId="0" fillId="0" borderId="0" xfId="0" applyAlignment="1">
      <alignment horizontal="center"/>
    </xf>
    <xf numFmtId="172" fontId="0" fillId="0" borderId="0" xfId="0" applyNumberFormat="1" applyAlignment="1">
      <alignment horizontal="right" vertical="center"/>
    </xf>
    <xf numFmtId="2" fontId="23" fillId="0" borderId="0" xfId="0" applyNumberFormat="1" applyFont="1"/>
    <xf numFmtId="172" fontId="40" fillId="0" borderId="0" xfId="0" applyNumberFormat="1" applyFont="1" applyAlignment="1">
      <alignment horizontal="right" vertical="center"/>
    </xf>
    <xf numFmtId="0" fontId="0" fillId="5" borderId="0" xfId="0" applyFill="1" applyAlignment="1">
      <alignment vertical="center" wrapText="1"/>
    </xf>
    <xf numFmtId="0" fontId="0" fillId="5" borderId="0" xfId="0" applyFill="1" applyAlignment="1">
      <alignment vertical="center"/>
    </xf>
    <xf numFmtId="3" fontId="0" fillId="5" borderId="0" xfId="0" applyNumberFormat="1" applyFill="1" applyAlignment="1">
      <alignment vertical="center"/>
    </xf>
    <xf numFmtId="2" fontId="20" fillId="0" borderId="0" xfId="0" applyNumberFormat="1" applyFont="1" applyAlignment="1">
      <alignment horizontal="center"/>
    </xf>
    <xf numFmtId="0" fontId="37" fillId="5" borderId="0" xfId="0" applyFont="1" applyFill="1"/>
    <xf numFmtId="3" fontId="1" fillId="5" borderId="0" xfId="0" applyNumberFormat="1" applyFont="1" applyFill="1"/>
    <xf numFmtId="3" fontId="37" fillId="5" borderId="0" xfId="0" applyNumberFormat="1" applyFont="1" applyFill="1"/>
    <xf numFmtId="9" fontId="0" fillId="0" borderId="42" xfId="0" applyNumberFormat="1" applyBorder="1"/>
    <xf numFmtId="173" fontId="0" fillId="0" borderId="32" xfId="0" applyNumberFormat="1" applyBorder="1"/>
    <xf numFmtId="164" fontId="23" fillId="5" borderId="32" xfId="0" applyNumberFormat="1" applyFont="1" applyFill="1" applyBorder="1" applyAlignment="1">
      <alignment horizontal="center" vertical="center"/>
    </xf>
    <xf numFmtId="0" fontId="35" fillId="13" borderId="63" xfId="0" applyFont="1" applyFill="1" applyBorder="1" applyAlignment="1">
      <alignment horizontal="left" wrapText="1" indent="2" readingOrder="1"/>
    </xf>
    <xf numFmtId="0" fontId="35" fillId="13" borderId="65" xfId="0" applyFont="1" applyFill="1" applyBorder="1" applyAlignment="1">
      <alignment horizontal="left" wrapText="1" indent="2" readingOrder="1"/>
    </xf>
    <xf numFmtId="0" fontId="1" fillId="0" borderId="0" xfId="0" applyFont="1" applyFill="1" applyAlignment="1">
      <alignment horizontal="center"/>
    </xf>
    <xf numFmtId="0" fontId="33" fillId="13" borderId="63" xfId="0" applyFont="1" applyFill="1" applyBorder="1" applyAlignment="1">
      <alignment horizontal="left" wrapText="1" indent="2" readingOrder="1"/>
    </xf>
    <xf numFmtId="0" fontId="33" fillId="13" borderId="64" xfId="0" applyFont="1" applyFill="1" applyBorder="1" applyAlignment="1">
      <alignment horizontal="left" wrapText="1" indent="2" readingOrder="1"/>
    </xf>
    <xf numFmtId="0" fontId="33" fillId="13" borderId="65" xfId="0" applyFont="1" applyFill="1" applyBorder="1" applyAlignment="1">
      <alignment horizontal="left" wrapText="1" indent="2" readingOrder="1"/>
    </xf>
    <xf numFmtId="175" fontId="50" fillId="0" borderId="0" xfId="0" applyNumberFormat="1" applyFont="1"/>
    <xf numFmtId="0" fontId="60" fillId="0" borderId="69" xfId="0" applyFont="1" applyBorder="1" applyAlignment="1">
      <alignment vertical="center" wrapText="1"/>
    </xf>
    <xf numFmtId="41" fontId="21" fillId="0" borderId="0" xfId="0" applyNumberFormat="1" applyFont="1" applyFill="1" applyBorder="1" applyAlignment="1" applyProtection="1">
      <alignment horizontal="right"/>
      <protection locked="0"/>
    </xf>
    <xf numFmtId="164" fontId="21" fillId="0" borderId="0" xfId="0" applyNumberFormat="1" applyFont="1" applyFill="1" applyBorder="1" applyProtection="1">
      <protection locked="0"/>
    </xf>
    <xf numFmtId="0" fontId="0" fillId="0" borderId="0" xfId="0" applyAlignment="1">
      <alignment horizontal="left"/>
    </xf>
    <xf numFmtId="0" fontId="61" fillId="0" borderId="0" xfId="0" applyFont="1" applyFill="1" applyBorder="1" applyAlignment="1">
      <alignment vertical="center" readingOrder="1"/>
    </xf>
    <xf numFmtId="9" fontId="1" fillId="0" borderId="0" xfId="0" applyNumberFormat="1" applyFont="1" applyBorder="1"/>
    <xf numFmtId="9" fontId="0" fillId="0" borderId="0" xfId="0" applyNumberFormat="1" applyFont="1" applyBorder="1"/>
    <xf numFmtId="0" fontId="21" fillId="5" borderId="32" xfId="0" applyFont="1" applyFill="1" applyBorder="1" applyAlignment="1">
      <alignment horizontal="center" vertical="center" wrapText="1"/>
    </xf>
    <xf numFmtId="0" fontId="4" fillId="0" borderId="0" xfId="0" applyFont="1"/>
    <xf numFmtId="9" fontId="4" fillId="0" borderId="0" xfId="0" applyNumberFormat="1" applyFont="1"/>
    <xf numFmtId="9" fontId="4" fillId="0" borderId="0" xfId="0" applyNumberFormat="1" applyFont="1" applyBorder="1"/>
    <xf numFmtId="0" fontId="4" fillId="5" borderId="0" xfId="0" applyFont="1" applyFill="1"/>
    <xf numFmtId="9" fontId="4" fillId="5" borderId="0" xfId="0" applyNumberFormat="1" applyFont="1" applyFill="1" applyBorder="1"/>
    <xf numFmtId="173" fontId="4" fillId="5" borderId="0" xfId="0" applyNumberFormat="1" applyFont="1" applyFill="1" applyBorder="1"/>
    <xf numFmtId="9" fontId="1" fillId="5" borderId="0" xfId="0" applyNumberFormat="1" applyFont="1" applyFill="1" applyBorder="1"/>
    <xf numFmtId="173" fontId="1" fillId="5" borderId="0" xfId="0" applyNumberFormat="1" applyFont="1" applyFill="1" applyBorder="1"/>
    <xf numFmtId="0" fontId="24" fillId="4" borderId="60" xfId="0" applyFont="1" applyFill="1" applyBorder="1" applyAlignment="1">
      <alignment horizontal="center" vertical="center" wrapText="1"/>
    </xf>
    <xf numFmtId="9" fontId="0" fillId="0" borderId="0" xfId="0" applyNumberFormat="1" applyBorder="1"/>
    <xf numFmtId="2" fontId="1" fillId="0" borderId="0" xfId="0" applyNumberFormat="1" applyFont="1" applyBorder="1"/>
    <xf numFmtId="41" fontId="0" fillId="0" borderId="0" xfId="0" applyNumberFormat="1"/>
    <xf numFmtId="2" fontId="0" fillId="0" borderId="0" xfId="0" applyNumberFormat="1" applyFont="1" applyFill="1" applyBorder="1" applyAlignment="1">
      <alignment horizontal="center"/>
    </xf>
    <xf numFmtId="2" fontId="7" fillId="0" borderId="0" xfId="0" applyNumberFormat="1" applyFont="1" applyFill="1" applyBorder="1" applyAlignment="1">
      <alignment horizontal="center" vertical="top"/>
    </xf>
    <xf numFmtId="172" fontId="40" fillId="0" borderId="0" xfId="0" applyNumberFormat="1" applyFont="1" applyBorder="1" applyAlignment="1">
      <alignment horizontal="right" vertical="center"/>
    </xf>
    <xf numFmtId="173" fontId="0" fillId="0" borderId="42" xfId="0" applyNumberFormat="1" applyBorder="1"/>
    <xf numFmtId="0" fontId="0" fillId="0" borderId="14" xfId="0" applyBorder="1"/>
    <xf numFmtId="0" fontId="20" fillId="0" borderId="35" xfId="0" applyFont="1" applyBorder="1" applyAlignment="1">
      <alignment horizontal="center" vertical="center"/>
    </xf>
    <xf numFmtId="0" fontId="24" fillId="4" borderId="35" xfId="0" applyFont="1" applyFill="1" applyBorder="1" applyAlignment="1">
      <alignment horizontal="center" vertical="center" wrapText="1"/>
    </xf>
    <xf numFmtId="0" fontId="24" fillId="4" borderId="13" xfId="0" applyFont="1" applyFill="1" applyBorder="1" applyAlignment="1">
      <alignment horizontal="center" vertical="center" wrapText="1"/>
    </xf>
    <xf numFmtId="0" fontId="0" fillId="0" borderId="18" xfId="0" applyBorder="1"/>
    <xf numFmtId="172" fontId="0" fillId="0" borderId="17" xfId="0" applyNumberFormat="1" applyBorder="1" applyAlignment="1">
      <alignment horizontal="right" vertical="center"/>
    </xf>
    <xf numFmtId="0" fontId="0" fillId="0" borderId="18" xfId="0" applyBorder="1" applyAlignment="1">
      <alignment horizontal="center"/>
    </xf>
    <xf numFmtId="172" fontId="40" fillId="0" borderId="17" xfId="0" applyNumberFormat="1" applyFont="1" applyBorder="1" applyAlignment="1">
      <alignment horizontal="right" vertical="center"/>
    </xf>
    <xf numFmtId="172" fontId="0" fillId="0" borderId="17" xfId="0" applyNumberFormat="1" applyBorder="1"/>
    <xf numFmtId="9" fontId="0" fillId="0" borderId="17" xfId="0" applyNumberFormat="1" applyBorder="1"/>
    <xf numFmtId="9" fontId="40" fillId="0" borderId="17" xfId="0" applyNumberFormat="1" applyFont="1" applyBorder="1"/>
    <xf numFmtId="0" fontId="0" fillId="0" borderId="21" xfId="0" applyFill="1" applyBorder="1" applyAlignment="1">
      <alignment horizontal="center"/>
    </xf>
    <xf numFmtId="2" fontId="23" fillId="0" borderId="36" xfId="0" applyNumberFormat="1" applyFont="1" applyBorder="1"/>
    <xf numFmtId="173" fontId="40" fillId="0" borderId="36" xfId="0" applyNumberFormat="1" applyFont="1" applyBorder="1"/>
    <xf numFmtId="0" fontId="60" fillId="0" borderId="70" xfId="0" applyFont="1" applyBorder="1" applyAlignment="1">
      <alignment vertical="center" wrapText="1"/>
    </xf>
    <xf numFmtId="10" fontId="21" fillId="0" borderId="0" xfId="0" applyNumberFormat="1" applyFont="1" applyFill="1" applyBorder="1"/>
    <xf numFmtId="0" fontId="60" fillId="0" borderId="0" xfId="0" applyFont="1" applyBorder="1" applyAlignment="1">
      <alignment vertical="center" wrapText="1"/>
    </xf>
    <xf numFmtId="0" fontId="22" fillId="0" borderId="0" xfId="0" applyFont="1" applyFill="1" applyBorder="1"/>
    <xf numFmtId="173" fontId="0" fillId="0" borderId="0" xfId="0" applyNumberFormat="1" applyBorder="1"/>
    <xf numFmtId="173" fontId="21" fillId="0" borderId="32" xfId="0" applyNumberFormat="1" applyFont="1" applyFill="1" applyBorder="1"/>
    <xf numFmtId="9" fontId="0" fillId="0" borderId="18" xfId="0" applyNumberFormat="1" applyBorder="1"/>
    <xf numFmtId="9" fontId="0" fillId="0" borderId="21" xfId="0" applyNumberFormat="1" applyBorder="1"/>
    <xf numFmtId="9" fontId="0" fillId="0" borderId="36" xfId="0" applyNumberFormat="1" applyBorder="1"/>
    <xf numFmtId="9" fontId="0" fillId="0" borderId="22" xfId="0" applyNumberFormat="1" applyBorder="1"/>
    <xf numFmtId="173" fontId="0" fillId="0" borderId="18" xfId="0" applyNumberFormat="1" applyBorder="1"/>
    <xf numFmtId="0" fontId="22" fillId="0" borderId="50" xfId="0" applyFont="1" applyFill="1" applyBorder="1" applyAlignment="1">
      <alignment horizontal="left"/>
    </xf>
    <xf numFmtId="10" fontId="22" fillId="0" borderId="50" xfId="0" applyNumberFormat="1" applyFont="1" applyFill="1" applyBorder="1" applyAlignment="1">
      <alignment horizontal="left"/>
    </xf>
    <xf numFmtId="0" fontId="22" fillId="0" borderId="48" xfId="0" applyFont="1" applyFill="1" applyBorder="1" applyAlignment="1">
      <alignment horizontal="left"/>
    </xf>
    <xf numFmtId="9" fontId="0" fillId="0" borderId="16" xfId="0" applyNumberFormat="1" applyBorder="1"/>
    <xf numFmtId="9" fontId="0" fillId="0" borderId="20" xfId="0" applyNumberFormat="1" applyBorder="1"/>
    <xf numFmtId="173" fontId="0" fillId="0" borderId="16" xfId="0" applyNumberFormat="1" applyBorder="1"/>
    <xf numFmtId="10" fontId="0" fillId="0" borderId="42" xfId="0" applyNumberFormat="1" applyBorder="1"/>
    <xf numFmtId="0" fontId="24" fillId="4" borderId="21" xfId="0" applyFont="1" applyFill="1" applyBorder="1" applyAlignment="1">
      <alignment horizontal="center" vertical="center" wrapText="1"/>
    </xf>
    <xf numFmtId="0" fontId="22" fillId="11" borderId="14" xfId="0" applyFont="1" applyFill="1" applyBorder="1" applyAlignment="1">
      <alignment horizontal="center" vertical="center" wrapText="1"/>
    </xf>
    <xf numFmtId="0" fontId="22" fillId="11" borderId="35" xfId="0" applyFont="1" applyFill="1" applyBorder="1" applyAlignment="1">
      <alignment horizontal="center" vertical="center" wrapText="1"/>
    </xf>
    <xf numFmtId="0" fontId="22" fillId="11" borderId="21" xfId="0" applyFont="1" applyFill="1" applyBorder="1" applyAlignment="1">
      <alignment horizontal="center" vertical="center" wrapText="1"/>
    </xf>
    <xf numFmtId="0" fontId="22" fillId="11" borderId="36" xfId="0" applyFont="1" applyFill="1" applyBorder="1" applyAlignment="1">
      <alignment horizontal="center" vertical="center" wrapText="1"/>
    </xf>
    <xf numFmtId="0" fontId="22" fillId="11" borderId="22" xfId="0" applyFont="1" applyFill="1" applyBorder="1" applyAlignment="1">
      <alignment horizontal="center" vertical="center" wrapText="1"/>
    </xf>
    <xf numFmtId="0" fontId="22" fillId="4" borderId="37" xfId="0" applyFont="1" applyFill="1" applyBorder="1" applyAlignment="1">
      <alignment horizontal="center" vertical="center"/>
    </xf>
    <xf numFmtId="0" fontId="22" fillId="4" borderId="39" xfId="0" applyFont="1" applyFill="1" applyBorder="1" applyAlignment="1">
      <alignment horizontal="center" vertical="center" wrapText="1"/>
    </xf>
    <xf numFmtId="0" fontId="24" fillId="2" borderId="21" xfId="0" applyFont="1" applyFill="1" applyBorder="1" applyAlignment="1">
      <alignment horizontal="center" vertical="center" wrapText="1"/>
    </xf>
    <xf numFmtId="0" fontId="24" fillId="2" borderId="36" xfId="0" applyFont="1" applyFill="1" applyBorder="1" applyAlignment="1">
      <alignment horizontal="center" vertical="center" wrapText="1"/>
    </xf>
    <xf numFmtId="0" fontId="24" fillId="2" borderId="2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2" fillId="4" borderId="21" xfId="0" applyFont="1" applyFill="1" applyBorder="1" applyAlignment="1">
      <alignment horizontal="center" vertical="center" wrapText="1"/>
    </xf>
    <xf numFmtId="0" fontId="22" fillId="4" borderId="22" xfId="0" applyFont="1" applyFill="1" applyBorder="1" applyAlignment="1">
      <alignment horizontal="center" vertical="center" wrapText="1"/>
    </xf>
    <xf numFmtId="43" fontId="21" fillId="5" borderId="32" xfId="0" applyNumberFormat="1" applyFont="1" applyFill="1" applyBorder="1" applyAlignment="1">
      <alignment horizontal="center" vertical="center" wrapText="1"/>
    </xf>
    <xf numFmtId="0" fontId="20" fillId="0" borderId="14" xfId="0" applyFont="1" applyFill="1" applyBorder="1" applyAlignment="1">
      <alignment horizontal="center" vertical="center"/>
    </xf>
    <xf numFmtId="0" fontId="22" fillId="0" borderId="35" xfId="0" applyFont="1" applyFill="1" applyBorder="1" applyAlignment="1">
      <alignment horizontal="center" vertical="center"/>
    </xf>
    <xf numFmtId="0" fontId="22" fillId="0" borderId="13" xfId="0" applyFont="1" applyFill="1" applyBorder="1" applyAlignment="1">
      <alignment horizontal="center" vertical="center"/>
    </xf>
    <xf numFmtId="0" fontId="22" fillId="12" borderId="36" xfId="0" applyFont="1" applyFill="1" applyBorder="1" applyAlignment="1">
      <alignment horizontal="center" vertical="center"/>
    </xf>
    <xf numFmtId="0" fontId="22" fillId="12" borderId="36" xfId="0" applyFont="1" applyFill="1" applyBorder="1" applyAlignment="1">
      <alignment horizontal="center" vertical="center" wrapText="1"/>
    </xf>
    <xf numFmtId="0" fontId="4" fillId="0" borderId="6" xfId="0" applyFont="1" applyBorder="1" applyAlignment="1">
      <alignment horizontal="center"/>
    </xf>
    <xf numFmtId="166" fontId="0" fillId="0" borderId="58" xfId="0" applyNumberFormat="1" applyBorder="1"/>
    <xf numFmtId="0" fontId="10" fillId="0" borderId="0" xfId="0" applyFont="1" applyBorder="1" applyAlignment="1">
      <alignment horizontal="center" vertical="center"/>
    </xf>
    <xf numFmtId="0" fontId="10" fillId="0" borderId="58" xfId="0" applyFont="1" applyBorder="1" applyAlignment="1">
      <alignment horizontal="center" vertical="center" wrapText="1"/>
    </xf>
    <xf numFmtId="0" fontId="1" fillId="0" borderId="0" xfId="0" applyFont="1" applyFill="1"/>
    <xf numFmtId="0" fontId="44" fillId="0" borderId="0" xfId="0" applyFont="1" applyFill="1"/>
    <xf numFmtId="0" fontId="1" fillId="0" borderId="6" xfId="0" applyFont="1" applyBorder="1" applyAlignment="1">
      <alignment horizontal="right" vertical="center"/>
    </xf>
    <xf numFmtId="166" fontId="0" fillId="0" borderId="44" xfId="0" applyNumberFormat="1" applyBorder="1"/>
    <xf numFmtId="0" fontId="0" fillId="0" borderId="0" xfId="0" applyBorder="1" applyAlignment="1">
      <alignment horizontal="center" vertical="center" wrapText="1"/>
    </xf>
    <xf numFmtId="0" fontId="0" fillId="11" borderId="22" xfId="0" applyFont="1" applyFill="1" applyBorder="1" applyAlignment="1">
      <alignment horizontal="center" wrapText="1"/>
    </xf>
    <xf numFmtId="0" fontId="22" fillId="12" borderId="13" xfId="0" applyFont="1" applyFill="1" applyBorder="1" applyAlignment="1">
      <alignment horizontal="center" vertical="center" wrapText="1"/>
    </xf>
    <xf numFmtId="0" fontId="22" fillId="0" borderId="0" xfId="0" applyFont="1" applyFill="1" applyBorder="1" applyAlignment="1">
      <alignment horizontal="left"/>
    </xf>
    <xf numFmtId="10" fontId="0" fillId="0" borderId="0" xfId="0" applyNumberFormat="1" applyBorder="1"/>
    <xf numFmtId="0" fontId="4" fillId="0" borderId="52" xfId="0" applyFont="1" applyBorder="1" applyAlignment="1">
      <alignment horizontal="right" vertical="center"/>
    </xf>
    <xf numFmtId="41" fontId="4" fillId="0" borderId="0" xfId="0" applyNumberFormat="1" applyFont="1"/>
    <xf numFmtId="170" fontId="4" fillId="0" borderId="0" xfId="0" applyNumberFormat="1" applyFont="1"/>
    <xf numFmtId="174" fontId="0" fillId="0" borderId="0" xfId="0" applyNumberFormat="1"/>
    <xf numFmtId="0" fontId="0" fillId="2" borderId="21" xfId="0" applyFill="1" applyBorder="1" applyAlignment="1">
      <alignment horizontal="center" vertical="center" wrapText="1"/>
    </xf>
    <xf numFmtId="0" fontId="0" fillId="2" borderId="22" xfId="0" applyFill="1" applyBorder="1" applyAlignment="1">
      <alignment horizontal="center" vertical="center" wrapText="1"/>
    </xf>
    <xf numFmtId="0" fontId="1" fillId="21" borderId="43" xfId="0" applyFont="1" applyFill="1" applyBorder="1" applyAlignment="1">
      <alignment horizontal="center" vertical="center"/>
    </xf>
    <xf numFmtId="0" fontId="0" fillId="21" borderId="43" xfId="0" applyFill="1" applyBorder="1" applyAlignment="1">
      <alignment horizontal="center" vertical="center" wrapText="1"/>
    </xf>
    <xf numFmtId="0" fontId="0" fillId="21" borderId="44" xfId="0" applyFill="1" applyBorder="1" applyAlignment="1">
      <alignment horizontal="center" vertical="center" wrapText="1"/>
    </xf>
    <xf numFmtId="0" fontId="0" fillId="21" borderId="51" xfId="0" applyFill="1" applyBorder="1" applyAlignment="1">
      <alignment horizontal="center" vertical="center" wrapText="1"/>
    </xf>
    <xf numFmtId="0" fontId="0" fillId="21" borderId="21" xfId="0" applyFill="1" applyBorder="1" applyAlignment="1">
      <alignment horizontal="center" vertical="center" wrapText="1"/>
    </xf>
    <xf numFmtId="0" fontId="0" fillId="21" borderId="22" xfId="0" applyFill="1" applyBorder="1" applyAlignment="1">
      <alignment horizontal="center" vertical="center" wrapText="1"/>
    </xf>
    <xf numFmtId="0" fontId="10" fillId="7" borderId="1" xfId="0" applyFont="1" applyFill="1" applyBorder="1" applyAlignment="1">
      <alignment horizontal="center" vertical="center" wrapText="1"/>
    </xf>
    <xf numFmtId="0" fontId="10" fillId="7" borderId="43" xfId="0" applyFont="1" applyFill="1" applyBorder="1" applyAlignment="1">
      <alignment horizontal="center" vertical="center" wrapText="1"/>
    </xf>
    <xf numFmtId="0" fontId="7" fillId="7" borderId="43" xfId="0" applyFont="1" applyFill="1" applyBorder="1" applyAlignment="1">
      <alignment horizontal="center" vertical="center" wrapText="1"/>
    </xf>
    <xf numFmtId="0" fontId="7" fillId="7" borderId="44" xfId="0" applyFont="1" applyFill="1" applyBorder="1" applyAlignment="1">
      <alignment horizontal="center" vertical="center" wrapText="1"/>
    </xf>
    <xf numFmtId="0" fontId="7" fillId="7" borderId="51" xfId="0" applyFont="1" applyFill="1" applyBorder="1" applyAlignment="1">
      <alignment horizontal="center" vertical="center" wrapText="1"/>
    </xf>
    <xf numFmtId="0" fontId="7" fillId="7" borderId="21" xfId="0" applyFont="1" applyFill="1" applyBorder="1" applyAlignment="1">
      <alignment horizontal="center" vertical="center" wrapText="1"/>
    </xf>
    <xf numFmtId="0" fontId="7" fillId="7" borderId="22" xfId="0" applyFont="1" applyFill="1" applyBorder="1" applyAlignment="1">
      <alignment horizontal="center" vertical="center" wrapText="1"/>
    </xf>
    <xf numFmtId="0" fontId="62" fillId="0" borderId="0" xfId="0" applyFont="1"/>
    <xf numFmtId="9" fontId="21" fillId="0" borderId="58" xfId="0" applyNumberFormat="1" applyFont="1" applyFill="1" applyBorder="1"/>
    <xf numFmtId="43" fontId="21" fillId="0" borderId="0" xfId="0" applyNumberFormat="1" applyFont="1" applyFill="1" applyBorder="1"/>
    <xf numFmtId="41" fontId="21" fillId="0" borderId="0" xfId="0" applyNumberFormat="1" applyFont="1" applyFill="1" applyBorder="1" applyProtection="1">
      <protection locked="0"/>
    </xf>
    <xf numFmtId="0" fontId="22" fillId="12" borderId="22" xfId="0" applyFont="1" applyFill="1" applyBorder="1" applyAlignment="1">
      <alignment horizontal="center" vertical="center" wrapText="1"/>
    </xf>
    <xf numFmtId="0" fontId="21" fillId="0" borderId="58" xfId="0" applyFont="1" applyFill="1" applyBorder="1"/>
    <xf numFmtId="0" fontId="21" fillId="0" borderId="32" xfId="0" applyFont="1" applyFill="1" applyBorder="1" applyAlignment="1">
      <alignment horizontal="center" vertical="center"/>
    </xf>
    <xf numFmtId="0" fontId="1" fillId="0" borderId="18" xfId="0" applyFont="1" applyBorder="1" applyAlignment="1">
      <alignment horizontal="left" vertical="center" wrapText="1"/>
    </xf>
    <xf numFmtId="0" fontId="1" fillId="0" borderId="21" xfId="0" applyFont="1" applyBorder="1" applyAlignment="1">
      <alignment horizontal="left" vertical="center" wrapText="1"/>
    </xf>
    <xf numFmtId="0" fontId="21" fillId="0" borderId="36" xfId="0" applyFont="1" applyFill="1" applyBorder="1" applyAlignment="1">
      <alignment horizontal="center" vertical="center"/>
    </xf>
    <xf numFmtId="0" fontId="1" fillId="22" borderId="1" xfId="0" applyFont="1" applyFill="1" applyBorder="1" applyAlignment="1">
      <alignment horizontal="right" vertical="center"/>
    </xf>
    <xf numFmtId="9" fontId="0" fillId="22" borderId="52" xfId="0" applyNumberFormat="1" applyFill="1" applyBorder="1"/>
    <xf numFmtId="2" fontId="0" fillId="22" borderId="6" xfId="0" applyNumberFormat="1" applyFill="1" applyBorder="1"/>
    <xf numFmtId="2" fontId="0" fillId="22" borderId="0" xfId="0" applyNumberFormat="1" applyFill="1" applyBorder="1"/>
    <xf numFmtId="2" fontId="1" fillId="22" borderId="58" xfId="0" applyNumberFormat="1" applyFont="1" applyFill="1" applyBorder="1"/>
    <xf numFmtId="166" fontId="0" fillId="22" borderId="6" xfId="0" applyNumberFormat="1" applyFill="1" applyBorder="1"/>
    <xf numFmtId="166" fontId="0" fillId="22" borderId="0" xfId="0" applyNumberFormat="1" applyFill="1" applyBorder="1"/>
    <xf numFmtId="166" fontId="1" fillId="22" borderId="58" xfId="0" applyNumberFormat="1" applyFont="1" applyFill="1" applyBorder="1"/>
    <xf numFmtId="0" fontId="1" fillId="22" borderId="6" xfId="0" applyFont="1" applyFill="1" applyBorder="1" applyAlignment="1">
      <alignment horizontal="right" vertical="center"/>
    </xf>
    <xf numFmtId="2" fontId="0" fillId="22" borderId="43" xfId="0" applyNumberFormat="1" applyFill="1" applyBorder="1"/>
    <xf numFmtId="2" fontId="0" fillId="22" borderId="51" xfId="0" applyNumberFormat="1" applyFill="1" applyBorder="1"/>
    <xf numFmtId="2" fontId="1" fillId="22" borderId="44" xfId="0" applyNumberFormat="1" applyFont="1" applyFill="1" applyBorder="1"/>
    <xf numFmtId="166" fontId="0" fillId="22" borderId="51" xfId="0" applyNumberFormat="1" applyFill="1" applyBorder="1"/>
    <xf numFmtId="166" fontId="1" fillId="22" borderId="44" xfId="0" applyNumberFormat="1" applyFont="1" applyFill="1" applyBorder="1"/>
    <xf numFmtId="0" fontId="1" fillId="23" borderId="1" xfId="0" applyFont="1" applyFill="1" applyBorder="1"/>
    <xf numFmtId="0" fontId="0" fillId="23" borderId="2" xfId="0" applyFill="1" applyBorder="1"/>
    <xf numFmtId="0" fontId="1" fillId="23" borderId="2" xfId="0" applyFont="1" applyFill="1" applyBorder="1"/>
    <xf numFmtId="0" fontId="1" fillId="23" borderId="33" xfId="0" applyFont="1" applyFill="1" applyBorder="1"/>
    <xf numFmtId="0" fontId="8" fillId="23" borderId="21" xfId="0" applyFont="1" applyFill="1" applyBorder="1" applyAlignment="1">
      <alignment horizontal="center" vertical="center" wrapText="1"/>
    </xf>
    <xf numFmtId="0" fontId="8" fillId="23" borderId="36" xfId="0" applyFont="1" applyFill="1" applyBorder="1" applyAlignment="1">
      <alignment horizontal="center" vertical="center" wrapText="1"/>
    </xf>
    <xf numFmtId="0" fontId="8" fillId="23" borderId="22" xfId="0" applyFont="1" applyFill="1" applyBorder="1" applyAlignment="1">
      <alignment horizontal="center" vertical="center" wrapText="1"/>
    </xf>
    <xf numFmtId="0" fontId="4" fillId="0" borderId="2" xfId="0" applyFont="1" applyBorder="1"/>
    <xf numFmtId="0" fontId="1" fillId="11" borderId="26" xfId="0" applyFont="1" applyFill="1" applyBorder="1" applyAlignment="1">
      <alignment horizontal="center" vertical="center"/>
    </xf>
    <xf numFmtId="0" fontId="1" fillId="11" borderId="18" xfId="0" applyFont="1" applyFill="1" applyBorder="1" applyAlignment="1">
      <alignment horizontal="center" vertical="center"/>
    </xf>
    <xf numFmtId="0" fontId="1" fillId="11" borderId="39" xfId="0" applyFont="1" applyFill="1" applyBorder="1" applyAlignment="1">
      <alignment horizontal="center"/>
    </xf>
    <xf numFmtId="0" fontId="1" fillId="2" borderId="32" xfId="0" applyFont="1" applyFill="1" applyBorder="1" applyAlignment="1">
      <alignment horizontal="center"/>
    </xf>
    <xf numFmtId="0" fontId="1" fillId="2" borderId="32" xfId="0" applyFont="1" applyFill="1" applyBorder="1" applyAlignment="1">
      <alignment horizontal="center" vertical="center" wrapText="1"/>
    </xf>
    <xf numFmtId="0" fontId="1" fillId="2" borderId="18" xfId="0" applyFont="1" applyFill="1" applyBorder="1" applyAlignment="1">
      <alignment horizontal="center"/>
    </xf>
    <xf numFmtId="0" fontId="1" fillId="2" borderId="18" xfId="0" applyFont="1" applyFill="1" applyBorder="1" applyAlignment="1">
      <alignment horizontal="center" vertical="center" wrapText="1"/>
    </xf>
    <xf numFmtId="0" fontId="1" fillId="12" borderId="18" xfId="0" applyFont="1" applyFill="1" applyBorder="1" applyAlignment="1">
      <alignment horizontal="center" vertical="center" wrapText="1"/>
    </xf>
    <xf numFmtId="0" fontId="1" fillId="2" borderId="38" xfId="0" applyFont="1" applyFill="1" applyBorder="1" applyAlignment="1">
      <alignment horizontal="center"/>
    </xf>
    <xf numFmtId="0" fontId="1" fillId="2" borderId="38" xfId="0" applyFont="1" applyFill="1" applyBorder="1" applyAlignment="1">
      <alignment horizontal="center" vertical="center" wrapText="1"/>
    </xf>
    <xf numFmtId="0" fontId="1" fillId="12" borderId="32" xfId="0" applyFont="1" applyFill="1" applyBorder="1" applyAlignment="1">
      <alignment horizontal="center" vertical="center" wrapText="1"/>
    </xf>
    <xf numFmtId="0" fontId="1" fillId="12" borderId="17" xfId="0" applyFont="1" applyFill="1" applyBorder="1" applyAlignment="1">
      <alignment horizontal="center" vertical="center" wrapText="1"/>
    </xf>
    <xf numFmtId="1" fontId="4" fillId="0" borderId="0" xfId="0" applyNumberFormat="1" applyFont="1"/>
    <xf numFmtId="2" fontId="4" fillId="0" borderId="0" xfId="0" applyNumberFormat="1" applyFont="1"/>
    <xf numFmtId="177" fontId="4" fillId="0" borderId="0" xfId="0" applyNumberFormat="1" applyFont="1"/>
    <xf numFmtId="178" fontId="4" fillId="0" borderId="0" xfId="0" applyNumberFormat="1" applyFont="1"/>
    <xf numFmtId="1" fontId="7" fillId="0" borderId="0" xfId="0" applyNumberFormat="1" applyFont="1"/>
    <xf numFmtId="41" fontId="7" fillId="0" borderId="0" xfId="0" applyNumberFormat="1" applyFont="1"/>
    <xf numFmtId="177" fontId="7" fillId="0" borderId="0" xfId="0" applyNumberFormat="1" applyFont="1"/>
    <xf numFmtId="178" fontId="7" fillId="0" borderId="0" xfId="0" applyNumberFormat="1" applyFont="1"/>
    <xf numFmtId="0" fontId="63" fillId="0" borderId="0" xfId="0" applyFont="1" applyAlignment="1">
      <alignment vertical="center"/>
    </xf>
    <xf numFmtId="43" fontId="0" fillId="0" borderId="6" xfId="0" applyNumberFormat="1" applyBorder="1"/>
    <xf numFmtId="10" fontId="0" fillId="0" borderId="58" xfId="0" applyNumberFormat="1" applyBorder="1"/>
    <xf numFmtId="0" fontId="22" fillId="4" borderId="14" xfId="0" applyFont="1" applyFill="1" applyBorder="1" applyAlignment="1">
      <alignment horizontal="center" vertical="center"/>
    </xf>
    <xf numFmtId="174" fontId="21" fillId="0" borderId="6" xfId="0" applyNumberFormat="1" applyFont="1" applyFill="1" applyBorder="1" applyProtection="1">
      <protection locked="0"/>
    </xf>
    <xf numFmtId="9" fontId="0" fillId="0" borderId="58" xfId="0" applyNumberFormat="1" applyBorder="1"/>
    <xf numFmtId="174" fontId="23" fillId="0" borderId="6" xfId="0" applyNumberFormat="1" applyFont="1" applyFill="1" applyBorder="1" applyProtection="1">
      <protection locked="0"/>
    </xf>
    <xf numFmtId="41" fontId="4" fillId="0" borderId="0" xfId="0" applyNumberFormat="1" applyFont="1" applyBorder="1"/>
    <xf numFmtId="174" fontId="22" fillId="0" borderId="6" xfId="0" applyNumberFormat="1" applyFont="1" applyFill="1" applyBorder="1" applyProtection="1">
      <protection locked="0"/>
    </xf>
    <xf numFmtId="41" fontId="1" fillId="0" borderId="0" xfId="0" applyNumberFormat="1" applyFont="1" applyBorder="1"/>
    <xf numFmtId="174" fontId="22" fillId="5" borderId="6" xfId="0" applyNumberFormat="1" applyFont="1" applyFill="1" applyBorder="1" applyProtection="1">
      <protection locked="0"/>
    </xf>
    <xf numFmtId="41" fontId="4" fillId="5" borderId="0" xfId="0" applyNumberFormat="1" applyFont="1" applyFill="1" applyBorder="1"/>
    <xf numFmtId="41" fontId="1" fillId="5" borderId="0" xfId="0" applyNumberFormat="1" applyFont="1" applyFill="1" applyBorder="1"/>
    <xf numFmtId="174" fontId="23" fillId="5" borderId="43" xfId="0" applyNumberFormat="1" applyFont="1" applyFill="1" applyBorder="1" applyProtection="1">
      <protection locked="0"/>
    </xf>
    <xf numFmtId="41" fontId="4" fillId="5" borderId="51" xfId="0" applyNumberFormat="1" applyFont="1" applyFill="1" applyBorder="1"/>
    <xf numFmtId="9" fontId="4" fillId="5" borderId="51" xfId="0" applyNumberFormat="1" applyFont="1" applyFill="1" applyBorder="1"/>
    <xf numFmtId="9" fontId="1" fillId="0" borderId="51" xfId="0" applyNumberFormat="1" applyFont="1" applyBorder="1"/>
    <xf numFmtId="9" fontId="1" fillId="0" borderId="44" xfId="0" applyNumberFormat="1" applyFont="1" applyBorder="1"/>
    <xf numFmtId="178" fontId="0" fillId="0" borderId="6" xfId="0" applyNumberFormat="1" applyBorder="1"/>
    <xf numFmtId="178" fontId="0" fillId="0" borderId="0" xfId="0" applyNumberFormat="1" applyBorder="1"/>
    <xf numFmtId="43" fontId="0" fillId="0" borderId="0" xfId="0" applyNumberFormat="1" applyBorder="1"/>
    <xf numFmtId="178" fontId="0" fillId="0" borderId="58" xfId="0" applyNumberFormat="1" applyBorder="1"/>
    <xf numFmtId="43" fontId="4" fillId="0" borderId="6" xfId="0" applyNumberFormat="1" applyFont="1" applyBorder="1"/>
    <xf numFmtId="10" fontId="4" fillId="0" borderId="0" xfId="0" applyNumberFormat="1" applyFont="1" applyBorder="1"/>
    <xf numFmtId="10" fontId="4" fillId="0" borderId="58" xfId="0" applyNumberFormat="1" applyFont="1" applyBorder="1"/>
    <xf numFmtId="41" fontId="4" fillId="0" borderId="6" xfId="0" applyNumberFormat="1" applyFont="1" applyBorder="1"/>
    <xf numFmtId="41" fontId="4" fillId="0" borderId="58" xfId="0" applyNumberFormat="1" applyFont="1" applyBorder="1"/>
    <xf numFmtId="178" fontId="4" fillId="0" borderId="6" xfId="0" applyNumberFormat="1" applyFont="1" applyBorder="1"/>
    <xf numFmtId="178" fontId="4" fillId="0" borderId="0" xfId="0" applyNumberFormat="1" applyFont="1" applyBorder="1"/>
    <xf numFmtId="178" fontId="4" fillId="0" borderId="58" xfId="0" applyNumberFormat="1" applyFont="1" applyBorder="1"/>
    <xf numFmtId="43" fontId="4" fillId="0" borderId="43" xfId="0" applyNumberFormat="1" applyFont="1" applyBorder="1"/>
    <xf numFmtId="41" fontId="4" fillId="0" borderId="51" xfId="0" applyNumberFormat="1" applyFont="1" applyBorder="1"/>
    <xf numFmtId="9" fontId="4" fillId="0" borderId="51" xfId="0" applyNumberFormat="1" applyFont="1" applyBorder="1"/>
    <xf numFmtId="10" fontId="4" fillId="0" borderId="51" xfId="0" applyNumberFormat="1" applyFont="1" applyBorder="1"/>
    <xf numFmtId="10" fontId="4" fillId="0" borderId="44" xfId="0" applyNumberFormat="1" applyFont="1" applyBorder="1"/>
    <xf numFmtId="41" fontId="4" fillId="0" borderId="43" xfId="0" applyNumberFormat="1" applyFont="1" applyBorder="1"/>
    <xf numFmtId="41" fontId="4" fillId="0" borderId="44" xfId="0" applyNumberFormat="1" applyFont="1" applyBorder="1"/>
    <xf numFmtId="178" fontId="4" fillId="0" borderId="43" xfId="0" applyNumberFormat="1" applyFont="1" applyBorder="1"/>
    <xf numFmtId="178" fontId="4" fillId="0" borderId="51" xfId="0" applyNumberFormat="1" applyFont="1" applyBorder="1"/>
    <xf numFmtId="178" fontId="4" fillId="0" borderId="44" xfId="0" applyNumberFormat="1" applyFont="1" applyBorder="1"/>
    <xf numFmtId="0" fontId="0" fillId="0" borderId="52" xfId="0" applyBorder="1"/>
    <xf numFmtId="0" fontId="0" fillId="0" borderId="56" xfId="0" applyBorder="1"/>
    <xf numFmtId="177" fontId="4" fillId="0" borderId="0" xfId="0" applyNumberFormat="1" applyFont="1" applyBorder="1"/>
    <xf numFmtId="177" fontId="0" fillId="0" borderId="0" xfId="0" applyNumberFormat="1" applyBorder="1"/>
    <xf numFmtId="177" fontId="4" fillId="0" borderId="51" xfId="0" applyNumberFormat="1" applyFont="1" applyBorder="1"/>
    <xf numFmtId="0" fontId="64" fillId="0" borderId="0" xfId="0" applyFont="1"/>
    <xf numFmtId="0" fontId="22" fillId="2" borderId="37" xfId="0" applyFont="1" applyFill="1" applyBorder="1" applyAlignment="1">
      <alignment horizontal="center" vertical="center"/>
    </xf>
    <xf numFmtId="0" fontId="22" fillId="2" borderId="3" xfId="0" applyFont="1" applyFill="1" applyBorder="1" applyAlignment="1">
      <alignment horizontal="center" vertical="center" wrapText="1"/>
    </xf>
    <xf numFmtId="0" fontId="22" fillId="2" borderId="13" xfId="0" applyFont="1" applyFill="1" applyBorder="1" applyAlignment="1">
      <alignment horizontal="center" vertical="center" wrapText="1"/>
    </xf>
    <xf numFmtId="0" fontId="1" fillId="2" borderId="14" xfId="0" applyFont="1" applyFill="1" applyBorder="1" applyAlignment="1">
      <alignment horizontal="center" wrapText="1"/>
    </xf>
    <xf numFmtId="0" fontId="1" fillId="2" borderId="35" xfId="0" applyFont="1" applyFill="1" applyBorder="1" applyAlignment="1">
      <alignment horizontal="center" wrapText="1"/>
    </xf>
    <xf numFmtId="0" fontId="1" fillId="2" borderId="13" xfId="0" applyFont="1" applyFill="1" applyBorder="1" applyAlignment="1">
      <alignment horizontal="center" wrapText="1"/>
    </xf>
    <xf numFmtId="0" fontId="22" fillId="2" borderId="39" xfId="0" applyFont="1" applyFill="1" applyBorder="1" applyAlignment="1">
      <alignment horizontal="center" vertical="center"/>
    </xf>
    <xf numFmtId="0" fontId="22" fillId="2" borderId="31" xfId="0" applyFont="1" applyFill="1" applyBorder="1" applyAlignment="1">
      <alignment horizontal="center" vertical="center" wrapText="1"/>
    </xf>
    <xf numFmtId="0" fontId="22" fillId="2" borderId="22" xfId="0" applyFont="1" applyFill="1" applyBorder="1" applyAlignment="1">
      <alignment horizontal="center" vertical="center" wrapText="1"/>
    </xf>
    <xf numFmtId="0" fontId="1" fillId="2" borderId="18" xfId="0" applyFont="1" applyFill="1" applyBorder="1" applyAlignment="1">
      <alignment horizontal="center" vertical="center"/>
    </xf>
    <xf numFmtId="0" fontId="1" fillId="2" borderId="32"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59" xfId="0" applyFont="1" applyFill="1" applyBorder="1" applyAlignment="1">
      <alignment horizontal="center" vertical="center" wrapText="1"/>
    </xf>
    <xf numFmtId="0" fontId="1" fillId="2" borderId="17" xfId="0" applyFont="1" applyFill="1" applyBorder="1" applyAlignment="1">
      <alignment horizontal="center" vertical="center" wrapText="1"/>
    </xf>
    <xf numFmtId="9" fontId="0" fillId="0" borderId="0" xfId="0" applyNumberFormat="1" applyFill="1" applyBorder="1"/>
    <xf numFmtId="166" fontId="0" fillId="0" borderId="0" xfId="0" applyNumberFormat="1"/>
    <xf numFmtId="0" fontId="22" fillId="11" borderId="60" xfId="0" applyFont="1" applyFill="1" applyBorder="1" applyAlignment="1">
      <alignment horizontal="center" vertical="center" wrapText="1"/>
    </xf>
    <xf numFmtId="1" fontId="21" fillId="0" borderId="0" xfId="0" applyNumberFormat="1" applyFont="1" applyFill="1" applyBorder="1" applyProtection="1">
      <protection locked="0"/>
    </xf>
    <xf numFmtId="0" fontId="22" fillId="12" borderId="35" xfId="0" applyFont="1" applyFill="1" applyBorder="1" applyAlignment="1">
      <alignment horizontal="center" vertical="center" wrapText="1"/>
    </xf>
    <xf numFmtId="9" fontId="0" fillId="0" borderId="17" xfId="0" applyNumberFormat="1" applyBorder="1" applyAlignment="1">
      <alignment horizontal="center" vertical="center"/>
    </xf>
    <xf numFmtId="9" fontId="0" fillId="0" borderId="22" xfId="0" applyNumberFormat="1" applyBorder="1" applyAlignment="1">
      <alignment horizontal="center" vertical="center"/>
    </xf>
    <xf numFmtId="0" fontId="1" fillId="6" borderId="0" xfId="0" applyFont="1" applyFill="1" applyBorder="1"/>
    <xf numFmtId="0" fontId="41" fillId="6" borderId="0" xfId="0" applyFont="1" applyFill="1" applyBorder="1"/>
    <xf numFmtId="0" fontId="65" fillId="6" borderId="0" xfId="0" applyFont="1" applyFill="1" applyBorder="1"/>
    <xf numFmtId="0" fontId="41" fillId="0" borderId="0" xfId="0" applyFont="1" applyFill="1" applyBorder="1" applyAlignment="1">
      <alignment horizontal="left"/>
    </xf>
    <xf numFmtId="0" fontId="47" fillId="24" borderId="0" xfId="0" applyFont="1" applyFill="1"/>
    <xf numFmtId="0" fontId="66" fillId="24" borderId="0" xfId="0" applyFont="1" applyFill="1" applyAlignment="1">
      <alignment horizontal="left" vertical="center" readingOrder="1"/>
    </xf>
    <xf numFmtId="0" fontId="67" fillId="24" borderId="0" xfId="0" applyFont="1" applyFill="1" applyAlignment="1">
      <alignment horizontal="left" vertical="center" readingOrder="1"/>
    </xf>
    <xf numFmtId="0" fontId="68" fillId="24" borderId="0" xfId="0" applyFont="1" applyFill="1" applyAlignment="1">
      <alignment horizontal="left" vertical="center" readingOrder="1"/>
    </xf>
    <xf numFmtId="0" fontId="47" fillId="0" borderId="0" xfId="0" applyFont="1" applyFill="1"/>
    <xf numFmtId="0" fontId="69" fillId="24" borderId="0" xfId="0" applyFont="1" applyFill="1"/>
    <xf numFmtId="2" fontId="23" fillId="0" borderId="45" xfId="0" applyNumberFormat="1" applyFont="1" applyBorder="1"/>
    <xf numFmtId="9" fontId="7" fillId="0" borderId="6" xfId="0" applyNumberFormat="1" applyFont="1" applyBorder="1"/>
    <xf numFmtId="9" fontId="7" fillId="0" borderId="0" xfId="0" applyNumberFormat="1" applyFont="1" applyBorder="1"/>
    <xf numFmtId="9" fontId="7" fillId="0" borderId="43" xfId="0" applyNumberFormat="1" applyFont="1" applyBorder="1"/>
    <xf numFmtId="9" fontId="7" fillId="0" borderId="51" xfId="0" applyNumberFormat="1" applyFont="1" applyBorder="1"/>
    <xf numFmtId="9" fontId="7" fillId="0" borderId="1" xfId="0" applyNumberFormat="1" applyFont="1" applyBorder="1"/>
    <xf numFmtId="0" fontId="10" fillId="21" borderId="1" xfId="0" applyFont="1" applyFill="1" applyBorder="1" applyAlignment="1">
      <alignment horizontal="center" wrapText="1"/>
    </xf>
    <xf numFmtId="0" fontId="1" fillId="21" borderId="33" xfId="0" applyFont="1" applyFill="1" applyBorder="1" applyAlignment="1">
      <alignment horizontal="center"/>
    </xf>
    <xf numFmtId="0" fontId="10" fillId="0" borderId="0" xfId="0" applyFont="1" applyBorder="1"/>
    <xf numFmtId="0" fontId="11" fillId="0" borderId="0" xfId="0" applyFont="1" applyBorder="1"/>
    <xf numFmtId="0" fontId="10" fillId="0" borderId="1" xfId="0" applyFont="1" applyBorder="1"/>
    <xf numFmtId="9" fontId="7" fillId="0" borderId="33" xfId="0" applyNumberFormat="1" applyFont="1" applyBorder="1"/>
    <xf numFmtId="9" fontId="7" fillId="0" borderId="58" xfId="0" applyNumberFormat="1" applyFont="1" applyBorder="1"/>
    <xf numFmtId="9" fontId="7" fillId="0" borderId="44" xfId="0" applyNumberFormat="1" applyFont="1" applyBorder="1"/>
    <xf numFmtId="0" fontId="10" fillId="0" borderId="2" xfId="0" applyFont="1" applyBorder="1"/>
    <xf numFmtId="0" fontId="10" fillId="0" borderId="54" xfId="0" applyFont="1" applyBorder="1" applyAlignment="1">
      <alignment horizontal="center"/>
    </xf>
    <xf numFmtId="0" fontId="10" fillId="21" borderId="1" xfId="0" applyFont="1" applyFill="1" applyBorder="1" applyAlignment="1">
      <alignment horizontal="center" wrapText="1"/>
    </xf>
    <xf numFmtId="0" fontId="1" fillId="0" borderId="0" xfId="0" applyFont="1" applyBorder="1" applyAlignment="1">
      <alignment horizontal="center" vertical="center"/>
    </xf>
    <xf numFmtId="0" fontId="10" fillId="21" borderId="7" xfId="0" applyFont="1" applyFill="1" applyBorder="1" applyAlignment="1">
      <alignment horizontal="center" wrapText="1"/>
    </xf>
    <xf numFmtId="0" fontId="1" fillId="21" borderId="8" xfId="0" applyFont="1" applyFill="1" applyBorder="1" applyAlignment="1">
      <alignment horizontal="center"/>
    </xf>
    <xf numFmtId="0" fontId="11" fillId="0" borderId="1" xfId="0" applyFont="1" applyBorder="1"/>
    <xf numFmtId="0" fontId="10" fillId="21" borderId="2" xfId="0" applyFont="1" applyFill="1" applyBorder="1" applyAlignment="1">
      <alignment horizontal="center" wrapText="1"/>
    </xf>
    <xf numFmtId="0" fontId="7" fillId="0" borderId="6" xfId="0" applyFont="1" applyBorder="1"/>
    <xf numFmtId="0" fontId="10" fillId="21" borderId="43" xfId="0" applyFont="1" applyFill="1" applyBorder="1" applyAlignment="1">
      <alignment horizontal="center"/>
    </xf>
    <xf numFmtId="0" fontId="10" fillId="21" borderId="44" xfId="0" applyFont="1" applyFill="1" applyBorder="1" applyAlignment="1">
      <alignment horizontal="center"/>
    </xf>
    <xf numFmtId="0" fontId="10" fillId="21" borderId="51" xfId="0" applyFont="1" applyFill="1" applyBorder="1" applyAlignment="1">
      <alignment horizontal="center"/>
    </xf>
    <xf numFmtId="0" fontId="7" fillId="0" borderId="33" xfId="0" applyFont="1" applyBorder="1"/>
    <xf numFmtId="0" fontId="7" fillId="0" borderId="58" xfId="0" applyFont="1" applyBorder="1"/>
    <xf numFmtId="0" fontId="10" fillId="0" borderId="43" xfId="0" applyFont="1" applyBorder="1" applyAlignment="1">
      <alignment horizontal="center"/>
    </xf>
    <xf numFmtId="0" fontId="10" fillId="0" borderId="44" xfId="0" applyFont="1" applyBorder="1" applyAlignment="1">
      <alignment horizontal="center"/>
    </xf>
    <xf numFmtId="9" fontId="0" fillId="0" borderId="0" xfId="0" applyNumberFormat="1" applyFill="1" applyBorder="1" applyProtection="1">
      <protection locked="0"/>
    </xf>
    <xf numFmtId="9" fontId="0" fillId="0" borderId="58" xfId="0" applyNumberFormat="1" applyFill="1" applyBorder="1" applyProtection="1">
      <protection locked="0"/>
    </xf>
    <xf numFmtId="9" fontId="0" fillId="0" borderId="51" xfId="0" applyNumberFormat="1" applyFill="1" applyBorder="1" applyProtection="1">
      <protection locked="0"/>
    </xf>
    <xf numFmtId="9" fontId="0" fillId="0" borderId="44" xfId="0" applyNumberFormat="1" applyFill="1" applyBorder="1" applyProtection="1">
      <protection locked="0"/>
    </xf>
    <xf numFmtId="9" fontId="0" fillId="0" borderId="6" xfId="0" applyNumberFormat="1" applyFill="1" applyBorder="1" applyProtection="1">
      <protection locked="0"/>
    </xf>
    <xf numFmtId="9" fontId="0" fillId="0" borderId="43" xfId="0" applyNumberFormat="1" applyFill="1" applyBorder="1" applyProtection="1">
      <protection locked="0"/>
    </xf>
    <xf numFmtId="0" fontId="1" fillId="0" borderId="7" xfId="0" applyFont="1" applyBorder="1" applyAlignment="1">
      <alignment horizontal="center" vertical="center"/>
    </xf>
    <xf numFmtId="0" fontId="11" fillId="0" borderId="0" xfId="0" applyFont="1" applyFill="1" applyBorder="1"/>
    <xf numFmtId="0" fontId="10" fillId="21" borderId="53" xfId="0" applyFont="1" applyFill="1" applyBorder="1"/>
    <xf numFmtId="0" fontId="10" fillId="4" borderId="0" xfId="0" applyFont="1" applyFill="1" applyBorder="1" applyAlignment="1">
      <alignment horizontal="center" vertical="center" wrapText="1"/>
    </xf>
    <xf numFmtId="172" fontId="0" fillId="0" borderId="0" xfId="0" applyNumberFormat="1" applyFont="1" applyBorder="1" applyAlignment="1">
      <alignment horizontal="right" vertical="center"/>
    </xf>
    <xf numFmtId="172" fontId="42" fillId="0" borderId="0" xfId="0" applyNumberFormat="1" applyFont="1" applyBorder="1" applyAlignment="1">
      <alignment horizontal="right" vertical="center"/>
    </xf>
    <xf numFmtId="172" fontId="0" fillId="0" borderId="0" xfId="0" applyNumberFormat="1" applyBorder="1"/>
    <xf numFmtId="0" fontId="1" fillId="0" borderId="18" xfId="0" applyFont="1" applyFill="1" applyBorder="1" applyAlignment="1">
      <alignment horizontal="center" vertical="center" wrapText="1"/>
    </xf>
    <xf numFmtId="0" fontId="1" fillId="0" borderId="32" xfId="0" applyFont="1" applyFill="1" applyBorder="1" applyAlignment="1">
      <alignment horizontal="center" vertical="center" wrapText="1"/>
    </xf>
    <xf numFmtId="0" fontId="1" fillId="0" borderId="17" xfId="0" applyFont="1" applyFill="1" applyBorder="1" applyAlignment="1">
      <alignment vertical="center" wrapText="1"/>
    </xf>
    <xf numFmtId="3" fontId="37" fillId="0" borderId="0" xfId="0" applyNumberFormat="1" applyFont="1" applyBorder="1"/>
    <xf numFmtId="0" fontId="1" fillId="0" borderId="59" xfId="0" applyFont="1" applyFill="1" applyBorder="1" applyAlignment="1">
      <alignment horizontal="center" vertical="center" wrapText="1"/>
    </xf>
    <xf numFmtId="0" fontId="50" fillId="0" borderId="0" xfId="0" applyNumberFormat="1" applyFont="1"/>
    <xf numFmtId="43" fontId="0" fillId="0" borderId="0" xfId="0" applyNumberFormat="1"/>
    <xf numFmtId="173" fontId="0" fillId="0" borderId="0" xfId="0" applyNumberFormat="1"/>
    <xf numFmtId="9" fontId="0" fillId="0" borderId="49" xfId="0" applyNumberFormat="1" applyBorder="1"/>
    <xf numFmtId="173" fontId="0" fillId="0" borderId="71" xfId="0" applyNumberFormat="1" applyBorder="1"/>
    <xf numFmtId="9" fontId="0" fillId="0" borderId="71" xfId="0" applyNumberFormat="1" applyBorder="1"/>
    <xf numFmtId="9" fontId="0" fillId="0" borderId="56" xfId="0" applyNumberFormat="1" applyBorder="1"/>
    <xf numFmtId="0" fontId="0" fillId="0" borderId="0" xfId="0" applyFont="1" applyBorder="1" applyAlignment="1">
      <alignment horizontal="right"/>
    </xf>
    <xf numFmtId="9" fontId="42" fillId="0" borderId="0" xfId="0" applyNumberFormat="1" applyFont="1" applyBorder="1" applyAlignment="1">
      <alignment horizontal="right"/>
    </xf>
    <xf numFmtId="0" fontId="1" fillId="0" borderId="34" xfId="0" applyFont="1" applyBorder="1"/>
    <xf numFmtId="0" fontId="0" fillId="0" borderId="53" xfId="0" applyBorder="1"/>
    <xf numFmtId="0" fontId="10" fillId="21" borderId="52" xfId="0" applyFont="1" applyFill="1" applyBorder="1" applyAlignment="1">
      <alignment horizontal="center" vertical="center"/>
    </xf>
    <xf numFmtId="0" fontId="10" fillId="21" borderId="52" xfId="0" applyFont="1" applyFill="1" applyBorder="1" applyAlignment="1">
      <alignment horizontal="center" vertical="center" wrapText="1"/>
    </xf>
    <xf numFmtId="0" fontId="10" fillId="21" borderId="56" xfId="0" applyFont="1" applyFill="1" applyBorder="1" applyAlignment="1">
      <alignment horizontal="center" vertical="center"/>
    </xf>
    <xf numFmtId="0" fontId="2" fillId="0" borderId="0" xfId="0" applyFont="1" applyFill="1" applyBorder="1"/>
    <xf numFmtId="0" fontId="23" fillId="0" borderId="53" xfId="0" applyFont="1" applyFill="1" applyBorder="1" applyAlignment="1"/>
    <xf numFmtId="1" fontId="1" fillId="0" borderId="0" xfId="0" applyNumberFormat="1" applyFont="1" applyFill="1" applyBorder="1"/>
    <xf numFmtId="1" fontId="1" fillId="0" borderId="0" xfId="0" applyNumberFormat="1" applyFont="1" applyBorder="1"/>
    <xf numFmtId="1" fontId="1" fillId="0" borderId="51" xfId="0" applyNumberFormat="1" applyFont="1" applyBorder="1"/>
    <xf numFmtId="0" fontId="1" fillId="0" borderId="34" xfId="0" applyFont="1" applyBorder="1" applyAlignment="1">
      <alignment horizontal="center" vertical="center" wrapText="1"/>
    </xf>
    <xf numFmtId="9" fontId="21" fillId="0" borderId="52" xfId="0" applyNumberFormat="1" applyFont="1" applyFill="1" applyBorder="1" applyAlignment="1">
      <alignment horizontal="right" vertical="center"/>
    </xf>
    <xf numFmtId="9" fontId="0" fillId="0" borderId="52" xfId="0" applyNumberFormat="1" applyBorder="1" applyAlignment="1">
      <alignment horizontal="right" vertical="center"/>
    </xf>
    <xf numFmtId="9" fontId="0" fillId="0" borderId="56" xfId="0" applyNumberFormat="1" applyBorder="1" applyAlignment="1">
      <alignment horizontal="right" vertical="center"/>
    </xf>
    <xf numFmtId="0" fontId="1" fillId="0" borderId="34" xfId="0" applyFont="1" applyBorder="1" applyAlignment="1">
      <alignment horizontal="left" vertical="center" wrapText="1"/>
    </xf>
    <xf numFmtId="43" fontId="0" fillId="0" borderId="58" xfId="0" applyNumberFormat="1" applyBorder="1"/>
    <xf numFmtId="9" fontId="0" fillId="0" borderId="2" xfId="0" applyNumberFormat="1" applyBorder="1"/>
    <xf numFmtId="9" fontId="1" fillId="0" borderId="6" xfId="0" applyNumberFormat="1" applyFont="1" applyBorder="1"/>
    <xf numFmtId="9" fontId="0" fillId="0" borderId="6" xfId="0" applyNumberFormat="1" applyBorder="1"/>
    <xf numFmtId="9" fontId="0" fillId="0" borderId="43" xfId="0" applyNumberFormat="1" applyBorder="1"/>
    <xf numFmtId="9" fontId="0" fillId="0" borderId="51" xfId="0" applyNumberFormat="1" applyBorder="1"/>
    <xf numFmtId="9" fontId="0" fillId="0" borderId="44" xfId="0" applyNumberFormat="1" applyBorder="1"/>
    <xf numFmtId="43" fontId="1" fillId="0" borderId="6" xfId="0" applyNumberFormat="1" applyFont="1" applyBorder="1"/>
    <xf numFmtId="43" fontId="0" fillId="0" borderId="43" xfId="0" applyNumberFormat="1" applyBorder="1"/>
    <xf numFmtId="43" fontId="0" fillId="0" borderId="44" xfId="0" applyNumberFormat="1" applyBorder="1"/>
    <xf numFmtId="43" fontId="0" fillId="0" borderId="1" xfId="0" applyNumberFormat="1" applyBorder="1"/>
    <xf numFmtId="43" fontId="0" fillId="0" borderId="2" xfId="0" applyNumberFormat="1" applyBorder="1"/>
    <xf numFmtId="43" fontId="0" fillId="0" borderId="51" xfId="0" applyNumberFormat="1" applyBorder="1"/>
    <xf numFmtId="43" fontId="1" fillId="0" borderId="0" xfId="0" applyNumberFormat="1" applyFont="1" applyBorder="1"/>
    <xf numFmtId="10" fontId="22" fillId="0" borderId="72" xfId="0" applyNumberFormat="1" applyFont="1" applyFill="1" applyBorder="1" applyAlignment="1">
      <alignment horizontal="left"/>
    </xf>
    <xf numFmtId="173" fontId="0" fillId="0" borderId="28" xfId="0" applyNumberFormat="1" applyBorder="1"/>
    <xf numFmtId="173" fontId="0" fillId="0" borderId="45" xfId="0" applyNumberFormat="1" applyBorder="1"/>
    <xf numFmtId="173" fontId="21" fillId="0" borderId="45" xfId="0" applyNumberFormat="1" applyFont="1" applyFill="1" applyBorder="1"/>
    <xf numFmtId="9" fontId="0" fillId="0" borderId="28" xfId="0" applyNumberFormat="1" applyBorder="1"/>
    <xf numFmtId="9" fontId="0" fillId="0" borderId="45" xfId="0" applyNumberFormat="1" applyBorder="1"/>
    <xf numFmtId="0" fontId="1" fillId="0" borderId="1" xfId="0" applyFont="1" applyBorder="1" applyAlignment="1">
      <alignment horizontal="center"/>
    </xf>
    <xf numFmtId="0" fontId="0" fillId="0" borderId="6" xfId="0" applyFont="1" applyBorder="1" applyAlignment="1">
      <alignment horizontal="center"/>
    </xf>
    <xf numFmtId="0" fontId="0" fillId="0" borderId="43" xfId="0" applyFont="1" applyBorder="1" applyAlignment="1">
      <alignment horizontal="center"/>
    </xf>
    <xf numFmtId="178" fontId="0" fillId="0" borderId="44" xfId="0" applyNumberFormat="1" applyBorder="1"/>
    <xf numFmtId="0" fontId="1" fillId="11" borderId="17" xfId="0" applyFont="1" applyFill="1" applyBorder="1" applyAlignment="1">
      <alignment horizontal="center" vertical="center" wrapText="1"/>
    </xf>
    <xf numFmtId="0" fontId="1" fillId="11" borderId="32" xfId="0" applyFont="1" applyFill="1" applyBorder="1" applyAlignment="1">
      <alignment horizontal="center" vertical="center" wrapText="1"/>
    </xf>
    <xf numFmtId="170" fontId="0" fillId="0" borderId="0" xfId="0" applyNumberFormat="1" applyBorder="1"/>
    <xf numFmtId="170" fontId="1" fillId="0" borderId="0" xfId="0" applyNumberFormat="1" applyFont="1" applyBorder="1"/>
    <xf numFmtId="41" fontId="1" fillId="0" borderId="58" xfId="0" applyNumberFormat="1" applyFont="1" applyBorder="1"/>
    <xf numFmtId="170" fontId="0" fillId="0" borderId="51" xfId="0" applyNumberFormat="1" applyBorder="1"/>
    <xf numFmtId="0" fontId="10" fillId="0" borderId="54" xfId="0" applyFont="1" applyFill="1" applyBorder="1" applyAlignment="1">
      <alignment horizontal="center"/>
    </xf>
    <xf numFmtId="0" fontId="10" fillId="0" borderId="8" xfId="0" applyFont="1" applyBorder="1" applyAlignment="1">
      <alignment horizontal="center"/>
    </xf>
    <xf numFmtId="178" fontId="0" fillId="0" borderId="51" xfId="0" applyNumberFormat="1" applyBorder="1"/>
    <xf numFmtId="176" fontId="0" fillId="0" borderId="0" xfId="0" applyNumberFormat="1"/>
    <xf numFmtId="179" fontId="0" fillId="0" borderId="17" xfId="0" applyNumberFormat="1" applyBorder="1"/>
    <xf numFmtId="178" fontId="0" fillId="0" borderId="43" xfId="0" applyNumberFormat="1" applyBorder="1"/>
    <xf numFmtId="0" fontId="1" fillId="11" borderId="59" xfId="0" applyFont="1" applyFill="1" applyBorder="1" applyAlignment="1">
      <alignment horizontal="center" vertical="center"/>
    </xf>
    <xf numFmtId="2" fontId="0" fillId="0" borderId="2" xfId="0" applyNumberFormat="1" applyBorder="1"/>
    <xf numFmtId="173" fontId="0" fillId="0" borderId="6" xfId="0" applyNumberFormat="1" applyBorder="1"/>
    <xf numFmtId="4" fontId="74" fillId="0" borderId="0" xfId="0" applyNumberFormat="1" applyFont="1"/>
    <xf numFmtId="0" fontId="0" fillId="6" borderId="0" xfId="0" applyFill="1"/>
    <xf numFmtId="3" fontId="0" fillId="6" borderId="0" xfId="0" applyNumberFormat="1" applyFill="1"/>
    <xf numFmtId="182" fontId="0" fillId="0" borderId="0" xfId="0" applyNumberFormat="1" applyFill="1" applyBorder="1"/>
    <xf numFmtId="177" fontId="0" fillId="0" borderId="58" xfId="0" applyNumberFormat="1" applyBorder="1"/>
    <xf numFmtId="177" fontId="0" fillId="0" borderId="44" xfId="0" applyNumberFormat="1" applyBorder="1"/>
    <xf numFmtId="180" fontId="0" fillId="0" borderId="58" xfId="0" applyNumberFormat="1" applyBorder="1"/>
    <xf numFmtId="173" fontId="0" fillId="0" borderId="43" xfId="0" applyNumberFormat="1" applyBorder="1"/>
    <xf numFmtId="177" fontId="0" fillId="0" borderId="51" xfId="0" applyNumberFormat="1" applyBorder="1"/>
    <xf numFmtId="178" fontId="1" fillId="0" borderId="0" xfId="0" applyNumberFormat="1" applyFont="1" applyBorder="1"/>
    <xf numFmtId="177" fontId="0" fillId="0" borderId="2" xfId="0" applyNumberFormat="1" applyBorder="1"/>
    <xf numFmtId="0" fontId="1" fillId="11" borderId="59" xfId="0" applyFont="1" applyFill="1" applyBorder="1" applyAlignment="1">
      <alignment horizontal="center" vertical="center"/>
    </xf>
    <xf numFmtId="0" fontId="1" fillId="11" borderId="17" xfId="0" applyFont="1" applyFill="1" applyBorder="1" applyAlignment="1">
      <alignment horizontal="center" vertical="center"/>
    </xf>
    <xf numFmtId="0" fontId="10" fillId="21" borderId="1" xfId="0" applyFont="1" applyFill="1" applyBorder="1" applyAlignment="1">
      <alignment horizontal="center" wrapText="1"/>
    </xf>
    <xf numFmtId="0" fontId="10" fillId="21" borderId="2" xfId="0" applyFont="1" applyFill="1" applyBorder="1" applyAlignment="1">
      <alignment horizontal="center" wrapText="1"/>
    </xf>
    <xf numFmtId="0" fontId="1" fillId="0" borderId="0" xfId="0" applyFont="1" applyBorder="1" applyAlignment="1">
      <alignment horizontal="center" vertical="center"/>
    </xf>
    <xf numFmtId="0" fontId="0" fillId="0" borderId="0" xfId="0" applyBorder="1" applyAlignment="1">
      <alignment horizontal="center" vertical="center" wrapText="1"/>
    </xf>
    <xf numFmtId="183" fontId="0" fillId="0" borderId="32" xfId="0" applyNumberFormat="1" applyFont="1" applyBorder="1" applyAlignment="1">
      <alignment horizontal="right" vertical="center"/>
    </xf>
    <xf numFmtId="173" fontId="0" fillId="0" borderId="51" xfId="0" applyNumberFormat="1" applyBorder="1"/>
    <xf numFmtId="180" fontId="0" fillId="0" borderId="44" xfId="0" applyNumberFormat="1" applyBorder="1"/>
    <xf numFmtId="177" fontId="0" fillId="0" borderId="6" xfId="0" applyNumberFormat="1" applyBorder="1"/>
    <xf numFmtId="177" fontId="0" fillId="0" borderId="43" xfId="0" applyNumberFormat="1" applyBorder="1"/>
    <xf numFmtId="177" fontId="1" fillId="0" borderId="0" xfId="0" applyNumberFormat="1" applyFont="1" applyBorder="1"/>
    <xf numFmtId="0" fontId="75" fillId="0" borderId="0" xfId="0" applyFont="1"/>
    <xf numFmtId="0" fontId="70" fillId="0" borderId="0" xfId="0" applyFont="1" applyBorder="1" applyAlignment="1">
      <alignment horizontal="center"/>
    </xf>
    <xf numFmtId="0" fontId="70" fillId="0" borderId="0" xfId="0" applyFont="1" applyBorder="1" applyAlignment="1">
      <alignment horizontal="right"/>
    </xf>
    <xf numFmtId="0" fontId="22" fillId="2" borderId="60" xfId="0" applyFont="1" applyFill="1" applyBorder="1" applyAlignment="1">
      <alignment horizontal="center" vertical="center" wrapText="1"/>
    </xf>
    <xf numFmtId="0" fontId="22" fillId="2" borderId="21" xfId="0" applyFont="1" applyFill="1" applyBorder="1" applyAlignment="1">
      <alignment horizontal="center" vertical="center" wrapText="1"/>
    </xf>
    <xf numFmtId="0" fontId="22" fillId="11" borderId="40" xfId="0" applyFont="1" applyFill="1" applyBorder="1" applyAlignment="1">
      <alignment horizontal="center" vertical="center" wrapText="1"/>
    </xf>
    <xf numFmtId="0" fontId="22" fillId="2" borderId="39" xfId="0" applyFont="1" applyFill="1" applyBorder="1" applyAlignment="1">
      <alignment horizontal="center" vertical="center" wrapText="1"/>
    </xf>
    <xf numFmtId="0" fontId="22" fillId="10" borderId="36"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1" fillId="22" borderId="32" xfId="0" applyFont="1" applyFill="1" applyBorder="1" applyAlignment="1">
      <alignment horizontal="center" vertical="center"/>
    </xf>
    <xf numFmtId="0" fontId="1" fillId="22" borderId="32" xfId="0" applyFont="1" applyFill="1" applyBorder="1" applyAlignment="1">
      <alignment horizontal="center" vertical="center" wrapText="1"/>
    </xf>
    <xf numFmtId="0" fontId="1" fillId="22" borderId="17" xfId="0" applyFont="1" applyFill="1" applyBorder="1" applyAlignment="1">
      <alignment horizontal="center" vertical="center" wrapText="1"/>
    </xf>
    <xf numFmtId="0" fontId="22" fillId="22" borderId="36" xfId="0" applyFont="1" applyFill="1" applyBorder="1" applyAlignment="1">
      <alignment horizontal="center" vertical="center" wrapText="1"/>
    </xf>
    <xf numFmtId="0" fontId="22" fillId="22" borderId="22" xfId="0" applyFont="1" applyFill="1" applyBorder="1" applyAlignment="1">
      <alignment horizontal="center" vertical="center" wrapText="1"/>
    </xf>
    <xf numFmtId="0" fontId="1" fillId="22" borderId="59" xfId="0" applyFont="1" applyFill="1" applyBorder="1" applyAlignment="1">
      <alignment horizontal="center" vertical="center"/>
    </xf>
    <xf numFmtId="0" fontId="22" fillId="22" borderId="60" xfId="0" applyFont="1" applyFill="1" applyBorder="1" applyAlignment="1">
      <alignment horizontal="center" vertical="center" wrapText="1"/>
    </xf>
    <xf numFmtId="0" fontId="1" fillId="10" borderId="32" xfId="0" applyFont="1" applyFill="1" applyBorder="1" applyAlignment="1">
      <alignment horizontal="center" vertical="center" wrapText="1"/>
    </xf>
    <xf numFmtId="0" fontId="1" fillId="10" borderId="17" xfId="0" applyFont="1" applyFill="1" applyBorder="1" applyAlignment="1">
      <alignment horizontal="center" vertical="center" wrapText="1"/>
    </xf>
    <xf numFmtId="0" fontId="1" fillId="10" borderId="59" xfId="0" applyFont="1" applyFill="1" applyBorder="1" applyAlignment="1">
      <alignment horizontal="center" vertical="center" wrapText="1"/>
    </xf>
    <xf numFmtId="0" fontId="22" fillId="10" borderId="60" xfId="0" applyFont="1" applyFill="1" applyBorder="1" applyAlignment="1">
      <alignment horizontal="center" vertical="center" wrapText="1"/>
    </xf>
    <xf numFmtId="0" fontId="1" fillId="12" borderId="32" xfId="0" applyFont="1" applyFill="1" applyBorder="1" applyAlignment="1">
      <alignment horizontal="center" vertical="center"/>
    </xf>
    <xf numFmtId="0" fontId="1" fillId="20" borderId="32" xfId="0" applyFont="1" applyFill="1" applyBorder="1" applyAlignment="1">
      <alignment horizontal="center" vertical="center" wrapText="1"/>
    </xf>
    <xf numFmtId="0" fontId="1" fillId="20" borderId="18" xfId="0" applyFont="1" applyFill="1" applyBorder="1" applyAlignment="1">
      <alignment horizontal="center" vertical="center" wrapText="1"/>
    </xf>
    <xf numFmtId="0" fontId="1" fillId="20" borderId="17" xfId="0" applyFont="1" applyFill="1" applyBorder="1" applyAlignment="1">
      <alignment horizontal="center" vertical="center" wrapText="1"/>
    </xf>
    <xf numFmtId="0" fontId="1" fillId="11" borderId="73" xfId="0" applyFont="1" applyFill="1" applyBorder="1" applyAlignment="1">
      <alignment horizontal="center" vertical="center" wrapText="1"/>
    </xf>
    <xf numFmtId="0" fontId="1" fillId="11" borderId="21" xfId="0" applyFont="1" applyFill="1" applyBorder="1" applyAlignment="1">
      <alignment horizontal="center" vertical="center"/>
    </xf>
    <xf numFmtId="0" fontId="1" fillId="11" borderId="60" xfId="0" applyFont="1" applyFill="1" applyBorder="1" applyAlignment="1">
      <alignment horizontal="center" vertical="center"/>
    </xf>
    <xf numFmtId="9" fontId="0" fillId="0" borderId="1" xfId="0" applyNumberFormat="1" applyBorder="1"/>
    <xf numFmtId="0" fontId="1" fillId="11" borderId="61" xfId="0" applyFont="1" applyFill="1" applyBorder="1" applyAlignment="1">
      <alignment horizontal="center" vertical="center"/>
    </xf>
    <xf numFmtId="173" fontId="10" fillId="0" borderId="6" xfId="0" applyNumberFormat="1" applyFont="1" applyBorder="1"/>
    <xf numFmtId="173" fontId="10" fillId="0" borderId="43" xfId="0" applyNumberFormat="1" applyFont="1" applyBorder="1"/>
    <xf numFmtId="0" fontId="22" fillId="14" borderId="21" xfId="0" applyFont="1" applyFill="1" applyBorder="1" applyAlignment="1">
      <alignment horizontal="center" vertical="center" wrapText="1"/>
    </xf>
    <xf numFmtId="0" fontId="22" fillId="14" borderId="36" xfId="0" applyFont="1" applyFill="1" applyBorder="1" applyAlignment="1">
      <alignment horizontal="center" vertical="center" wrapText="1"/>
    </xf>
    <xf numFmtId="0" fontId="22" fillId="14" borderId="39" xfId="0" applyFont="1" applyFill="1" applyBorder="1" applyAlignment="1">
      <alignment horizontal="center" vertical="center" wrapText="1"/>
    </xf>
    <xf numFmtId="180" fontId="0" fillId="0" borderId="6" xfId="0" applyNumberFormat="1" applyBorder="1"/>
    <xf numFmtId="180" fontId="0" fillId="0" borderId="43" xfId="0" applyNumberFormat="1" applyBorder="1"/>
    <xf numFmtId="0" fontId="22" fillId="5" borderId="14" xfId="0" applyFont="1" applyFill="1" applyBorder="1" applyAlignment="1">
      <alignment horizontal="center" vertical="center" wrapText="1"/>
    </xf>
    <xf numFmtId="0" fontId="22" fillId="5" borderId="35" xfId="0" applyFont="1" applyFill="1" applyBorder="1" applyAlignment="1">
      <alignment horizontal="center" vertical="center" wrapText="1"/>
    </xf>
    <xf numFmtId="0" fontId="22" fillId="5" borderId="13" xfId="0" applyFont="1" applyFill="1" applyBorder="1" applyAlignment="1">
      <alignment horizontal="center" vertical="center" wrapText="1"/>
    </xf>
    <xf numFmtId="0" fontId="22" fillId="5" borderId="45" xfId="0" applyFont="1" applyFill="1" applyBorder="1" applyAlignment="1">
      <alignment horizontal="center" vertical="center" wrapText="1"/>
    </xf>
    <xf numFmtId="0" fontId="22" fillId="5" borderId="32" xfId="0" applyFont="1" applyFill="1" applyBorder="1" applyAlignment="1">
      <alignment horizontal="center" vertical="center" wrapText="1"/>
    </xf>
    <xf numFmtId="0" fontId="23" fillId="5" borderId="13" xfId="0" applyFont="1" applyFill="1" applyBorder="1" applyAlignment="1">
      <alignment horizontal="center" vertical="center" wrapText="1"/>
    </xf>
    <xf numFmtId="0" fontId="22" fillId="5" borderId="29" xfId="0" applyFont="1" applyFill="1" applyBorder="1" applyAlignment="1">
      <alignment horizontal="center" vertical="center" wrapText="1"/>
    </xf>
    <xf numFmtId="9" fontId="0" fillId="0" borderId="33" xfId="0" applyNumberFormat="1" applyBorder="1"/>
    <xf numFmtId="0" fontId="22" fillId="5" borderId="28" xfId="0" applyFont="1" applyFill="1" applyBorder="1" applyAlignment="1">
      <alignment horizontal="center" vertical="center" wrapText="1"/>
    </xf>
    <xf numFmtId="0" fontId="22" fillId="5" borderId="38" xfId="0" applyFont="1" applyFill="1" applyBorder="1" applyAlignment="1">
      <alignment horizontal="center" vertical="center" wrapText="1"/>
    </xf>
    <xf numFmtId="181" fontId="42" fillId="0" borderId="58" xfId="0" applyNumberFormat="1" applyFont="1" applyBorder="1"/>
    <xf numFmtId="181" fontId="42" fillId="0" borderId="44" xfId="0" applyNumberFormat="1" applyFont="1" applyBorder="1"/>
    <xf numFmtId="0" fontId="23" fillId="5" borderId="29" xfId="0" applyFont="1" applyFill="1" applyBorder="1" applyAlignment="1">
      <alignment horizontal="center" vertical="center" wrapText="1"/>
    </xf>
    <xf numFmtId="0" fontId="22" fillId="5" borderId="37" xfId="0" applyFont="1" applyFill="1" applyBorder="1" applyAlignment="1">
      <alignment horizontal="center" vertical="center" wrapText="1"/>
    </xf>
    <xf numFmtId="0" fontId="24" fillId="7" borderId="32" xfId="0" applyFont="1" applyFill="1" applyBorder="1" applyAlignment="1">
      <alignment horizontal="center" vertical="center" wrapText="1"/>
    </xf>
    <xf numFmtId="0" fontId="24" fillId="7" borderId="18" xfId="0" applyFont="1" applyFill="1" applyBorder="1" applyAlignment="1">
      <alignment horizontal="center" vertical="center" wrapText="1"/>
    </xf>
    <xf numFmtId="43" fontId="0" fillId="0" borderId="6" xfId="0" applyNumberFormat="1" applyFill="1" applyBorder="1"/>
    <xf numFmtId="43" fontId="0" fillId="0" borderId="0" xfId="0" applyNumberFormat="1" applyFill="1" applyBorder="1"/>
    <xf numFmtId="43" fontId="0" fillId="0" borderId="43" xfId="0" applyNumberFormat="1" applyFill="1" applyBorder="1"/>
    <xf numFmtId="43" fontId="0" fillId="0" borderId="51" xfId="0" applyNumberFormat="1" applyFill="1" applyBorder="1"/>
    <xf numFmtId="0" fontId="22" fillId="7" borderId="21" xfId="0" applyFont="1" applyFill="1" applyBorder="1" applyAlignment="1">
      <alignment horizontal="center" vertical="center" wrapText="1"/>
    </xf>
    <xf numFmtId="0" fontId="22" fillId="7" borderId="36" xfId="0" applyFont="1" applyFill="1" applyBorder="1" applyAlignment="1">
      <alignment horizontal="center" vertical="center" wrapText="1"/>
    </xf>
    <xf numFmtId="43" fontId="38" fillId="0" borderId="58" xfId="0" applyNumberFormat="1" applyFont="1" applyBorder="1"/>
    <xf numFmtId="43" fontId="38" fillId="0" borderId="44" xfId="0" applyNumberFormat="1" applyFont="1" applyBorder="1"/>
    <xf numFmtId="0" fontId="1" fillId="11" borderId="59" xfId="0" applyFont="1" applyFill="1" applyBorder="1" applyAlignment="1">
      <alignment horizontal="center" vertical="center"/>
    </xf>
    <xf numFmtId="0" fontId="1" fillId="0" borderId="0" xfId="0" applyFont="1" applyBorder="1" applyAlignment="1">
      <alignment horizontal="center" vertical="center"/>
    </xf>
    <xf numFmtId="0" fontId="10" fillId="21" borderId="1" xfId="0" applyFont="1" applyFill="1" applyBorder="1" applyAlignment="1">
      <alignment horizontal="center" wrapText="1"/>
    </xf>
    <xf numFmtId="0" fontId="10" fillId="21" borderId="2" xfId="0" applyFont="1" applyFill="1" applyBorder="1" applyAlignment="1">
      <alignment horizont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33" xfId="0" applyFont="1" applyFill="1" applyBorder="1" applyAlignment="1">
      <alignment horizontal="center" vertical="center" wrapText="1"/>
    </xf>
    <xf numFmtId="9" fontId="0" fillId="0" borderId="1" xfId="0" applyNumberFormat="1" applyFill="1" applyBorder="1" applyProtection="1">
      <protection locked="0"/>
    </xf>
    <xf numFmtId="9" fontId="0" fillId="0" borderId="2" xfId="0" applyNumberFormat="1" applyFill="1" applyBorder="1" applyProtection="1">
      <protection locked="0"/>
    </xf>
    <xf numFmtId="9" fontId="0" fillId="0" borderId="33" xfId="0" applyNumberFormat="1" applyFill="1" applyBorder="1" applyProtection="1">
      <protection locked="0"/>
    </xf>
    <xf numFmtId="0" fontId="0" fillId="0" borderId="1" xfId="0" applyBorder="1"/>
    <xf numFmtId="170" fontId="0" fillId="0" borderId="2" xfId="0" applyNumberFormat="1" applyBorder="1"/>
    <xf numFmtId="41" fontId="0" fillId="0" borderId="2" xfId="0" applyNumberFormat="1" applyBorder="1"/>
    <xf numFmtId="41" fontId="0" fillId="0" borderId="33" xfId="0" applyNumberFormat="1" applyBorder="1"/>
    <xf numFmtId="43" fontId="1" fillId="6" borderId="0" xfId="0" applyNumberFormat="1" applyFont="1" applyFill="1" applyBorder="1"/>
    <xf numFmtId="43" fontId="0" fillId="6" borderId="0" xfId="0" applyNumberFormat="1" applyFill="1" applyBorder="1"/>
    <xf numFmtId="177" fontId="0" fillId="6" borderId="0" xfId="0" applyNumberFormat="1" applyFill="1" applyBorder="1"/>
    <xf numFmtId="184" fontId="0" fillId="0" borderId="0" xfId="0" applyNumberFormat="1"/>
    <xf numFmtId="0" fontId="22" fillId="10" borderId="74" xfId="0" applyFont="1" applyFill="1" applyBorder="1" applyAlignment="1">
      <alignment horizontal="center" vertical="center" wrapText="1"/>
    </xf>
    <xf numFmtId="0" fontId="22" fillId="10" borderId="45" xfId="0" applyFont="1" applyFill="1" applyBorder="1" applyAlignment="1">
      <alignment horizontal="center" vertical="center" wrapText="1"/>
    </xf>
    <xf numFmtId="0" fontId="22" fillId="10" borderId="29" xfId="0" applyFont="1" applyFill="1" applyBorder="1" applyAlignment="1">
      <alignment horizontal="center" vertical="center" wrapText="1"/>
    </xf>
    <xf numFmtId="178" fontId="1" fillId="0" borderId="58" xfId="0" applyNumberFormat="1" applyFont="1" applyBorder="1"/>
    <xf numFmtId="185" fontId="36" fillId="0" borderId="0" xfId="0" applyNumberFormat="1" applyFont="1"/>
    <xf numFmtId="181" fontId="42" fillId="0" borderId="33" xfId="0" applyNumberFormat="1" applyFont="1" applyBorder="1"/>
    <xf numFmtId="0" fontId="1" fillId="22" borderId="18" xfId="0" applyFont="1" applyFill="1" applyBorder="1" applyAlignment="1">
      <alignment horizontal="center" vertical="center"/>
    </xf>
    <xf numFmtId="0" fontId="22" fillId="22" borderId="21" xfId="0" applyFont="1" applyFill="1" applyBorder="1" applyAlignment="1">
      <alignment horizontal="center" vertical="center" wrapText="1"/>
    </xf>
    <xf numFmtId="0" fontId="23" fillId="20" borderId="6" xfId="0" applyFont="1" applyFill="1" applyBorder="1"/>
    <xf numFmtId="9" fontId="23" fillId="20" borderId="0" xfId="0" applyNumberFormat="1" applyFont="1" applyFill="1" applyBorder="1"/>
    <xf numFmtId="1" fontId="23" fillId="20" borderId="58" xfId="0" applyNumberFormat="1" applyFont="1" applyFill="1" applyBorder="1"/>
    <xf numFmtId="1" fontId="23" fillId="20" borderId="0" xfId="0" applyNumberFormat="1" applyFont="1" applyFill="1" applyBorder="1" applyProtection="1">
      <protection locked="0"/>
    </xf>
    <xf numFmtId="43" fontId="23" fillId="20" borderId="0" xfId="0" applyNumberFormat="1" applyFont="1" applyFill="1" applyBorder="1"/>
    <xf numFmtId="41" fontId="23" fillId="20" borderId="0" xfId="0" applyNumberFormat="1" applyFont="1" applyFill="1" applyBorder="1" applyProtection="1">
      <protection locked="0"/>
    </xf>
    <xf numFmtId="41" fontId="23" fillId="20" borderId="58" xfId="0" applyNumberFormat="1" applyFont="1" applyFill="1" applyBorder="1" applyProtection="1">
      <protection locked="0"/>
    </xf>
    <xf numFmtId="9" fontId="23" fillId="20" borderId="58" xfId="0" applyNumberFormat="1" applyFont="1" applyFill="1" applyBorder="1"/>
    <xf numFmtId="9" fontId="24" fillId="20" borderId="0" xfId="0" applyNumberFormat="1" applyFont="1" applyFill="1" applyBorder="1"/>
    <xf numFmtId="1" fontId="24" fillId="20" borderId="58" xfId="0" applyNumberFormat="1" applyFont="1" applyFill="1" applyBorder="1"/>
    <xf numFmtId="1" fontId="24" fillId="20" borderId="0" xfId="0" applyNumberFormat="1" applyFont="1" applyFill="1" applyBorder="1" applyProtection="1">
      <protection locked="0"/>
    </xf>
    <xf numFmtId="43" fontId="24" fillId="20" borderId="0" xfId="0" applyNumberFormat="1" applyFont="1" applyFill="1" applyBorder="1"/>
    <xf numFmtId="41" fontId="24" fillId="20" borderId="0" xfId="0" applyNumberFormat="1" applyFont="1" applyFill="1" applyBorder="1" applyProtection="1">
      <protection locked="0"/>
    </xf>
    <xf numFmtId="41" fontId="24" fillId="20" borderId="58" xfId="0" applyNumberFormat="1" applyFont="1" applyFill="1" applyBorder="1" applyProtection="1">
      <protection locked="0"/>
    </xf>
    <xf numFmtId="9" fontId="24" fillId="20" borderId="58" xfId="0" applyNumberFormat="1" applyFont="1" applyFill="1" applyBorder="1"/>
    <xf numFmtId="43" fontId="21" fillId="20" borderId="0" xfId="0" applyNumberFormat="1" applyFont="1" applyFill="1" applyBorder="1"/>
    <xf numFmtId="0" fontId="21" fillId="0" borderId="43" xfId="0" applyFont="1" applyFill="1" applyBorder="1"/>
    <xf numFmtId="178" fontId="0" fillId="20" borderId="0" xfId="0" applyNumberFormat="1" applyFill="1" applyBorder="1"/>
    <xf numFmtId="0" fontId="21" fillId="0" borderId="1" xfId="0" applyFont="1" applyFill="1" applyBorder="1"/>
    <xf numFmtId="41" fontId="21" fillId="0" borderId="2" xfId="0" applyNumberFormat="1" applyFont="1" applyFill="1" applyBorder="1" applyAlignment="1" applyProtection="1">
      <alignment horizontal="right"/>
      <protection locked="0"/>
    </xf>
    <xf numFmtId="0" fontId="21" fillId="0" borderId="33" xfId="0" applyFont="1" applyFill="1" applyBorder="1"/>
    <xf numFmtId="178" fontId="21" fillId="0" borderId="58" xfId="0" applyNumberFormat="1" applyFont="1" applyFill="1" applyBorder="1"/>
    <xf numFmtId="0" fontId="71" fillId="0" borderId="52" xfId="0" applyFont="1" applyBorder="1" applyAlignment="1">
      <alignment horizontal="right" vertical="center"/>
    </xf>
    <xf numFmtId="1" fontId="0" fillId="0" borderId="6" xfId="0" applyNumberFormat="1" applyBorder="1"/>
    <xf numFmtId="0" fontId="1" fillId="0" borderId="13" xfId="0" applyFont="1" applyFill="1" applyBorder="1" applyAlignment="1">
      <alignment vertical="center"/>
    </xf>
    <xf numFmtId="1" fontId="0" fillId="0" borderId="1" xfId="0" applyNumberFormat="1" applyBorder="1"/>
    <xf numFmtId="0" fontId="1" fillId="0" borderId="2" xfId="0" applyFont="1" applyBorder="1" applyAlignment="1">
      <alignment horizontal="center" vertical="center"/>
    </xf>
    <xf numFmtId="41" fontId="1" fillId="0" borderId="6" xfId="0" applyNumberFormat="1" applyFont="1" applyBorder="1"/>
    <xf numFmtId="2" fontId="1" fillId="0" borderId="6" xfId="0" applyNumberFormat="1" applyFont="1" applyBorder="1"/>
    <xf numFmtId="41" fontId="1" fillId="10" borderId="0" xfId="0" applyNumberFormat="1" applyFont="1" applyFill="1" applyBorder="1"/>
    <xf numFmtId="1" fontId="0" fillId="0" borderId="0" xfId="0" applyNumberFormat="1" applyFill="1"/>
    <xf numFmtId="2" fontId="0" fillId="0" borderId="0" xfId="0" applyNumberFormat="1" applyFill="1"/>
    <xf numFmtId="41" fontId="7" fillId="0" borderId="0" xfId="0" applyNumberFormat="1" applyFont="1" applyFill="1"/>
    <xf numFmtId="2" fontId="7" fillId="0" borderId="0" xfId="0" applyNumberFormat="1" applyFont="1" applyFill="1"/>
    <xf numFmtId="1" fontId="7" fillId="0" borderId="0" xfId="0" applyNumberFormat="1" applyFont="1" applyFill="1"/>
    <xf numFmtId="0" fontId="1" fillId="21" borderId="1" xfId="0" applyFont="1" applyFill="1" applyBorder="1" applyAlignment="1">
      <alignment horizontal="center" vertical="center" wrapText="1"/>
    </xf>
    <xf numFmtId="1" fontId="1" fillId="0" borderId="0" xfId="0" applyNumberFormat="1" applyFont="1" applyBorder="1" applyAlignment="1">
      <alignment horizontal="right" vertical="center"/>
    </xf>
    <xf numFmtId="178" fontId="0" fillId="0" borderId="0" xfId="0" applyNumberFormat="1"/>
    <xf numFmtId="0" fontId="4" fillId="0" borderId="52" xfId="0" applyFont="1" applyBorder="1" applyAlignment="1">
      <alignment horizontal="center" vertical="center"/>
    </xf>
    <xf numFmtId="170" fontId="7" fillId="0" borderId="0" xfId="0" applyNumberFormat="1" applyFont="1"/>
    <xf numFmtId="170" fontId="0" fillId="0" borderId="0" xfId="0" applyNumberFormat="1" applyFont="1"/>
    <xf numFmtId="170" fontId="42" fillId="0" borderId="0" xfId="0" applyNumberFormat="1" applyFont="1"/>
    <xf numFmtId="9" fontId="0" fillId="0" borderId="0" xfId="1" applyNumberFormat="1" applyFont="1" applyFill="1" applyBorder="1" applyProtection="1">
      <protection locked="0"/>
    </xf>
    <xf numFmtId="0" fontId="1" fillId="0" borderId="1" xfId="0" applyFont="1" applyBorder="1" applyAlignment="1">
      <alignment horizontal="center" vertical="center"/>
    </xf>
    <xf numFmtId="9" fontId="0" fillId="0" borderId="0" xfId="1" applyFont="1" applyFill="1" applyBorder="1" applyAlignment="1" applyProtection="1">
      <alignment horizontal="center" wrapText="1"/>
      <protection locked="0"/>
    </xf>
    <xf numFmtId="0" fontId="0" fillId="0" borderId="0" xfId="0" applyFill="1" applyBorder="1" applyProtection="1">
      <protection locked="0"/>
    </xf>
    <xf numFmtId="9" fontId="1" fillId="0" borderId="0" xfId="0" applyNumberFormat="1" applyFont="1" applyFill="1" applyBorder="1" applyProtection="1">
      <protection locked="0"/>
    </xf>
    <xf numFmtId="9" fontId="1" fillId="0" borderId="0" xfId="0" applyNumberFormat="1" applyFont="1" applyFill="1" applyBorder="1"/>
    <xf numFmtId="0" fontId="1" fillId="0" borderId="1" xfId="0" applyFont="1" applyFill="1" applyBorder="1" applyAlignment="1">
      <alignment horizontal="center"/>
    </xf>
    <xf numFmtId="9" fontId="1" fillId="0" borderId="2" xfId="0" applyNumberFormat="1" applyFont="1" applyFill="1" applyBorder="1" applyProtection="1">
      <protection locked="0"/>
    </xf>
    <xf numFmtId="9" fontId="1" fillId="0" borderId="33" xfId="0" applyNumberFormat="1" applyFont="1" applyFill="1" applyBorder="1"/>
    <xf numFmtId="9" fontId="0" fillId="0" borderId="58" xfId="0" applyNumberFormat="1" applyFill="1" applyBorder="1"/>
    <xf numFmtId="0" fontId="1" fillId="0" borderId="6" xfId="0" applyFont="1" applyFill="1" applyBorder="1" applyAlignment="1">
      <alignment horizontal="center"/>
    </xf>
    <xf numFmtId="9" fontId="1" fillId="0" borderId="58" xfId="0" applyNumberFormat="1" applyFont="1" applyFill="1" applyBorder="1"/>
    <xf numFmtId="9" fontId="0" fillId="0" borderId="44" xfId="0" applyNumberFormat="1" applyFill="1" applyBorder="1"/>
    <xf numFmtId="0" fontId="0" fillId="0" borderId="52" xfId="0" applyFont="1" applyFill="1" applyBorder="1" applyAlignment="1">
      <alignment horizontal="center"/>
    </xf>
    <xf numFmtId="0" fontId="1" fillId="0" borderId="52" xfId="0" applyFont="1" applyFill="1" applyBorder="1" applyAlignment="1">
      <alignment horizontal="center"/>
    </xf>
    <xf numFmtId="0" fontId="1" fillId="0" borderId="56" xfId="0" applyFont="1" applyFill="1" applyBorder="1" applyAlignment="1">
      <alignment horizontal="center"/>
    </xf>
    <xf numFmtId="0" fontId="1" fillId="0" borderId="53" xfId="0" applyFont="1" applyFill="1" applyBorder="1" applyAlignment="1">
      <alignment horizontal="center"/>
    </xf>
    <xf numFmtId="9" fontId="1" fillId="0" borderId="1" xfId="0" applyNumberFormat="1" applyFont="1" applyFill="1" applyBorder="1" applyProtection="1">
      <protection locked="0"/>
    </xf>
    <xf numFmtId="9" fontId="1" fillId="0" borderId="6" xfId="0" applyNumberFormat="1" applyFont="1" applyFill="1" applyBorder="1" applyProtection="1">
      <protection locked="0"/>
    </xf>
    <xf numFmtId="9" fontId="1" fillId="0" borderId="2" xfId="0" applyNumberFormat="1" applyFont="1" applyFill="1" applyBorder="1"/>
    <xf numFmtId="9" fontId="0" fillId="0" borderId="51" xfId="0" applyNumberFormat="1" applyFill="1" applyBorder="1"/>
    <xf numFmtId="9" fontId="1" fillId="0" borderId="0" xfId="1" applyFont="1" applyFill="1" applyBorder="1" applyAlignment="1" applyProtection="1">
      <alignment horizontal="center" wrapText="1"/>
      <protection locked="0"/>
    </xf>
    <xf numFmtId="0" fontId="1" fillId="0" borderId="0" xfId="0" applyFont="1" applyFill="1" applyBorder="1" applyProtection="1">
      <protection locked="0"/>
    </xf>
    <xf numFmtId="9" fontId="1" fillId="0" borderId="1" xfId="1" applyFont="1" applyFill="1" applyBorder="1" applyAlignment="1" applyProtection="1">
      <alignment horizontal="center" wrapText="1"/>
      <protection locked="0"/>
    </xf>
    <xf numFmtId="9" fontId="1" fillId="0" borderId="2" xfId="1" applyFont="1" applyFill="1" applyBorder="1" applyAlignment="1" applyProtection="1">
      <alignment horizontal="center" wrapText="1"/>
      <protection locked="0"/>
    </xf>
    <xf numFmtId="9" fontId="0" fillId="0" borderId="6" xfId="1" applyFont="1" applyFill="1" applyBorder="1" applyAlignment="1" applyProtection="1">
      <alignment horizontal="center" wrapText="1"/>
      <protection locked="0"/>
    </xf>
    <xf numFmtId="9" fontId="1" fillId="0" borderId="6" xfId="1" applyFont="1" applyFill="1" applyBorder="1" applyAlignment="1" applyProtection="1">
      <alignment horizontal="center" wrapText="1"/>
      <protection locked="0"/>
    </xf>
    <xf numFmtId="9" fontId="0" fillId="0" borderId="43" xfId="1" applyFont="1" applyFill="1" applyBorder="1" applyAlignment="1" applyProtection="1">
      <alignment horizontal="center" wrapText="1"/>
      <protection locked="0"/>
    </xf>
    <xf numFmtId="9" fontId="0" fillId="0" borderId="51" xfId="1" applyFont="1" applyFill="1" applyBorder="1" applyAlignment="1" applyProtection="1">
      <alignment horizontal="center" wrapText="1"/>
      <protection locked="0"/>
    </xf>
    <xf numFmtId="2" fontId="0" fillId="0" borderId="1" xfId="0" applyNumberFormat="1" applyBorder="1"/>
    <xf numFmtId="2" fontId="0" fillId="0" borderId="33" xfId="0" applyNumberFormat="1" applyBorder="1"/>
    <xf numFmtId="0" fontId="0" fillId="0" borderId="6" xfId="0" applyFill="1" applyBorder="1" applyAlignment="1">
      <alignment horizontal="center"/>
    </xf>
    <xf numFmtId="0" fontId="0" fillId="0" borderId="43" xfId="0" applyFill="1" applyBorder="1" applyAlignment="1">
      <alignment horizontal="center"/>
    </xf>
    <xf numFmtId="0" fontId="0" fillId="0" borderId="28" xfId="0" applyFill="1" applyBorder="1" applyAlignment="1">
      <alignment horizontal="center" wrapText="1"/>
    </xf>
    <xf numFmtId="0" fontId="0" fillId="0" borderId="45" xfId="0" applyFill="1" applyBorder="1" applyAlignment="1">
      <alignment horizontal="center" wrapText="1"/>
    </xf>
    <xf numFmtId="0" fontId="0" fillId="0" borderId="1" xfId="0" applyFill="1" applyBorder="1" applyAlignment="1">
      <alignment horizontal="center"/>
    </xf>
    <xf numFmtId="9" fontId="0" fillId="0" borderId="33" xfId="0" applyNumberFormat="1" applyFill="1" applyBorder="1"/>
    <xf numFmtId="9" fontId="0" fillId="0" borderId="2" xfId="0" applyNumberFormat="1" applyFill="1" applyBorder="1"/>
    <xf numFmtId="9" fontId="0" fillId="0" borderId="1" xfId="1" applyFont="1" applyFill="1" applyBorder="1" applyAlignment="1" applyProtection="1">
      <alignment horizontal="center" wrapText="1"/>
      <protection locked="0"/>
    </xf>
    <xf numFmtId="9" fontId="0" fillId="0" borderId="2" xfId="1" applyFont="1" applyFill="1" applyBorder="1" applyAlignment="1" applyProtection="1">
      <alignment horizontal="center" wrapText="1"/>
      <protection locked="0"/>
    </xf>
    <xf numFmtId="0" fontId="0" fillId="4" borderId="53" xfId="0" applyFill="1" applyBorder="1" applyAlignment="1">
      <alignment horizontal="center" wrapText="1"/>
    </xf>
    <xf numFmtId="0" fontId="0" fillId="4" borderId="30" xfId="0" applyFill="1" applyBorder="1" applyAlignment="1">
      <alignment horizontal="center" wrapText="1"/>
    </xf>
    <xf numFmtId="0" fontId="1" fillId="5" borderId="6" xfId="0" applyFont="1" applyFill="1" applyBorder="1"/>
    <xf numFmtId="2" fontId="0" fillId="11" borderId="2" xfId="0" applyNumberFormat="1" applyFill="1" applyBorder="1" applyProtection="1">
      <protection locked="0"/>
    </xf>
    <xf numFmtId="9" fontId="0" fillId="11" borderId="2" xfId="1" applyFont="1" applyFill="1" applyBorder="1" applyProtection="1">
      <protection locked="0"/>
    </xf>
    <xf numFmtId="9" fontId="0" fillId="11" borderId="2" xfId="1" applyNumberFormat="1" applyFont="1" applyFill="1" applyBorder="1" applyProtection="1">
      <protection locked="0"/>
    </xf>
    <xf numFmtId="9" fontId="0" fillId="11" borderId="33" xfId="1" applyNumberFormat="1" applyFont="1" applyFill="1" applyBorder="1"/>
    <xf numFmtId="2" fontId="0" fillId="11" borderId="0" xfId="0" applyNumberFormat="1" applyFill="1" applyBorder="1" applyProtection="1">
      <protection locked="0"/>
    </xf>
    <xf numFmtId="9" fontId="0" fillId="11" borderId="0" xfId="1" applyFont="1" applyFill="1" applyBorder="1" applyProtection="1">
      <protection locked="0"/>
    </xf>
    <xf numFmtId="9" fontId="0" fillId="11" borderId="0" xfId="1" applyNumberFormat="1" applyFont="1" applyFill="1" applyBorder="1" applyProtection="1">
      <protection locked="0"/>
    </xf>
    <xf numFmtId="9" fontId="0" fillId="11" borderId="58" xfId="1" applyNumberFormat="1" applyFont="1" applyFill="1" applyBorder="1"/>
    <xf numFmtId="2" fontId="0" fillId="11" borderId="51" xfId="0" applyNumberFormat="1" applyFill="1" applyBorder="1" applyProtection="1">
      <protection locked="0"/>
    </xf>
    <xf numFmtId="9" fontId="0" fillId="11" borderId="51" xfId="1" applyFont="1" applyFill="1" applyBorder="1" applyProtection="1">
      <protection locked="0"/>
    </xf>
    <xf numFmtId="9" fontId="0" fillId="11" borderId="51" xfId="1" applyNumberFormat="1" applyFont="1" applyFill="1" applyBorder="1" applyProtection="1">
      <protection locked="0"/>
    </xf>
    <xf numFmtId="9" fontId="0" fillId="11" borderId="44" xfId="1" applyNumberFormat="1" applyFont="1" applyFill="1" applyBorder="1"/>
    <xf numFmtId="3" fontId="0" fillId="11" borderId="0" xfId="0" applyNumberFormat="1" applyFont="1" applyFill="1" applyBorder="1"/>
    <xf numFmtId="2" fontId="0" fillId="11" borderId="0" xfId="0" applyNumberFormat="1" applyFill="1" applyBorder="1"/>
    <xf numFmtId="4" fontId="0" fillId="11" borderId="0" xfId="0" applyNumberFormat="1" applyFill="1" applyBorder="1"/>
    <xf numFmtId="0" fontId="0" fillId="11" borderId="0" xfId="0" applyFont="1" applyFill="1" applyBorder="1"/>
    <xf numFmtId="3" fontId="0" fillId="11" borderId="2" xfId="0" applyNumberFormat="1" applyFont="1" applyFill="1" applyBorder="1"/>
    <xf numFmtId="0" fontId="0" fillId="11" borderId="2" xfId="0" applyFont="1" applyFill="1" applyBorder="1"/>
    <xf numFmtId="3" fontId="0" fillId="11" borderId="6" xfId="0" applyNumberFormat="1" applyFont="1" applyFill="1" applyBorder="1"/>
    <xf numFmtId="3" fontId="4" fillId="11" borderId="58" xfId="0" applyNumberFormat="1" applyFont="1" applyFill="1" applyBorder="1"/>
    <xf numFmtId="3" fontId="0" fillId="11" borderId="43" xfId="0" applyNumberFormat="1" applyFont="1" applyFill="1" applyBorder="1"/>
    <xf numFmtId="2" fontId="0" fillId="11" borderId="51" xfId="0" applyNumberFormat="1" applyFill="1" applyBorder="1"/>
    <xf numFmtId="4" fontId="0" fillId="11" borderId="51" xfId="0" applyNumberFormat="1" applyFill="1" applyBorder="1"/>
    <xf numFmtId="3" fontId="0" fillId="11" borderId="51" xfId="0" applyNumberFormat="1" applyFont="1" applyFill="1" applyBorder="1"/>
    <xf numFmtId="0" fontId="0" fillId="11" borderId="51" xfId="0" applyFont="1" applyFill="1" applyBorder="1"/>
    <xf numFmtId="3" fontId="4" fillId="11" borderId="44" xfId="0" applyNumberFormat="1" applyFont="1" applyFill="1" applyBorder="1"/>
    <xf numFmtId="4" fontId="0" fillId="11" borderId="0" xfId="0" applyNumberFormat="1" applyFont="1" applyFill="1" applyBorder="1"/>
    <xf numFmtId="4" fontId="0" fillId="11" borderId="2" xfId="0" applyNumberFormat="1" applyFont="1" applyFill="1" applyBorder="1"/>
    <xf numFmtId="4" fontId="0" fillId="11" borderId="51" xfId="0" applyNumberFormat="1" applyFont="1" applyFill="1" applyBorder="1"/>
    <xf numFmtId="3" fontId="0" fillId="11" borderId="1" xfId="0" applyNumberFormat="1" applyFill="1" applyBorder="1"/>
    <xf numFmtId="3" fontId="0" fillId="11" borderId="6" xfId="0" applyNumberFormat="1" applyFill="1" applyBorder="1"/>
    <xf numFmtId="3" fontId="0" fillId="11" borderId="43" xfId="0" applyNumberFormat="1" applyFill="1" applyBorder="1"/>
    <xf numFmtId="3" fontId="0" fillId="21" borderId="6" xfId="0" applyNumberFormat="1" applyFont="1" applyFill="1" applyBorder="1"/>
    <xf numFmtId="4" fontId="0" fillId="21" borderId="0" xfId="0" applyNumberFormat="1" applyFont="1" applyFill="1" applyBorder="1"/>
    <xf numFmtId="3" fontId="0" fillId="21" borderId="0" xfId="0" applyNumberFormat="1" applyFont="1" applyFill="1" applyBorder="1"/>
    <xf numFmtId="0" fontId="0" fillId="21" borderId="0" xfId="0" applyFont="1" applyFill="1" applyBorder="1"/>
    <xf numFmtId="3" fontId="4" fillId="21" borderId="58" xfId="0" applyNumberFormat="1" applyFont="1" applyFill="1" applyBorder="1"/>
    <xf numFmtId="3" fontId="0" fillId="21" borderId="43" xfId="0" applyNumberFormat="1" applyFont="1" applyFill="1" applyBorder="1"/>
    <xf numFmtId="4" fontId="0" fillId="21" borderId="51" xfId="0" applyNumberFormat="1" applyFont="1" applyFill="1" applyBorder="1"/>
    <xf numFmtId="3" fontId="0" fillId="21" borderId="51" xfId="0" applyNumberFormat="1" applyFont="1" applyFill="1" applyBorder="1"/>
    <xf numFmtId="0" fontId="0" fillId="21" borderId="51" xfId="0" applyFont="1" applyFill="1" applyBorder="1"/>
    <xf numFmtId="3" fontId="4" fillId="21" borderId="44" xfId="0" applyNumberFormat="1" applyFont="1" applyFill="1" applyBorder="1"/>
    <xf numFmtId="0" fontId="0" fillId="0" borderId="24" xfId="0" applyFont="1" applyFill="1" applyBorder="1" applyAlignment="1">
      <alignment horizontal="center" wrapText="1"/>
    </xf>
    <xf numFmtId="0" fontId="0" fillId="0" borderId="23" xfId="0" applyFont="1" applyFill="1" applyBorder="1" applyAlignment="1">
      <alignment horizontal="center" wrapText="1"/>
    </xf>
    <xf numFmtId="0" fontId="0" fillId="0" borderId="41" xfId="0" applyFont="1" applyFill="1" applyBorder="1" applyAlignment="1">
      <alignment horizontal="center" wrapText="1"/>
    </xf>
    <xf numFmtId="2" fontId="0" fillId="0" borderId="0" xfId="0" applyNumberFormat="1" applyFont="1" applyFill="1" applyBorder="1" applyProtection="1">
      <protection locked="0"/>
    </xf>
    <xf numFmtId="9" fontId="0" fillId="0" borderId="0" xfId="1" applyFont="1" applyFill="1" applyBorder="1" applyProtection="1">
      <protection locked="0"/>
    </xf>
    <xf numFmtId="2" fontId="0" fillId="0" borderId="0" xfId="0" applyNumberFormat="1" applyFill="1" applyBorder="1" applyProtection="1">
      <protection locked="0"/>
    </xf>
    <xf numFmtId="2" fontId="0" fillId="5" borderId="0" xfId="0" applyNumberFormat="1" applyFont="1" applyFill="1" applyBorder="1" applyProtection="1">
      <protection locked="0"/>
    </xf>
    <xf numFmtId="9" fontId="3" fillId="5" borderId="0" xfId="1" applyFont="1" applyFill="1" applyBorder="1" applyProtection="1">
      <protection locked="0"/>
    </xf>
    <xf numFmtId="9" fontId="3" fillId="5" borderId="0" xfId="1" applyNumberFormat="1" applyFont="1" applyFill="1" applyBorder="1" applyProtection="1">
      <protection locked="0"/>
    </xf>
    <xf numFmtId="0" fontId="0" fillId="0" borderId="1" xfId="0" applyFont="1" applyBorder="1"/>
    <xf numFmtId="2" fontId="0" fillId="0" borderId="2" xfId="0" applyNumberFormat="1" applyFont="1" applyFill="1" applyBorder="1" applyProtection="1">
      <protection locked="0"/>
    </xf>
    <xf numFmtId="9" fontId="0" fillId="0" borderId="2" xfId="1" applyFont="1" applyFill="1" applyBorder="1" applyProtection="1">
      <protection locked="0"/>
    </xf>
    <xf numFmtId="9" fontId="0" fillId="0" borderId="2" xfId="1" applyNumberFormat="1" applyFont="1" applyFill="1" applyBorder="1" applyProtection="1">
      <protection locked="0"/>
    </xf>
    <xf numFmtId="9" fontId="0" fillId="0" borderId="33" xfId="1" applyNumberFormat="1" applyFont="1" applyBorder="1"/>
    <xf numFmtId="0" fontId="0" fillId="0" borderId="6" xfId="0" applyFont="1" applyBorder="1"/>
    <xf numFmtId="9" fontId="0" fillId="0" borderId="58" xfId="1" applyNumberFormat="1" applyFont="1" applyBorder="1"/>
    <xf numFmtId="9" fontId="3" fillId="5" borderId="58" xfId="1" applyNumberFormat="1" applyFont="1" applyFill="1" applyBorder="1"/>
    <xf numFmtId="0" fontId="1" fillId="5" borderId="43" xfId="0" applyFont="1" applyFill="1" applyBorder="1"/>
    <xf numFmtId="2" fontId="0" fillId="5" borderId="51" xfId="0" applyNumberFormat="1" applyFont="1" applyFill="1" applyBorder="1" applyProtection="1">
      <protection locked="0"/>
    </xf>
    <xf numFmtId="9" fontId="3" fillId="5" borderId="51" xfId="1" applyFont="1" applyFill="1" applyBorder="1" applyProtection="1">
      <protection locked="0"/>
    </xf>
    <xf numFmtId="9" fontId="3" fillId="5" borderId="51" xfId="1" applyNumberFormat="1" applyFont="1" applyFill="1" applyBorder="1" applyProtection="1">
      <protection locked="0"/>
    </xf>
    <xf numFmtId="9" fontId="3" fillId="5" borderId="44" xfId="1" applyNumberFormat="1" applyFont="1" applyFill="1" applyBorder="1"/>
    <xf numFmtId="0" fontId="1" fillId="5" borderId="1" xfId="0" applyFont="1" applyFill="1" applyBorder="1"/>
    <xf numFmtId="2" fontId="0" fillId="5" borderId="2" xfId="0" applyNumberFormat="1" applyFont="1" applyFill="1" applyBorder="1" applyProtection="1">
      <protection locked="0"/>
    </xf>
    <xf numFmtId="9" fontId="3" fillId="5" borderId="2" xfId="1" applyFont="1" applyFill="1" applyBorder="1" applyProtection="1">
      <protection locked="0"/>
    </xf>
    <xf numFmtId="9" fontId="3" fillId="5" borderId="2" xfId="1" applyNumberFormat="1" applyFont="1" applyFill="1" applyBorder="1" applyProtection="1">
      <protection locked="0"/>
    </xf>
    <xf numFmtId="9" fontId="3" fillId="5" borderId="33" xfId="1" applyNumberFormat="1" applyFont="1" applyFill="1" applyBorder="1"/>
    <xf numFmtId="3" fontId="0" fillId="5" borderId="0" xfId="0" applyNumberFormat="1" applyFont="1" applyFill="1" applyBorder="1"/>
    <xf numFmtId="4" fontId="0" fillId="5" borderId="0" xfId="0" applyNumberFormat="1" applyFont="1" applyFill="1" applyBorder="1"/>
    <xf numFmtId="0" fontId="0" fillId="5" borderId="0" xfId="0" applyFont="1" applyFill="1" applyBorder="1"/>
    <xf numFmtId="3" fontId="0" fillId="5" borderId="1" xfId="0" applyNumberFormat="1" applyFont="1" applyFill="1" applyBorder="1"/>
    <xf numFmtId="4" fontId="0" fillId="5" borderId="2" xfId="0" applyNumberFormat="1" applyFont="1" applyFill="1" applyBorder="1"/>
    <xf numFmtId="3" fontId="0" fillId="5" borderId="2" xfId="0" applyNumberFormat="1" applyFont="1" applyFill="1" applyBorder="1"/>
    <xf numFmtId="0" fontId="0" fillId="5" borderId="2" xfId="0" applyFont="1" applyFill="1" applyBorder="1"/>
    <xf numFmtId="3" fontId="0" fillId="5" borderId="6" xfId="0" applyNumberFormat="1" applyFont="1" applyFill="1" applyBorder="1"/>
    <xf numFmtId="3" fontId="0" fillId="5" borderId="43" xfId="0" applyNumberFormat="1" applyFont="1" applyFill="1" applyBorder="1"/>
    <xf numFmtId="4" fontId="0" fillId="5" borderId="51" xfId="0" applyNumberFormat="1" applyFont="1" applyFill="1" applyBorder="1"/>
    <xf numFmtId="3" fontId="0" fillId="5" borderId="51" xfId="0" applyNumberFormat="1" applyFont="1" applyFill="1" applyBorder="1"/>
    <xf numFmtId="0" fontId="0" fillId="5" borderId="51" xfId="0" applyFont="1" applyFill="1" applyBorder="1"/>
    <xf numFmtId="3" fontId="4" fillId="5" borderId="33" xfId="0" applyNumberFormat="1" applyFont="1" applyFill="1" applyBorder="1"/>
    <xf numFmtId="3" fontId="4" fillId="5" borderId="58" xfId="0" applyNumberFormat="1" applyFont="1" applyFill="1" applyBorder="1"/>
    <xf numFmtId="3" fontId="4" fillId="5" borderId="44" xfId="0" applyNumberFormat="1" applyFont="1" applyFill="1" applyBorder="1"/>
    <xf numFmtId="3" fontId="0" fillId="5" borderId="6" xfId="0" applyNumberFormat="1" applyFill="1" applyBorder="1"/>
    <xf numFmtId="169" fontId="4" fillId="5" borderId="58" xfId="0" applyNumberFormat="1" applyFont="1" applyFill="1" applyBorder="1"/>
    <xf numFmtId="3" fontId="0" fillId="5" borderId="43" xfId="0" applyNumberFormat="1" applyFill="1" applyBorder="1"/>
    <xf numFmtId="169" fontId="4" fillId="5" borderId="44" xfId="0" applyNumberFormat="1" applyFont="1" applyFill="1" applyBorder="1"/>
    <xf numFmtId="3" fontId="0" fillId="0" borderId="2" xfId="0" applyNumberFormat="1" applyBorder="1"/>
    <xf numFmtId="164" fontId="0" fillId="0" borderId="2" xfId="0" applyNumberFormat="1" applyFont="1" applyFill="1" applyBorder="1" applyProtection="1">
      <protection locked="0"/>
    </xf>
    <xf numFmtId="164" fontId="0" fillId="0" borderId="0" xfId="0" applyNumberFormat="1" applyFont="1" applyFill="1" applyBorder="1" applyProtection="1">
      <protection locked="0"/>
    </xf>
    <xf numFmtId="164" fontId="0" fillId="0" borderId="0" xfId="0" applyNumberFormat="1" applyFill="1" applyBorder="1" applyProtection="1">
      <protection locked="0"/>
    </xf>
    <xf numFmtId="164" fontId="0" fillId="5" borderId="2" xfId="0" applyNumberFormat="1" applyFont="1" applyFill="1" applyBorder="1" applyProtection="1">
      <protection locked="0"/>
    </xf>
    <xf numFmtId="164" fontId="0" fillId="5" borderId="0" xfId="0" applyNumberFormat="1" applyFont="1" applyFill="1" applyBorder="1" applyProtection="1">
      <protection locked="0"/>
    </xf>
    <xf numFmtId="164" fontId="0" fillId="11" borderId="2" xfId="0" applyNumberFormat="1" applyFill="1" applyBorder="1" applyProtection="1">
      <protection locked="0"/>
    </xf>
    <xf numFmtId="164" fontId="0" fillId="11" borderId="0" xfId="0" applyNumberFormat="1" applyFill="1" applyBorder="1" applyProtection="1">
      <protection locked="0"/>
    </xf>
    <xf numFmtId="164" fontId="0" fillId="11" borderId="51" xfId="0" applyNumberFormat="1" applyFill="1" applyBorder="1" applyProtection="1">
      <protection locked="0"/>
    </xf>
    <xf numFmtId="2" fontId="0" fillId="0" borderId="41" xfId="0" applyNumberFormat="1" applyFont="1" applyFill="1" applyBorder="1" applyAlignment="1">
      <alignment horizontal="center" wrapText="1"/>
    </xf>
    <xf numFmtId="3" fontId="0" fillId="0" borderId="41" xfId="0" applyNumberFormat="1" applyFont="1" applyFill="1" applyBorder="1" applyAlignment="1">
      <alignment horizontal="center" wrapText="1"/>
    </xf>
    <xf numFmtId="3" fontId="4" fillId="0" borderId="41" xfId="0" applyNumberFormat="1" applyFont="1" applyFill="1" applyBorder="1" applyAlignment="1">
      <alignment horizontal="center" wrapText="1"/>
    </xf>
    <xf numFmtId="3" fontId="0" fillId="0" borderId="0" xfId="0" applyNumberFormat="1" applyFont="1" applyBorder="1"/>
    <xf numFmtId="4" fontId="0" fillId="0" borderId="0" xfId="0" applyNumberFormat="1" applyFont="1" applyBorder="1"/>
    <xf numFmtId="4" fontId="0" fillId="0" borderId="0" xfId="0" applyNumberFormat="1" applyBorder="1"/>
    <xf numFmtId="3" fontId="0" fillId="0" borderId="1" xfId="0" applyNumberFormat="1" applyFont="1" applyBorder="1"/>
    <xf numFmtId="4" fontId="0" fillId="0" borderId="2" xfId="0" applyNumberFormat="1" applyFont="1" applyBorder="1"/>
    <xf numFmtId="3" fontId="0" fillId="0" borderId="2" xfId="0" applyNumberFormat="1" applyFont="1" applyBorder="1"/>
    <xf numFmtId="0" fontId="0" fillId="0" borderId="2" xfId="0" applyFont="1" applyBorder="1"/>
    <xf numFmtId="3" fontId="4" fillId="0" borderId="33" xfId="0" applyNumberFormat="1" applyFont="1" applyBorder="1"/>
    <xf numFmtId="3" fontId="0" fillId="0" borderId="6" xfId="0" applyNumberFormat="1" applyFont="1" applyBorder="1"/>
    <xf numFmtId="3" fontId="4" fillId="0" borderId="58" xfId="0" applyNumberFormat="1" applyFont="1" applyBorder="1"/>
    <xf numFmtId="3" fontId="0" fillId="0" borderId="43" xfId="0" applyNumberFormat="1" applyBorder="1"/>
    <xf numFmtId="4" fontId="0" fillId="0" borderId="51" xfId="0" applyNumberFormat="1" applyBorder="1"/>
    <xf numFmtId="3" fontId="0" fillId="0" borderId="51" xfId="0" applyNumberFormat="1" applyFont="1" applyBorder="1"/>
    <xf numFmtId="0" fontId="0" fillId="0" borderId="51" xfId="0" applyFont="1" applyBorder="1"/>
    <xf numFmtId="3" fontId="4" fillId="0" borderId="44" xfId="0" applyNumberFormat="1" applyFont="1" applyBorder="1"/>
    <xf numFmtId="3" fontId="4" fillId="0" borderId="24" xfId="0" applyNumberFormat="1" applyFont="1" applyFill="1" applyBorder="1" applyAlignment="1">
      <alignment horizontal="center" wrapText="1"/>
    </xf>
    <xf numFmtId="3" fontId="0" fillId="0" borderId="0" xfId="0" applyNumberFormat="1" applyFont="1" applyFill="1" applyBorder="1"/>
    <xf numFmtId="4" fontId="0" fillId="0" borderId="51" xfId="0" applyNumberFormat="1" applyFont="1" applyBorder="1"/>
    <xf numFmtId="0" fontId="0" fillId="0" borderId="51" xfId="0" applyFont="1" applyFill="1" applyBorder="1"/>
    <xf numFmtId="3" fontId="0" fillId="0" borderId="51" xfId="0" applyNumberFormat="1" applyFont="1" applyFill="1" applyBorder="1"/>
    <xf numFmtId="0" fontId="1" fillId="11" borderId="1" xfId="0" applyFont="1" applyFill="1" applyBorder="1"/>
    <xf numFmtId="0" fontId="1" fillId="11" borderId="6" xfId="0" applyFont="1" applyFill="1" applyBorder="1"/>
    <xf numFmtId="0" fontId="1" fillId="11" borderId="43" xfId="0" applyFont="1" applyFill="1" applyBorder="1"/>
    <xf numFmtId="169" fontId="4" fillId="11" borderId="33" xfId="0" applyNumberFormat="1" applyFont="1" applyFill="1" applyBorder="1"/>
    <xf numFmtId="169" fontId="4" fillId="11" borderId="58" xfId="0" applyNumberFormat="1" applyFont="1" applyFill="1" applyBorder="1"/>
    <xf numFmtId="169" fontId="4" fillId="11" borderId="44" xfId="0" applyNumberFormat="1" applyFont="1" applyFill="1" applyBorder="1"/>
    <xf numFmtId="2" fontId="0" fillId="22" borderId="1" xfId="0" applyNumberFormat="1" applyFill="1" applyBorder="1"/>
    <xf numFmtId="2" fontId="0" fillId="22" borderId="2" xfId="0" applyNumberFormat="1" applyFill="1" applyBorder="1"/>
    <xf numFmtId="2" fontId="1" fillId="22" borderId="33" xfId="0" applyNumberFormat="1" applyFont="1" applyFill="1" applyBorder="1"/>
    <xf numFmtId="0" fontId="1" fillId="0" borderId="33" xfId="0" applyFont="1" applyBorder="1"/>
    <xf numFmtId="43" fontId="1" fillId="0" borderId="58" xfId="0" applyNumberFormat="1" applyFont="1" applyBorder="1"/>
    <xf numFmtId="178" fontId="1" fillId="0" borderId="44" xfId="0" applyNumberFormat="1" applyFont="1" applyBorder="1"/>
    <xf numFmtId="166" fontId="1" fillId="22" borderId="33" xfId="0" applyNumberFormat="1" applyFont="1" applyFill="1" applyBorder="1"/>
    <xf numFmtId="178" fontId="0" fillId="0" borderId="0" xfId="0" applyNumberFormat="1" applyFill="1" applyBorder="1"/>
    <xf numFmtId="178" fontId="1" fillId="0" borderId="0" xfId="0" applyNumberFormat="1" applyFont="1" applyFill="1" applyBorder="1"/>
    <xf numFmtId="2" fontId="1" fillId="0" borderId="0" xfId="0" applyNumberFormat="1" applyFont="1" applyFill="1" applyBorder="1"/>
    <xf numFmtId="166" fontId="0" fillId="0" borderId="0" xfId="0" applyNumberFormat="1" applyFill="1" applyBorder="1"/>
    <xf numFmtId="166" fontId="1" fillId="0" borderId="0" xfId="0" applyNumberFormat="1" applyFont="1" applyFill="1" applyBorder="1"/>
    <xf numFmtId="9" fontId="0" fillId="0" borderId="54" xfId="0" applyNumberFormat="1" applyFill="1" applyBorder="1"/>
    <xf numFmtId="178" fontId="0" fillId="0" borderId="54" xfId="0" applyNumberFormat="1" applyFill="1" applyBorder="1"/>
    <xf numFmtId="178" fontId="1" fillId="0" borderId="54" xfId="0" applyNumberFormat="1" applyFont="1" applyFill="1" applyBorder="1"/>
    <xf numFmtId="2" fontId="0" fillId="0" borderId="54" xfId="0" applyNumberFormat="1" applyFill="1" applyBorder="1"/>
    <xf numFmtId="2" fontId="1" fillId="0" borderId="54" xfId="0" applyNumberFormat="1" applyFont="1" applyFill="1" applyBorder="1"/>
    <xf numFmtId="166" fontId="0" fillId="0" borderId="54" xfId="0" applyNumberFormat="1" applyFill="1" applyBorder="1"/>
    <xf numFmtId="166" fontId="1" fillId="0" borderId="8" xfId="0" applyNumberFormat="1" applyFont="1" applyFill="1" applyBorder="1"/>
    <xf numFmtId="0" fontId="4" fillId="0" borderId="1" xfId="0" applyFont="1" applyFill="1" applyBorder="1" applyAlignment="1">
      <alignment horizontal="center" vertical="center"/>
    </xf>
    <xf numFmtId="9" fontId="0" fillId="0" borderId="0" xfId="0" applyNumberFormat="1" applyFill="1"/>
    <xf numFmtId="0" fontId="78" fillId="0" borderId="7" xfId="0" applyFont="1" applyFill="1" applyBorder="1" applyAlignment="1">
      <alignment horizontal="center" vertical="center"/>
    </xf>
    <xf numFmtId="0" fontId="1" fillId="0" borderId="43" xfId="0" applyFont="1" applyBorder="1"/>
    <xf numFmtId="2" fontId="7" fillId="0" borderId="0" xfId="0" applyNumberFormat="1" applyFo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53" xfId="0" applyFont="1" applyBorder="1" applyAlignment="1">
      <alignment horizontal="center" vertical="center"/>
    </xf>
    <xf numFmtId="0" fontId="1" fillId="0" borderId="1" xfId="0" applyFont="1" applyFill="1" applyBorder="1"/>
    <xf numFmtId="178" fontId="0" fillId="0" borderId="1" xfId="0" applyNumberFormat="1" applyBorder="1"/>
    <xf numFmtId="178" fontId="0" fillId="0" borderId="2" xfId="0" applyNumberFormat="1" applyBorder="1"/>
    <xf numFmtId="178" fontId="1" fillId="0" borderId="33" xfId="0" applyNumberFormat="1" applyFont="1" applyBorder="1"/>
    <xf numFmtId="0" fontId="1" fillId="0" borderId="6" xfId="0" applyFont="1" applyFill="1" applyBorder="1"/>
    <xf numFmtId="0" fontId="1" fillId="0" borderId="43" xfId="0" applyFont="1" applyFill="1" applyBorder="1"/>
    <xf numFmtId="41" fontId="0" fillId="0" borderId="1" xfId="0" applyNumberFormat="1" applyBorder="1"/>
    <xf numFmtId="164" fontId="0" fillId="0" borderId="51" xfId="0" applyNumberFormat="1" applyBorder="1"/>
    <xf numFmtId="0" fontId="10" fillId="21" borderId="1" xfId="0" applyFont="1" applyFill="1" applyBorder="1"/>
    <xf numFmtId="0" fontId="1" fillId="21" borderId="6" xfId="0" applyFont="1" applyFill="1" applyBorder="1"/>
    <xf numFmtId="0" fontId="1" fillId="21" borderId="43" xfId="0" applyFont="1" applyFill="1" applyBorder="1"/>
    <xf numFmtId="0" fontId="1" fillId="0" borderId="74" xfId="0" applyFont="1" applyFill="1" applyBorder="1" applyAlignment="1">
      <alignment horizontal="center" vertical="center" wrapText="1"/>
    </xf>
    <xf numFmtId="0" fontId="1" fillId="0" borderId="45" xfId="0" applyFont="1" applyFill="1" applyBorder="1" applyAlignment="1">
      <alignment horizontal="center" vertical="center" wrapText="1"/>
    </xf>
    <xf numFmtId="0" fontId="1" fillId="0" borderId="29" xfId="0" applyFont="1" applyFill="1" applyBorder="1" applyAlignment="1">
      <alignment vertical="center" wrapText="1"/>
    </xf>
    <xf numFmtId="0" fontId="1" fillId="0" borderId="0" xfId="0" applyFont="1" applyFill="1" applyBorder="1" applyAlignment="1">
      <alignment vertical="center"/>
    </xf>
    <xf numFmtId="41" fontId="0" fillId="10" borderId="33" xfId="0" applyNumberFormat="1" applyFill="1" applyBorder="1"/>
    <xf numFmtId="41" fontId="0" fillId="10" borderId="58" xfId="0" applyNumberFormat="1" applyFill="1" applyBorder="1"/>
    <xf numFmtId="41" fontId="0" fillId="10" borderId="44" xfId="0" applyNumberFormat="1" applyFill="1" applyBorder="1"/>
    <xf numFmtId="171" fontId="4" fillId="12" borderId="58" xfId="0" applyNumberFormat="1" applyFont="1" applyFill="1" applyBorder="1"/>
    <xf numFmtId="171" fontId="4" fillId="12" borderId="44" xfId="0" applyNumberFormat="1" applyFont="1" applyFill="1" applyBorder="1"/>
    <xf numFmtId="0" fontId="71" fillId="0" borderId="7" xfId="0" applyFont="1" applyFill="1" applyBorder="1" applyAlignment="1">
      <alignment horizontal="right" vertical="center"/>
    </xf>
    <xf numFmtId="0" fontId="0" fillId="0" borderId="54" xfId="0" applyFill="1" applyBorder="1"/>
    <xf numFmtId="41" fontId="0" fillId="0" borderId="54" xfId="0" applyNumberFormat="1" applyFill="1" applyBorder="1"/>
    <xf numFmtId="170" fontId="10" fillId="0" borderId="54" xfId="0" applyNumberFormat="1" applyFont="1" applyFill="1" applyBorder="1"/>
    <xf numFmtId="170" fontId="4" fillId="0" borderId="54" xfId="0" applyNumberFormat="1" applyFont="1" applyFill="1" applyBorder="1"/>
    <xf numFmtId="171" fontId="4" fillId="0" borderId="8" xfId="0" applyNumberFormat="1" applyFont="1" applyFill="1" applyBorder="1"/>
    <xf numFmtId="41" fontId="1" fillId="10" borderId="58" xfId="0" applyNumberFormat="1" applyFont="1" applyFill="1" applyBorder="1"/>
    <xf numFmtId="164" fontId="38" fillId="0" borderId="54" xfId="0" applyNumberFormat="1" applyFont="1" applyFill="1" applyBorder="1" applyAlignment="1">
      <alignment horizontal="right" vertical="center"/>
    </xf>
    <xf numFmtId="9" fontId="38" fillId="0" borderId="54" xfId="0" applyNumberFormat="1" applyFont="1" applyFill="1" applyBorder="1"/>
    <xf numFmtId="41" fontId="38" fillId="0" borderId="54" xfId="0" applyNumberFormat="1" applyFont="1" applyFill="1" applyBorder="1"/>
    <xf numFmtId="164" fontId="1" fillId="11" borderId="60" xfId="0" applyNumberFormat="1" applyFont="1" applyFill="1" applyBorder="1" applyAlignment="1">
      <alignment horizontal="center"/>
    </xf>
    <xf numFmtId="164" fontId="4" fillId="0" borderId="0" xfId="0" applyNumberFormat="1" applyFont="1"/>
    <xf numFmtId="164" fontId="0" fillId="0" borderId="0" xfId="0" applyNumberFormat="1" applyFill="1"/>
    <xf numFmtId="0" fontId="24" fillId="0" borderId="0" xfId="0" applyFont="1" applyFill="1" applyBorder="1" applyAlignment="1">
      <alignment horizontal="center" vertical="center" wrapText="1"/>
    </xf>
    <xf numFmtId="0" fontId="10" fillId="0" borderId="53" xfId="0" applyFont="1" applyBorder="1"/>
    <xf numFmtId="0" fontId="1" fillId="0" borderId="52" xfId="0" applyFont="1" applyBorder="1"/>
    <xf numFmtId="0" fontId="1" fillId="0" borderId="56" xfId="0" applyFont="1" applyBorder="1"/>
    <xf numFmtId="9" fontId="0" fillId="0" borderId="58" xfId="0" applyNumberFormat="1" applyBorder="1" applyAlignment="1">
      <alignment horizontal="right" vertical="center"/>
    </xf>
    <xf numFmtId="9" fontId="0" fillId="0" borderId="44" xfId="0" applyNumberFormat="1" applyBorder="1" applyAlignment="1">
      <alignment horizontal="right" vertical="center"/>
    </xf>
    <xf numFmtId="0" fontId="1" fillId="0" borderId="53" xfId="0" applyFont="1" applyBorder="1" applyAlignment="1">
      <alignment horizontal="left" vertical="center" wrapText="1"/>
    </xf>
    <xf numFmtId="0" fontId="1" fillId="0" borderId="53" xfId="0" applyFont="1" applyBorder="1" applyAlignment="1">
      <alignment horizontal="center" vertical="center" wrapText="1"/>
    </xf>
    <xf numFmtId="0" fontId="10" fillId="21" borderId="53" xfId="0" applyFont="1" applyFill="1" applyBorder="1" applyAlignment="1">
      <alignment horizontal="center" vertical="center" wrapText="1"/>
    </xf>
    <xf numFmtId="1" fontId="1" fillId="0" borderId="1" xfId="0" applyNumberFormat="1" applyFont="1" applyFill="1" applyBorder="1"/>
    <xf numFmtId="9" fontId="21" fillId="0" borderId="33" xfId="0" applyNumberFormat="1" applyFont="1" applyFill="1" applyBorder="1" applyAlignment="1">
      <alignment horizontal="right" vertical="center"/>
    </xf>
    <xf numFmtId="1" fontId="1" fillId="0" borderId="6" xfId="0" applyNumberFormat="1" applyFont="1" applyBorder="1"/>
    <xf numFmtId="1" fontId="1" fillId="0" borderId="43" xfId="0" applyNumberFormat="1" applyFont="1" applyBorder="1"/>
    <xf numFmtId="9" fontId="21" fillId="0" borderId="53" xfId="0" applyNumberFormat="1" applyFont="1" applyFill="1" applyBorder="1" applyAlignment="1">
      <alignment horizontal="right" vertical="center"/>
    </xf>
    <xf numFmtId="9" fontId="0" fillId="0" borderId="1" xfId="0" applyNumberFormat="1" applyFill="1" applyBorder="1"/>
    <xf numFmtId="1" fontId="0" fillId="0" borderId="33" xfId="0" applyNumberFormat="1" applyFill="1" applyBorder="1"/>
    <xf numFmtId="9" fontId="0" fillId="0" borderId="6" xfId="0" applyNumberFormat="1" applyFill="1" applyBorder="1"/>
    <xf numFmtId="178" fontId="0" fillId="0" borderId="58" xfId="0" applyNumberFormat="1" applyFill="1" applyBorder="1"/>
    <xf numFmtId="178" fontId="1" fillId="0" borderId="58" xfId="0" applyNumberFormat="1" applyFont="1" applyFill="1" applyBorder="1"/>
    <xf numFmtId="9" fontId="1" fillId="0" borderId="6" xfId="0" applyNumberFormat="1" applyFont="1" applyFill="1" applyBorder="1"/>
    <xf numFmtId="9" fontId="0" fillId="0" borderId="43" xfId="0" applyNumberFormat="1" applyFill="1" applyBorder="1"/>
    <xf numFmtId="178" fontId="0" fillId="0" borderId="44" xfId="0" applyNumberFormat="1" applyFill="1" applyBorder="1"/>
    <xf numFmtId="0" fontId="1" fillId="21" borderId="52" xfId="0" applyFont="1" applyFill="1" applyBorder="1" applyAlignment="1">
      <alignment horizontal="center"/>
    </xf>
    <xf numFmtId="0" fontId="1" fillId="21" borderId="56" xfId="0" applyFont="1" applyFill="1" applyBorder="1" applyAlignment="1">
      <alignment horizontal="center"/>
    </xf>
    <xf numFmtId="3" fontId="0" fillId="21" borderId="1" xfId="0" applyNumberFormat="1" applyFont="1" applyFill="1" applyBorder="1"/>
    <xf numFmtId="4" fontId="0" fillId="21" borderId="2" xfId="0" applyNumberFormat="1" applyFont="1" applyFill="1" applyBorder="1"/>
    <xf numFmtId="3" fontId="0" fillId="21" borderId="2" xfId="0" applyNumberFormat="1" applyFont="1" applyFill="1" applyBorder="1"/>
    <xf numFmtId="0" fontId="0" fillId="21" borderId="2" xfId="0" applyFont="1" applyFill="1" applyBorder="1"/>
    <xf numFmtId="3" fontId="4" fillId="21" borderId="33" xfId="0" applyNumberFormat="1" applyFont="1" applyFill="1" applyBorder="1"/>
    <xf numFmtId="3" fontId="0" fillId="11" borderId="1" xfId="0" applyNumberFormat="1" applyFont="1" applyFill="1" applyBorder="1"/>
    <xf numFmtId="2" fontId="0" fillId="11" borderId="2" xfId="0" applyNumberFormat="1" applyFill="1" applyBorder="1"/>
    <xf numFmtId="4" fontId="0" fillId="11" borderId="2" xfId="0" applyNumberFormat="1" applyFill="1" applyBorder="1"/>
    <xf numFmtId="3" fontId="4" fillId="11" borderId="33" xfId="0" applyNumberFormat="1" applyFont="1" applyFill="1" applyBorder="1"/>
    <xf numFmtId="0" fontId="0" fillId="0" borderId="0" xfId="0" applyFont="1" applyFill="1" applyBorder="1" applyProtection="1">
      <protection locked="0"/>
    </xf>
    <xf numFmtId="0" fontId="0" fillId="0" borderId="2" xfId="0" applyFont="1" applyFill="1" applyBorder="1" applyProtection="1">
      <protection locked="0"/>
    </xf>
    <xf numFmtId="0" fontId="0" fillId="5" borderId="0" xfId="0" applyFont="1" applyFill="1" applyBorder="1" applyProtection="1">
      <protection locked="0"/>
    </xf>
    <xf numFmtId="0" fontId="0" fillId="5" borderId="2" xfId="0" applyFont="1" applyFill="1" applyBorder="1" applyProtection="1">
      <protection locked="0"/>
    </xf>
    <xf numFmtId="3" fontId="0" fillId="10" borderId="1" xfId="0" applyNumberFormat="1" applyFont="1" applyFill="1" applyBorder="1"/>
    <xf numFmtId="2" fontId="0" fillId="10" borderId="2" xfId="0" applyNumberFormat="1" applyFill="1" applyBorder="1"/>
    <xf numFmtId="4" fontId="0" fillId="10" borderId="2" xfId="0" applyNumberFormat="1" applyFill="1" applyBorder="1"/>
    <xf numFmtId="3" fontId="0" fillId="10" borderId="2" xfId="0" applyNumberFormat="1" applyFont="1" applyFill="1" applyBorder="1"/>
    <xf numFmtId="0" fontId="0" fillId="10" borderId="2" xfId="0" applyFont="1" applyFill="1" applyBorder="1"/>
    <xf numFmtId="3" fontId="4" fillId="10" borderId="33" xfId="0" applyNumberFormat="1" applyFont="1" applyFill="1" applyBorder="1"/>
    <xf numFmtId="3" fontId="0" fillId="10" borderId="6" xfId="0" applyNumberFormat="1" applyFont="1" applyFill="1" applyBorder="1"/>
    <xf numFmtId="2" fontId="0" fillId="10" borderId="0" xfId="0" applyNumberFormat="1" applyFill="1" applyBorder="1"/>
    <xf numFmtId="4" fontId="0" fillId="10" borderId="0" xfId="0" applyNumberFormat="1" applyFill="1" applyBorder="1"/>
    <xf numFmtId="3" fontId="0" fillId="10" borderId="0" xfId="0" applyNumberFormat="1" applyFont="1" applyFill="1" applyBorder="1"/>
    <xf numFmtId="0" fontId="0" fillId="10" borderId="0" xfId="0" applyFont="1" applyFill="1" applyBorder="1"/>
    <xf numFmtId="3" fontId="4" fillId="10" borderId="58" xfId="0" applyNumberFormat="1" applyFont="1" applyFill="1" applyBorder="1"/>
    <xf numFmtId="3" fontId="0" fillId="10" borderId="43" xfId="0" applyNumberFormat="1" applyFont="1" applyFill="1" applyBorder="1"/>
    <xf numFmtId="2" fontId="0" fillId="10" borderId="51" xfId="0" applyNumberFormat="1" applyFill="1" applyBorder="1"/>
    <xf numFmtId="4" fontId="0" fillId="10" borderId="51" xfId="0" applyNumberFormat="1" applyFill="1" applyBorder="1"/>
    <xf numFmtId="3" fontId="0" fillId="10" borderId="51" xfId="0" applyNumberFormat="1" applyFont="1" applyFill="1" applyBorder="1"/>
    <xf numFmtId="0" fontId="0" fillId="10" borderId="51" xfId="0" applyFont="1" applyFill="1" applyBorder="1"/>
    <xf numFmtId="3" fontId="4" fillId="10" borderId="44" xfId="0" applyNumberFormat="1" applyFont="1" applyFill="1" applyBorder="1"/>
    <xf numFmtId="3" fontId="0" fillId="15" borderId="1" xfId="0" applyNumberFormat="1" applyFill="1" applyBorder="1"/>
    <xf numFmtId="4" fontId="0" fillId="15" borderId="2" xfId="0" applyNumberFormat="1" applyFont="1" applyFill="1" applyBorder="1"/>
    <xf numFmtId="3" fontId="0" fillId="15" borderId="2" xfId="0" applyNumberFormat="1" applyFont="1" applyFill="1" applyBorder="1"/>
    <xf numFmtId="0" fontId="0" fillId="15" borderId="2" xfId="0" applyFont="1" applyFill="1" applyBorder="1"/>
    <xf numFmtId="169" fontId="4" fillId="15" borderId="33" xfId="0" applyNumberFormat="1" applyFont="1" applyFill="1" applyBorder="1"/>
    <xf numFmtId="3" fontId="0" fillId="15" borderId="6" xfId="0" applyNumberFormat="1" applyFill="1" applyBorder="1"/>
    <xf numFmtId="4" fontId="0" fillId="15" borderId="0" xfId="0" applyNumberFormat="1" applyFont="1" applyFill="1" applyBorder="1"/>
    <xf numFmtId="3" fontId="0" fillId="15" borderId="0" xfId="0" applyNumberFormat="1" applyFont="1" applyFill="1" applyBorder="1"/>
    <xf numFmtId="0" fontId="0" fillId="15" borderId="0" xfId="0" applyFont="1" applyFill="1" applyBorder="1"/>
    <xf numFmtId="169" fontId="4" fillId="15" borderId="58" xfId="0" applyNumberFormat="1" applyFont="1" applyFill="1" applyBorder="1"/>
    <xf numFmtId="3" fontId="0" fillId="15" borderId="43" xfId="0" applyNumberFormat="1" applyFill="1" applyBorder="1"/>
    <xf numFmtId="4" fontId="0" fillId="15" borderId="51" xfId="0" applyNumberFormat="1" applyFont="1" applyFill="1" applyBorder="1"/>
    <xf numFmtId="3" fontId="0" fillId="15" borderId="51" xfId="0" applyNumberFormat="1" applyFont="1" applyFill="1" applyBorder="1"/>
    <xf numFmtId="0" fontId="0" fillId="15" borderId="51" xfId="0" applyFont="1" applyFill="1" applyBorder="1"/>
    <xf numFmtId="169" fontId="4" fillId="15" borderId="44" xfId="0" applyNumberFormat="1" applyFont="1" applyFill="1" applyBorder="1"/>
    <xf numFmtId="3" fontId="0" fillId="2" borderId="1" xfId="0" applyNumberFormat="1" applyFill="1" applyBorder="1"/>
    <xf numFmtId="3" fontId="0" fillId="2" borderId="2" xfId="0" applyNumberFormat="1" applyFill="1" applyBorder="1"/>
    <xf numFmtId="0" fontId="0" fillId="2" borderId="2" xfId="0" applyFill="1" applyBorder="1"/>
    <xf numFmtId="3" fontId="0" fillId="2" borderId="6" xfId="0" applyNumberFormat="1" applyFill="1" applyBorder="1"/>
    <xf numFmtId="3" fontId="0" fillId="2" borderId="0" xfId="0" applyNumberFormat="1" applyFill="1" applyBorder="1"/>
    <xf numFmtId="3" fontId="0" fillId="2" borderId="43" xfId="0" applyNumberFormat="1" applyFill="1" applyBorder="1"/>
    <xf numFmtId="3" fontId="0" fillId="2" borderId="51" xfId="0" applyNumberFormat="1" applyFill="1" applyBorder="1"/>
    <xf numFmtId="0" fontId="0" fillId="2" borderId="51" xfId="0" applyFill="1" applyBorder="1"/>
    <xf numFmtId="3" fontId="0" fillId="15" borderId="1" xfId="0" applyNumberFormat="1" applyFont="1" applyFill="1" applyBorder="1"/>
    <xf numFmtId="2" fontId="0" fillId="15" borderId="2" xfId="0" applyNumberFormat="1" applyFill="1" applyBorder="1"/>
    <xf numFmtId="4" fontId="0" fillId="15" borderId="2" xfId="0" applyNumberFormat="1" applyFill="1" applyBorder="1"/>
    <xf numFmtId="3" fontId="4" fillId="15" borderId="33" xfId="0" applyNumberFormat="1" applyFont="1" applyFill="1" applyBorder="1"/>
    <xf numFmtId="3" fontId="0" fillId="15" borderId="6" xfId="0" applyNumberFormat="1" applyFont="1" applyFill="1" applyBorder="1"/>
    <xf numFmtId="2" fontId="0" fillId="15" borderId="0" xfId="0" applyNumberFormat="1" applyFill="1" applyBorder="1"/>
    <xf numFmtId="4" fontId="0" fillId="15" borderId="0" xfId="0" applyNumberFormat="1" applyFill="1" applyBorder="1"/>
    <xf numFmtId="3" fontId="4" fillId="15" borderId="58" xfId="0" applyNumberFormat="1" applyFont="1" applyFill="1" applyBorder="1"/>
    <xf numFmtId="3" fontId="0" fillId="15" borderId="43" xfId="0" applyNumberFormat="1" applyFont="1" applyFill="1" applyBorder="1"/>
    <xf numFmtId="2" fontId="0" fillId="15" borderId="51" xfId="0" applyNumberFormat="1" applyFill="1" applyBorder="1"/>
    <xf numFmtId="4" fontId="0" fillId="15" borderId="51" xfId="0" applyNumberFormat="1" applyFill="1" applyBorder="1"/>
    <xf numFmtId="3" fontId="4" fillId="15" borderId="44" xfId="0" applyNumberFormat="1" applyFont="1" applyFill="1" applyBorder="1"/>
    <xf numFmtId="3" fontId="42" fillId="0" borderId="58" xfId="0" applyNumberFormat="1" applyFont="1" applyBorder="1"/>
    <xf numFmtId="3" fontId="42" fillId="0" borderId="33" xfId="0" applyNumberFormat="1" applyFont="1" applyBorder="1"/>
    <xf numFmtId="3" fontId="41" fillId="0" borderId="33" xfId="0" applyNumberFormat="1" applyFont="1" applyBorder="1"/>
    <xf numFmtId="3" fontId="41" fillId="0" borderId="58" xfId="0" applyNumberFormat="1" applyFont="1" applyBorder="1"/>
    <xf numFmtId="3" fontId="41" fillId="0" borderId="44" xfId="0" applyNumberFormat="1" applyFont="1" applyBorder="1"/>
    <xf numFmtId="3" fontId="41" fillId="2" borderId="33" xfId="0" applyNumberFormat="1" applyFont="1" applyFill="1" applyBorder="1"/>
    <xf numFmtId="3" fontId="41" fillId="2" borderId="58" xfId="0" applyNumberFormat="1" applyFont="1" applyFill="1" applyBorder="1"/>
    <xf numFmtId="3" fontId="41" fillId="2" borderId="44" xfId="0" applyNumberFormat="1" applyFont="1" applyFill="1" applyBorder="1"/>
    <xf numFmtId="3" fontId="42" fillId="0" borderId="44" xfId="0" applyNumberFormat="1" applyFont="1" applyBorder="1"/>
    <xf numFmtId="3" fontId="0" fillId="0" borderId="1" xfId="0" applyNumberFormat="1" applyBorder="1"/>
    <xf numFmtId="169" fontId="0" fillId="0" borderId="0" xfId="0" applyNumberFormat="1"/>
    <xf numFmtId="169" fontId="7" fillId="11" borderId="32" xfId="0" applyNumberFormat="1" applyFont="1" applyFill="1" applyBorder="1" applyAlignment="1">
      <alignment horizontal="center" wrapText="1"/>
    </xf>
    <xf numFmtId="169" fontId="0" fillId="0" borderId="0" xfId="0" applyNumberFormat="1" applyBorder="1"/>
    <xf numFmtId="169" fontId="0" fillId="0" borderId="2" xfId="0" applyNumberFormat="1" applyBorder="1"/>
    <xf numFmtId="169" fontId="0" fillId="0" borderId="51" xfId="0" applyNumberFormat="1" applyBorder="1"/>
    <xf numFmtId="169" fontId="0" fillId="2" borderId="2" xfId="0" applyNumberFormat="1" applyFill="1" applyBorder="1"/>
    <xf numFmtId="169" fontId="0" fillId="2" borderId="0" xfId="0" applyNumberFormat="1" applyFill="1" applyBorder="1"/>
    <xf numFmtId="169" fontId="0" fillId="2" borderId="51" xfId="0" applyNumberFormat="1" applyFill="1" applyBorder="1"/>
    <xf numFmtId="0" fontId="1" fillId="11" borderId="59" xfId="0" applyFont="1" applyFill="1" applyBorder="1" applyAlignment="1">
      <alignment horizontal="center" vertical="center"/>
    </xf>
    <xf numFmtId="0" fontId="1" fillId="0" borderId="1" xfId="0" applyFont="1" applyBorder="1" applyAlignment="1">
      <alignment horizontal="center" vertical="center"/>
    </xf>
    <xf numFmtId="0" fontId="1" fillId="0" borderId="53" xfId="0" applyFont="1" applyBorder="1" applyAlignment="1">
      <alignment horizontal="center" vertical="center"/>
    </xf>
    <xf numFmtId="0" fontId="0" fillId="0" borderId="0" xfId="0" applyBorder="1" applyAlignment="1">
      <alignment horizontal="center" vertical="center" wrapText="1"/>
    </xf>
    <xf numFmtId="170" fontId="1" fillId="0" borderId="0" xfId="0" applyNumberFormat="1" applyFont="1" applyFill="1" applyBorder="1"/>
    <xf numFmtId="41" fontId="1" fillId="0" borderId="0" xfId="0" applyNumberFormat="1" applyFont="1" applyFill="1" applyBorder="1"/>
    <xf numFmtId="43" fontId="1" fillId="0" borderId="0" xfId="0" applyNumberFormat="1" applyFont="1" applyFill="1" applyBorder="1"/>
    <xf numFmtId="43" fontId="0" fillId="0" borderId="58" xfId="0" applyNumberFormat="1" applyFill="1" applyBorder="1"/>
    <xf numFmtId="178" fontId="0" fillId="0" borderId="6" xfId="0" applyNumberFormat="1" applyFill="1" applyBorder="1"/>
    <xf numFmtId="177" fontId="0" fillId="0" borderId="0" xfId="0" applyNumberFormat="1" applyFill="1" applyBorder="1"/>
    <xf numFmtId="173" fontId="10" fillId="0" borderId="6" xfId="0" applyNumberFormat="1" applyFont="1" applyFill="1" applyBorder="1"/>
    <xf numFmtId="43" fontId="38" fillId="0" borderId="58" xfId="0" applyNumberFormat="1" applyFont="1" applyFill="1" applyBorder="1"/>
    <xf numFmtId="173" fontId="0" fillId="0" borderId="6" xfId="0" applyNumberFormat="1" applyFill="1" applyBorder="1"/>
    <xf numFmtId="173" fontId="0" fillId="0" borderId="0" xfId="0" applyNumberFormat="1" applyFill="1" applyBorder="1"/>
    <xf numFmtId="170" fontId="0" fillId="0" borderId="0" xfId="0" applyNumberFormat="1" applyFill="1" applyBorder="1"/>
    <xf numFmtId="41" fontId="0" fillId="0" borderId="0" xfId="0" applyNumberFormat="1" applyFill="1" applyBorder="1"/>
    <xf numFmtId="0" fontId="24" fillId="7" borderId="38" xfId="0" applyFont="1" applyFill="1" applyBorder="1" applyAlignment="1">
      <alignment horizontal="center" vertical="center" wrapText="1"/>
    </xf>
    <xf numFmtId="0" fontId="22" fillId="7" borderId="39" xfId="0" applyFont="1" applyFill="1" applyBorder="1" applyAlignment="1">
      <alignment horizontal="center" vertical="center" wrapText="1"/>
    </xf>
    <xf numFmtId="173" fontId="0" fillId="0" borderId="51" xfId="0" applyNumberFormat="1" applyFill="1" applyBorder="1"/>
    <xf numFmtId="0" fontId="24" fillId="4" borderId="40" xfId="0" applyFont="1" applyFill="1" applyBorder="1" applyAlignment="1">
      <alignment horizontal="center" vertical="center" wrapText="1"/>
    </xf>
    <xf numFmtId="0" fontId="1" fillId="11" borderId="3" xfId="0" applyFont="1" applyFill="1" applyBorder="1" applyAlignment="1">
      <alignment vertical="center"/>
    </xf>
    <xf numFmtId="0" fontId="1" fillId="11" borderId="4" xfId="0" applyFont="1" applyFill="1" applyBorder="1" applyAlignment="1">
      <alignment vertical="center"/>
    </xf>
    <xf numFmtId="164" fontId="0" fillId="0" borderId="58" xfId="0" applyNumberFormat="1" applyBorder="1"/>
    <xf numFmtId="164" fontId="0" fillId="0" borderId="44" xfId="0" applyNumberFormat="1" applyBorder="1"/>
    <xf numFmtId="173" fontId="10" fillId="0" borderId="0" xfId="0" applyNumberFormat="1" applyFont="1" applyBorder="1"/>
    <xf numFmtId="177" fontId="10" fillId="0" borderId="58" xfId="0" applyNumberFormat="1" applyFont="1" applyBorder="1"/>
    <xf numFmtId="177" fontId="10" fillId="0" borderId="44" xfId="0" applyNumberFormat="1" applyFont="1" applyBorder="1"/>
    <xf numFmtId="0" fontId="22" fillId="20" borderId="21" xfId="0" applyFont="1" applyFill="1" applyBorder="1" applyAlignment="1">
      <alignment horizontal="center" vertical="center" wrapText="1"/>
    </xf>
    <xf numFmtId="0" fontId="22" fillId="20" borderId="36" xfId="0" applyFont="1" applyFill="1" applyBorder="1" applyAlignment="1">
      <alignment horizontal="center" vertical="center" wrapText="1"/>
    </xf>
    <xf numFmtId="0" fontId="1" fillId="20" borderId="22" xfId="0" applyFont="1" applyFill="1" applyBorder="1" applyAlignment="1">
      <alignment horizontal="center" vertical="center" wrapText="1"/>
    </xf>
    <xf numFmtId="0" fontId="1" fillId="11" borderId="22" xfId="0" applyFont="1" applyFill="1" applyBorder="1" applyAlignment="1">
      <alignment horizontal="center" vertical="center"/>
    </xf>
    <xf numFmtId="0" fontId="22" fillId="5" borderId="15" xfId="0" applyFont="1" applyFill="1" applyBorder="1" applyAlignment="1">
      <alignment horizontal="center" vertical="center" wrapText="1"/>
    </xf>
    <xf numFmtId="0" fontId="22" fillId="5" borderId="74" xfId="0" applyFont="1" applyFill="1" applyBorder="1" applyAlignment="1">
      <alignment horizontal="center" vertical="center" wrapText="1"/>
    </xf>
    <xf numFmtId="173" fontId="10" fillId="0" borderId="51" xfId="0" applyNumberFormat="1" applyFont="1" applyBorder="1"/>
    <xf numFmtId="0" fontId="22" fillId="2" borderId="31" xfId="0" applyFont="1" applyFill="1" applyBorder="1" applyAlignment="1">
      <alignment horizontal="center" vertical="center"/>
    </xf>
    <xf numFmtId="0" fontId="10" fillId="14" borderId="21" xfId="0" applyFont="1" applyFill="1" applyBorder="1" applyAlignment="1">
      <alignment horizontal="center" vertical="center"/>
    </xf>
    <xf numFmtId="0" fontId="10" fillId="14" borderId="36" xfId="0" applyFont="1" applyFill="1" applyBorder="1" applyAlignment="1">
      <alignment horizontal="center" vertical="center"/>
    </xf>
    <xf numFmtId="0" fontId="10" fillId="14" borderId="22" xfId="0" applyFont="1" applyFill="1" applyBorder="1" applyAlignment="1">
      <alignment horizontal="center" vertical="center"/>
    </xf>
    <xf numFmtId="0" fontId="22" fillId="5" borderId="36" xfId="0" applyFont="1" applyFill="1" applyBorder="1" applyAlignment="1">
      <alignment horizontal="center" vertical="center" wrapText="1"/>
    </xf>
    <xf numFmtId="0" fontId="23" fillId="5" borderId="22" xfId="0" applyFont="1" applyFill="1" applyBorder="1" applyAlignment="1">
      <alignment horizontal="center" vertical="center" wrapText="1"/>
    </xf>
    <xf numFmtId="0" fontId="77" fillId="5" borderId="54" xfId="0" applyFont="1" applyFill="1" applyBorder="1" applyAlignment="1">
      <alignment vertical="center"/>
    </xf>
    <xf numFmtId="0" fontId="77" fillId="5" borderId="8" xfId="0" applyFont="1" applyFill="1" applyBorder="1" applyAlignment="1">
      <alignment vertical="center"/>
    </xf>
    <xf numFmtId="0" fontId="1" fillId="20" borderId="21" xfId="0" applyFont="1" applyFill="1" applyBorder="1" applyAlignment="1">
      <alignment horizontal="center" vertical="center" wrapText="1"/>
    </xf>
    <xf numFmtId="0" fontId="1" fillId="20" borderId="36" xfId="0" applyFont="1" applyFill="1" applyBorder="1" applyAlignment="1">
      <alignment horizontal="center" vertical="center" wrapText="1"/>
    </xf>
    <xf numFmtId="1" fontId="21" fillId="0" borderId="51" xfId="0" applyNumberFormat="1" applyFont="1" applyFill="1" applyBorder="1" applyProtection="1">
      <protection locked="0"/>
    </xf>
    <xf numFmtId="43" fontId="21" fillId="0" borderId="51" xfId="0" applyNumberFormat="1" applyFont="1" applyFill="1" applyBorder="1"/>
    <xf numFmtId="41" fontId="21" fillId="0" borderId="51" xfId="0" applyNumberFormat="1" applyFont="1" applyFill="1" applyBorder="1" applyProtection="1">
      <protection locked="0"/>
    </xf>
    <xf numFmtId="41" fontId="21" fillId="0" borderId="44" xfId="0" applyNumberFormat="1" applyFont="1" applyFill="1" applyBorder="1" applyProtection="1">
      <protection locked="0"/>
    </xf>
    <xf numFmtId="9" fontId="21" fillId="0" borderId="51" xfId="0" applyNumberFormat="1" applyFont="1" applyFill="1" applyBorder="1"/>
    <xf numFmtId="9" fontId="21" fillId="0" borderId="44" xfId="0" applyNumberFormat="1" applyFont="1" applyFill="1" applyBorder="1"/>
    <xf numFmtId="0" fontId="10" fillId="4" borderId="18" xfId="0" applyFont="1" applyFill="1" applyBorder="1" applyAlignment="1">
      <alignment horizontal="center" vertical="center" wrapText="1"/>
    </xf>
    <xf numFmtId="0" fontId="10" fillId="4" borderId="17" xfId="0" applyFont="1" applyFill="1" applyBorder="1" applyAlignment="1">
      <alignment horizontal="center" vertical="center" wrapText="1"/>
    </xf>
    <xf numFmtId="178" fontId="24" fillId="20" borderId="58" xfId="0" applyNumberFormat="1" applyFont="1" applyFill="1" applyBorder="1"/>
    <xf numFmtId="41" fontId="7" fillId="0" borderId="6" xfId="0" applyNumberFormat="1" applyFont="1" applyBorder="1"/>
    <xf numFmtId="1" fontId="7" fillId="0" borderId="0" xfId="0" applyNumberFormat="1" applyFont="1" applyBorder="1"/>
    <xf numFmtId="41" fontId="7" fillId="0" borderId="0" xfId="0" applyNumberFormat="1" applyFont="1" applyBorder="1"/>
    <xf numFmtId="1" fontId="7" fillId="0" borderId="58" xfId="0" applyNumberFormat="1" applyFont="1" applyBorder="1"/>
    <xf numFmtId="1" fontId="0" fillId="0" borderId="0" xfId="0" applyNumberFormat="1" applyBorder="1"/>
    <xf numFmtId="1" fontId="7" fillId="0" borderId="51" xfId="0" applyNumberFormat="1" applyFont="1" applyBorder="1"/>
    <xf numFmtId="1" fontId="0" fillId="0" borderId="51" xfId="0" applyNumberFormat="1" applyBorder="1"/>
    <xf numFmtId="0" fontId="77" fillId="5" borderId="7" xfId="0" applyFont="1" applyFill="1" applyBorder="1" applyAlignment="1">
      <alignment vertical="center"/>
    </xf>
    <xf numFmtId="0" fontId="4" fillId="0" borderId="51" xfId="0" applyFont="1" applyBorder="1" applyAlignment="1">
      <alignment horizontal="center"/>
    </xf>
    <xf numFmtId="0" fontId="21" fillId="0" borderId="7" xfId="0" applyFont="1" applyFill="1" applyBorder="1" applyAlignment="1">
      <alignment horizontal="center"/>
    </xf>
    <xf numFmtId="0" fontId="21" fillId="0" borderId="54" xfId="0" applyFont="1" applyFill="1" applyBorder="1" applyAlignment="1">
      <alignment horizontal="center"/>
    </xf>
    <xf numFmtId="0" fontId="21" fillId="0" borderId="8" xfId="0" applyFont="1" applyFill="1" applyBorder="1" applyAlignment="1">
      <alignment horizontal="center"/>
    </xf>
    <xf numFmtId="0" fontId="22" fillId="12" borderId="35" xfId="0" applyFont="1" applyFill="1" applyBorder="1" applyAlignment="1">
      <alignment horizontal="center" vertical="center"/>
    </xf>
    <xf numFmtId="0" fontId="1" fillId="11" borderId="17" xfId="0" applyFont="1" applyFill="1" applyBorder="1" applyAlignment="1">
      <alignment horizontal="center" vertical="center"/>
    </xf>
    <xf numFmtId="0" fontId="0" fillId="0" borderId="51" xfId="0" applyBorder="1" applyAlignment="1">
      <alignment horizontal="center"/>
    </xf>
    <xf numFmtId="0" fontId="1" fillId="0" borderId="58" xfId="0" applyFont="1" applyBorder="1" applyAlignment="1">
      <alignment horizontal="center" vertical="center" wrapText="1"/>
    </xf>
    <xf numFmtId="0" fontId="79" fillId="0" borderId="0" xfId="0" applyFont="1"/>
    <xf numFmtId="0" fontId="22" fillId="11" borderId="15" xfId="0" applyFont="1" applyFill="1" applyBorder="1" applyAlignment="1">
      <alignment horizontal="center" vertical="center" wrapText="1"/>
    </xf>
    <xf numFmtId="0" fontId="1" fillId="11" borderId="59" xfId="0" applyFont="1" applyFill="1" applyBorder="1" applyAlignment="1">
      <alignment horizontal="center" vertical="center"/>
    </xf>
    <xf numFmtId="0" fontId="22" fillId="0" borderId="54" xfId="0" applyFont="1" applyFill="1" applyBorder="1" applyAlignment="1"/>
    <xf numFmtId="0" fontId="22" fillId="12" borderId="15" xfId="0" applyFont="1" applyFill="1" applyBorder="1" applyAlignment="1">
      <alignment horizontal="center" vertical="center" wrapText="1"/>
    </xf>
    <xf numFmtId="0" fontId="22" fillId="12" borderId="60" xfId="0" applyFont="1" applyFill="1" applyBorder="1" applyAlignment="1">
      <alignment horizontal="center" vertical="center" wrapText="1"/>
    </xf>
    <xf numFmtId="0" fontId="73" fillId="0" borderId="0" xfId="0" applyFont="1" applyBorder="1" applyAlignment="1">
      <alignment horizontal="right" vertical="center" wrapText="1"/>
    </xf>
    <xf numFmtId="178" fontId="24" fillId="20" borderId="0" xfId="0" applyNumberFormat="1" applyFont="1" applyFill="1" applyBorder="1"/>
    <xf numFmtId="0" fontId="21" fillId="0" borderId="2" xfId="0" applyFont="1" applyFill="1" applyBorder="1"/>
    <xf numFmtId="180" fontId="0" fillId="0" borderId="0" xfId="0" applyNumberFormat="1" applyBorder="1"/>
    <xf numFmtId="180" fontId="0" fillId="0" borderId="51" xfId="0" applyNumberFormat="1" applyBorder="1"/>
    <xf numFmtId="0" fontId="24" fillId="14" borderId="22" xfId="0" applyFont="1" applyFill="1" applyBorder="1" applyAlignment="1">
      <alignment horizontal="center" vertical="center" wrapText="1"/>
    </xf>
    <xf numFmtId="0" fontId="22" fillId="5" borderId="60" xfId="0" applyFont="1" applyFill="1" applyBorder="1" applyAlignment="1">
      <alignment horizontal="center" vertical="center" wrapText="1"/>
    </xf>
    <xf numFmtId="0" fontId="10" fillId="14" borderId="36" xfId="0" applyFont="1" applyFill="1" applyBorder="1" applyAlignment="1">
      <alignment horizontal="center" vertical="center" wrapText="1"/>
    </xf>
    <xf numFmtId="0" fontId="1" fillId="11" borderId="39" xfId="0" applyFont="1" applyFill="1" applyBorder="1" applyAlignment="1">
      <alignment horizontal="center" vertical="center" wrapText="1"/>
    </xf>
    <xf numFmtId="0" fontId="1" fillId="11" borderId="22" xfId="0" applyFont="1" applyFill="1" applyBorder="1" applyAlignment="1">
      <alignment horizontal="center" vertical="center" wrapText="1"/>
    </xf>
    <xf numFmtId="0" fontId="22" fillId="14" borderId="31" xfId="0" applyFont="1" applyFill="1" applyBorder="1" applyAlignment="1">
      <alignment horizontal="center" vertical="center" wrapText="1"/>
    </xf>
    <xf numFmtId="0" fontId="22" fillId="14" borderId="28" xfId="0" applyFont="1" applyFill="1" applyBorder="1" applyAlignment="1">
      <alignment horizontal="center" vertical="center" wrapText="1"/>
    </xf>
    <xf numFmtId="0" fontId="22" fillId="14" borderId="45" xfId="0" applyFont="1" applyFill="1" applyBorder="1" applyAlignment="1">
      <alignment horizontal="center" vertical="center" wrapText="1"/>
    </xf>
    <xf numFmtId="0" fontId="10" fillId="14" borderId="45" xfId="0" applyFont="1" applyFill="1" applyBorder="1" applyAlignment="1">
      <alignment horizontal="center" vertical="center" wrapText="1"/>
    </xf>
    <xf numFmtId="177" fontId="0" fillId="0" borderId="1" xfId="0" applyNumberFormat="1" applyBorder="1"/>
    <xf numFmtId="173" fontId="10" fillId="0" borderId="2" xfId="0" applyNumberFormat="1" applyFont="1" applyBorder="1"/>
    <xf numFmtId="178" fontId="10" fillId="0" borderId="58" xfId="0" applyNumberFormat="1" applyFont="1" applyBorder="1"/>
    <xf numFmtId="178" fontId="10" fillId="0" borderId="44" xfId="0" applyNumberFormat="1" applyFont="1" applyBorder="1"/>
    <xf numFmtId="43" fontId="0" fillId="0" borderId="52" xfId="0" applyNumberFormat="1" applyBorder="1"/>
    <xf numFmtId="43" fontId="0" fillId="0" borderId="56" xfId="0" applyNumberFormat="1" applyBorder="1"/>
    <xf numFmtId="9" fontId="23" fillId="25" borderId="0" xfId="0" applyNumberFormat="1" applyFont="1" applyFill="1" applyBorder="1"/>
    <xf numFmtId="1" fontId="21" fillId="25" borderId="58" xfId="0" applyNumberFormat="1" applyFont="1" applyFill="1" applyBorder="1"/>
    <xf numFmtId="0" fontId="21" fillId="25" borderId="0" xfId="0" applyFont="1" applyFill="1" applyBorder="1"/>
    <xf numFmtId="0" fontId="21" fillId="25" borderId="58" xfId="0" applyFont="1" applyFill="1" applyBorder="1"/>
    <xf numFmtId="0" fontId="21" fillId="25" borderId="51" xfId="0" applyFont="1" applyFill="1" applyBorder="1"/>
    <xf numFmtId="0" fontId="21" fillId="25" borderId="44" xfId="0" applyFont="1" applyFill="1" applyBorder="1"/>
    <xf numFmtId="0" fontId="22" fillId="12" borderId="45" xfId="0" applyFont="1" applyFill="1" applyBorder="1" applyAlignment="1">
      <alignment horizontal="center" vertical="center"/>
    </xf>
    <xf numFmtId="0" fontId="22" fillId="12" borderId="45" xfId="0" applyFont="1" applyFill="1" applyBorder="1" applyAlignment="1">
      <alignment horizontal="center" vertical="center" wrapText="1"/>
    </xf>
    <xf numFmtId="0" fontId="22" fillId="12" borderId="29" xfId="0" applyFont="1" applyFill="1" applyBorder="1" applyAlignment="1">
      <alignment horizontal="center" vertical="center" wrapText="1"/>
    </xf>
    <xf numFmtId="0" fontId="22" fillId="20" borderId="28" xfId="0" applyFont="1" applyFill="1" applyBorder="1" applyAlignment="1">
      <alignment horizontal="center" vertical="center" wrapText="1"/>
    </xf>
    <xf numFmtId="0" fontId="22" fillId="20" borderId="45" xfId="0" applyFont="1" applyFill="1" applyBorder="1" applyAlignment="1">
      <alignment horizontal="center" vertical="center" wrapText="1"/>
    </xf>
    <xf numFmtId="0" fontId="1" fillId="20" borderId="29" xfId="0" applyFont="1" applyFill="1" applyBorder="1" applyAlignment="1">
      <alignment horizontal="center" vertical="center" wrapText="1"/>
    </xf>
    <xf numFmtId="164" fontId="0" fillId="0" borderId="33" xfId="0" applyNumberFormat="1" applyBorder="1"/>
    <xf numFmtId="43" fontId="0" fillId="0" borderId="33" xfId="0" applyNumberFormat="1" applyBorder="1"/>
    <xf numFmtId="0" fontId="1" fillId="11" borderId="59" xfId="0" applyFont="1" applyFill="1" applyBorder="1" applyAlignment="1">
      <alignment horizontal="center" vertical="center"/>
    </xf>
    <xf numFmtId="2" fontId="23" fillId="5" borderId="36" xfId="0" applyNumberFormat="1" applyFont="1" applyFill="1" applyBorder="1" applyAlignment="1">
      <alignment horizontal="center" vertical="center"/>
    </xf>
    <xf numFmtId="0" fontId="77" fillId="5" borderId="54" xfId="0" applyFont="1" applyFill="1" applyBorder="1" applyAlignment="1">
      <alignment horizontal="center" vertical="center"/>
    </xf>
    <xf numFmtId="0" fontId="77" fillId="5" borderId="8" xfId="0" applyFont="1" applyFill="1" applyBorder="1" applyAlignment="1">
      <alignment horizontal="center" vertical="center"/>
    </xf>
    <xf numFmtId="0" fontId="24" fillId="4" borderId="7" xfId="0" applyFont="1" applyFill="1" applyBorder="1" applyAlignment="1">
      <alignment horizontal="center" vertical="center" wrapText="1"/>
    </xf>
    <xf numFmtId="0" fontId="24" fillId="4" borderId="54" xfId="0" applyFont="1" applyFill="1" applyBorder="1" applyAlignment="1">
      <alignment horizontal="center" vertical="center" wrapText="1"/>
    </xf>
    <xf numFmtId="0" fontId="24" fillId="4" borderId="8" xfId="0" applyFont="1" applyFill="1" applyBorder="1" applyAlignment="1">
      <alignment horizontal="center" vertical="center" wrapText="1"/>
    </xf>
    <xf numFmtId="0" fontId="1" fillId="11" borderId="17" xfId="0" applyFont="1" applyFill="1" applyBorder="1" applyAlignment="1">
      <alignment horizontal="center" vertical="center"/>
    </xf>
    <xf numFmtId="0" fontId="65" fillId="7" borderId="30" xfId="0" applyFont="1" applyFill="1" applyBorder="1" applyAlignment="1">
      <alignment horizontal="center" vertical="center" wrapText="1"/>
    </xf>
    <xf numFmtId="0" fontId="65" fillId="7" borderId="24" xfId="0" applyFont="1" applyFill="1" applyBorder="1" applyAlignment="1">
      <alignment horizontal="center" vertical="center" wrapText="1"/>
    </xf>
    <xf numFmtId="0" fontId="65" fillId="7" borderId="57" xfId="0" applyFont="1" applyFill="1" applyBorder="1" applyAlignment="1">
      <alignment horizontal="center" vertical="center" wrapText="1"/>
    </xf>
    <xf numFmtId="0" fontId="24" fillId="7" borderId="55" xfId="0" applyFont="1" applyFill="1" applyBorder="1" applyAlignment="1">
      <alignment horizontal="center" vertical="center" wrapText="1"/>
    </xf>
    <xf numFmtId="0" fontId="24" fillId="7" borderId="42" xfId="0" applyFont="1" applyFill="1" applyBorder="1" applyAlignment="1">
      <alignment horizontal="center"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12" borderId="14" xfId="0" applyFont="1" applyFill="1" applyBorder="1" applyAlignment="1">
      <alignment horizontal="center" vertical="center" wrapText="1"/>
    </xf>
    <xf numFmtId="0" fontId="1" fillId="12" borderId="35"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21" xfId="0" applyFont="1" applyFill="1" applyBorder="1" applyAlignment="1">
      <alignment horizontal="center" vertical="center" wrapText="1"/>
    </xf>
    <xf numFmtId="0" fontId="1" fillId="12" borderId="36" xfId="0" applyFont="1" applyFill="1" applyBorder="1" applyAlignment="1">
      <alignment horizontal="center" vertical="center" wrapText="1"/>
    </xf>
    <xf numFmtId="0" fontId="1" fillId="12" borderId="22" xfId="0" applyFont="1" applyFill="1" applyBorder="1" applyAlignment="1">
      <alignment horizontal="center" vertical="center" wrapText="1"/>
    </xf>
    <xf numFmtId="0" fontId="1" fillId="12" borderId="28" xfId="0" applyFont="1" applyFill="1" applyBorder="1" applyAlignment="1">
      <alignment horizontal="center" vertical="center" wrapText="1"/>
    </xf>
    <xf numFmtId="0" fontId="1" fillId="12" borderId="45" xfId="0" applyFont="1" applyFill="1" applyBorder="1" applyAlignment="1">
      <alignment horizontal="center" vertical="center" wrapText="1"/>
    </xf>
    <xf numFmtId="0" fontId="1" fillId="12" borderId="29" xfId="0" applyFont="1" applyFill="1" applyBorder="1" applyAlignment="1">
      <alignment horizontal="center" vertical="center" wrapText="1"/>
    </xf>
    <xf numFmtId="0" fontId="1" fillId="0" borderId="32" xfId="0" applyFont="1" applyBorder="1" applyAlignment="1">
      <alignment horizontal="center"/>
    </xf>
    <xf numFmtId="0" fontId="1" fillId="0" borderId="17" xfId="0" applyFont="1" applyBorder="1" applyAlignment="1">
      <alignment horizontal="center"/>
    </xf>
    <xf numFmtId="2" fontId="4" fillId="0" borderId="0" xfId="0" applyNumberFormat="1" applyFont="1" applyBorder="1"/>
    <xf numFmtId="2" fontId="7" fillId="0" borderId="0" xfId="0" applyNumberFormat="1" applyFont="1" applyBorder="1"/>
    <xf numFmtId="41" fontId="7" fillId="0" borderId="58" xfId="0" applyNumberFormat="1" applyFont="1" applyBorder="1"/>
    <xf numFmtId="0" fontId="7" fillId="0" borderId="43" xfId="0" applyFont="1" applyBorder="1"/>
    <xf numFmtId="41" fontId="7" fillId="0" borderId="51" xfId="0" applyNumberFormat="1" applyFont="1" applyBorder="1"/>
    <xf numFmtId="41" fontId="7" fillId="0" borderId="44" xfId="0" applyNumberFormat="1" applyFont="1" applyBorder="1"/>
    <xf numFmtId="0" fontId="1" fillId="0" borderId="18" xfId="0" applyFont="1" applyBorder="1" applyAlignment="1">
      <alignment horizontal="center"/>
    </xf>
    <xf numFmtId="41" fontId="7" fillId="0" borderId="43" xfId="0" applyNumberFormat="1" applyFont="1" applyBorder="1"/>
    <xf numFmtId="0" fontId="1" fillId="0" borderId="18" xfId="0" applyFont="1" applyBorder="1"/>
    <xf numFmtId="0" fontId="1" fillId="0" borderId="17" xfId="0" applyFont="1" applyBorder="1"/>
    <xf numFmtId="43" fontId="1" fillId="0" borderId="6" xfId="0" applyNumberFormat="1" applyFont="1" applyFill="1" applyBorder="1"/>
    <xf numFmtId="177" fontId="0" fillId="0" borderId="58" xfId="0" applyNumberFormat="1" applyFill="1" applyBorder="1"/>
    <xf numFmtId="164" fontId="1" fillId="0" borderId="58" xfId="0" applyNumberFormat="1" applyFont="1" applyBorder="1"/>
    <xf numFmtId="180" fontId="1" fillId="0" borderId="0" xfId="0" applyNumberFormat="1" applyFont="1" applyBorder="1"/>
    <xf numFmtId="177" fontId="1" fillId="0" borderId="6" xfId="0" applyNumberFormat="1" applyFont="1" applyBorder="1"/>
    <xf numFmtId="2" fontId="1" fillId="0" borderId="0" xfId="0" applyNumberFormat="1" applyFont="1"/>
    <xf numFmtId="9" fontId="1" fillId="0" borderId="58" xfId="0" applyNumberFormat="1" applyFont="1" applyBorder="1"/>
    <xf numFmtId="0" fontId="10" fillId="4" borderId="28" xfId="0" applyFont="1" applyFill="1" applyBorder="1" applyAlignment="1">
      <alignment horizontal="center" vertical="center" wrapText="1"/>
    </xf>
    <xf numFmtId="0" fontId="10" fillId="4" borderId="45" xfId="0" applyFont="1" applyFill="1" applyBorder="1" applyAlignment="1">
      <alignment horizontal="center" vertical="center" wrapText="1"/>
    </xf>
    <xf numFmtId="0" fontId="10" fillId="4" borderId="29" xfId="0" applyFont="1" applyFill="1" applyBorder="1" applyAlignment="1">
      <alignment horizontal="center" vertical="center" wrapText="1"/>
    </xf>
    <xf numFmtId="1" fontId="7" fillId="0" borderId="44" xfId="0" applyNumberFormat="1" applyFont="1" applyBorder="1"/>
    <xf numFmtId="164" fontId="1" fillId="0" borderId="0" xfId="0" applyNumberFormat="1" applyFont="1" applyBorder="1"/>
    <xf numFmtId="9" fontId="10" fillId="0" borderId="0" xfId="0" applyNumberFormat="1" applyFont="1" applyBorder="1"/>
    <xf numFmtId="9" fontId="10" fillId="0" borderId="51" xfId="0" applyNumberFormat="1" applyFont="1" applyBorder="1"/>
    <xf numFmtId="177" fontId="1" fillId="6" borderId="0" xfId="0" applyNumberFormat="1" applyFont="1" applyFill="1" applyBorder="1"/>
    <xf numFmtId="177" fontId="0" fillId="0" borderId="33" xfId="0" applyNumberFormat="1" applyBorder="1"/>
    <xf numFmtId="43" fontId="0" fillId="0" borderId="1" xfId="0" applyNumberFormat="1" applyFill="1" applyBorder="1"/>
    <xf numFmtId="43" fontId="0" fillId="0" borderId="2" xfId="0" applyNumberFormat="1" applyFill="1" applyBorder="1"/>
    <xf numFmtId="177" fontId="0" fillId="0" borderId="2" xfId="0" applyNumberFormat="1" applyFill="1" applyBorder="1"/>
    <xf numFmtId="43" fontId="38" fillId="0" borderId="33" xfId="0" applyNumberFormat="1" applyFont="1" applyBorder="1"/>
    <xf numFmtId="177" fontId="0" fillId="0" borderId="51" xfId="0" applyNumberFormat="1" applyFill="1" applyBorder="1"/>
    <xf numFmtId="170" fontId="0" fillId="0" borderId="0" xfId="0" applyNumberFormat="1" applyFill="1"/>
    <xf numFmtId="0" fontId="10" fillId="4" borderId="36" xfId="0" applyFont="1" applyFill="1" applyBorder="1" applyAlignment="1">
      <alignment horizontal="center" vertical="center" wrapText="1"/>
    </xf>
    <xf numFmtId="0" fontId="10" fillId="4" borderId="59" xfId="0" applyFont="1" applyFill="1" applyBorder="1" applyAlignment="1">
      <alignment horizontal="center" vertical="center" wrapText="1"/>
    </xf>
    <xf numFmtId="0" fontId="10" fillId="4" borderId="60"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41" fillId="12" borderId="0" xfId="0" applyFont="1" applyFill="1" applyBorder="1" applyAlignment="1">
      <alignment horizontal="center" vertical="center" wrapText="1"/>
    </xf>
    <xf numFmtId="41" fontId="41" fillId="0" borderId="0" xfId="0" applyNumberFormat="1" applyFont="1" applyBorder="1"/>
    <xf numFmtId="166" fontId="0" fillId="27" borderId="77" xfId="6" applyNumberFormat="1" applyFont="1"/>
    <xf numFmtId="0" fontId="81" fillId="26" borderId="76" xfId="5"/>
    <xf numFmtId="178" fontId="21" fillId="27" borderId="77" xfId="6" applyNumberFormat="1" applyFont="1"/>
    <xf numFmtId="177" fontId="0" fillId="27" borderId="77" xfId="6" applyNumberFormat="1" applyFont="1"/>
    <xf numFmtId="0" fontId="22" fillId="4" borderId="3" xfId="0" applyFont="1" applyFill="1" applyBorder="1" applyAlignment="1">
      <alignment horizontal="center" vertical="center"/>
    </xf>
    <xf numFmtId="0" fontId="22" fillId="4" borderId="4" xfId="0" applyFont="1" applyFill="1" applyBorder="1" applyAlignment="1">
      <alignment horizontal="center" vertical="center"/>
    </xf>
    <xf numFmtId="0" fontId="22" fillId="4" borderId="5" xfId="0" applyFont="1" applyFill="1" applyBorder="1" applyAlignment="1">
      <alignment horizontal="center" vertical="center"/>
    </xf>
    <xf numFmtId="0" fontId="22" fillId="12" borderId="3" xfId="0" applyFont="1" applyFill="1" applyBorder="1" applyAlignment="1">
      <alignment horizontal="center" vertical="center"/>
    </xf>
    <xf numFmtId="0" fontId="22" fillId="12" borderId="31" xfId="0" applyFont="1" applyFill="1" applyBorder="1" applyAlignment="1">
      <alignment horizontal="center" vertical="center"/>
    </xf>
    <xf numFmtId="0" fontId="22" fillId="6" borderId="1" xfId="0" applyFont="1" applyFill="1" applyBorder="1" applyAlignment="1">
      <alignment horizontal="center"/>
    </xf>
    <xf numFmtId="0" fontId="22" fillId="6" borderId="2" xfId="0" applyFont="1" applyFill="1" applyBorder="1" applyAlignment="1">
      <alignment horizontal="center"/>
    </xf>
    <xf numFmtId="0" fontId="22" fillId="6" borderId="33" xfId="0" applyFont="1" applyFill="1" applyBorder="1" applyAlignment="1">
      <alignment horizontal="center"/>
    </xf>
    <xf numFmtId="0" fontId="22" fillId="4" borderId="14" xfId="0" applyFont="1" applyFill="1" applyBorder="1" applyAlignment="1">
      <alignment horizontal="center" vertical="center" wrapText="1"/>
    </xf>
    <xf numFmtId="0" fontId="22" fillId="4" borderId="35" xfId="0" applyFont="1" applyFill="1" applyBorder="1" applyAlignment="1">
      <alignment horizontal="center" vertical="center" wrapText="1"/>
    </xf>
    <xf numFmtId="0" fontId="22" fillId="4" borderId="13" xfId="0" applyFont="1" applyFill="1" applyBorder="1" applyAlignment="1">
      <alignment horizontal="center" vertical="center" wrapText="1"/>
    </xf>
    <xf numFmtId="0" fontId="1" fillId="0" borderId="53" xfId="0" applyFont="1" applyBorder="1" applyAlignment="1">
      <alignment horizontal="center"/>
    </xf>
    <xf numFmtId="0" fontId="1" fillId="0" borderId="49" xfId="0" applyFont="1" applyBorder="1" applyAlignment="1">
      <alignment horizontal="center"/>
    </xf>
    <xf numFmtId="0" fontId="23" fillId="0" borderId="3" xfId="0" applyFont="1" applyFill="1" applyBorder="1" applyAlignment="1">
      <alignment horizontal="center"/>
    </xf>
    <xf numFmtId="0" fontId="23" fillId="0" borderId="4" xfId="0" applyFont="1" applyFill="1" applyBorder="1" applyAlignment="1">
      <alignment horizontal="center"/>
    </xf>
    <xf numFmtId="0" fontId="23" fillId="0" borderId="5" xfId="0" applyFont="1" applyFill="1" applyBorder="1" applyAlignment="1">
      <alignment horizontal="center"/>
    </xf>
    <xf numFmtId="0" fontId="22" fillId="0" borderId="54" xfId="0" applyFont="1" applyFill="1" applyBorder="1" applyAlignment="1">
      <alignment horizontal="center"/>
    </xf>
    <xf numFmtId="0" fontId="22" fillId="0" borderId="8" xfId="0" applyFont="1" applyFill="1" applyBorder="1" applyAlignment="1">
      <alignment horizontal="center"/>
    </xf>
    <xf numFmtId="0" fontId="80" fillId="6" borderId="7" xfId="0" applyFont="1" applyFill="1" applyBorder="1" applyAlignment="1">
      <alignment horizontal="center"/>
    </xf>
    <xf numFmtId="0" fontId="80" fillId="6" borderId="54" xfId="0" applyFont="1" applyFill="1" applyBorder="1" applyAlignment="1">
      <alignment horizontal="center"/>
    </xf>
    <xf numFmtId="0" fontId="80" fillId="6" borderId="8" xfId="0" applyFont="1" applyFill="1" applyBorder="1" applyAlignment="1">
      <alignment horizontal="center"/>
    </xf>
    <xf numFmtId="0" fontId="1" fillId="11" borderId="7" xfId="0" applyFont="1" applyFill="1" applyBorder="1" applyAlignment="1">
      <alignment horizontal="center"/>
    </xf>
    <xf numFmtId="0" fontId="1" fillId="11" borderId="54" xfId="0" applyFont="1" applyFill="1" applyBorder="1" applyAlignment="1">
      <alignment horizontal="center"/>
    </xf>
    <xf numFmtId="0" fontId="1" fillId="11" borderId="8" xfId="0" applyFont="1" applyFill="1" applyBorder="1" applyAlignment="1">
      <alignment horizontal="center"/>
    </xf>
    <xf numFmtId="0" fontId="1" fillId="12" borderId="1" xfId="0" applyFont="1" applyFill="1" applyBorder="1" applyAlignment="1">
      <alignment horizontal="center" vertical="center" wrapText="1"/>
    </xf>
    <xf numFmtId="0" fontId="1" fillId="12" borderId="43" xfId="0" applyFont="1" applyFill="1" applyBorder="1" applyAlignment="1">
      <alignment horizontal="center" vertical="center" wrapText="1"/>
    </xf>
    <xf numFmtId="0" fontId="0" fillId="0" borderId="7" xfId="0" applyBorder="1" applyAlignment="1">
      <alignment horizontal="center"/>
    </xf>
    <xf numFmtId="0" fontId="0" fillId="0" borderId="54" xfId="0" applyBorder="1" applyAlignment="1">
      <alignment horizontal="center"/>
    </xf>
    <xf numFmtId="0" fontId="0" fillId="0" borderId="8" xfId="0" applyBorder="1" applyAlignment="1">
      <alignment horizontal="center"/>
    </xf>
    <xf numFmtId="0" fontId="1" fillId="11" borderId="1"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43" xfId="0" applyFont="1" applyFill="1" applyBorder="1" applyAlignment="1">
      <alignment horizontal="center" vertical="center"/>
    </xf>
    <xf numFmtId="0" fontId="1" fillId="11" borderId="59" xfId="0" applyFont="1" applyFill="1" applyBorder="1" applyAlignment="1">
      <alignment horizontal="center" vertical="center"/>
    </xf>
    <xf numFmtId="0" fontId="1" fillId="11" borderId="32" xfId="0" applyFont="1" applyFill="1" applyBorder="1" applyAlignment="1">
      <alignment horizontal="center" vertical="center"/>
    </xf>
    <xf numFmtId="0" fontId="1" fillId="11" borderId="17" xfId="0" applyFont="1" applyFill="1" applyBorder="1" applyAlignment="1">
      <alignment horizontal="center" vertical="center"/>
    </xf>
    <xf numFmtId="0" fontId="1" fillId="11" borderId="59" xfId="0" applyFont="1" applyFill="1" applyBorder="1" applyAlignment="1">
      <alignment horizontal="center" vertical="center" wrapText="1"/>
    </xf>
    <xf numFmtId="0" fontId="1" fillId="11" borderId="38" xfId="0" applyFont="1" applyFill="1" applyBorder="1" applyAlignment="1">
      <alignment horizontal="center" vertical="center" wrapText="1"/>
    </xf>
    <xf numFmtId="0" fontId="1" fillId="11" borderId="53" xfId="0" applyFont="1" applyFill="1" applyBorder="1" applyAlignment="1">
      <alignment horizontal="center" vertical="center" wrapText="1"/>
    </xf>
    <xf numFmtId="0" fontId="1" fillId="11" borderId="49" xfId="0" applyFont="1" applyFill="1" applyBorder="1" applyAlignment="1">
      <alignment horizontal="center" vertical="center" wrapText="1"/>
    </xf>
    <xf numFmtId="0" fontId="1" fillId="11" borderId="3" xfId="0" applyFont="1" applyFill="1" applyBorder="1" applyAlignment="1">
      <alignment horizontal="center"/>
    </xf>
    <xf numFmtId="0" fontId="1" fillId="11" borderId="4" xfId="0" applyFont="1" applyFill="1" applyBorder="1" applyAlignment="1">
      <alignment horizontal="center"/>
    </xf>
    <xf numFmtId="0" fontId="1" fillId="11" borderId="5" xfId="0" applyFont="1" applyFill="1" applyBorder="1" applyAlignment="1">
      <alignment horizontal="center"/>
    </xf>
    <xf numFmtId="0" fontId="24" fillId="4" borderId="1" xfId="0" applyFont="1" applyFill="1" applyBorder="1" applyAlignment="1">
      <alignment horizontal="center" vertical="center" wrapText="1"/>
    </xf>
    <xf numFmtId="0" fontId="24" fillId="4" borderId="2" xfId="0" applyFont="1" applyFill="1" applyBorder="1" applyAlignment="1">
      <alignment horizontal="center" vertical="center" wrapText="1"/>
    </xf>
    <xf numFmtId="0" fontId="24" fillId="4" borderId="33" xfId="0" applyFont="1" applyFill="1" applyBorder="1" applyAlignment="1">
      <alignment horizontal="center" vertical="center" wrapText="1"/>
    </xf>
    <xf numFmtId="0" fontId="24" fillId="4" borderId="43" xfId="0" applyFont="1" applyFill="1" applyBorder="1" applyAlignment="1">
      <alignment horizontal="center" vertical="center" wrapText="1"/>
    </xf>
    <xf numFmtId="0" fontId="24" fillId="4" borderId="51" xfId="0" applyFont="1" applyFill="1" applyBorder="1" applyAlignment="1">
      <alignment horizontal="center" vertical="center" wrapText="1"/>
    </xf>
    <xf numFmtId="0" fontId="24" fillId="4" borderId="44" xfId="0" applyFont="1" applyFill="1" applyBorder="1" applyAlignment="1">
      <alignment horizontal="center" vertical="center" wrapText="1"/>
    </xf>
    <xf numFmtId="0" fontId="1" fillId="2" borderId="21" xfId="0" applyFont="1" applyFill="1" applyBorder="1" applyAlignment="1">
      <alignment horizontal="center"/>
    </xf>
    <xf numFmtId="0" fontId="1" fillId="2" borderId="36" xfId="0" applyFont="1" applyFill="1" applyBorder="1" applyAlignment="1">
      <alignment horizontal="center"/>
    </xf>
    <xf numFmtId="0" fontId="1" fillId="2" borderId="39" xfId="0" applyFont="1" applyFill="1" applyBorder="1" applyAlignment="1">
      <alignment horizontal="center"/>
    </xf>
    <xf numFmtId="0" fontId="1" fillId="2" borderId="14" xfId="0" applyFont="1" applyFill="1" applyBorder="1" applyAlignment="1">
      <alignment horizontal="center"/>
    </xf>
    <xf numFmtId="0" fontId="1" fillId="2" borderId="35" xfId="0" applyFont="1" applyFill="1" applyBorder="1" applyAlignment="1">
      <alignment horizontal="center"/>
    </xf>
    <xf numFmtId="0" fontId="1" fillId="2" borderId="37" xfId="0" applyFont="1" applyFill="1" applyBorder="1" applyAlignment="1">
      <alignment horizontal="center"/>
    </xf>
    <xf numFmtId="0" fontId="1" fillId="12" borderId="21" xfId="0" applyFont="1" applyFill="1" applyBorder="1" applyAlignment="1">
      <alignment horizontal="center"/>
    </xf>
    <xf numFmtId="0" fontId="1" fillId="12" borderId="36" xfId="0" applyFont="1" applyFill="1" applyBorder="1" applyAlignment="1">
      <alignment horizontal="center"/>
    </xf>
    <xf numFmtId="0" fontId="1" fillId="12" borderId="22" xfId="0" applyFont="1" applyFill="1" applyBorder="1" applyAlignment="1">
      <alignment horizontal="center"/>
    </xf>
    <xf numFmtId="0" fontId="1" fillId="12" borderId="14" xfId="0" applyFont="1" applyFill="1" applyBorder="1" applyAlignment="1">
      <alignment horizontal="center"/>
    </xf>
    <xf numFmtId="0" fontId="1" fillId="12" borderId="35" xfId="0" applyFont="1" applyFill="1" applyBorder="1" applyAlignment="1">
      <alignment horizontal="center"/>
    </xf>
    <xf numFmtId="0" fontId="1" fillId="12" borderId="13" xfId="0" applyFont="1" applyFill="1" applyBorder="1" applyAlignment="1">
      <alignment horizontal="center"/>
    </xf>
    <xf numFmtId="0" fontId="1" fillId="2" borderId="38" xfId="0" applyFont="1" applyFill="1" applyBorder="1" applyAlignment="1">
      <alignment horizontal="center"/>
    </xf>
    <xf numFmtId="0" fontId="1" fillId="2" borderId="59" xfId="0" applyFont="1" applyFill="1" applyBorder="1" applyAlignment="1">
      <alignment horizontal="center"/>
    </xf>
    <xf numFmtId="0" fontId="1" fillId="12" borderId="53" xfId="0" applyFont="1" applyFill="1" applyBorder="1" applyAlignment="1">
      <alignment horizontal="center" vertical="center" wrapText="1"/>
    </xf>
    <xf numFmtId="0" fontId="1" fillId="12" borderId="52" xfId="0" applyFont="1" applyFill="1" applyBorder="1" applyAlignment="1">
      <alignment horizontal="center" vertical="center" wrapText="1"/>
    </xf>
    <xf numFmtId="0" fontId="1" fillId="12" borderId="56" xfId="0" applyFont="1" applyFill="1" applyBorder="1" applyAlignment="1">
      <alignment horizontal="center" vertical="center" wrapText="1"/>
    </xf>
    <xf numFmtId="0" fontId="24" fillId="4" borderId="25" xfId="0" applyFont="1" applyFill="1" applyBorder="1" applyAlignment="1">
      <alignment horizontal="center" vertical="center" wrapText="1"/>
    </xf>
    <xf numFmtId="0" fontId="24" fillId="4" borderId="75" xfId="0" applyFont="1" applyFill="1" applyBorder="1" applyAlignment="1">
      <alignment horizontal="center" vertical="center" wrapText="1"/>
    </xf>
    <xf numFmtId="0" fontId="22" fillId="2" borderId="14" xfId="0" applyFont="1" applyFill="1" applyBorder="1" applyAlignment="1">
      <alignment horizontal="center" vertical="center"/>
    </xf>
    <xf numFmtId="0" fontId="22" fillId="2" borderId="35" xfId="0" applyFont="1" applyFill="1" applyBorder="1" applyAlignment="1">
      <alignment horizontal="center" vertical="center"/>
    </xf>
    <xf numFmtId="0" fontId="22" fillId="2" borderId="13" xfId="0" applyFont="1" applyFill="1" applyBorder="1" applyAlignment="1">
      <alignment horizontal="center" vertical="center"/>
    </xf>
    <xf numFmtId="0" fontId="1" fillId="2" borderId="53" xfId="0" applyFont="1" applyFill="1" applyBorder="1" applyAlignment="1">
      <alignment horizontal="center" vertical="center"/>
    </xf>
    <xf numFmtId="0" fontId="1" fillId="2" borderId="56"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43" xfId="0" applyFont="1" applyFill="1" applyBorder="1" applyAlignment="1">
      <alignment horizontal="center" vertical="center"/>
    </xf>
    <xf numFmtId="0" fontId="32" fillId="0" borderId="51" xfId="0" applyFont="1" applyFill="1" applyBorder="1" applyAlignment="1">
      <alignment horizontal="center" vertical="center" wrapText="1" readingOrder="1"/>
    </xf>
    <xf numFmtId="0" fontId="22" fillId="11" borderId="37" xfId="0" applyFont="1" applyFill="1" applyBorder="1" applyAlignment="1">
      <alignment horizontal="center" vertical="center" wrapText="1"/>
    </xf>
    <xf numFmtId="0" fontId="22" fillId="11" borderId="4" xfId="0" applyFont="1" applyFill="1" applyBorder="1" applyAlignment="1">
      <alignment horizontal="center" vertical="center" wrapText="1"/>
    </xf>
    <xf numFmtId="0" fontId="22" fillId="11" borderId="15" xfId="0" applyFont="1" applyFill="1" applyBorder="1" applyAlignment="1">
      <alignment horizontal="center" vertical="center" wrapText="1"/>
    </xf>
    <xf numFmtId="0" fontId="22" fillId="11" borderId="5" xfId="0" applyFont="1" applyFill="1" applyBorder="1" applyAlignment="1">
      <alignment horizontal="center" vertical="center" wrapText="1"/>
    </xf>
    <xf numFmtId="0" fontId="22" fillId="2" borderId="3" xfId="0" applyFont="1" applyFill="1" applyBorder="1" applyAlignment="1">
      <alignment horizontal="center" vertical="center"/>
    </xf>
    <xf numFmtId="0" fontId="22" fillId="2" borderId="4" xfId="0" applyFont="1" applyFill="1" applyBorder="1" applyAlignment="1">
      <alignment horizontal="center" vertical="center"/>
    </xf>
    <xf numFmtId="0" fontId="22" fillId="2" borderId="5" xfId="0" applyFont="1" applyFill="1" applyBorder="1" applyAlignment="1">
      <alignment horizontal="center" vertical="center"/>
    </xf>
    <xf numFmtId="0" fontId="24" fillId="4" borderId="15" xfId="0" applyFont="1" applyFill="1" applyBorder="1" applyAlignment="1">
      <alignment horizontal="center" vertical="center" wrapText="1"/>
    </xf>
    <xf numFmtId="0" fontId="24" fillId="4" borderId="13" xfId="0" applyFont="1" applyFill="1" applyBorder="1" applyAlignment="1">
      <alignment horizontal="center" vertical="center" wrapText="1"/>
    </xf>
    <xf numFmtId="0" fontId="24" fillId="4" borderId="14" xfId="0" applyFont="1" applyFill="1" applyBorder="1" applyAlignment="1">
      <alignment horizontal="center" vertical="center" wrapText="1"/>
    </xf>
    <xf numFmtId="0" fontId="24" fillId="4" borderId="35" xfId="0" applyFont="1" applyFill="1" applyBorder="1" applyAlignment="1">
      <alignment horizontal="center" vertical="center" wrapText="1"/>
    </xf>
    <xf numFmtId="0" fontId="22" fillId="12" borderId="14" xfId="0" applyFont="1" applyFill="1" applyBorder="1" applyAlignment="1">
      <alignment horizontal="center" vertical="center"/>
    </xf>
    <xf numFmtId="0" fontId="22" fillId="12" borderId="35" xfId="0" applyFont="1" applyFill="1" applyBorder="1" applyAlignment="1">
      <alignment horizontal="center" vertical="center"/>
    </xf>
    <xf numFmtId="0" fontId="22" fillId="12" borderId="13" xfId="0" applyFont="1" applyFill="1" applyBorder="1" applyAlignment="1">
      <alignment horizontal="center" vertical="center"/>
    </xf>
    <xf numFmtId="0" fontId="22" fillId="7" borderId="3" xfId="0" applyFont="1" applyFill="1" applyBorder="1" applyAlignment="1">
      <alignment horizontal="center" vertical="center"/>
    </xf>
    <xf numFmtId="0" fontId="22" fillId="7" borderId="4" xfId="0" applyFont="1" applyFill="1" applyBorder="1" applyAlignment="1">
      <alignment horizontal="center" vertical="center"/>
    </xf>
    <xf numFmtId="0" fontId="22" fillId="7" borderId="15" xfId="0" applyFont="1" applyFill="1" applyBorder="1" applyAlignment="1">
      <alignment horizontal="center" vertical="center"/>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1" fillId="14" borderId="14" xfId="0" applyFont="1" applyFill="1" applyBorder="1" applyAlignment="1">
      <alignment horizontal="center" vertical="center" wrapText="1"/>
    </xf>
    <xf numFmtId="0" fontId="1" fillId="14" borderId="18" xfId="0" applyFont="1" applyFill="1" applyBorder="1" applyAlignment="1">
      <alignment horizontal="center" vertical="center" wrapText="1"/>
    </xf>
    <xf numFmtId="0" fontId="1" fillId="14" borderId="35" xfId="0" applyFont="1" applyFill="1" applyBorder="1" applyAlignment="1">
      <alignment horizontal="center" vertical="center" wrapText="1"/>
    </xf>
    <xf numFmtId="0" fontId="1" fillId="14" borderId="32" xfId="0" applyFont="1" applyFill="1" applyBorder="1" applyAlignment="1">
      <alignment horizontal="center" vertical="center" wrapText="1"/>
    </xf>
    <xf numFmtId="0" fontId="4" fillId="14" borderId="35" xfId="0" applyFont="1" applyFill="1" applyBorder="1" applyAlignment="1">
      <alignment horizontal="center" vertical="center" wrapText="1"/>
    </xf>
    <xf numFmtId="0" fontId="4" fillId="14" borderId="32" xfId="0" applyFont="1" applyFill="1" applyBorder="1" applyAlignment="1">
      <alignment horizontal="center" vertical="center" wrapText="1"/>
    </xf>
    <xf numFmtId="0" fontId="4" fillId="14" borderId="36" xfId="0" applyFont="1" applyFill="1" applyBorder="1" applyAlignment="1">
      <alignment horizontal="center" vertical="center" wrapText="1"/>
    </xf>
    <xf numFmtId="0" fontId="10" fillId="14" borderId="13" xfId="0" applyFont="1" applyFill="1" applyBorder="1" applyAlignment="1">
      <alignment horizontal="center" vertical="center" wrapText="1"/>
    </xf>
    <xf numFmtId="0" fontId="10" fillId="14" borderId="17" xfId="0" applyFont="1" applyFill="1" applyBorder="1" applyAlignment="1">
      <alignment horizontal="center" vertical="center" wrapText="1"/>
    </xf>
    <xf numFmtId="0" fontId="10" fillId="14" borderId="14" xfId="0" applyFont="1" applyFill="1" applyBorder="1" applyAlignment="1">
      <alignment horizontal="center" vertical="center" wrapText="1"/>
    </xf>
    <xf numFmtId="0" fontId="10" fillId="14" borderId="18" xfId="0" applyFont="1" applyFill="1" applyBorder="1" applyAlignment="1">
      <alignment horizontal="center" vertical="center" wrapText="1"/>
    </xf>
    <xf numFmtId="0" fontId="10" fillId="14" borderId="21" xfId="0" applyFont="1" applyFill="1" applyBorder="1" applyAlignment="1">
      <alignment horizontal="center" vertical="center" wrapText="1"/>
    </xf>
    <xf numFmtId="0" fontId="1" fillId="11" borderId="5" xfId="0" applyFont="1" applyFill="1" applyBorder="1" applyAlignment="1">
      <alignment horizontal="center" vertical="center" wrapText="1"/>
    </xf>
    <xf numFmtId="0" fontId="1" fillId="11" borderId="19" xfId="0" applyFont="1" applyFill="1" applyBorder="1" applyAlignment="1">
      <alignment horizontal="center" vertical="center" wrapText="1"/>
    </xf>
    <xf numFmtId="0" fontId="1" fillId="11" borderId="14" xfId="0" applyFont="1" applyFill="1" applyBorder="1" applyAlignment="1">
      <alignment horizontal="center" vertical="center"/>
    </xf>
    <xf numFmtId="0" fontId="1" fillId="11" borderId="35" xfId="0" applyFont="1" applyFill="1" applyBorder="1" applyAlignment="1">
      <alignment horizontal="center" vertical="center"/>
    </xf>
    <xf numFmtId="0" fontId="1" fillId="11" borderId="13" xfId="0" applyFont="1" applyFill="1" applyBorder="1" applyAlignment="1">
      <alignment horizontal="center" vertical="center"/>
    </xf>
    <xf numFmtId="0" fontId="22" fillId="12" borderId="18" xfId="0" applyFont="1" applyFill="1" applyBorder="1" applyAlignment="1">
      <alignment horizontal="center" vertical="center"/>
    </xf>
    <xf numFmtId="0" fontId="22" fillId="12" borderId="28" xfId="0" applyFont="1" applyFill="1" applyBorder="1" applyAlignment="1">
      <alignment horizontal="center" vertical="center"/>
    </xf>
    <xf numFmtId="0" fontId="71" fillId="20" borderId="3" xfId="0" applyFont="1" applyFill="1" applyBorder="1" applyAlignment="1">
      <alignment horizontal="center" vertical="center"/>
    </xf>
    <xf numFmtId="0" fontId="71" fillId="20" borderId="4" xfId="0" applyFont="1" applyFill="1" applyBorder="1" applyAlignment="1">
      <alignment horizontal="center" vertical="center"/>
    </xf>
    <xf numFmtId="0" fontId="71" fillId="20" borderId="5" xfId="0" applyFont="1" applyFill="1" applyBorder="1" applyAlignment="1">
      <alignment horizontal="center" vertical="center"/>
    </xf>
    <xf numFmtId="0" fontId="1" fillId="11" borderId="3" xfId="0" applyFont="1" applyFill="1" applyBorder="1" applyAlignment="1">
      <alignment horizontal="center" vertical="center"/>
    </xf>
    <xf numFmtId="0" fontId="1" fillId="11" borderId="4" xfId="0" applyFont="1" applyFill="1" applyBorder="1" applyAlignment="1">
      <alignment horizontal="center" vertical="center"/>
    </xf>
    <xf numFmtId="0" fontId="1" fillId="11" borderId="15" xfId="0" applyFont="1" applyFill="1" applyBorder="1" applyAlignment="1">
      <alignment horizontal="center" vertical="center"/>
    </xf>
    <xf numFmtId="0" fontId="1" fillId="11" borderId="30" xfId="0" applyFont="1" applyFill="1" applyBorder="1" applyAlignment="1">
      <alignment horizontal="center" vertical="center" wrapText="1"/>
    </xf>
    <xf numFmtId="0" fontId="1" fillId="11" borderId="20"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22" fillId="12" borderId="21" xfId="0" applyFont="1" applyFill="1" applyBorder="1" applyAlignment="1">
      <alignment horizontal="center" vertical="center"/>
    </xf>
    <xf numFmtId="0" fontId="1" fillId="0" borderId="6" xfId="0" applyFont="1" applyBorder="1" applyAlignment="1">
      <alignment horizontal="center" vertical="center"/>
    </xf>
    <xf numFmtId="0" fontId="1" fillId="0" borderId="43" xfId="0" applyFont="1" applyBorder="1" applyAlignment="1">
      <alignment horizontal="center" vertical="center"/>
    </xf>
    <xf numFmtId="0" fontId="1" fillId="0" borderId="4" xfId="0" applyFont="1" applyFill="1" applyBorder="1" applyAlignment="1">
      <alignment horizontal="center" vertical="center"/>
    </xf>
    <xf numFmtId="0" fontId="1" fillId="0" borderId="5" xfId="0" applyFont="1" applyFill="1" applyBorder="1" applyAlignment="1">
      <alignment horizontal="center" vertical="center"/>
    </xf>
    <xf numFmtId="0" fontId="22" fillId="0" borderId="0" xfId="0" applyFont="1" applyFill="1" applyBorder="1" applyAlignment="1">
      <alignment horizontal="center" vertical="center"/>
    </xf>
    <xf numFmtId="0" fontId="1" fillId="21" borderId="52" xfId="0" applyFont="1" applyFill="1" applyBorder="1" applyAlignment="1">
      <alignment horizontal="center" vertical="center"/>
    </xf>
    <xf numFmtId="0" fontId="22" fillId="10" borderId="15" xfId="0" applyFont="1" applyFill="1" applyBorder="1" applyAlignment="1">
      <alignment horizontal="center" vertical="center"/>
    </xf>
    <xf numFmtId="0" fontId="22" fillId="10" borderId="35" xfId="0" applyFont="1" applyFill="1" applyBorder="1" applyAlignment="1">
      <alignment horizontal="center" vertical="center"/>
    </xf>
    <xf numFmtId="0" fontId="22" fillId="10" borderId="13" xfId="0" applyFont="1" applyFill="1" applyBorder="1" applyAlignment="1">
      <alignment horizontal="center" vertical="center"/>
    </xf>
    <xf numFmtId="0" fontId="71" fillId="22" borderId="15" xfId="0" applyFont="1" applyFill="1" applyBorder="1" applyAlignment="1">
      <alignment horizontal="center" vertical="center"/>
    </xf>
    <xf numFmtId="0" fontId="71" fillId="22" borderId="35" xfId="0" applyFont="1" applyFill="1" applyBorder="1" applyAlignment="1">
      <alignment horizontal="center" vertical="center"/>
    </xf>
    <xf numFmtId="0" fontId="71" fillId="22" borderId="13"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3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35"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2" xfId="0" applyFont="1" applyBorder="1" applyAlignment="1">
      <alignment horizontal="center" vertical="center"/>
    </xf>
    <xf numFmtId="0" fontId="1" fillId="0" borderId="0" xfId="0" applyFont="1" applyBorder="1" applyAlignment="1">
      <alignment horizontal="center" vertical="center"/>
    </xf>
    <xf numFmtId="0" fontId="1" fillId="0" borderId="51" xfId="0" applyFont="1" applyBorder="1" applyAlignment="1">
      <alignment horizontal="center" vertical="center"/>
    </xf>
    <xf numFmtId="0" fontId="1" fillId="0" borderId="1" xfId="0" applyFont="1" applyBorder="1" applyAlignment="1">
      <alignment horizontal="center" vertical="center"/>
    </xf>
    <xf numFmtId="0" fontId="1" fillId="0" borderId="14" xfId="0" applyFont="1" applyFill="1" applyBorder="1" applyAlignment="1">
      <alignment horizontal="center" vertical="center"/>
    </xf>
    <xf numFmtId="0" fontId="10" fillId="21" borderId="1" xfId="0" applyFont="1" applyFill="1" applyBorder="1" applyAlignment="1">
      <alignment horizontal="center" wrapText="1"/>
    </xf>
    <xf numFmtId="0" fontId="10" fillId="21" borderId="33" xfId="0" applyFont="1" applyFill="1" applyBorder="1" applyAlignment="1">
      <alignment horizontal="center" wrapText="1"/>
    </xf>
    <xf numFmtId="0" fontId="10" fillId="21" borderId="2" xfId="0" applyFont="1" applyFill="1" applyBorder="1" applyAlignment="1">
      <alignment horizontal="center" wrapText="1"/>
    </xf>
    <xf numFmtId="9" fontId="7" fillId="0" borderId="1" xfId="0" applyNumberFormat="1" applyFont="1" applyBorder="1" applyAlignment="1">
      <alignment horizontal="center" vertical="center"/>
    </xf>
    <xf numFmtId="9" fontId="7" fillId="0" borderId="43" xfId="0" applyNumberFormat="1" applyFont="1" applyBorder="1" applyAlignment="1">
      <alignment horizontal="center" vertical="center"/>
    </xf>
    <xf numFmtId="1" fontId="7" fillId="0" borderId="33" xfId="0" applyNumberFormat="1" applyFont="1" applyBorder="1" applyAlignment="1">
      <alignment horizontal="center" vertical="center"/>
    </xf>
    <xf numFmtId="1" fontId="7" fillId="0" borderId="44" xfId="0" applyNumberFormat="1" applyFont="1" applyBorder="1" applyAlignment="1">
      <alignment horizontal="center" vertical="center"/>
    </xf>
    <xf numFmtId="9" fontId="7" fillId="0" borderId="2" xfId="0" applyNumberFormat="1" applyFont="1" applyBorder="1" applyAlignment="1">
      <alignment horizontal="center" vertical="center"/>
    </xf>
    <xf numFmtId="9" fontId="7" fillId="0" borderId="51" xfId="0" applyNumberFormat="1" applyFont="1" applyBorder="1" applyAlignment="1">
      <alignment horizontal="center" vertical="center"/>
    </xf>
    <xf numFmtId="0" fontId="1" fillId="0" borderId="53" xfId="0" applyFont="1" applyBorder="1" applyAlignment="1">
      <alignment horizontal="center" vertical="center"/>
    </xf>
    <xf numFmtId="0" fontId="1" fillId="0" borderId="49" xfId="0" applyFont="1" applyBorder="1" applyAlignment="1">
      <alignment horizontal="center" vertical="center"/>
    </xf>
    <xf numFmtId="0" fontId="1" fillId="14" borderId="37" xfId="0" applyFont="1" applyFill="1" applyBorder="1" applyAlignment="1">
      <alignment horizontal="center" vertical="center" wrapText="1"/>
    </xf>
    <xf numFmtId="0" fontId="1" fillId="14" borderId="38" xfId="0" applyFont="1" applyFill="1" applyBorder="1" applyAlignment="1">
      <alignment horizontal="center" vertical="center" wrapText="1"/>
    </xf>
    <xf numFmtId="0" fontId="76" fillId="5" borderId="7" xfId="0" applyFont="1" applyFill="1" applyBorder="1" applyAlignment="1">
      <alignment horizontal="center" vertical="center"/>
    </xf>
    <xf numFmtId="0" fontId="76" fillId="5" borderId="54" xfId="0" applyFont="1" applyFill="1" applyBorder="1" applyAlignment="1">
      <alignment horizontal="center" vertical="center"/>
    </xf>
    <xf numFmtId="0" fontId="76" fillId="5" borderId="8" xfId="0" applyFont="1" applyFill="1" applyBorder="1" applyAlignment="1">
      <alignment horizontal="center" vertical="center"/>
    </xf>
    <xf numFmtId="0" fontId="1" fillId="2" borderId="4" xfId="0" applyFont="1" applyFill="1" applyBorder="1" applyAlignment="1">
      <alignment horizontal="center" vertical="center"/>
    </xf>
    <xf numFmtId="0" fontId="71" fillId="22" borderId="14" xfId="0" applyFont="1" applyFill="1" applyBorder="1" applyAlignment="1">
      <alignment horizontal="center" vertical="center"/>
    </xf>
    <xf numFmtId="0" fontId="65" fillId="7" borderId="30" xfId="0" applyFont="1" applyFill="1" applyBorder="1" applyAlignment="1">
      <alignment horizontal="center" vertical="center" wrapText="1"/>
    </xf>
    <xf numFmtId="0" fontId="65" fillId="7" borderId="24" xfId="0" applyFont="1" applyFill="1" applyBorder="1" applyAlignment="1">
      <alignment horizontal="center" vertical="center" wrapText="1"/>
    </xf>
    <xf numFmtId="0" fontId="65" fillId="7" borderId="57" xfId="0" applyFont="1" applyFill="1" applyBorder="1" applyAlignment="1">
      <alignment horizontal="center" vertical="center" wrapText="1"/>
    </xf>
    <xf numFmtId="0" fontId="77" fillId="5" borderId="7" xfId="0" applyFont="1" applyFill="1" applyBorder="1" applyAlignment="1">
      <alignment horizontal="center" vertical="center"/>
    </xf>
    <xf numFmtId="0" fontId="77" fillId="5" borderId="54" xfId="0" applyFont="1" applyFill="1" applyBorder="1" applyAlignment="1">
      <alignment horizontal="center" vertical="center"/>
    </xf>
    <xf numFmtId="0" fontId="77" fillId="5" borderId="8" xfId="0" applyFont="1" applyFill="1" applyBorder="1" applyAlignment="1">
      <alignment horizontal="center" vertical="center"/>
    </xf>
    <xf numFmtId="0" fontId="24" fillId="4" borderId="7" xfId="0" applyFont="1" applyFill="1" applyBorder="1" applyAlignment="1">
      <alignment horizontal="center" vertical="center" wrapText="1"/>
    </xf>
    <xf numFmtId="0" fontId="24" fillId="4" borderId="54" xfId="0" applyFont="1" applyFill="1" applyBorder="1" applyAlignment="1">
      <alignment horizontal="center" vertical="center" wrapText="1"/>
    </xf>
    <xf numFmtId="0" fontId="24" fillId="4" borderId="8" xfId="0" applyFont="1" applyFill="1" applyBorder="1" applyAlignment="1">
      <alignment horizontal="center" vertical="center" wrapText="1"/>
    </xf>
    <xf numFmtId="0" fontId="24" fillId="7" borderId="55" xfId="0" applyFont="1" applyFill="1" applyBorder="1" applyAlignment="1">
      <alignment horizontal="center" vertical="center" wrapText="1"/>
    </xf>
    <xf numFmtId="0" fontId="24" fillId="7" borderId="42" xfId="0" applyFont="1" applyFill="1" applyBorder="1" applyAlignment="1">
      <alignment horizontal="center" vertical="center" wrapText="1"/>
    </xf>
    <xf numFmtId="0" fontId="0" fillId="14" borderId="0" xfId="0" applyFill="1" applyAlignment="1">
      <alignment horizontal="center" vertical="center" wrapText="1"/>
    </xf>
    <xf numFmtId="0" fontId="0" fillId="15" borderId="0" xfId="0" applyFill="1" applyAlignment="1">
      <alignment horizontal="center" vertical="center" wrapText="1"/>
    </xf>
    <xf numFmtId="0" fontId="22" fillId="0" borderId="0" xfId="0" applyFont="1" applyAlignment="1">
      <alignment horizontal="center" vertical="center" wrapText="1"/>
    </xf>
    <xf numFmtId="0" fontId="22" fillId="0" borderId="0" xfId="0" applyFont="1" applyAlignment="1">
      <alignment horizontal="center" vertical="center"/>
    </xf>
    <xf numFmtId="0" fontId="55" fillId="7" borderId="0" xfId="0" applyFont="1" applyFill="1" applyAlignment="1">
      <alignment horizontal="center"/>
    </xf>
    <xf numFmtId="0" fontId="1" fillId="5" borderId="0" xfId="0" applyFont="1" applyFill="1" applyAlignment="1">
      <alignment horizontal="center" vertical="top" wrapText="1"/>
    </xf>
    <xf numFmtId="0" fontId="31" fillId="13" borderId="66" xfId="0" applyFont="1" applyFill="1" applyBorder="1" applyAlignment="1">
      <alignment horizontal="center" vertical="center" wrapText="1" readingOrder="1"/>
    </xf>
    <xf numFmtId="0" fontId="31" fillId="13" borderId="0" xfId="0" applyFont="1" applyFill="1" applyBorder="1" applyAlignment="1">
      <alignment horizontal="center" vertical="center" wrapText="1" readingOrder="1"/>
    </xf>
    <xf numFmtId="0" fontId="31" fillId="13" borderId="67" xfId="0" applyFont="1" applyFill="1" applyBorder="1" applyAlignment="1">
      <alignment horizontal="center" vertical="center" wrapText="1" readingOrder="1"/>
    </xf>
    <xf numFmtId="0" fontId="31" fillId="13" borderId="63" xfId="0" applyFont="1" applyFill="1" applyBorder="1" applyAlignment="1">
      <alignment horizontal="left" vertical="center" wrapText="1" indent="4" readingOrder="1"/>
    </xf>
    <xf numFmtId="0" fontId="31" fillId="13" borderId="65" xfId="0" applyFont="1" applyFill="1" applyBorder="1" applyAlignment="1">
      <alignment horizontal="left" vertical="center" wrapText="1" indent="4" readingOrder="1"/>
    </xf>
    <xf numFmtId="0" fontId="33" fillId="13" borderId="63" xfId="0" applyFont="1" applyFill="1" applyBorder="1" applyAlignment="1">
      <alignment horizontal="center" vertical="center" wrapText="1" readingOrder="1"/>
    </xf>
    <xf numFmtId="0" fontId="33" fillId="13" borderId="64" xfId="0" applyFont="1" applyFill="1" applyBorder="1" applyAlignment="1">
      <alignment horizontal="center" vertical="center" wrapText="1" readingOrder="1"/>
    </xf>
    <xf numFmtId="0" fontId="33" fillId="13" borderId="65" xfId="0" applyFont="1" applyFill="1" applyBorder="1" applyAlignment="1">
      <alignment horizontal="center" vertical="center" wrapText="1" readingOrder="1"/>
    </xf>
    <xf numFmtId="0" fontId="33" fillId="13" borderId="63" xfId="0" applyFont="1" applyFill="1" applyBorder="1" applyAlignment="1">
      <alignment horizontal="left" vertical="center" wrapText="1" indent="5" readingOrder="1"/>
    </xf>
    <xf numFmtId="0" fontId="33" fillId="13" borderId="64" xfId="0" applyFont="1" applyFill="1" applyBorder="1" applyAlignment="1">
      <alignment horizontal="left" vertical="center" wrapText="1" indent="5" readingOrder="1"/>
    </xf>
    <xf numFmtId="0" fontId="33" fillId="13" borderId="65" xfId="0" applyFont="1" applyFill="1" applyBorder="1" applyAlignment="1">
      <alignment horizontal="left" vertical="center" wrapText="1" indent="5" readingOrder="1"/>
    </xf>
    <xf numFmtId="0" fontId="0" fillId="0" borderId="0" xfId="0" applyBorder="1" applyAlignment="1">
      <alignment horizontal="center" vertical="center" wrapText="1"/>
    </xf>
    <xf numFmtId="0" fontId="19" fillId="0" borderId="0" xfId="0" applyFont="1" applyAlignment="1">
      <alignment horizontal="center"/>
    </xf>
    <xf numFmtId="0" fontId="8" fillId="4" borderId="7" xfId="0" applyFont="1" applyFill="1" applyBorder="1" applyAlignment="1">
      <alignment horizontal="center"/>
    </xf>
    <xf numFmtId="0" fontId="8" fillId="4" borderId="54" xfId="0" applyFont="1" applyFill="1" applyBorder="1" applyAlignment="1">
      <alignment horizontal="center"/>
    </xf>
    <xf numFmtId="0" fontId="8" fillId="4" borderId="8" xfId="0" applyFont="1" applyFill="1" applyBorder="1" applyAlignment="1">
      <alignment horizontal="center"/>
    </xf>
    <xf numFmtId="0" fontId="8" fillId="4" borderId="53" xfId="0" applyFont="1" applyFill="1" applyBorder="1" applyAlignment="1">
      <alignment horizontal="center" vertical="center" wrapText="1"/>
    </xf>
    <xf numFmtId="0" fontId="8" fillId="4" borderId="52" xfId="0" applyFont="1" applyFill="1" applyBorder="1" applyAlignment="1">
      <alignment horizontal="center" vertical="center" wrapText="1"/>
    </xf>
    <xf numFmtId="0" fontId="8" fillId="4" borderId="56" xfId="0" applyFont="1" applyFill="1" applyBorder="1" applyAlignment="1">
      <alignment horizontal="center" vertical="center" wrapText="1"/>
    </xf>
    <xf numFmtId="0" fontId="8" fillId="4" borderId="3" xfId="0" applyFont="1" applyFill="1" applyBorder="1" applyAlignment="1">
      <alignment horizontal="center" wrapText="1"/>
    </xf>
    <xf numFmtId="0" fontId="8" fillId="4" borderId="4" xfId="0" applyFont="1" applyFill="1" applyBorder="1" applyAlignment="1">
      <alignment horizontal="center" wrapText="1"/>
    </xf>
    <xf numFmtId="0" fontId="8" fillId="4" borderId="5" xfId="0" applyFont="1" applyFill="1" applyBorder="1" applyAlignment="1">
      <alignment horizontal="center" wrapText="1"/>
    </xf>
    <xf numFmtId="0" fontId="8" fillId="0" borderId="29" xfId="0" applyFont="1" applyFill="1" applyBorder="1" applyAlignment="1">
      <alignment horizontal="center" vertical="center" wrapText="1"/>
    </xf>
    <xf numFmtId="0" fontId="8" fillId="0" borderId="24" xfId="0" applyFont="1" applyFill="1" applyBorder="1" applyAlignment="1">
      <alignment horizontal="center" vertical="center" wrapText="1"/>
    </xf>
    <xf numFmtId="0" fontId="1" fillId="0" borderId="7" xfId="0" applyFont="1" applyBorder="1" applyAlignment="1">
      <alignment horizontal="center"/>
    </xf>
    <xf numFmtId="0" fontId="1" fillId="0" borderId="54" xfId="0" applyFont="1" applyBorder="1" applyAlignment="1">
      <alignment horizontal="center"/>
    </xf>
    <xf numFmtId="0" fontId="1" fillId="0" borderId="8" xfId="0" applyFont="1" applyBorder="1" applyAlignment="1">
      <alignment horizontal="center"/>
    </xf>
    <xf numFmtId="3" fontId="1" fillId="11" borderId="16" xfId="0" applyNumberFormat="1" applyFont="1" applyFill="1" applyBorder="1" applyAlignment="1">
      <alignment horizontal="center" vertical="center" wrapText="1"/>
    </xf>
    <xf numFmtId="3" fontId="1" fillId="11" borderId="18" xfId="0" applyNumberFormat="1" applyFont="1" applyFill="1" applyBorder="1" applyAlignment="1">
      <alignment horizontal="center" vertical="center" wrapText="1"/>
    </xf>
    <xf numFmtId="3" fontId="1" fillId="11" borderId="42" xfId="0" applyNumberFormat="1" applyFont="1" applyFill="1" applyBorder="1" applyAlignment="1">
      <alignment horizontal="center" vertical="center" wrapText="1"/>
    </xf>
    <xf numFmtId="3" fontId="1" fillId="11" borderId="32" xfId="0" applyNumberFormat="1" applyFont="1" applyFill="1" applyBorder="1" applyAlignment="1">
      <alignment horizontal="center" vertical="center" wrapText="1"/>
    </xf>
    <xf numFmtId="169" fontId="1" fillId="11" borderId="42" xfId="0" applyNumberFormat="1" applyFont="1" applyFill="1" applyBorder="1" applyAlignment="1">
      <alignment horizontal="center" vertical="center" wrapText="1"/>
    </xf>
    <xf numFmtId="169" fontId="1" fillId="11" borderId="32" xfId="0" applyNumberFormat="1" applyFont="1" applyFill="1" applyBorder="1" applyAlignment="1">
      <alignment horizontal="center" vertical="center" wrapText="1"/>
    </xf>
    <xf numFmtId="3" fontId="1" fillId="11" borderId="20" xfId="0" applyNumberFormat="1" applyFont="1" applyFill="1" applyBorder="1" applyAlignment="1">
      <alignment horizontal="center" vertical="center" wrapText="1"/>
    </xf>
    <xf numFmtId="3" fontId="1" fillId="11" borderId="17" xfId="0" applyNumberFormat="1" applyFont="1" applyFill="1" applyBorder="1" applyAlignment="1">
      <alignment horizontal="center" vertical="center" wrapText="1"/>
    </xf>
    <xf numFmtId="0" fontId="25" fillId="11" borderId="30" xfId="0" applyFont="1" applyFill="1" applyBorder="1" applyAlignment="1">
      <alignment horizontal="center" vertical="center" wrapText="1"/>
    </xf>
    <xf numFmtId="0" fontId="25" fillId="11" borderId="20" xfId="0" applyFont="1" applyFill="1" applyBorder="1" applyAlignment="1">
      <alignment horizontal="center" vertical="center" wrapText="1"/>
    </xf>
    <xf numFmtId="0" fontId="25" fillId="11" borderId="14" xfId="0" applyFont="1" applyFill="1" applyBorder="1" applyAlignment="1">
      <alignment horizontal="center" vertical="center" wrapText="1"/>
    </xf>
    <xf numFmtId="0" fontId="25" fillId="11" borderId="18" xfId="0" applyFont="1" applyFill="1" applyBorder="1" applyAlignment="1">
      <alignment horizontal="center" vertical="center" wrapText="1"/>
    </xf>
    <xf numFmtId="0" fontId="25" fillId="11" borderId="21" xfId="0" applyFont="1" applyFill="1" applyBorder="1" applyAlignment="1">
      <alignment horizontal="center" vertical="center" wrapText="1"/>
    </xf>
    <xf numFmtId="0" fontId="25" fillId="11" borderId="13" xfId="0" applyFont="1" applyFill="1" applyBorder="1" applyAlignment="1">
      <alignment horizontal="center" vertical="center" wrapText="1"/>
    </xf>
    <xf numFmtId="0" fontId="25" fillId="11" borderId="17" xfId="0" applyFont="1" applyFill="1" applyBorder="1" applyAlignment="1">
      <alignment horizontal="center" vertical="center" wrapText="1"/>
    </xf>
    <xf numFmtId="0" fontId="25" fillId="11" borderId="35" xfId="0" applyFont="1" applyFill="1" applyBorder="1" applyAlignment="1">
      <alignment horizontal="center" vertical="center" wrapText="1"/>
    </xf>
    <xf numFmtId="0" fontId="25" fillId="11" borderId="32"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7" fillId="7" borderId="7" xfId="0" applyFont="1" applyFill="1" applyBorder="1" applyAlignment="1">
      <alignment horizontal="center"/>
    </xf>
    <xf numFmtId="0" fontId="7" fillId="7" borderId="54" xfId="0" applyFont="1" applyFill="1" applyBorder="1" applyAlignment="1">
      <alignment horizontal="center"/>
    </xf>
    <xf numFmtId="0" fontId="7" fillId="7" borderId="8" xfId="0" applyFont="1" applyFill="1" applyBorder="1" applyAlignment="1">
      <alignment horizontal="center"/>
    </xf>
    <xf numFmtId="0" fontId="0" fillId="21" borderId="7" xfId="0" applyFill="1" applyBorder="1" applyAlignment="1">
      <alignment horizontal="center"/>
    </xf>
    <xf numFmtId="0" fontId="0" fillId="21" borderId="54" xfId="0" applyFill="1" applyBorder="1" applyAlignment="1">
      <alignment horizontal="center"/>
    </xf>
    <xf numFmtId="0" fontId="0" fillId="21" borderId="8" xfId="0" applyFill="1" applyBorder="1" applyAlignment="1">
      <alignment horizontal="center"/>
    </xf>
    <xf numFmtId="0" fontId="0" fillId="2" borderId="7" xfId="0" applyFill="1" applyBorder="1" applyAlignment="1">
      <alignment horizontal="center"/>
    </xf>
    <xf numFmtId="0" fontId="0" fillId="2" borderId="54" xfId="0" applyFill="1" applyBorder="1" applyAlignment="1">
      <alignment horizontal="center"/>
    </xf>
    <xf numFmtId="0" fontId="0" fillId="2" borderId="8" xfId="0" applyFill="1" applyBorder="1" applyAlignment="1">
      <alignment horizontal="center"/>
    </xf>
    <xf numFmtId="0" fontId="10" fillId="7" borderId="3" xfId="0" applyFont="1" applyFill="1" applyBorder="1" applyAlignment="1">
      <alignment horizontal="center" vertical="center" wrapText="1"/>
    </xf>
    <xf numFmtId="0" fontId="10" fillId="7" borderId="5"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10" fillId="7" borderId="14" xfId="0" applyFont="1" applyFill="1" applyBorder="1" applyAlignment="1">
      <alignment horizontal="center" vertical="center" wrapText="1"/>
    </xf>
    <xf numFmtId="0" fontId="10" fillId="7" borderId="13" xfId="0" applyFont="1" applyFill="1" applyBorder="1" applyAlignment="1">
      <alignment horizontal="center" vertical="center" wrapText="1"/>
    </xf>
    <xf numFmtId="0" fontId="1" fillId="21" borderId="3" xfId="0" applyFont="1" applyFill="1" applyBorder="1" applyAlignment="1">
      <alignment horizontal="center" vertical="center" wrapText="1"/>
    </xf>
    <xf numFmtId="0" fontId="1" fillId="21" borderId="5" xfId="0" applyFont="1" applyFill="1" applyBorder="1" applyAlignment="1">
      <alignment horizontal="center" vertical="center" wrapText="1"/>
    </xf>
    <xf numFmtId="0" fontId="1" fillId="8" borderId="53" xfId="0" applyFont="1" applyFill="1" applyBorder="1" applyAlignment="1">
      <alignment horizontal="center" vertical="center"/>
    </xf>
    <xf numFmtId="0" fontId="1" fillId="8" borderId="56" xfId="0" applyFont="1" applyFill="1" applyBorder="1" applyAlignment="1">
      <alignment horizontal="center" vertical="center"/>
    </xf>
    <xf numFmtId="0" fontId="0" fillId="0" borderId="58" xfId="0" applyBorder="1" applyAlignment="1">
      <alignment horizontal="center" vertical="center" wrapText="1"/>
    </xf>
    <xf numFmtId="0" fontId="0" fillId="0" borderId="44" xfId="0" applyBorder="1" applyAlignment="1">
      <alignment horizontal="center" vertical="center" wrapText="1"/>
    </xf>
    <xf numFmtId="0" fontId="1" fillId="21" borderId="14" xfId="0" applyFont="1" applyFill="1" applyBorder="1" applyAlignment="1">
      <alignment horizontal="center" vertical="center" wrapText="1"/>
    </xf>
    <xf numFmtId="0" fontId="1" fillId="21" borderId="13" xfId="0" applyFont="1" applyFill="1" applyBorder="1" applyAlignment="1">
      <alignment horizontal="center" vertical="center" wrapText="1"/>
    </xf>
    <xf numFmtId="0" fontId="1" fillId="21" borderId="4" xfId="0" applyFont="1" applyFill="1" applyBorder="1" applyAlignment="1">
      <alignment horizontal="center" vertical="center" wrapText="1"/>
    </xf>
    <xf numFmtId="0" fontId="1" fillId="23" borderId="3" xfId="0" applyFont="1" applyFill="1" applyBorder="1" applyAlignment="1">
      <alignment horizontal="center"/>
    </xf>
    <xf numFmtId="0" fontId="1" fillId="23" borderId="4" xfId="0" applyFont="1" applyFill="1" applyBorder="1" applyAlignment="1">
      <alignment horizontal="center"/>
    </xf>
    <xf numFmtId="0" fontId="1" fillId="23" borderId="5" xfId="0" applyFont="1" applyFill="1" applyBorder="1" applyAlignment="1">
      <alignment horizontal="center"/>
    </xf>
    <xf numFmtId="0" fontId="1" fillId="23" borderId="53" xfId="0" applyFont="1" applyFill="1" applyBorder="1" applyAlignment="1">
      <alignment horizontal="center" vertical="center" wrapText="1"/>
    </xf>
    <xf numFmtId="0" fontId="1" fillId="23" borderId="56" xfId="0" applyFont="1" applyFill="1" applyBorder="1" applyAlignment="1">
      <alignment horizontal="center" vertical="center" wrapText="1"/>
    </xf>
    <xf numFmtId="0" fontId="1" fillId="23" borderId="1" xfId="0" applyFont="1" applyFill="1" applyBorder="1" applyAlignment="1">
      <alignment horizontal="center" vertical="center"/>
    </xf>
    <xf numFmtId="0" fontId="1" fillId="23" borderId="43" xfId="0" applyFont="1" applyFill="1" applyBorder="1" applyAlignment="1">
      <alignment horizontal="center" vertical="center"/>
    </xf>
    <xf numFmtId="166" fontId="7" fillId="0" borderId="38" xfId="0" applyNumberFormat="1" applyFont="1" applyBorder="1" applyAlignment="1">
      <alignment horizontal="center"/>
    </xf>
    <xf numFmtId="166" fontId="7" fillId="0" borderId="19" xfId="0" applyNumberFormat="1" applyFont="1" applyBorder="1" applyAlignment="1">
      <alignment horizontal="center"/>
    </xf>
    <xf numFmtId="166" fontId="10" fillId="4" borderId="38" xfId="0" applyNumberFormat="1" applyFont="1" applyFill="1" applyBorder="1" applyAlignment="1">
      <alignment horizontal="center"/>
    </xf>
    <xf numFmtId="166" fontId="10" fillId="4" borderId="19" xfId="0" applyNumberFormat="1" applyFont="1" applyFill="1" applyBorder="1" applyAlignment="1">
      <alignment horizontal="center"/>
    </xf>
    <xf numFmtId="166" fontId="7" fillId="0" borderId="39" xfId="0" applyNumberFormat="1" applyFont="1" applyBorder="1" applyAlignment="1">
      <alignment horizontal="center"/>
    </xf>
    <xf numFmtId="166" fontId="7" fillId="0" borderId="40" xfId="0" applyNumberFormat="1" applyFont="1" applyBorder="1" applyAlignment="1">
      <alignment horizontal="center"/>
    </xf>
    <xf numFmtId="0" fontId="7" fillId="0" borderId="0" xfId="0" applyFont="1" applyAlignment="1">
      <alignment horizontal="center" wrapText="1"/>
    </xf>
    <xf numFmtId="0" fontId="7" fillId="4" borderId="1" xfId="0" applyFont="1" applyFill="1" applyBorder="1" applyAlignment="1">
      <alignment horizontal="center"/>
    </xf>
    <xf numFmtId="0" fontId="7" fillId="4" borderId="33" xfId="0" applyFont="1" applyFill="1" applyBorder="1" applyAlignment="1">
      <alignment horizontal="center"/>
    </xf>
    <xf numFmtId="0" fontId="7" fillId="4" borderId="43" xfId="0" applyFont="1" applyFill="1" applyBorder="1" applyAlignment="1">
      <alignment horizontal="center"/>
    </xf>
    <xf numFmtId="0" fontId="7" fillId="4" borderId="44" xfId="0" applyFont="1" applyFill="1" applyBorder="1" applyAlignment="1">
      <alignment horizontal="center"/>
    </xf>
    <xf numFmtId="0" fontId="10" fillId="4" borderId="7" xfId="0" applyFont="1" applyFill="1" applyBorder="1" applyAlignment="1">
      <alignment horizontal="center" vertical="center"/>
    </xf>
    <xf numFmtId="0" fontId="10" fillId="4" borderId="8" xfId="0" applyFont="1" applyFill="1" applyBorder="1" applyAlignment="1">
      <alignment horizontal="center" vertical="center"/>
    </xf>
    <xf numFmtId="0" fontId="10" fillId="4" borderId="1" xfId="0" applyFont="1" applyFill="1" applyBorder="1" applyAlignment="1">
      <alignment horizontal="center"/>
    </xf>
    <xf numFmtId="0" fontId="10" fillId="4" borderId="2" xfId="0" applyFont="1" applyFill="1" applyBorder="1" applyAlignment="1">
      <alignment horizontal="center"/>
    </xf>
    <xf numFmtId="0" fontId="10" fillId="4" borderId="33" xfId="0" applyFont="1" applyFill="1" applyBorder="1" applyAlignment="1">
      <alignment horizontal="center"/>
    </xf>
    <xf numFmtId="0" fontId="10" fillId="4" borderId="3" xfId="0" applyFont="1" applyFill="1" applyBorder="1" applyAlignment="1">
      <alignment horizontal="center" vertical="top" wrapText="1"/>
    </xf>
    <xf numFmtId="0" fontId="10" fillId="4" borderId="5"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0" fillId="4" borderId="13" xfId="0" applyFont="1" applyFill="1" applyBorder="1" applyAlignment="1">
      <alignment horizontal="center" vertical="top" wrapText="1"/>
    </xf>
    <xf numFmtId="0" fontId="10" fillId="4" borderId="23" xfId="0" applyFont="1" applyFill="1" applyBorder="1" applyAlignment="1">
      <alignment horizontal="left" vertical="center" wrapText="1"/>
    </xf>
    <xf numFmtId="0" fontId="10" fillId="4" borderId="16" xfId="0" applyFont="1" applyFill="1" applyBorder="1" applyAlignment="1">
      <alignment horizontal="left" vertical="center" wrapText="1"/>
    </xf>
    <xf numFmtId="0" fontId="10" fillId="4" borderId="37" xfId="0" applyFont="1" applyFill="1" applyBorder="1" applyAlignment="1">
      <alignment horizontal="center"/>
    </xf>
    <xf numFmtId="0" fontId="10" fillId="4" borderId="5" xfId="0" applyFont="1" applyFill="1" applyBorder="1" applyAlignment="1">
      <alignment horizontal="center"/>
    </xf>
  </cellXfs>
  <cellStyles count="7">
    <cellStyle name="Comma 2" xfId="3" xr:uid="{7B739A6F-5C05-4D19-91A3-57D5628C2045}"/>
    <cellStyle name="Input" xfId="5" builtinId="20"/>
    <cellStyle name="Normal" xfId="0" builtinId="0"/>
    <cellStyle name="Normal 2" xfId="2" xr:uid="{B5D4EF30-79E3-491C-A9CF-E320233ADC40}"/>
    <cellStyle name="Note" xfId="6" builtinId="10"/>
    <cellStyle name="Percent" xfId="1" builtinId="5"/>
    <cellStyle name="Percent 2" xfId="4" xr:uid="{9C1ED8FD-F136-482F-9EBA-29B766DB2C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702314288368982E-2"/>
          <c:y val="4.743695375288845E-2"/>
          <c:w val="0.88502803993529144"/>
          <c:h val="0.8799340278817176"/>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(results)'!$AB$10:$AB$60</c:f>
              <c:numCache>
                <c:formatCode>_(* #,##0_);_(* \(#,##0\);_(* "-"_);_(@_)</c:formatCode>
                <c:ptCount val="51"/>
                <c:pt idx="0">
                  <c:v>33528.3309349806</c:v>
                </c:pt>
                <c:pt idx="1">
                  <c:v>34469.810907989464</c:v>
                </c:pt>
                <c:pt idx="2">
                  <c:v>35412.983775452405</c:v>
                </c:pt>
                <c:pt idx="3">
                  <c:v>36379.073737215571</c:v>
                </c:pt>
                <c:pt idx="4">
                  <c:v>37370.770777971054</c:v>
                </c:pt>
                <c:pt idx="5">
                  <c:v>38414.426653730472</c:v>
                </c:pt>
                <c:pt idx="6">
                  <c:v>39524.402695284509</c:v>
                </c:pt>
                <c:pt idx="7">
                  <c:v>40705.232927047364</c:v>
                </c:pt>
                <c:pt idx="8">
                  <c:v>41939.791501397129</c:v>
                </c:pt>
                <c:pt idx="9">
                  <c:v>43156.966831190861</c:v>
                </c:pt>
                <c:pt idx="10">
                  <c:v>44381.188231769273</c:v>
                </c:pt>
                <c:pt idx="11">
                  <c:v>45620.31708442363</c:v>
                </c:pt>
                <c:pt idx="12">
                  <c:v>46786.826642163171</c:v>
                </c:pt>
                <c:pt idx="13">
                  <c:v>47922.143147117175</c:v>
                </c:pt>
                <c:pt idx="14">
                  <c:v>49017.417650013667</c:v>
                </c:pt>
                <c:pt idx="15">
                  <c:v>50061.312061966259</c:v>
                </c:pt>
                <c:pt idx="16">
                  <c:v>51043.400559289759</c:v>
                </c:pt>
                <c:pt idx="17">
                  <c:v>51963.320353987379</c:v>
                </c:pt>
                <c:pt idx="18">
                  <c:v>52845.896117138604</c:v>
                </c:pt>
                <c:pt idx="19">
                  <c:v>53542.560777265862</c:v>
                </c:pt>
                <c:pt idx="20">
                  <c:v>53940.95863026959</c:v>
                </c:pt>
                <c:pt idx="21">
                  <c:v>54128.325563369923</c:v>
                </c:pt>
                <c:pt idx="22">
                  <c:v>54237.882423504067</c:v>
                </c:pt>
                <c:pt idx="23">
                  <c:v>54268.697553090882</c:v>
                </c:pt>
                <c:pt idx="24">
                  <c:v>54226.13620883882</c:v>
                </c:pt>
                <c:pt idx="25">
                  <c:v>54073.805220483817</c:v>
                </c:pt>
                <c:pt idx="26">
                  <c:v>53890.285488071415</c:v>
                </c:pt>
                <c:pt idx="27">
                  <c:v>53653.021456915405</c:v>
                </c:pt>
                <c:pt idx="28">
                  <c:v>53267.513335044896</c:v>
                </c:pt>
                <c:pt idx="29">
                  <c:v>52851.753866593193</c:v>
                </c:pt>
                <c:pt idx="30">
                  <c:v>52410.166995883759</c:v>
                </c:pt>
                <c:pt idx="31">
                  <c:v>52036.783508670756</c:v>
                </c:pt>
                <c:pt idx="32">
                  <c:v>51663.226566620462</c:v>
                </c:pt>
                <c:pt idx="33">
                  <c:v>51295.701870982906</c:v>
                </c:pt>
                <c:pt idx="34">
                  <c:v>50935.011991114996</c:v>
                </c:pt>
                <c:pt idx="35">
                  <c:v>50582.241314208572</c:v>
                </c:pt>
                <c:pt idx="36">
                  <c:v>50297.443594937577</c:v>
                </c:pt>
                <c:pt idx="37">
                  <c:v>50052.762376223895</c:v>
                </c:pt>
                <c:pt idx="38">
                  <c:v>49805.032047052911</c:v>
                </c:pt>
                <c:pt idx="39">
                  <c:v>49566.38637658739</c:v>
                </c:pt>
                <c:pt idx="40">
                  <c:v>49338.259723246403</c:v>
                </c:pt>
                <c:pt idx="41">
                  <c:v>48969.955941384615</c:v>
                </c:pt>
                <c:pt idx="42">
                  <c:v>48583.076638081642</c:v>
                </c:pt>
                <c:pt idx="43">
                  <c:v>48179.558191670447</c:v>
                </c:pt>
                <c:pt idx="44">
                  <c:v>47761.369154753542</c:v>
                </c:pt>
                <c:pt idx="45">
                  <c:v>47331.715403361435</c:v>
                </c:pt>
                <c:pt idx="46">
                  <c:v>46884.917450065026</c:v>
                </c:pt>
                <c:pt idx="47">
                  <c:v>46429.46973258278</c:v>
                </c:pt>
                <c:pt idx="48">
                  <c:v>45998.949287914002</c:v>
                </c:pt>
                <c:pt idx="49">
                  <c:v>45569.136493388578</c:v>
                </c:pt>
                <c:pt idx="50">
                  <c:v>45141.449240791655</c:v>
                </c:pt>
              </c:numCache>
            </c:numRef>
          </c:val>
          <c:extLst>
            <c:ext xmlns:c16="http://schemas.microsoft.com/office/drawing/2014/chart" uri="{C3380CC4-5D6E-409C-BE32-E72D297353CC}">
              <c16:uniqueId val="{00000000-1368-4683-ACD2-8BBEAA920959}"/>
            </c:ext>
          </c:extLst>
        </c:ser>
        <c:ser>
          <c:idx val="1"/>
          <c:order val="1"/>
          <c:tx>
            <c:strRef>
              <c:f>'Output data (results)'!$AN$7:$AN$8</c:f>
              <c:strCache>
                <c:ptCount val="2"/>
                <c:pt idx="0">
                  <c:v>Total Waste Emissions</c:v>
                </c:pt>
                <c:pt idx="1">
                  <c:v>Case 2-B</c:v>
                </c:pt>
              </c:strCache>
            </c:strRef>
          </c:tx>
          <c:spPr>
            <a:solidFill>
              <a:schemeClr val="accent4">
                <a:lumMod val="60000"/>
                <a:lumOff val="40000"/>
              </a:schemeClr>
            </a:solidFill>
            <a:ln w="19050">
              <a:solidFill>
                <a:schemeClr val="accent2">
                  <a:lumMod val="50000"/>
                </a:schemeClr>
              </a:solidFill>
            </a:ln>
            <a:effectLst/>
          </c:spPr>
          <c:invertIfNegative val="0"/>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(results)'!$AN$10:$AN$60</c:f>
              <c:numCache>
                <c:formatCode>_(* #,##0_);_(* \(#,##0\);_(* "-"_);_(@_)</c:formatCode>
                <c:ptCount val="51"/>
                <c:pt idx="0">
                  <c:v>33528.3309349806</c:v>
                </c:pt>
                <c:pt idx="1">
                  <c:v>34469.810907989464</c:v>
                </c:pt>
                <c:pt idx="2">
                  <c:v>35412.983775452405</c:v>
                </c:pt>
                <c:pt idx="3">
                  <c:v>36379.073737215571</c:v>
                </c:pt>
                <c:pt idx="4">
                  <c:v>37370.770777971054</c:v>
                </c:pt>
                <c:pt idx="5">
                  <c:v>38414.426653730472</c:v>
                </c:pt>
                <c:pt idx="6">
                  <c:v>39524.402695284509</c:v>
                </c:pt>
                <c:pt idx="7">
                  <c:v>40705.232927047364</c:v>
                </c:pt>
                <c:pt idx="8">
                  <c:v>41939.791501397129</c:v>
                </c:pt>
                <c:pt idx="9">
                  <c:v>43156.966831190861</c:v>
                </c:pt>
                <c:pt idx="10">
                  <c:v>44381.188231769273</c:v>
                </c:pt>
                <c:pt idx="11">
                  <c:v>45620.31708442363</c:v>
                </c:pt>
                <c:pt idx="12">
                  <c:v>46786.826642163171</c:v>
                </c:pt>
                <c:pt idx="13">
                  <c:v>47922.143147117175</c:v>
                </c:pt>
                <c:pt idx="14">
                  <c:v>49017.417650013667</c:v>
                </c:pt>
                <c:pt idx="15">
                  <c:v>50061.312061966259</c:v>
                </c:pt>
                <c:pt idx="16">
                  <c:v>51043.400559289759</c:v>
                </c:pt>
                <c:pt idx="17">
                  <c:v>51963.320353987379</c:v>
                </c:pt>
                <c:pt idx="18">
                  <c:v>52910.186414786149</c:v>
                </c:pt>
                <c:pt idx="19">
                  <c:v>53355.57319085479</c:v>
                </c:pt>
                <c:pt idx="20">
                  <c:v>53515.458667570645</c:v>
                </c:pt>
                <c:pt idx="21">
                  <c:v>53175.873535709165</c:v>
                </c:pt>
                <c:pt idx="22">
                  <c:v>52364.935121593269</c:v>
                </c:pt>
                <c:pt idx="23">
                  <c:v>51669.006464508609</c:v>
                </c:pt>
                <c:pt idx="24">
                  <c:v>50974.943989046573</c:v>
                </c:pt>
                <c:pt idx="25">
                  <c:v>50279.277529947409</c:v>
                </c:pt>
                <c:pt idx="26">
                  <c:v>49596.683851900532</c:v>
                </c:pt>
                <c:pt idx="27">
                  <c:v>48914.051469188635</c:v>
                </c:pt>
                <c:pt idx="28">
                  <c:v>48231.089432837798</c:v>
                </c:pt>
                <c:pt idx="29">
                  <c:v>47547.752157836832</c:v>
                </c:pt>
                <c:pt idx="30">
                  <c:v>46863.794830238679</c:v>
                </c:pt>
                <c:pt idx="31">
                  <c:v>46069.073029953513</c:v>
                </c:pt>
                <c:pt idx="32">
                  <c:v>45274.354318336031</c:v>
                </c:pt>
                <c:pt idx="33">
                  <c:v>44554.390017804108</c:v>
                </c:pt>
                <c:pt idx="34">
                  <c:v>43836.632670936058</c:v>
                </c:pt>
                <c:pt idx="35">
                  <c:v>43121.182099453028</c:v>
                </c:pt>
                <c:pt idx="36">
                  <c:v>42400.627644480577</c:v>
                </c:pt>
                <c:pt idx="37">
                  <c:v>41649.94923198071</c:v>
                </c:pt>
                <c:pt idx="38">
                  <c:v>40870.830430858681</c:v>
                </c:pt>
                <c:pt idx="39">
                  <c:v>40208.651518595485</c:v>
                </c:pt>
                <c:pt idx="40">
                  <c:v>39615.750586547423</c:v>
                </c:pt>
                <c:pt idx="41">
                  <c:v>39009.600051265552</c:v>
                </c:pt>
                <c:pt idx="42">
                  <c:v>38467.611283717728</c:v>
                </c:pt>
                <c:pt idx="43">
                  <c:v>37987.860577103667</c:v>
                </c:pt>
                <c:pt idx="44">
                  <c:v>37568.620554207802</c:v>
                </c:pt>
                <c:pt idx="45">
                  <c:v>37209.447234906307</c:v>
                </c:pt>
                <c:pt idx="46">
                  <c:v>36901.462198129055</c:v>
                </c:pt>
                <c:pt idx="47">
                  <c:v>36650.883483008292</c:v>
                </c:pt>
                <c:pt idx="48">
                  <c:v>36454.723548878574</c:v>
                </c:pt>
                <c:pt idx="49">
                  <c:v>36312.79526161278</c:v>
                </c:pt>
                <c:pt idx="50">
                  <c:v>36224.669861706134</c:v>
                </c:pt>
              </c:numCache>
            </c:numRef>
          </c:val>
          <c:extLst>
            <c:ext xmlns:c16="http://schemas.microsoft.com/office/drawing/2014/chart" uri="{C3380CC4-5D6E-409C-BE32-E72D297353CC}">
              <c16:uniqueId val="{00000001-1368-4683-ACD2-8BBEAA920959}"/>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(results)'!$AZ$10:$AZ$59</c:f>
              <c:numCache>
                <c:formatCode>_(* #,##0_);_(* \(#,##0\);_(* "-"_);_(@_)</c:formatCode>
                <c:ptCount val="50"/>
                <c:pt idx="0">
                  <c:v>33528.3309349806</c:v>
                </c:pt>
                <c:pt idx="1">
                  <c:v>34469.810907989464</c:v>
                </c:pt>
                <c:pt idx="2">
                  <c:v>35412.983775452405</c:v>
                </c:pt>
                <c:pt idx="3">
                  <c:v>36379.073737215571</c:v>
                </c:pt>
                <c:pt idx="4">
                  <c:v>37370.770777971054</c:v>
                </c:pt>
                <c:pt idx="5">
                  <c:v>38414.426653730472</c:v>
                </c:pt>
                <c:pt idx="6">
                  <c:v>39524.402695284509</c:v>
                </c:pt>
                <c:pt idx="7">
                  <c:v>40705.232927047364</c:v>
                </c:pt>
                <c:pt idx="8">
                  <c:v>41939.791501397129</c:v>
                </c:pt>
                <c:pt idx="9">
                  <c:v>43156.966831190861</c:v>
                </c:pt>
                <c:pt idx="10">
                  <c:v>44381.188231769273</c:v>
                </c:pt>
                <c:pt idx="11">
                  <c:v>45620.31708442363</c:v>
                </c:pt>
                <c:pt idx="12">
                  <c:v>46786.826642163171</c:v>
                </c:pt>
                <c:pt idx="13">
                  <c:v>47922.143147117175</c:v>
                </c:pt>
                <c:pt idx="14">
                  <c:v>49017.417650013667</c:v>
                </c:pt>
                <c:pt idx="15">
                  <c:v>50061.312061966259</c:v>
                </c:pt>
                <c:pt idx="16">
                  <c:v>51043.400559289759</c:v>
                </c:pt>
                <c:pt idx="17">
                  <c:v>51963.320353987379</c:v>
                </c:pt>
                <c:pt idx="18">
                  <c:v>52798.065393442375</c:v>
                </c:pt>
                <c:pt idx="19">
                  <c:v>53122.775302865011</c:v>
                </c:pt>
                <c:pt idx="20">
                  <c:v>53190.090726462127</c:v>
                </c:pt>
                <c:pt idx="21">
                  <c:v>52799.138278482271</c:v>
                </c:pt>
                <c:pt idx="22">
                  <c:v>52001.783001751166</c:v>
                </c:pt>
                <c:pt idx="23">
                  <c:v>51314.607949927231</c:v>
                </c:pt>
                <c:pt idx="24">
                  <c:v>50630.015561503977</c:v>
                </c:pt>
                <c:pt idx="25">
                  <c:v>49944.445107778425</c:v>
                </c:pt>
                <c:pt idx="26">
                  <c:v>49272.764441168576</c:v>
                </c:pt>
                <c:pt idx="27">
                  <c:v>48601.781976008271</c:v>
                </c:pt>
                <c:pt idx="28">
                  <c:v>47931.139207087166</c:v>
                </c:pt>
                <c:pt idx="29">
                  <c:v>47260.847893695158</c:v>
                </c:pt>
                <c:pt idx="30">
                  <c:v>46590.70141087845</c:v>
                </c:pt>
                <c:pt idx="31">
                  <c:v>45812.872221168931</c:v>
                </c:pt>
                <c:pt idx="32">
                  <c:v>45035.507532471631</c:v>
                </c:pt>
                <c:pt idx="33">
                  <c:v>44311.682077306643</c:v>
                </c:pt>
                <c:pt idx="34">
                  <c:v>43589.858048153896</c:v>
                </c:pt>
                <c:pt idx="35">
                  <c:v>42870.127885479524</c:v>
                </c:pt>
                <c:pt idx="36">
                  <c:v>42145.362005056755</c:v>
                </c:pt>
                <c:pt idx="37">
                  <c:v>41390.325885017017</c:v>
                </c:pt>
                <c:pt idx="38">
                  <c:v>40606.784891108291</c:v>
                </c:pt>
                <c:pt idx="39">
                  <c:v>39883.55424374657</c:v>
                </c:pt>
                <c:pt idx="40">
                  <c:v>39227.993623800816</c:v>
                </c:pt>
                <c:pt idx="41">
                  <c:v>38587.171750870002</c:v>
                </c:pt>
                <c:pt idx="42">
                  <c:v>38009.804351618011</c:v>
                </c:pt>
                <c:pt idx="43">
                  <c:v>37494.008686896828</c:v>
                </c:pt>
                <c:pt idx="44">
                  <c:v>37037.964090576126</c:v>
                </c:pt>
                <c:pt idx="45">
                  <c:v>36640.825415551648</c:v>
                </c:pt>
                <c:pt idx="46">
                  <c:v>36294.044489139487</c:v>
                </c:pt>
                <c:pt idx="47">
                  <c:v>36003.698644873475</c:v>
                </c:pt>
                <c:pt idx="48">
                  <c:v>35767.516696355073</c:v>
                </c:pt>
                <c:pt idx="49">
                  <c:v>35584.483035186793</c:v>
                </c:pt>
              </c:numCache>
            </c:numRef>
          </c:val>
          <c:extLst>
            <c:ext xmlns:c16="http://schemas.microsoft.com/office/drawing/2014/chart" uri="{C3380CC4-5D6E-409C-BE32-E72D297353CC}">
              <c16:uniqueId val="{00000002-1368-4683-ACD2-8BBEAA920959}"/>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val>
            <c:numRef>
              <c:f>'Output data (results)'!$AH$10:$AH$60</c:f>
              <c:numCache>
                <c:formatCode>_(* #,##0_);_(* \(#,##0\);_(* "-"_);_(@_)</c:formatCode>
                <c:ptCount val="51"/>
                <c:pt idx="0">
                  <c:v>33528.3309349806</c:v>
                </c:pt>
                <c:pt idx="1">
                  <c:v>34469.810907989464</c:v>
                </c:pt>
                <c:pt idx="2">
                  <c:v>35412.983775452405</c:v>
                </c:pt>
                <c:pt idx="3">
                  <c:v>36379.073737215571</c:v>
                </c:pt>
                <c:pt idx="4">
                  <c:v>37370.770777971054</c:v>
                </c:pt>
                <c:pt idx="5">
                  <c:v>38414.426653730472</c:v>
                </c:pt>
                <c:pt idx="6">
                  <c:v>39524.402695284509</c:v>
                </c:pt>
                <c:pt idx="7">
                  <c:v>40705.232927047364</c:v>
                </c:pt>
                <c:pt idx="8">
                  <c:v>41939.791501397129</c:v>
                </c:pt>
                <c:pt idx="9">
                  <c:v>43156.966831190861</c:v>
                </c:pt>
                <c:pt idx="10">
                  <c:v>44381.188231769273</c:v>
                </c:pt>
                <c:pt idx="11">
                  <c:v>45620.31708442363</c:v>
                </c:pt>
                <c:pt idx="12">
                  <c:v>46786.826642163171</c:v>
                </c:pt>
                <c:pt idx="13">
                  <c:v>47922.143147117175</c:v>
                </c:pt>
                <c:pt idx="14">
                  <c:v>49017.417650013667</c:v>
                </c:pt>
                <c:pt idx="15">
                  <c:v>50061.312061966259</c:v>
                </c:pt>
                <c:pt idx="16">
                  <c:v>51043.400559289759</c:v>
                </c:pt>
                <c:pt idx="17">
                  <c:v>51963.320353987379</c:v>
                </c:pt>
                <c:pt idx="18">
                  <c:v>52845.896117138604</c:v>
                </c:pt>
                <c:pt idx="19">
                  <c:v>53515.329998533576</c:v>
                </c:pt>
                <c:pt idx="20">
                  <c:v>53816.493546088946</c:v>
                </c:pt>
                <c:pt idx="21">
                  <c:v>54006.486540194361</c:v>
                </c:pt>
                <c:pt idx="22">
                  <c:v>54106.738124091324</c:v>
                </c:pt>
                <c:pt idx="23">
                  <c:v>54136.184399001148</c:v>
                </c:pt>
                <c:pt idx="24">
                  <c:v>54087.413826569522</c:v>
                </c:pt>
                <c:pt idx="25">
                  <c:v>53969.071661138587</c:v>
                </c:pt>
                <c:pt idx="26">
                  <c:v>53787.128158668049</c:v>
                </c:pt>
                <c:pt idx="27">
                  <c:v>53551.877589758806</c:v>
                </c:pt>
                <c:pt idx="28">
                  <c:v>53173.49977610202</c:v>
                </c:pt>
                <c:pt idx="29">
                  <c:v>52764.909270936194</c:v>
                </c:pt>
                <c:pt idx="30">
                  <c:v>52330.353939793684</c:v>
                </c:pt>
                <c:pt idx="31">
                  <c:v>51893.718650724812</c:v>
                </c:pt>
                <c:pt idx="32">
                  <c:v>51479.962750303879</c:v>
                </c:pt>
                <c:pt idx="33">
                  <c:v>51087.186634948397</c:v>
                </c:pt>
                <c:pt idx="34">
                  <c:v>50714.538809610603</c:v>
                </c:pt>
                <c:pt idx="35">
                  <c:v>50360.969549382862</c:v>
                </c:pt>
                <c:pt idx="36">
                  <c:v>50018.299742950396</c:v>
                </c:pt>
                <c:pt idx="37">
                  <c:v>49726.03870836748</c:v>
                </c:pt>
                <c:pt idx="38">
                  <c:v>49441.768071944272</c:v>
                </c:pt>
                <c:pt idx="39">
                  <c:v>49176.344038414718</c:v>
                </c:pt>
                <c:pt idx="40">
                  <c:v>48929.137858960894</c:v>
                </c:pt>
                <c:pt idx="41">
                  <c:v>48692.654702372209</c:v>
                </c:pt>
                <c:pt idx="42">
                  <c:v>48472.604345640306</c:v>
                </c:pt>
                <c:pt idx="43">
                  <c:v>48268.38417965726</c:v>
                </c:pt>
                <c:pt idx="44">
                  <c:v>48079.317684911599</c:v>
                </c:pt>
                <c:pt idx="45">
                  <c:v>47905.236318859599</c:v>
                </c:pt>
                <c:pt idx="46">
                  <c:v>47738.309879363282</c:v>
                </c:pt>
                <c:pt idx="47">
                  <c:v>47585.173564142882</c:v>
                </c:pt>
                <c:pt idx="48">
                  <c:v>47479.220057648548</c:v>
                </c:pt>
                <c:pt idx="49">
                  <c:v>47393.656241087199</c:v>
                </c:pt>
                <c:pt idx="50">
                  <c:v>47328.200736661573</c:v>
                </c:pt>
              </c:numCache>
            </c:numRef>
          </c:val>
          <c:extLst>
            <c:ext xmlns:c16="http://schemas.microsoft.com/office/drawing/2014/chart" uri="{C3380CC4-5D6E-409C-BE32-E72D297353CC}">
              <c16:uniqueId val="{00000004-57E9-48EE-91C5-C38519D8B5D9}"/>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val>
            <c:numRef>
              <c:f>'Output data (results)'!$AT$10:$AT$60</c:f>
              <c:numCache>
                <c:formatCode>_(* #,##0_);_(* \(#,##0\);_(* "-"_);_(@_)</c:formatCode>
                <c:ptCount val="51"/>
                <c:pt idx="0">
                  <c:v>33528.3309349806</c:v>
                </c:pt>
                <c:pt idx="1">
                  <c:v>34469.810907989464</c:v>
                </c:pt>
                <c:pt idx="2">
                  <c:v>35412.983775452405</c:v>
                </c:pt>
                <c:pt idx="3">
                  <c:v>36379.073737215571</c:v>
                </c:pt>
                <c:pt idx="4">
                  <c:v>37370.770777971054</c:v>
                </c:pt>
                <c:pt idx="5">
                  <c:v>38414.426653730472</c:v>
                </c:pt>
                <c:pt idx="6">
                  <c:v>39524.402695284509</c:v>
                </c:pt>
                <c:pt idx="7">
                  <c:v>40705.232927047364</c:v>
                </c:pt>
                <c:pt idx="8">
                  <c:v>41939.791501397129</c:v>
                </c:pt>
                <c:pt idx="9">
                  <c:v>43156.966831190861</c:v>
                </c:pt>
                <c:pt idx="10">
                  <c:v>44381.188231769273</c:v>
                </c:pt>
                <c:pt idx="11">
                  <c:v>45620.31708442363</c:v>
                </c:pt>
                <c:pt idx="12">
                  <c:v>46786.826642163171</c:v>
                </c:pt>
                <c:pt idx="13">
                  <c:v>47922.143147117175</c:v>
                </c:pt>
                <c:pt idx="14">
                  <c:v>49017.417650013667</c:v>
                </c:pt>
                <c:pt idx="15">
                  <c:v>50061.312061966259</c:v>
                </c:pt>
                <c:pt idx="16">
                  <c:v>51043.400559289759</c:v>
                </c:pt>
                <c:pt idx="17">
                  <c:v>51963.320353987379</c:v>
                </c:pt>
                <c:pt idx="18">
                  <c:v>52798.065393442375</c:v>
                </c:pt>
                <c:pt idx="19">
                  <c:v>53100.725901173595</c:v>
                </c:pt>
                <c:pt idx="20">
                  <c:v>53095.244690674692</c:v>
                </c:pt>
                <c:pt idx="21">
                  <c:v>52704.120107023708</c:v>
                </c:pt>
                <c:pt idx="22">
                  <c:v>52001.709226952938</c:v>
                </c:pt>
                <c:pt idx="23">
                  <c:v>51410.193756976078</c:v>
                </c:pt>
                <c:pt idx="24">
                  <c:v>50810.493976771715</c:v>
                </c:pt>
                <c:pt idx="25">
                  <c:v>50203.107901349111</c:v>
                </c:pt>
                <c:pt idx="26">
                  <c:v>49579.809975705415</c:v>
                </c:pt>
                <c:pt idx="27">
                  <c:v>48949.735927360722</c:v>
                </c:pt>
                <c:pt idx="28">
                  <c:v>48313.150350279786</c:v>
                </c:pt>
                <c:pt idx="29">
                  <c:v>47670.612380508392</c:v>
                </c:pt>
                <c:pt idx="30">
                  <c:v>47022.397200634608</c:v>
                </c:pt>
                <c:pt idx="31">
                  <c:v>46261.21493000941</c:v>
                </c:pt>
                <c:pt idx="32">
                  <c:v>45540.921230631779</c:v>
                </c:pt>
                <c:pt idx="33">
                  <c:v>44912.693785767347</c:v>
                </c:pt>
                <c:pt idx="34">
                  <c:v>44323.078511681437</c:v>
                </c:pt>
                <c:pt idx="35">
                  <c:v>43770.382279483849</c:v>
                </c:pt>
                <c:pt idx="36">
                  <c:v>43245.777024227129</c:v>
                </c:pt>
                <c:pt idx="37">
                  <c:v>42754.895026710976</c:v>
                </c:pt>
                <c:pt idx="38">
                  <c:v>42296.380620018841</c:v>
                </c:pt>
                <c:pt idx="39">
                  <c:v>41868.72683943942</c:v>
                </c:pt>
                <c:pt idx="40">
                  <c:v>41470.798574170025</c:v>
                </c:pt>
                <c:pt idx="41">
                  <c:v>41094.652778405725</c:v>
                </c:pt>
                <c:pt idx="42">
                  <c:v>40745.862531797764</c:v>
                </c:pt>
                <c:pt idx="43">
                  <c:v>40423.457737628065</c:v>
                </c:pt>
                <c:pt idx="44">
                  <c:v>40126.377883508598</c:v>
                </c:pt>
                <c:pt idx="45">
                  <c:v>39854.02336281613</c:v>
                </c:pt>
                <c:pt idx="46">
                  <c:v>39598.210738233531</c:v>
                </c:pt>
                <c:pt idx="47">
                  <c:v>39365.473489142692</c:v>
                </c:pt>
                <c:pt idx="48">
                  <c:v>39154.737021639186</c:v>
                </c:pt>
                <c:pt idx="49">
                  <c:v>38965.257040704848</c:v>
                </c:pt>
                <c:pt idx="50">
                  <c:v>38796.643947465782</c:v>
                </c:pt>
              </c:numCache>
            </c:numRef>
          </c:val>
          <c:extLst>
            <c:ext xmlns:c16="http://schemas.microsoft.com/office/drawing/2014/chart" uri="{C3380CC4-5D6E-409C-BE32-E72D297353CC}">
              <c16:uniqueId val="{00000005-57E9-48EE-91C5-C38519D8B5D9}"/>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val>
            <c:numRef>
              <c:f>'Output data (results)'!$BF$10:$BF$60</c:f>
              <c:numCache>
                <c:formatCode>_(* #,##0_);_(* \(#,##0\);_(* "-"_);_(@_)</c:formatCode>
                <c:ptCount val="51"/>
                <c:pt idx="0">
                  <c:v>33528.3309349806</c:v>
                </c:pt>
                <c:pt idx="1">
                  <c:v>34469.810907989464</c:v>
                </c:pt>
                <c:pt idx="2">
                  <c:v>35412.983775452405</c:v>
                </c:pt>
                <c:pt idx="3">
                  <c:v>36379.073737215571</c:v>
                </c:pt>
                <c:pt idx="4">
                  <c:v>37370.770777971054</c:v>
                </c:pt>
                <c:pt idx="5">
                  <c:v>38414.426653730472</c:v>
                </c:pt>
                <c:pt idx="6">
                  <c:v>39524.402695284509</c:v>
                </c:pt>
                <c:pt idx="7">
                  <c:v>40705.232927047364</c:v>
                </c:pt>
                <c:pt idx="8">
                  <c:v>41939.791501397129</c:v>
                </c:pt>
                <c:pt idx="9">
                  <c:v>43156.966831190861</c:v>
                </c:pt>
                <c:pt idx="10">
                  <c:v>44381.188231769273</c:v>
                </c:pt>
                <c:pt idx="11">
                  <c:v>45620.31708442363</c:v>
                </c:pt>
                <c:pt idx="12">
                  <c:v>46786.826642163171</c:v>
                </c:pt>
                <c:pt idx="13">
                  <c:v>47922.143147117175</c:v>
                </c:pt>
                <c:pt idx="14">
                  <c:v>49017.417650013667</c:v>
                </c:pt>
                <c:pt idx="15">
                  <c:v>50061.312061966259</c:v>
                </c:pt>
                <c:pt idx="16">
                  <c:v>51043.400559289759</c:v>
                </c:pt>
                <c:pt idx="17">
                  <c:v>51963.320353987379</c:v>
                </c:pt>
                <c:pt idx="18">
                  <c:v>52798.065393442375</c:v>
                </c:pt>
                <c:pt idx="19">
                  <c:v>53122.775302865011</c:v>
                </c:pt>
                <c:pt idx="20">
                  <c:v>53190.090726462127</c:v>
                </c:pt>
                <c:pt idx="21">
                  <c:v>52799.138278482285</c:v>
                </c:pt>
                <c:pt idx="22">
                  <c:v>52001.783001751173</c:v>
                </c:pt>
                <c:pt idx="23">
                  <c:v>51410.303275687023</c:v>
                </c:pt>
                <c:pt idx="24">
                  <c:v>50810.645719347631</c:v>
                </c:pt>
                <c:pt idx="25">
                  <c:v>50203.308162259782</c:v>
                </c:pt>
                <c:pt idx="26">
                  <c:v>49580.064877907032</c:v>
                </c:pt>
                <c:pt idx="27">
                  <c:v>48950.051310742099</c:v>
                </c:pt>
                <c:pt idx="28">
                  <c:v>48313.531886990473</c:v>
                </c:pt>
                <c:pt idx="29">
                  <c:v>47671.065584595111</c:v>
                </c:pt>
                <c:pt idx="30">
                  <c:v>47022.927442395136</c:v>
                </c:pt>
                <c:pt idx="31">
                  <c:v>46261.827445419629</c:v>
                </c:pt>
                <c:pt idx="32">
                  <c:v>45541.612194316593</c:v>
                </c:pt>
                <c:pt idx="33">
                  <c:v>44913.459603702009</c:v>
                </c:pt>
                <c:pt idx="34">
                  <c:v>44323.91580600322</c:v>
                </c:pt>
                <c:pt idx="35">
                  <c:v>43771.287879334908</c:v>
                </c:pt>
                <c:pt idx="36">
                  <c:v>43246.747950268298</c:v>
                </c:pt>
                <c:pt idx="37">
                  <c:v>42755.928339291371</c:v>
                </c:pt>
                <c:pt idx="38">
                  <c:v>42297.47355582624</c:v>
                </c:pt>
                <c:pt idx="39">
                  <c:v>41957.230169922084</c:v>
                </c:pt>
                <c:pt idx="40">
                  <c:v>41648.847265364828</c:v>
                </c:pt>
                <c:pt idx="41">
                  <c:v>41318.954316047435</c:v>
                </c:pt>
                <c:pt idx="42">
                  <c:v>41017.239806417849</c:v>
                </c:pt>
                <c:pt idx="43">
                  <c:v>40742.683229519906</c:v>
                </c:pt>
                <c:pt idx="44">
                  <c:v>40494.336669550976</c:v>
                </c:pt>
                <c:pt idx="45">
                  <c:v>40272.068197625107</c:v>
                </c:pt>
                <c:pt idx="46">
                  <c:v>40067.521805525779</c:v>
                </c:pt>
                <c:pt idx="47">
                  <c:v>39887.174469278478</c:v>
                </c:pt>
                <c:pt idx="48">
                  <c:v>39729.11938327329</c:v>
                </c:pt>
                <c:pt idx="49">
                  <c:v>39593.590433369318</c:v>
                </c:pt>
                <c:pt idx="50">
                  <c:v>39480.263392062079</c:v>
                </c:pt>
              </c:numCache>
            </c:numRef>
          </c:val>
          <c:extLst>
            <c:ext xmlns:c16="http://schemas.microsoft.com/office/drawing/2014/chart" uri="{C3380CC4-5D6E-409C-BE32-E72D297353CC}">
              <c16:uniqueId val="{00000006-57E9-48EE-91C5-C38519D8B5D9}"/>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(results)'!$BI$7</c:f>
              <c:strCache>
                <c:ptCount val="1"/>
                <c:pt idx="0">
                  <c:v>Total waste generated - Case 1-B</c:v>
                </c:pt>
              </c:strCache>
            </c:strRef>
          </c:tx>
          <c:spPr>
            <a:ln w="38100" cap="rnd">
              <a:solidFill>
                <a:schemeClr val="accent4"/>
              </a:solidFill>
              <a:round/>
            </a:ln>
            <a:effectLst/>
          </c:spPr>
          <c:marker>
            <c:symbol val="none"/>
          </c:marker>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(results)'!$BI$10:$BI$60</c:f>
              <c:numCache>
                <c:formatCode>_(* #,##0_);_(* \(#,##0\);_(* "-"_);_(@_)</c:formatCode>
                <c:ptCount val="51"/>
                <c:pt idx="0">
                  <c:v>81.107570993730093</c:v>
                </c:pt>
                <c:pt idx="1">
                  <c:v>83.507652371610845</c:v>
                </c:pt>
                <c:pt idx="2">
                  <c:v>85.530637638837788</c:v>
                </c:pt>
                <c:pt idx="3">
                  <c:v>88.528346917261359</c:v>
                </c:pt>
                <c:pt idx="4">
                  <c:v>92.083355919607541</c:v>
                </c:pt>
                <c:pt idx="5">
                  <c:v>96.021312306721029</c:v>
                </c:pt>
                <c:pt idx="6">
                  <c:v>99.992179942684729</c:v>
                </c:pt>
                <c:pt idx="7">
                  <c:v>102.60198811238484</c:v>
                </c:pt>
                <c:pt idx="8">
                  <c:v>101.7631938359152</c:v>
                </c:pt>
                <c:pt idx="9">
                  <c:v>103.3442854098891</c:v>
                </c:pt>
                <c:pt idx="10">
                  <c:v>105.88590407147763</c:v>
                </c:pt>
                <c:pt idx="11">
                  <c:v>106.89995781963603</c:v>
                </c:pt>
                <c:pt idx="12">
                  <c:v>108.25365662961583</c:v>
                </c:pt>
                <c:pt idx="13">
                  <c:v>109.15083960718961</c:v>
                </c:pt>
                <c:pt idx="14">
                  <c:v>109.55725853991771</c:v>
                </c:pt>
                <c:pt idx="15">
                  <c:v>109.55959567111202</c:v>
                </c:pt>
                <c:pt idx="16">
                  <c:v>109.87635423856575</c:v>
                </c:pt>
                <c:pt idx="17">
                  <c:v>109.87635423856577</c:v>
                </c:pt>
                <c:pt idx="18">
                  <c:v>106.59508714320488</c:v>
                </c:pt>
                <c:pt idx="19">
                  <c:v>103.19020379288857</c:v>
                </c:pt>
                <c:pt idx="20">
                  <c:v>93.236247574788607</c:v>
                </c:pt>
                <c:pt idx="21">
                  <c:v>91.121395955279723</c:v>
                </c:pt>
                <c:pt idx="22">
                  <c:v>89.097350466517042</c:v>
                </c:pt>
                <c:pt idx="23">
                  <c:v>87.106535810773579</c:v>
                </c:pt>
                <c:pt idx="24">
                  <c:v>85.190551830809383</c:v>
                </c:pt>
                <c:pt idx="25">
                  <c:v>83.177711672744095</c:v>
                </c:pt>
                <c:pt idx="26">
                  <c:v>81.733403090445265</c:v>
                </c:pt>
                <c:pt idx="27">
                  <c:v>80.383908263295481</c:v>
                </c:pt>
                <c:pt idx="28">
                  <c:v>78.272028369031432</c:v>
                </c:pt>
                <c:pt idx="29">
                  <c:v>76.384050225413262</c:v>
                </c:pt>
                <c:pt idx="30">
                  <c:v>74.728178546899031</c:v>
                </c:pt>
                <c:pt idx="31">
                  <c:v>73.841965599666878</c:v>
                </c:pt>
                <c:pt idx="32">
                  <c:v>72.820408557070181</c:v>
                </c:pt>
                <c:pt idx="33">
                  <c:v>71.923701615288195</c:v>
                </c:pt>
                <c:pt idx="34">
                  <c:v>71.086735319830382</c:v>
                </c:pt>
                <c:pt idx="35">
                  <c:v>70.307178707156766</c:v>
                </c:pt>
                <c:pt idx="36">
                  <c:v>69.832371220942605</c:v>
                </c:pt>
                <c:pt idx="37">
                  <c:v>70.008588881467503</c:v>
                </c:pt>
                <c:pt idx="38">
                  <c:v>69.867874586687819</c:v>
                </c:pt>
                <c:pt idx="39">
                  <c:v>69.740482867890861</c:v>
                </c:pt>
                <c:pt idx="40">
                  <c:v>69.661606635709248</c:v>
                </c:pt>
                <c:pt idx="41">
                  <c:v>67.874480314224073</c:v>
                </c:pt>
                <c:pt idx="42">
                  <c:v>66.137217106494901</c:v>
                </c:pt>
                <c:pt idx="43">
                  <c:v>64.439900444487918</c:v>
                </c:pt>
                <c:pt idx="44">
                  <c:v>62.786946288520319</c:v>
                </c:pt>
                <c:pt idx="45">
                  <c:v>61.208653095587522</c:v>
                </c:pt>
                <c:pt idx="46">
                  <c:v>59.669400932992886</c:v>
                </c:pt>
                <c:pt idx="47">
                  <c:v>58.174407752329486</c:v>
                </c:pt>
                <c:pt idx="48">
                  <c:v>57.315807417388541</c:v>
                </c:pt>
                <c:pt idx="49">
                  <c:v>56.509297168709736</c:v>
                </c:pt>
                <c:pt idx="50">
                  <c:v>55.754194702816761</c:v>
                </c:pt>
              </c:numCache>
            </c:numRef>
          </c:val>
          <c:smooth val="0"/>
          <c:extLst>
            <c:ext xmlns:c16="http://schemas.microsoft.com/office/drawing/2014/chart" uri="{C3380CC4-5D6E-409C-BE32-E72D297353CC}">
              <c16:uniqueId val="{00000000-21C2-42EF-9759-EA2AFB91FD38}"/>
            </c:ext>
          </c:extLst>
        </c:ser>
        <c:ser>
          <c:idx val="6"/>
          <c:order val="4"/>
          <c:tx>
            <c:strRef>
              <c:f>'Output data (results)'!$BL$7</c:f>
              <c:strCache>
                <c:ptCount val="1"/>
                <c:pt idx="0">
                  <c:v>Total waste generated - Case 1-G</c:v>
                </c:pt>
              </c:strCache>
            </c:strRef>
          </c:tx>
          <c:spPr>
            <a:ln w="38100" cap="rnd">
              <a:solidFill>
                <a:schemeClr val="accent2">
                  <a:lumMod val="75000"/>
                </a:schemeClr>
              </a:solidFill>
              <a:round/>
            </a:ln>
            <a:effectLst/>
          </c:spPr>
          <c:marker>
            <c:symbol val="none"/>
          </c:marker>
          <c:val>
            <c:numRef>
              <c:f>'Output data (results)'!$BL$10:$BL$60</c:f>
              <c:numCache>
                <c:formatCode>_(* #,##0_);_(* \(#,##0\);_(* "-"_);_(@_)</c:formatCode>
                <c:ptCount val="51"/>
                <c:pt idx="0">
                  <c:v>81.107570993730093</c:v>
                </c:pt>
                <c:pt idx="1">
                  <c:v>83.507652371610845</c:v>
                </c:pt>
                <c:pt idx="2">
                  <c:v>85.530637638837788</c:v>
                </c:pt>
                <c:pt idx="3">
                  <c:v>88.528346917261359</c:v>
                </c:pt>
                <c:pt idx="4">
                  <c:v>92.083355919607541</c:v>
                </c:pt>
                <c:pt idx="5">
                  <c:v>96.021312306721029</c:v>
                </c:pt>
                <c:pt idx="6">
                  <c:v>99.992179942684729</c:v>
                </c:pt>
                <c:pt idx="7">
                  <c:v>102.60198811238484</c:v>
                </c:pt>
                <c:pt idx="8">
                  <c:v>101.7631938359152</c:v>
                </c:pt>
                <c:pt idx="9">
                  <c:v>103.3442854098891</c:v>
                </c:pt>
                <c:pt idx="10">
                  <c:v>105.88590407147763</c:v>
                </c:pt>
                <c:pt idx="11">
                  <c:v>106.89995781963603</c:v>
                </c:pt>
                <c:pt idx="12">
                  <c:v>108.25365662961583</c:v>
                </c:pt>
                <c:pt idx="13">
                  <c:v>109.15083960718961</c:v>
                </c:pt>
                <c:pt idx="14">
                  <c:v>109.55725853991771</c:v>
                </c:pt>
                <c:pt idx="15">
                  <c:v>109.55959567111202</c:v>
                </c:pt>
                <c:pt idx="16">
                  <c:v>109.87635423856575</c:v>
                </c:pt>
                <c:pt idx="17">
                  <c:v>109.87635423856577</c:v>
                </c:pt>
                <c:pt idx="18">
                  <c:v>106.59508714320488</c:v>
                </c:pt>
                <c:pt idx="19">
                  <c:v>102.97967922835515</c:v>
                </c:pt>
                <c:pt idx="20">
                  <c:v>92.292350340185109</c:v>
                </c:pt>
                <c:pt idx="21">
                  <c:v>90.215401040041939</c:v>
                </c:pt>
                <c:pt idx="22">
                  <c:v>88.141834686702154</c:v>
                </c:pt>
                <c:pt idx="23">
                  <c:v>86.170816576376239</c:v>
                </c:pt>
                <c:pt idx="24">
                  <c:v>84.242680137700347</c:v>
                </c:pt>
                <c:pt idx="25">
                  <c:v>82.48664045363644</c:v>
                </c:pt>
                <c:pt idx="26">
                  <c:v>81.077787778031379</c:v>
                </c:pt>
                <c:pt idx="27">
                  <c:v>79.766765360507492</c:v>
                </c:pt>
                <c:pt idx="28">
                  <c:v>77.731597100803057</c:v>
                </c:pt>
                <c:pt idx="29">
                  <c:v>75.919657545461945</c:v>
                </c:pt>
                <c:pt idx="30">
                  <c:v>74.337884721449896</c:v>
                </c:pt>
                <c:pt idx="31">
                  <c:v>73.65547779051721</c:v>
                </c:pt>
                <c:pt idx="32">
                  <c:v>73.053352587101003</c:v>
                </c:pt>
                <c:pt idx="33">
                  <c:v>72.454912411209662</c:v>
                </c:pt>
                <c:pt idx="34">
                  <c:v>71.854872887027454</c:v>
                </c:pt>
                <c:pt idx="35">
                  <c:v>71.253334498361909</c:v>
                </c:pt>
                <c:pt idx="36">
                  <c:v>70.625686243527866</c:v>
                </c:pt>
                <c:pt idx="37">
                  <c:v>70.633499650421825</c:v>
                </c:pt>
                <c:pt idx="38">
                  <c:v>70.352452673506306</c:v>
                </c:pt>
                <c:pt idx="39">
                  <c:v>70.072450955254197</c:v>
                </c:pt>
                <c:pt idx="40">
                  <c:v>69.798610202826168</c:v>
                </c:pt>
                <c:pt idx="41">
                  <c:v>69.513641068718314</c:v>
                </c:pt>
                <c:pt idx="42">
                  <c:v>69.232496652326034</c:v>
                </c:pt>
                <c:pt idx="43">
                  <c:v>68.954585767945915</c:v>
                </c:pt>
                <c:pt idx="44">
                  <c:v>68.681222783614487</c:v>
                </c:pt>
                <c:pt idx="45">
                  <c:v>68.419008537625501</c:v>
                </c:pt>
                <c:pt idx="46">
                  <c:v>68.154462683194851</c:v>
                </c:pt>
                <c:pt idx="47">
                  <c:v>67.899567793920085</c:v>
                </c:pt>
                <c:pt idx="48">
                  <c:v>68.295934900819148</c:v>
                </c:pt>
                <c:pt idx="49">
                  <c:v>68.709779298217967</c:v>
                </c:pt>
                <c:pt idx="50">
                  <c:v>69.142714736775588</c:v>
                </c:pt>
              </c:numCache>
            </c:numRef>
          </c:val>
          <c:smooth val="0"/>
          <c:extLst>
            <c:ext xmlns:c16="http://schemas.microsoft.com/office/drawing/2014/chart" uri="{C3380CC4-5D6E-409C-BE32-E72D297353CC}">
              <c16:uniqueId val="{00000001-57E9-48EE-91C5-C38519D8B5D9}"/>
            </c:ext>
          </c:extLst>
        </c:ser>
        <c:ser>
          <c:idx val="4"/>
          <c:order val="5"/>
          <c:tx>
            <c:strRef>
              <c:f>'Output data (results)'!$BO$7</c:f>
              <c:strCache>
                <c:ptCount val="1"/>
                <c:pt idx="0">
                  <c:v>Total waste generated - Case 2-B</c:v>
                </c:pt>
              </c:strCache>
            </c:strRef>
          </c:tx>
          <c:spPr>
            <a:ln w="38100" cap="rnd">
              <a:solidFill>
                <a:schemeClr val="accent5"/>
              </a:solidFill>
              <a:round/>
            </a:ln>
            <a:effectLst/>
          </c:spPr>
          <c:marker>
            <c:symbol val="none"/>
          </c:marker>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(results)'!$BO$10:$BO$60</c:f>
              <c:numCache>
                <c:formatCode>0</c:formatCode>
                <c:ptCount val="51"/>
                <c:pt idx="0">
                  <c:v>81.107570993730093</c:v>
                </c:pt>
                <c:pt idx="1">
                  <c:v>83.507652371610845</c:v>
                </c:pt>
                <c:pt idx="2">
                  <c:v>85.530637638837788</c:v>
                </c:pt>
                <c:pt idx="3">
                  <c:v>88.528346917261359</c:v>
                </c:pt>
                <c:pt idx="4">
                  <c:v>92.083355919607541</c:v>
                </c:pt>
                <c:pt idx="5">
                  <c:v>96.021312306721029</c:v>
                </c:pt>
                <c:pt idx="6">
                  <c:v>99.992179942684729</c:v>
                </c:pt>
                <c:pt idx="7">
                  <c:v>102.60198811238484</c:v>
                </c:pt>
                <c:pt idx="8">
                  <c:v>101.7631938359152</c:v>
                </c:pt>
                <c:pt idx="9">
                  <c:v>103.3442854098891</c:v>
                </c:pt>
                <c:pt idx="10">
                  <c:v>105.88590407147763</c:v>
                </c:pt>
                <c:pt idx="11">
                  <c:v>106.89995781963603</c:v>
                </c:pt>
                <c:pt idx="12">
                  <c:v>108.25365662961583</c:v>
                </c:pt>
                <c:pt idx="13">
                  <c:v>109.15083960718961</c:v>
                </c:pt>
                <c:pt idx="14">
                  <c:v>109.55725853991771</c:v>
                </c:pt>
                <c:pt idx="15">
                  <c:v>109.55959567111202</c:v>
                </c:pt>
                <c:pt idx="16">
                  <c:v>109.87635423856575</c:v>
                </c:pt>
                <c:pt idx="17">
                  <c:v>109.87635423856577</c:v>
                </c:pt>
                <c:pt idx="18">
                  <c:v>107.13689986433511</c:v>
                </c:pt>
                <c:pt idx="19">
                  <c:v>105.13531555556591</c:v>
                </c:pt>
                <c:pt idx="20">
                  <c:v>93.422486520701057</c:v>
                </c:pt>
                <c:pt idx="21">
                  <c:v>79.937207640918672</c:v>
                </c:pt>
                <c:pt idx="22">
                  <c:v>69.633815680742345</c:v>
                </c:pt>
                <c:pt idx="23">
                  <c:v>69.162433068559082</c:v>
                </c:pt>
                <c:pt idx="24">
                  <c:v>68.523511843347535</c:v>
                </c:pt>
                <c:pt idx="25">
                  <c:v>68.718498935214356</c:v>
                </c:pt>
                <c:pt idx="26">
                  <c:v>68.113956432524475</c:v>
                </c:pt>
                <c:pt idx="27">
                  <c:v>67.459211251362206</c:v>
                </c:pt>
                <c:pt idx="28">
                  <c:v>66.760544412118122</c:v>
                </c:pt>
                <c:pt idx="29">
                  <c:v>66.015811017881035</c:v>
                </c:pt>
                <c:pt idx="30">
                  <c:v>65.219083875964103</c:v>
                </c:pt>
                <c:pt idx="31">
                  <c:v>62.22980918734369</c:v>
                </c:pt>
                <c:pt idx="32">
                  <c:v>59.20616019635014</c:v>
                </c:pt>
                <c:pt idx="33">
                  <c:v>57.591329999368007</c:v>
                </c:pt>
                <c:pt idx="34">
                  <c:v>55.990104871773084</c:v>
                </c:pt>
                <c:pt idx="35">
                  <c:v>54.403000385508605</c:v>
                </c:pt>
                <c:pt idx="36">
                  <c:v>51.332702068118067</c:v>
                </c:pt>
                <c:pt idx="37">
                  <c:v>48.272053716583756</c:v>
                </c:pt>
                <c:pt idx="38">
                  <c:v>45.215552440138261</c:v>
                </c:pt>
                <c:pt idx="39">
                  <c:v>45.975519156901633</c:v>
                </c:pt>
                <c:pt idx="40">
                  <c:v>46.841942196849203</c:v>
                </c:pt>
                <c:pt idx="41">
                  <c:v>47.908485794879859</c:v>
                </c:pt>
                <c:pt idx="42">
                  <c:v>49.022519317246825</c:v>
                </c:pt>
                <c:pt idx="43">
                  <c:v>50.181289906898819</c:v>
                </c:pt>
                <c:pt idx="44">
                  <c:v>51.391093103402163</c:v>
                </c:pt>
                <c:pt idx="45">
                  <c:v>52.678958032077809</c:v>
                </c:pt>
                <c:pt idx="46">
                  <c:v>54.021132935113719</c:v>
                </c:pt>
                <c:pt idx="47">
                  <c:v>55.43030410420684</c:v>
                </c:pt>
                <c:pt idx="48">
                  <c:v>56.856527047864482</c:v>
                </c:pt>
                <c:pt idx="49">
                  <c:v>58.355622561219775</c:v>
                </c:pt>
                <c:pt idx="50">
                  <c:v>59.933788381040593</c:v>
                </c:pt>
              </c:numCache>
            </c:numRef>
          </c:val>
          <c:smooth val="0"/>
          <c:extLst>
            <c:ext xmlns:c16="http://schemas.microsoft.com/office/drawing/2014/chart" uri="{C3380CC4-5D6E-409C-BE32-E72D297353CC}">
              <c16:uniqueId val="{00000001-21C2-42EF-9759-EA2AFB91FD38}"/>
            </c:ext>
          </c:extLst>
        </c:ser>
        <c:ser>
          <c:idx val="7"/>
          <c:order val="6"/>
          <c:tx>
            <c:strRef>
              <c:f>'Output data (results)'!$BR$7</c:f>
              <c:strCache>
                <c:ptCount val="1"/>
                <c:pt idx="0">
                  <c:v>Total waste generated - Case 2-G</c:v>
                </c:pt>
              </c:strCache>
            </c:strRef>
          </c:tx>
          <c:spPr>
            <a:ln w="38100" cap="rnd">
              <a:solidFill>
                <a:schemeClr val="accent3">
                  <a:lumMod val="75000"/>
                </a:schemeClr>
              </a:solidFill>
              <a:round/>
            </a:ln>
            <a:effectLst/>
          </c:spPr>
          <c:marker>
            <c:symbol val="none"/>
          </c:marker>
          <c:val>
            <c:numRef>
              <c:f>'Output data (results)'!$BR$10:$BR$60</c:f>
              <c:numCache>
                <c:formatCode>0</c:formatCode>
                <c:ptCount val="51"/>
                <c:pt idx="0">
                  <c:v>81.107570993730093</c:v>
                </c:pt>
                <c:pt idx="1">
                  <c:v>83.507652371610845</c:v>
                </c:pt>
                <c:pt idx="2">
                  <c:v>85.530637638837788</c:v>
                </c:pt>
                <c:pt idx="3">
                  <c:v>88.528346917261359</c:v>
                </c:pt>
                <c:pt idx="4">
                  <c:v>92.083355919607541</c:v>
                </c:pt>
                <c:pt idx="5">
                  <c:v>96.021312306721029</c:v>
                </c:pt>
                <c:pt idx="6">
                  <c:v>99.992179942684729</c:v>
                </c:pt>
                <c:pt idx="7">
                  <c:v>102.60198811238484</c:v>
                </c:pt>
                <c:pt idx="8">
                  <c:v>101.7631938359152</c:v>
                </c:pt>
                <c:pt idx="9">
                  <c:v>103.3442854098891</c:v>
                </c:pt>
                <c:pt idx="10">
                  <c:v>105.88590407147763</c:v>
                </c:pt>
                <c:pt idx="11">
                  <c:v>106.89995781963603</c:v>
                </c:pt>
                <c:pt idx="12">
                  <c:v>108.25365662961583</c:v>
                </c:pt>
                <c:pt idx="13">
                  <c:v>109.15083960718961</c:v>
                </c:pt>
                <c:pt idx="14">
                  <c:v>109.55725853991771</c:v>
                </c:pt>
                <c:pt idx="15">
                  <c:v>109.55959567111202</c:v>
                </c:pt>
                <c:pt idx="16">
                  <c:v>109.87635423856575</c:v>
                </c:pt>
                <c:pt idx="17">
                  <c:v>109.87635423856577</c:v>
                </c:pt>
                <c:pt idx="18">
                  <c:v>107.13689986433511</c:v>
                </c:pt>
                <c:pt idx="19">
                  <c:v>104.96629682486173</c:v>
                </c:pt>
                <c:pt idx="20">
                  <c:v>92.700137974946699</c:v>
                </c:pt>
                <c:pt idx="21">
                  <c:v>79.174058172908445</c:v>
                </c:pt>
                <c:pt idx="22">
                  <c:v>72.86734331367434</c:v>
                </c:pt>
                <c:pt idx="23">
                  <c:v>72.290832902203306</c:v>
                </c:pt>
                <c:pt idx="24">
                  <c:v>71.667172163985128</c:v>
                </c:pt>
                <c:pt idx="25">
                  <c:v>71.00248515522452</c:v>
                </c:pt>
                <c:pt idx="26">
                  <c:v>70.284336804917189</c:v>
                </c:pt>
                <c:pt idx="27">
                  <c:v>69.517681385803414</c:v>
                </c:pt>
                <c:pt idx="28">
                  <c:v>68.707104308607867</c:v>
                </c:pt>
                <c:pt idx="29">
                  <c:v>67.848765066753316</c:v>
                </c:pt>
                <c:pt idx="30">
                  <c:v>66.940127686884878</c:v>
                </c:pt>
                <c:pt idx="31">
                  <c:v>65.827892898451012</c:v>
                </c:pt>
                <c:pt idx="32">
                  <c:v>64.684675026975881</c:v>
                </c:pt>
                <c:pt idx="33">
                  <c:v>64.948580339846202</c:v>
                </c:pt>
                <c:pt idx="34">
                  <c:v>65.226090722103748</c:v>
                </c:pt>
                <c:pt idx="35">
                  <c:v>65.51772174569173</c:v>
                </c:pt>
                <c:pt idx="36">
                  <c:v>65.804730566846203</c:v>
                </c:pt>
                <c:pt idx="37">
                  <c:v>66.101389353856931</c:v>
                </c:pt>
                <c:pt idx="38">
                  <c:v>66.402195215956453</c:v>
                </c:pt>
                <c:pt idx="39">
                  <c:v>66.712858129814961</c:v>
                </c:pt>
                <c:pt idx="40">
                  <c:v>67.038572500159361</c:v>
                </c:pt>
                <c:pt idx="41">
                  <c:v>67.364431929460494</c:v>
                </c:pt>
                <c:pt idx="42">
                  <c:v>67.701838540652787</c:v>
                </c:pt>
                <c:pt idx="43">
                  <c:v>68.050241176069065</c:v>
                </c:pt>
                <c:pt idx="44">
                  <c:v>68.411036594146012</c:v>
                </c:pt>
                <c:pt idx="45">
                  <c:v>68.790888200901932</c:v>
                </c:pt>
                <c:pt idx="46">
                  <c:v>69.175261756448222</c:v>
                </c:pt>
                <c:pt idx="47">
                  <c:v>69.57591202673828</c:v>
                </c:pt>
                <c:pt idx="48">
                  <c:v>69.980844215165178</c:v>
                </c:pt>
                <c:pt idx="49">
                  <c:v>70.403276233780105</c:v>
                </c:pt>
                <c:pt idx="50">
                  <c:v>70.8448669126185</c:v>
                </c:pt>
              </c:numCache>
            </c:numRef>
          </c:val>
          <c:smooth val="0"/>
          <c:extLst>
            <c:ext xmlns:c16="http://schemas.microsoft.com/office/drawing/2014/chart" uri="{C3380CC4-5D6E-409C-BE32-E72D297353CC}">
              <c16:uniqueId val="{00000002-57E9-48EE-91C5-C38519D8B5D9}"/>
            </c:ext>
          </c:extLst>
        </c:ser>
        <c:ser>
          <c:idx val="5"/>
          <c:order val="7"/>
          <c:tx>
            <c:strRef>
              <c:f>'Output data (results)'!$BU$7</c:f>
              <c:strCache>
                <c:ptCount val="1"/>
                <c:pt idx="0">
                  <c:v>Total waste generated - Case 3-B</c:v>
                </c:pt>
              </c:strCache>
            </c:strRef>
          </c:tx>
          <c:spPr>
            <a:ln w="38100" cap="rnd">
              <a:solidFill>
                <a:srgbClr val="00B050"/>
              </a:solidFill>
              <a:round/>
            </a:ln>
            <a:effectLst/>
          </c:spPr>
          <c:marker>
            <c:symbol val="none"/>
          </c:marker>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(results)'!$BU$10:$BU$60</c:f>
              <c:numCache>
                <c:formatCode>_(* #,##0_);_(* \(#,##0\);_(* "-"_);_(@_)</c:formatCode>
                <c:ptCount val="51"/>
                <c:pt idx="0">
                  <c:v>81.107570993730093</c:v>
                </c:pt>
                <c:pt idx="1">
                  <c:v>83.507652371610845</c:v>
                </c:pt>
                <c:pt idx="2">
                  <c:v>85.530637638837788</c:v>
                </c:pt>
                <c:pt idx="3">
                  <c:v>88.528346917261359</c:v>
                </c:pt>
                <c:pt idx="4">
                  <c:v>92.083355919607541</c:v>
                </c:pt>
                <c:pt idx="5">
                  <c:v>96.021312306721029</c:v>
                </c:pt>
                <c:pt idx="6">
                  <c:v>99.992179942684729</c:v>
                </c:pt>
                <c:pt idx="7">
                  <c:v>102.60198811238484</c:v>
                </c:pt>
                <c:pt idx="8">
                  <c:v>101.7631938359152</c:v>
                </c:pt>
                <c:pt idx="9">
                  <c:v>103.3442854098891</c:v>
                </c:pt>
                <c:pt idx="10">
                  <c:v>105.88590407147763</c:v>
                </c:pt>
                <c:pt idx="11">
                  <c:v>106.89995781963603</c:v>
                </c:pt>
                <c:pt idx="12">
                  <c:v>108.25365662961583</c:v>
                </c:pt>
                <c:pt idx="13">
                  <c:v>109.15083960718961</c:v>
                </c:pt>
                <c:pt idx="14">
                  <c:v>109.55725853991771</c:v>
                </c:pt>
                <c:pt idx="15">
                  <c:v>109.55959567111202</c:v>
                </c:pt>
                <c:pt idx="16">
                  <c:v>109.87635423856575</c:v>
                </c:pt>
                <c:pt idx="17" formatCode="0">
                  <c:v>109.87635423856577</c:v>
                </c:pt>
                <c:pt idx="18" formatCode="0">
                  <c:v>107.13689986433511</c:v>
                </c:pt>
                <c:pt idx="19" formatCode="0">
                  <c:v>105.13531555556591</c:v>
                </c:pt>
                <c:pt idx="20" formatCode="0">
                  <c:v>93.422486520701057</c:v>
                </c:pt>
                <c:pt idx="21" formatCode="0">
                  <c:v>79.937207640918672</c:v>
                </c:pt>
                <c:pt idx="22" formatCode="0">
                  <c:v>69.633815680742345</c:v>
                </c:pt>
                <c:pt idx="23" formatCode="0">
                  <c:v>69.162433068559082</c:v>
                </c:pt>
                <c:pt idx="24" formatCode="0">
                  <c:v>68.523511843347535</c:v>
                </c:pt>
                <c:pt idx="25" formatCode="0">
                  <c:v>68.718498935214356</c:v>
                </c:pt>
                <c:pt idx="26" formatCode="0">
                  <c:v>68.113956432524475</c:v>
                </c:pt>
                <c:pt idx="27" formatCode="0">
                  <c:v>67.459211251362206</c:v>
                </c:pt>
                <c:pt idx="28" formatCode="0">
                  <c:v>66.760544412118122</c:v>
                </c:pt>
                <c:pt idx="29" formatCode="0">
                  <c:v>66.015811017881035</c:v>
                </c:pt>
                <c:pt idx="30" formatCode="0">
                  <c:v>65.219083875964103</c:v>
                </c:pt>
                <c:pt idx="31" formatCode="0">
                  <c:v>62.22980918734369</c:v>
                </c:pt>
                <c:pt idx="32" formatCode="0">
                  <c:v>59.20616019635014</c:v>
                </c:pt>
                <c:pt idx="33" formatCode="0">
                  <c:v>57.591329999368007</c:v>
                </c:pt>
                <c:pt idx="34" formatCode="0">
                  <c:v>55.990104871773084</c:v>
                </c:pt>
                <c:pt idx="35" formatCode="0">
                  <c:v>54.403000385508605</c:v>
                </c:pt>
                <c:pt idx="36" formatCode="0">
                  <c:v>51.332702068118067</c:v>
                </c:pt>
                <c:pt idx="37" formatCode="0">
                  <c:v>48.272053716583756</c:v>
                </c:pt>
                <c:pt idx="38" formatCode="0">
                  <c:v>45.215552440138261</c:v>
                </c:pt>
                <c:pt idx="39" formatCode="0">
                  <c:v>45.975519156901633</c:v>
                </c:pt>
                <c:pt idx="40" formatCode="0">
                  <c:v>46.841942196849203</c:v>
                </c:pt>
                <c:pt idx="41" formatCode="0">
                  <c:v>47.908485794879859</c:v>
                </c:pt>
                <c:pt idx="42" formatCode="0">
                  <c:v>49.022519317246825</c:v>
                </c:pt>
                <c:pt idx="43" formatCode="0">
                  <c:v>50.181289906898819</c:v>
                </c:pt>
                <c:pt idx="44" formatCode="0">
                  <c:v>51.391093103402163</c:v>
                </c:pt>
                <c:pt idx="45" formatCode="0">
                  <c:v>52.678958032077809</c:v>
                </c:pt>
                <c:pt idx="46" formatCode="0">
                  <c:v>54.021132935113719</c:v>
                </c:pt>
                <c:pt idx="47" formatCode="0">
                  <c:v>55.43030410420684</c:v>
                </c:pt>
                <c:pt idx="48" formatCode="0">
                  <c:v>56.856527047864482</c:v>
                </c:pt>
                <c:pt idx="49" formatCode="0">
                  <c:v>58.355622561219775</c:v>
                </c:pt>
                <c:pt idx="50" formatCode="0">
                  <c:v>59.933788381040593</c:v>
                </c:pt>
              </c:numCache>
            </c:numRef>
          </c:val>
          <c:smooth val="0"/>
          <c:extLst>
            <c:ext xmlns:c16="http://schemas.microsoft.com/office/drawing/2014/chart" uri="{C3380CC4-5D6E-409C-BE32-E72D297353CC}">
              <c16:uniqueId val="{00000002-21C2-42EF-9759-EA2AFB91FD38}"/>
            </c:ext>
          </c:extLst>
        </c:ser>
        <c:ser>
          <c:idx val="8"/>
          <c:order val="8"/>
          <c:tx>
            <c:strRef>
              <c:f>'Output data (results)'!$BX$7</c:f>
              <c:strCache>
                <c:ptCount val="1"/>
                <c:pt idx="0">
                  <c:v>Total waste generated - Case 3-G</c:v>
                </c:pt>
              </c:strCache>
            </c:strRef>
          </c:tx>
          <c:spPr>
            <a:ln w="38100" cap="rnd">
              <a:solidFill>
                <a:schemeClr val="accent3">
                  <a:lumMod val="60000"/>
                </a:schemeClr>
              </a:solidFill>
              <a:round/>
            </a:ln>
            <a:effectLst/>
          </c:spPr>
          <c:marker>
            <c:symbol val="none"/>
          </c:marker>
          <c:val>
            <c:numRef>
              <c:f>'Output data (results)'!$BX$10:$BX$60</c:f>
              <c:numCache>
                <c:formatCode>_(* #,##0_);_(* \(#,##0\);_(* "-"_);_(@_)</c:formatCode>
                <c:ptCount val="51"/>
                <c:pt idx="0">
                  <c:v>81.107570993730093</c:v>
                </c:pt>
                <c:pt idx="1">
                  <c:v>83.507652371610845</c:v>
                </c:pt>
                <c:pt idx="2">
                  <c:v>85.530637638837788</c:v>
                </c:pt>
                <c:pt idx="3">
                  <c:v>88.528346917261359</c:v>
                </c:pt>
                <c:pt idx="4">
                  <c:v>92.083355919607541</c:v>
                </c:pt>
                <c:pt idx="5">
                  <c:v>96.021312306721029</c:v>
                </c:pt>
                <c:pt idx="6">
                  <c:v>99.992179942684729</c:v>
                </c:pt>
                <c:pt idx="7">
                  <c:v>102.60198811238484</c:v>
                </c:pt>
                <c:pt idx="8">
                  <c:v>101.7631938359152</c:v>
                </c:pt>
                <c:pt idx="9">
                  <c:v>103.3442854098891</c:v>
                </c:pt>
                <c:pt idx="10">
                  <c:v>105.88590407147763</c:v>
                </c:pt>
                <c:pt idx="11">
                  <c:v>106.89995781963603</c:v>
                </c:pt>
                <c:pt idx="12">
                  <c:v>108.25365662961583</c:v>
                </c:pt>
                <c:pt idx="13">
                  <c:v>109.15083960718961</c:v>
                </c:pt>
                <c:pt idx="14">
                  <c:v>109.55725853991771</c:v>
                </c:pt>
                <c:pt idx="15">
                  <c:v>109.55959567111202</c:v>
                </c:pt>
                <c:pt idx="16">
                  <c:v>109.87635423856575</c:v>
                </c:pt>
                <c:pt idx="17" formatCode="0">
                  <c:v>109.87635423856577</c:v>
                </c:pt>
                <c:pt idx="18" formatCode="0">
                  <c:v>107.13689986433511</c:v>
                </c:pt>
                <c:pt idx="19" formatCode="0">
                  <c:v>104.96629682486173</c:v>
                </c:pt>
                <c:pt idx="20" formatCode="0">
                  <c:v>92.700137974946699</c:v>
                </c:pt>
                <c:pt idx="21" formatCode="0">
                  <c:v>79.174058172908445</c:v>
                </c:pt>
                <c:pt idx="22" formatCode="0">
                  <c:v>72.86734331367434</c:v>
                </c:pt>
                <c:pt idx="23" formatCode="0">
                  <c:v>72.290832902203306</c:v>
                </c:pt>
                <c:pt idx="24" formatCode="0">
                  <c:v>71.667172163985128</c:v>
                </c:pt>
                <c:pt idx="25" formatCode="0">
                  <c:v>71.00248515522452</c:v>
                </c:pt>
                <c:pt idx="26" formatCode="0">
                  <c:v>70.284336804917189</c:v>
                </c:pt>
                <c:pt idx="27" formatCode="0">
                  <c:v>69.517681385803414</c:v>
                </c:pt>
                <c:pt idx="28" formatCode="0">
                  <c:v>68.707104308607867</c:v>
                </c:pt>
                <c:pt idx="29" formatCode="0">
                  <c:v>67.848765066753316</c:v>
                </c:pt>
                <c:pt idx="30" formatCode="0">
                  <c:v>66.940127686884878</c:v>
                </c:pt>
                <c:pt idx="31" formatCode="0">
                  <c:v>65.827892898451012</c:v>
                </c:pt>
                <c:pt idx="32" formatCode="0">
                  <c:v>64.684675026975881</c:v>
                </c:pt>
                <c:pt idx="33" formatCode="0">
                  <c:v>64.948580339846202</c:v>
                </c:pt>
                <c:pt idx="34" formatCode="0">
                  <c:v>65.226090722103748</c:v>
                </c:pt>
                <c:pt idx="35" formatCode="0">
                  <c:v>65.51772174569173</c:v>
                </c:pt>
                <c:pt idx="36" formatCode="0">
                  <c:v>65.804730566846203</c:v>
                </c:pt>
                <c:pt idx="37" formatCode="0">
                  <c:v>66.101389353856931</c:v>
                </c:pt>
                <c:pt idx="38" formatCode="0">
                  <c:v>66.402195215956453</c:v>
                </c:pt>
                <c:pt idx="39" formatCode="0">
                  <c:v>66.712858129814961</c:v>
                </c:pt>
                <c:pt idx="40" formatCode="0">
                  <c:v>67.038572500159361</c:v>
                </c:pt>
                <c:pt idx="41" formatCode="0">
                  <c:v>67.364431929460494</c:v>
                </c:pt>
                <c:pt idx="42" formatCode="0">
                  <c:v>67.701838540652787</c:v>
                </c:pt>
                <c:pt idx="43" formatCode="0">
                  <c:v>68.050241176069065</c:v>
                </c:pt>
                <c:pt idx="44" formatCode="0">
                  <c:v>68.411036594146012</c:v>
                </c:pt>
                <c:pt idx="45" formatCode="0">
                  <c:v>68.790888200901932</c:v>
                </c:pt>
                <c:pt idx="46" formatCode="0">
                  <c:v>69.175261756448222</c:v>
                </c:pt>
                <c:pt idx="47" formatCode="0">
                  <c:v>69.57591202673828</c:v>
                </c:pt>
                <c:pt idx="48" formatCode="0">
                  <c:v>69.980844215165178</c:v>
                </c:pt>
                <c:pt idx="49" formatCode="0">
                  <c:v>70.403276233780105</c:v>
                </c:pt>
                <c:pt idx="50" formatCode="0">
                  <c:v>70.8448669126185</c:v>
                </c:pt>
              </c:numCache>
            </c:numRef>
          </c:val>
          <c:smooth val="0"/>
          <c:extLst>
            <c:ext xmlns:c16="http://schemas.microsoft.com/office/drawing/2014/chart" uri="{C3380CC4-5D6E-409C-BE32-E72D297353CC}">
              <c16:uniqueId val="{00000003-57E9-48EE-91C5-C38519D8B5D9}"/>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000" b="0" i="0" u="none" strike="noStrike" kern="1200" baseline="0">
                    <a:solidFill>
                      <a:schemeClr val="tx1"/>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3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000" b="0" i="0" u="none" strike="noStrike" kern="1200" baseline="0">
                    <a:solidFill>
                      <a:schemeClr val="tx1"/>
                    </a:solidFill>
                    <a:latin typeface="+mn-lt"/>
                    <a:ea typeface="+mn-ea"/>
                    <a:cs typeface="+mn-cs"/>
                  </a:defRPr>
                </a:pPr>
                <a:r>
                  <a:rPr lang="en-US"/>
                  <a:t>Total GHG emissions (CO2eq)</a:t>
                </a:r>
              </a:p>
            </c:rich>
          </c:tx>
          <c:layout>
            <c:manualLayout>
              <c:xMode val="edge"/>
              <c:yMode val="edge"/>
              <c:x val="1.1254605508521653E-2"/>
              <c:y val="0.39324101313198384"/>
            </c:manualLayout>
          </c:layout>
          <c:overlay val="0"/>
          <c:spPr>
            <a:noFill/>
            <a:ln>
              <a:noFill/>
            </a:ln>
            <a:effectLst/>
          </c:spPr>
          <c:txPr>
            <a:bodyPr rot="-540000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000" b="0" i="0" u="none" strike="noStrike" kern="1200" baseline="0">
                    <a:solidFill>
                      <a:schemeClr val="tx1"/>
                    </a:solidFill>
                    <a:latin typeface="+mn-lt"/>
                    <a:ea typeface="+mn-ea"/>
                    <a:cs typeface="+mn-cs"/>
                  </a:defRPr>
                </a:pPr>
                <a:r>
                  <a:rPr lang="en-US"/>
                  <a:t>Total mass of waste generated (Mt)</a:t>
                </a:r>
              </a:p>
            </c:rich>
          </c:tx>
          <c:overlay val="0"/>
          <c:spPr>
            <a:noFill/>
            <a:ln>
              <a:noFill/>
            </a:ln>
            <a:effectLst/>
          </c:spPr>
          <c:txPr>
            <a:bodyPr rot="-540000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title>
        <c:numFmt formatCode="_(* #,##0_);_(* \(#,##0\);_(*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7.885083268803475E-2"/>
          <c:y val="5.063024637518837E-2"/>
          <c:w val="0.12100344279182232"/>
          <c:h val="0.37787420408012351"/>
        </c:manualLayout>
      </c:layout>
      <c:overlay val="0"/>
      <c:spPr>
        <a:noFill/>
        <a:ln>
          <a:noFill/>
        </a:ln>
        <a:effectLst/>
      </c:spPr>
      <c:txPr>
        <a:bodyPr rot="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r>
              <a:rPr lang="en-ZA" sz="2800" b="1"/>
              <a:t>Case 2</a:t>
            </a:r>
          </a:p>
        </c:rich>
      </c:tx>
      <c:layout>
        <c:manualLayout>
          <c:xMode val="edge"/>
          <c:yMode val="edge"/>
          <c:x val="0.48258815745534783"/>
          <c:y val="1.6143614612513527E-2"/>
        </c:manualLayout>
      </c:layout>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423892553238936E-2"/>
          <c:y val="5.8181056329742936E-2"/>
          <c:w val="0.87408876600816487"/>
          <c:h val="0.7383632728821008"/>
        </c:manualLayout>
      </c:layout>
      <c:areaChart>
        <c:grouping val="percentStacked"/>
        <c:varyColors val="0"/>
        <c:ser>
          <c:idx val="0"/>
          <c:order val="0"/>
          <c:tx>
            <c:strRef>
              <c:f>'Output data (results)'!$AJ$6:$AJ$8</c:f>
              <c:strCache>
                <c:ptCount val="3"/>
                <c:pt idx="0">
                  <c:v>4A</c:v>
                </c:pt>
                <c:pt idx="1">
                  <c:v>SWDS</c:v>
                </c:pt>
                <c:pt idx="2">
                  <c:v>Case 2-B</c:v>
                </c:pt>
              </c:strCache>
            </c:strRef>
          </c:tx>
          <c:spPr>
            <a:solidFill>
              <a:schemeClr val="accent1"/>
            </a:solidFill>
            <a:ln w="25400">
              <a:noFill/>
            </a:ln>
            <a:effectLst/>
          </c:spPr>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(results)'!$AJ$10:$AJ$60</c:f>
              <c:numCache>
                <c:formatCode>_(* #,##0_);_(* \(#,##0\);_(* "-"_);_(@_)</c:formatCode>
                <c:ptCount val="51"/>
                <c:pt idx="0">
                  <c:v>29668.831149553258</c:v>
                </c:pt>
                <c:pt idx="1">
                  <c:v>30526.628224166292</c:v>
                </c:pt>
                <c:pt idx="2">
                  <c:v>31400.581539521827</c:v>
                </c:pt>
                <c:pt idx="3">
                  <c:v>32304.435710447797</c:v>
                </c:pt>
                <c:pt idx="4">
                  <c:v>33225.082846730525</c:v>
                </c:pt>
                <c:pt idx="5">
                  <c:v>34192.418078555784</c:v>
                </c:pt>
                <c:pt idx="6">
                  <c:v>35221.712489468555</c:v>
                </c:pt>
                <c:pt idx="7">
                  <c:v>36321.956945349011</c:v>
                </c:pt>
                <c:pt idx="8">
                  <c:v>37490.75707250095</c:v>
                </c:pt>
                <c:pt idx="9">
                  <c:v>38682.051593594115</c:v>
                </c:pt>
                <c:pt idx="10">
                  <c:v>39786.646249323305</c:v>
                </c:pt>
                <c:pt idx="11">
                  <c:v>40856.513568839197</c:v>
                </c:pt>
                <c:pt idx="12">
                  <c:v>41918.111863448263</c:v>
                </c:pt>
                <c:pt idx="13">
                  <c:v>42932.397218574253</c:v>
                </c:pt>
                <c:pt idx="14">
                  <c:v>43912.988905799335</c:v>
                </c:pt>
                <c:pt idx="15">
                  <c:v>44848.996713296379</c:v>
                </c:pt>
                <c:pt idx="16">
                  <c:v>45729.066351073867</c:v>
                </c:pt>
                <c:pt idx="17">
                  <c:v>46545.194365763069</c:v>
                </c:pt>
                <c:pt idx="18">
                  <c:v>47312.398709717942</c:v>
                </c:pt>
                <c:pt idx="19">
                  <c:v>47572.048703910252</c:v>
                </c:pt>
                <c:pt idx="20">
                  <c:v>47704.137824690857</c:v>
                </c:pt>
                <c:pt idx="21">
                  <c:v>47449.562596576608</c:v>
                </c:pt>
                <c:pt idx="22">
                  <c:v>46837.221976393514</c:v>
                </c:pt>
                <c:pt idx="23">
                  <c:v>46036.135749814741</c:v>
                </c:pt>
                <c:pt idx="24">
                  <c:v>45236.757100448012</c:v>
                </c:pt>
                <c:pt idx="25">
                  <c:v>44435.383632165205</c:v>
                </c:pt>
                <c:pt idx="26">
                  <c:v>43655.648115742071</c:v>
                </c:pt>
                <c:pt idx="27">
                  <c:v>42876.099329576442</c:v>
                </c:pt>
                <c:pt idx="28">
                  <c:v>42096.445902108055</c:v>
                </c:pt>
                <c:pt idx="29">
                  <c:v>41316.634509294461</c:v>
                </c:pt>
                <c:pt idx="30">
                  <c:v>40536.612662170111</c:v>
                </c:pt>
                <c:pt idx="31">
                  <c:v>39756.260870383543</c:v>
                </c:pt>
                <c:pt idx="32">
                  <c:v>38977.005210097908</c:v>
                </c:pt>
                <c:pt idx="33">
                  <c:v>38198.525793261993</c:v>
                </c:pt>
                <c:pt idx="34">
                  <c:v>37421.22987985675</c:v>
                </c:pt>
                <c:pt idx="35">
                  <c:v>36645.367518438463</c:v>
                </c:pt>
                <c:pt idx="36">
                  <c:v>35871.194948141259</c:v>
                </c:pt>
                <c:pt idx="37">
                  <c:v>35066.279056242078</c:v>
                </c:pt>
                <c:pt idx="38">
                  <c:v>34232.341716076829</c:v>
                </c:pt>
                <c:pt idx="39">
                  <c:v>33370.883175089803</c:v>
                </c:pt>
                <c:pt idx="40">
                  <c:v>32574.359666255052</c:v>
                </c:pt>
                <c:pt idx="41">
                  <c:v>31842.141198070894</c:v>
                </c:pt>
                <c:pt idx="42">
                  <c:v>31172.119560859035</c:v>
                </c:pt>
                <c:pt idx="43">
                  <c:v>30562.390253398557</c:v>
                </c:pt>
                <c:pt idx="44">
                  <c:v>30011.072771955787</c:v>
                </c:pt>
                <c:pt idx="45">
                  <c:v>29516.53166139343</c:v>
                </c:pt>
                <c:pt idx="46">
                  <c:v>29077.850365158949</c:v>
                </c:pt>
                <c:pt idx="47">
                  <c:v>28693.852311966082</c:v>
                </c:pt>
                <c:pt idx="48">
                  <c:v>28363.458729843616</c:v>
                </c:pt>
                <c:pt idx="49">
                  <c:v>28084.457198084194</c:v>
                </c:pt>
                <c:pt idx="50">
                  <c:v>27856.079050645145</c:v>
                </c:pt>
              </c:numCache>
            </c:numRef>
          </c:val>
          <c:extLst>
            <c:ext xmlns:c16="http://schemas.microsoft.com/office/drawing/2014/chart" uri="{C3380CC4-5D6E-409C-BE32-E72D297353CC}">
              <c16:uniqueId val="{00000000-A346-41CB-95DE-D5905645E920}"/>
            </c:ext>
          </c:extLst>
        </c:ser>
        <c:ser>
          <c:idx val="1"/>
          <c:order val="1"/>
          <c:tx>
            <c:strRef>
              <c:f>'Output data (results)'!$AK$6:$AK$8</c:f>
              <c:strCache>
                <c:ptCount val="3"/>
                <c:pt idx="0">
                  <c:v>4B</c:v>
                </c:pt>
                <c:pt idx="1">
                  <c:v>Biological treatment of solid waste</c:v>
                </c:pt>
                <c:pt idx="2">
                  <c:v>Case 2-B</c:v>
                </c:pt>
              </c:strCache>
            </c:strRef>
          </c:tx>
          <c:spPr>
            <a:solidFill>
              <a:schemeClr val="accent2"/>
            </a:solidFill>
            <a:ln w="25400">
              <a:noFill/>
            </a:ln>
            <a:effectLst/>
          </c:spPr>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(results)'!$AK$10:$AK$60</c:f>
              <c:numCache>
                <c:formatCode>_(* #,##0_);_(* \(#,##0\);_(* "-"_);_(@_)</c:formatCode>
                <c:ptCount val="51"/>
                <c:pt idx="0">
                  <c:v>760.94982037695092</c:v>
                </c:pt>
                <c:pt idx="1">
                  <c:v>780.54907176832921</c:v>
                </c:pt>
                <c:pt idx="2">
                  <c:v>805.89597323422572</c:v>
                </c:pt>
                <c:pt idx="3">
                  <c:v>827.07597703450631</c:v>
                </c:pt>
                <c:pt idx="4">
                  <c:v>859.4644285342431</c:v>
                </c:pt>
                <c:pt idx="5">
                  <c:v>898.25036493722359</c:v>
                </c:pt>
                <c:pt idx="6">
                  <c:v>941.39728804730544</c:v>
                </c:pt>
                <c:pt idx="7">
                  <c:v>984.94130752933586</c:v>
                </c:pt>
                <c:pt idx="8">
                  <c:v>1012.9537824256299</c:v>
                </c:pt>
                <c:pt idx="9">
                  <c:v>1001.7224131357198</c:v>
                </c:pt>
                <c:pt idx="10">
                  <c:v>1079.9319251187405</c:v>
                </c:pt>
                <c:pt idx="11">
                  <c:v>1113.3470102861947</c:v>
                </c:pt>
                <c:pt idx="12">
                  <c:v>1178.2270336169195</c:v>
                </c:pt>
                <c:pt idx="13">
                  <c:v>1244.2716562766143</c:v>
                </c:pt>
                <c:pt idx="14">
                  <c:v>1302.8741690929994</c:v>
                </c:pt>
                <c:pt idx="15">
                  <c:v>1353.5605273435249</c:v>
                </c:pt>
                <c:pt idx="16">
                  <c:v>1397.1658867042397</c:v>
                </c:pt>
                <c:pt idx="17">
                  <c:v>1441.3820574705167</c:v>
                </c:pt>
                <c:pt idx="18">
                  <c:v>1483.7031765110592</c:v>
                </c:pt>
                <c:pt idx="19">
                  <c:v>1525.5397374307915</c:v>
                </c:pt>
                <c:pt idx="20">
                  <c:v>1408.1870660601253</c:v>
                </c:pt>
                <c:pt idx="21">
                  <c:v>1211.1639961309927</c:v>
                </c:pt>
                <c:pt idx="22">
                  <c:v>924.99475711373179</c:v>
                </c:pt>
                <c:pt idx="23">
                  <c:v>902.79376274868412</c:v>
                </c:pt>
                <c:pt idx="24">
                  <c:v>878.78467051363373</c:v>
                </c:pt>
                <c:pt idx="25">
                  <c:v>853.19763784267161</c:v>
                </c:pt>
                <c:pt idx="26">
                  <c:v>825.54560200453534</c:v>
                </c:pt>
                <c:pt idx="27">
                  <c:v>796.03182548136454</c:v>
                </c:pt>
                <c:pt idx="28">
                  <c:v>764.82792050529986</c:v>
                </c:pt>
                <c:pt idx="29">
                  <c:v>731.78745086972197</c:v>
                </c:pt>
                <c:pt idx="30">
                  <c:v>696.81279802361075</c:v>
                </c:pt>
                <c:pt idx="31">
                  <c:v>654.0034230553689</c:v>
                </c:pt>
                <c:pt idx="32">
                  <c:v>610.00926897905742</c:v>
                </c:pt>
                <c:pt idx="33">
                  <c:v>620.03274922754008</c:v>
                </c:pt>
                <c:pt idx="34">
                  <c:v>630.57102618415809</c:v>
                </c:pt>
                <c:pt idx="35">
                  <c:v>641.64342418881563</c:v>
                </c:pt>
                <c:pt idx="36">
                  <c:v>652.53464340870664</c:v>
                </c:pt>
                <c:pt idx="37">
                  <c:v>663.79089994063224</c:v>
                </c:pt>
                <c:pt idx="38">
                  <c:v>675.20433817891671</c:v>
                </c:pt>
                <c:pt idx="39">
                  <c:v>830.82453933528404</c:v>
                </c:pt>
                <c:pt idx="40">
                  <c:v>990.533361791978</c:v>
                </c:pt>
                <c:pt idx="41">
                  <c:v>1078.9609338399873</c:v>
                </c:pt>
                <c:pt idx="42">
                  <c:v>1169.1838914747232</c:v>
                </c:pt>
                <c:pt idx="43">
                  <c:v>1261.0982535293099</c:v>
                </c:pt>
                <c:pt idx="44">
                  <c:v>1354.9419221093742</c:v>
                </c:pt>
                <c:pt idx="45">
                  <c:v>1451.7368210533505</c:v>
                </c:pt>
                <c:pt idx="46">
                  <c:v>1550.6422351944652</c:v>
                </c:pt>
                <c:pt idx="47">
                  <c:v>1652.0164011879208</c:v>
                </c:pt>
                <c:pt idx="48">
                  <c:v>1754.0353259270112</c:v>
                </c:pt>
                <c:pt idx="49">
                  <c:v>1858.8090715794674</c:v>
                </c:pt>
                <c:pt idx="50">
                  <c:v>1966.507993508166</c:v>
                </c:pt>
              </c:numCache>
            </c:numRef>
          </c:val>
          <c:extLst>
            <c:ext xmlns:c16="http://schemas.microsoft.com/office/drawing/2014/chart" uri="{C3380CC4-5D6E-409C-BE32-E72D297353CC}">
              <c16:uniqueId val="{00000001-A346-41CB-95DE-D5905645E920}"/>
            </c:ext>
          </c:extLst>
        </c:ser>
        <c:ser>
          <c:idx val="2"/>
          <c:order val="2"/>
          <c:tx>
            <c:strRef>
              <c:f>'Output data (results)'!$AL$6:$AL$8</c:f>
              <c:strCache>
                <c:ptCount val="3"/>
                <c:pt idx="0">
                  <c:v>4C</c:v>
                </c:pt>
                <c:pt idx="1">
                  <c:v>Incineration and open burning of waste</c:v>
                </c:pt>
                <c:pt idx="2">
                  <c:v>Case 2-B</c:v>
                </c:pt>
              </c:strCache>
            </c:strRef>
          </c:tx>
          <c:spPr>
            <a:solidFill>
              <a:schemeClr val="accent3"/>
            </a:solidFill>
            <a:ln w="25400">
              <a:noFill/>
            </a:ln>
            <a:effectLst/>
          </c:spPr>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(results)'!$AL$10:$AL$60</c:f>
              <c:numCache>
                <c:formatCode>_(* #,##0_);_(* \(#,##0\);_(* "-"_);_(@_)</c:formatCode>
                <c:ptCount val="51"/>
                <c:pt idx="0">
                  <c:v>266.67687205779424</c:v>
                </c:pt>
                <c:pt idx="1">
                  <c:v>272.19223463898948</c:v>
                </c:pt>
                <c:pt idx="2">
                  <c:v>275.96813671380778</c:v>
                </c:pt>
                <c:pt idx="3">
                  <c:v>279.50160526857348</c:v>
                </c:pt>
                <c:pt idx="4">
                  <c:v>282.82900533129464</c:v>
                </c:pt>
                <c:pt idx="5">
                  <c:v>286.05943198599482</c:v>
                </c:pt>
                <c:pt idx="6">
                  <c:v>289.28985864069489</c:v>
                </c:pt>
                <c:pt idx="7">
                  <c:v>292.47785942938577</c:v>
                </c:pt>
                <c:pt idx="8">
                  <c:v>295.72646859808981</c:v>
                </c:pt>
                <c:pt idx="9">
                  <c:v>298.92053022478206</c:v>
                </c:pt>
                <c:pt idx="10">
                  <c:v>304.93934942856873</c:v>
                </c:pt>
                <c:pt idx="11">
                  <c:v>318.43600763187357</c:v>
                </c:pt>
                <c:pt idx="12">
                  <c:v>322.81139076076983</c:v>
                </c:pt>
                <c:pt idx="13">
                  <c:v>327.66089203269547</c:v>
                </c:pt>
                <c:pt idx="14">
                  <c:v>331.73770718004255</c:v>
                </c:pt>
                <c:pt idx="15">
                  <c:v>335.00364311397755</c:v>
                </c:pt>
                <c:pt idx="16">
                  <c:v>337.42328896055699</c:v>
                </c:pt>
                <c:pt idx="17">
                  <c:v>338.94549979634837</c:v>
                </c:pt>
                <c:pt idx="18">
                  <c:v>335.95278128317591</c:v>
                </c:pt>
                <c:pt idx="19">
                  <c:v>335.91758162413396</c:v>
                </c:pt>
                <c:pt idx="20">
                  <c:v>333.46522438893732</c:v>
                </c:pt>
                <c:pt idx="21">
                  <c:v>313.47743956132365</c:v>
                </c:pt>
                <c:pt idx="22">
                  <c:v>266.60924533734647</c:v>
                </c:pt>
                <c:pt idx="23">
                  <c:v>256.91392969227348</c:v>
                </c:pt>
                <c:pt idx="24">
                  <c:v>246.60705482792568</c:v>
                </c:pt>
                <c:pt idx="25">
                  <c:v>235.65663571118603</c:v>
                </c:pt>
                <c:pt idx="26">
                  <c:v>223.65860164513867</c:v>
                </c:pt>
                <c:pt idx="27">
                  <c:v>210.99299980947745</c:v>
                </c:pt>
                <c:pt idx="28">
                  <c:v>197.61878116539106</c:v>
                </c:pt>
                <c:pt idx="29">
                  <c:v>183.50605443706078</c:v>
                </c:pt>
                <c:pt idx="30">
                  <c:v>168.61312112362941</c:v>
                </c:pt>
                <c:pt idx="31">
                  <c:v>150.43097070105136</c:v>
                </c:pt>
                <c:pt idx="32">
                  <c:v>131.92651111021476</c:v>
                </c:pt>
                <c:pt idx="33">
                  <c:v>133.05134847594945</c:v>
                </c:pt>
                <c:pt idx="34">
                  <c:v>134.18798483503096</c:v>
                </c:pt>
                <c:pt idx="35">
                  <c:v>135.33248718967712</c:v>
                </c:pt>
                <c:pt idx="36">
                  <c:v>136.32360263081392</c:v>
                </c:pt>
                <c:pt idx="37">
                  <c:v>137.32061756862427</c:v>
                </c:pt>
                <c:pt idx="38">
                  <c:v>138.3274650008903</c:v>
                </c:pt>
                <c:pt idx="39">
                  <c:v>139.34021192982971</c:v>
                </c:pt>
                <c:pt idx="40">
                  <c:v>140.35885835544261</c:v>
                </c:pt>
                <c:pt idx="41">
                  <c:v>141.2319838631108</c:v>
                </c:pt>
                <c:pt idx="42">
                  <c:v>142.10904236856123</c:v>
                </c:pt>
                <c:pt idx="43">
                  <c:v>142.99200037068516</c:v>
                </c:pt>
                <c:pt idx="44">
                  <c:v>143.87889137059136</c:v>
                </c:pt>
                <c:pt idx="45">
                  <c:v>144.77364836606213</c:v>
                </c:pt>
                <c:pt idx="46">
                  <c:v>145.51108545024132</c:v>
                </c:pt>
                <c:pt idx="47">
                  <c:v>146.25442203109401</c:v>
                </c:pt>
                <c:pt idx="48">
                  <c:v>147.00169160972888</c:v>
                </c:pt>
                <c:pt idx="49">
                  <c:v>147.750927687255</c:v>
                </c:pt>
                <c:pt idx="50">
                  <c:v>148.5060632614545</c:v>
                </c:pt>
              </c:numCache>
            </c:numRef>
          </c:val>
          <c:extLst>
            <c:ext xmlns:c16="http://schemas.microsoft.com/office/drawing/2014/chart" uri="{C3380CC4-5D6E-409C-BE32-E72D297353CC}">
              <c16:uniqueId val="{00000002-A346-41CB-95DE-D5905645E920}"/>
            </c:ext>
          </c:extLst>
        </c:ser>
        <c:ser>
          <c:idx val="3"/>
          <c:order val="3"/>
          <c:tx>
            <c:strRef>
              <c:f>'Output data (results)'!$AM$6:$AM$8</c:f>
              <c:strCache>
                <c:ptCount val="3"/>
                <c:pt idx="0">
                  <c:v>4D </c:v>
                </c:pt>
                <c:pt idx="1">
                  <c:v>Wastewater Treatment and Discharge</c:v>
                </c:pt>
                <c:pt idx="2">
                  <c:v>Case 2-B</c:v>
                </c:pt>
              </c:strCache>
            </c:strRef>
          </c:tx>
          <c:spPr>
            <a:solidFill>
              <a:schemeClr val="accent4"/>
            </a:solidFill>
            <a:ln w="25400">
              <a:noFill/>
            </a:ln>
            <a:effectLst/>
          </c:spPr>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(results)'!$AM$10:$AM$60</c:f>
              <c:numCache>
                <c:formatCode>_(* #,##0_);_(* \(#,##0\);_(* "-"_);_(@_)</c:formatCode>
                <c:ptCount val="51"/>
                <c:pt idx="0">
                  <c:v>2831.8730929925982</c:v>
                </c:pt>
                <c:pt idx="1">
                  <c:v>2890.4413774158538</c:v>
                </c:pt>
                <c:pt idx="2">
                  <c:v>2930.5381259825444</c:v>
                </c:pt>
                <c:pt idx="3">
                  <c:v>2968.0604444646974</c:v>
                </c:pt>
                <c:pt idx="4">
                  <c:v>3003.3944973749908</c:v>
                </c:pt>
                <c:pt idx="5">
                  <c:v>3037.6987782514689</c:v>
                </c:pt>
                <c:pt idx="6">
                  <c:v>3072.0030591279478</c:v>
                </c:pt>
                <c:pt idx="7">
                  <c:v>3105.8568147396318</c:v>
                </c:pt>
                <c:pt idx="8">
                  <c:v>3140.3541778724511</c:v>
                </c:pt>
                <c:pt idx="9">
                  <c:v>3174.2722942362484</c:v>
                </c:pt>
                <c:pt idx="10">
                  <c:v>3209.670707898656</c:v>
                </c:pt>
                <c:pt idx="11">
                  <c:v>3332.0204976663595</c:v>
                </c:pt>
                <c:pt idx="12">
                  <c:v>3367.6763543372203</c:v>
                </c:pt>
                <c:pt idx="13">
                  <c:v>3417.813380233612</c:v>
                </c:pt>
                <c:pt idx="14">
                  <c:v>3469.8168679412947</c:v>
                </c:pt>
                <c:pt idx="15">
                  <c:v>3523.7511782123806</c:v>
                </c:pt>
                <c:pt idx="16">
                  <c:v>3579.7450325510972</c:v>
                </c:pt>
                <c:pt idx="17">
                  <c:v>3637.7984309574467</c:v>
                </c:pt>
                <c:pt idx="18">
                  <c:v>3778.1317472739725</c:v>
                </c:pt>
                <c:pt idx="19">
                  <c:v>3922.0671678896119</c:v>
                </c:pt>
                <c:pt idx="20">
                  <c:v>4069.6685524307268</c:v>
                </c:pt>
                <c:pt idx="21">
                  <c:v>4201.6695034402455</c:v>
                </c:pt>
                <c:pt idx="22">
                  <c:v>4336.1091427486772</c:v>
                </c:pt>
                <c:pt idx="23">
                  <c:v>4473.1630222529147</c:v>
                </c:pt>
                <c:pt idx="24">
                  <c:v>4612.7951632570066</c:v>
                </c:pt>
                <c:pt idx="25">
                  <c:v>4755.0396242283468</c:v>
                </c:pt>
                <c:pt idx="26">
                  <c:v>4891.8315325087806</c:v>
                </c:pt>
                <c:pt idx="27">
                  <c:v>5030.9273143213595</c:v>
                </c:pt>
                <c:pt idx="28">
                  <c:v>5172.1968290590494</c:v>
                </c:pt>
                <c:pt idx="29">
                  <c:v>5315.8241432355899</c:v>
                </c:pt>
                <c:pt idx="30">
                  <c:v>5461.7562489213324</c:v>
                </c:pt>
                <c:pt idx="31">
                  <c:v>5508.3777658135459</c:v>
                </c:pt>
                <c:pt idx="32">
                  <c:v>5555.4133281488503</c:v>
                </c:pt>
                <c:pt idx="33">
                  <c:v>5602.7801268386283</c:v>
                </c:pt>
                <c:pt idx="34">
                  <c:v>5650.6437800601161</c:v>
                </c:pt>
                <c:pt idx="35">
                  <c:v>5698.8386696360794</c:v>
                </c:pt>
                <c:pt idx="36">
                  <c:v>5740.5744502998004</c:v>
                </c:pt>
                <c:pt idx="37">
                  <c:v>5782.5586582293754</c:v>
                </c:pt>
                <c:pt idx="38">
                  <c:v>5824.9569116020448</c:v>
                </c:pt>
                <c:pt idx="39">
                  <c:v>5867.6035922405699</c:v>
                </c:pt>
                <c:pt idx="40">
                  <c:v>5910.4987001449481</c:v>
                </c:pt>
                <c:pt idx="41">
                  <c:v>5947.2659354915595</c:v>
                </c:pt>
                <c:pt idx="42">
                  <c:v>5984.1987890154069</c:v>
                </c:pt>
                <c:pt idx="43">
                  <c:v>6021.38006980511</c:v>
                </c:pt>
                <c:pt idx="44">
                  <c:v>6058.7269687720527</c:v>
                </c:pt>
                <c:pt idx="45">
                  <c:v>6096.4051040934646</c:v>
                </c:pt>
                <c:pt idx="46">
                  <c:v>6127.4585123254001</c:v>
                </c:pt>
                <c:pt idx="47">
                  <c:v>6158.7603478231922</c:v>
                </c:pt>
                <c:pt idx="48">
                  <c:v>6190.2278014982176</c:v>
                </c:pt>
                <c:pt idx="49">
                  <c:v>6221.7780642618636</c:v>
                </c:pt>
                <c:pt idx="50">
                  <c:v>6253.5767542913654</c:v>
                </c:pt>
              </c:numCache>
            </c:numRef>
          </c:val>
          <c:extLst>
            <c:ext xmlns:c16="http://schemas.microsoft.com/office/drawing/2014/chart" uri="{C3380CC4-5D6E-409C-BE32-E72D297353CC}">
              <c16:uniqueId val="{00000003-A346-41CB-95DE-D5905645E920}"/>
            </c:ext>
          </c:extLst>
        </c:ser>
        <c:dLbls>
          <c:showLegendKey val="0"/>
          <c:showVal val="0"/>
          <c:showCatName val="0"/>
          <c:showSerName val="0"/>
          <c:showPercent val="0"/>
          <c:showBubbleSize val="0"/>
        </c:dLbls>
        <c:axId val="708997896"/>
        <c:axId val="708998552"/>
      </c:areaChart>
      <c:catAx>
        <c:axId val="708997896"/>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ZA" sz="1600"/>
                  <a:t>Year</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08998552"/>
        <c:crosses val="autoZero"/>
        <c:auto val="1"/>
        <c:lblAlgn val="ctr"/>
        <c:lblOffset val="100"/>
        <c:tickMarkSkip val="1"/>
        <c:noMultiLvlLbl val="0"/>
      </c:catAx>
      <c:valAx>
        <c:axId val="708998552"/>
        <c:scaling>
          <c:orientation val="minMax"/>
          <c:min val="0.7500000000000001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800" b="0" i="0" baseline="0">
                    <a:effectLst/>
                  </a:rPr>
                  <a:t>Perecntage of GHG emissions per category </a:t>
                </a:r>
                <a:endParaRPr lang="en-ZA">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08997896"/>
        <c:crosses val="autoZero"/>
        <c:crossBetween val="midCat"/>
      </c:valAx>
      <c:spPr>
        <a:noFill/>
        <a:ln>
          <a:noFill/>
        </a:ln>
        <a:effectLst/>
      </c:spPr>
    </c:plotArea>
    <c:legend>
      <c:legendPos val="b"/>
      <c:layout>
        <c:manualLayout>
          <c:xMode val="edge"/>
          <c:yMode val="edge"/>
          <c:x val="4.9999968791059259E-2"/>
          <c:y val="0.90813345290417458"/>
          <c:w val="0.89999999999999991"/>
          <c:h val="7.673186420214817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r>
              <a:rPr lang="en-US" sz="2800" b="1"/>
              <a:t>Case 3</a:t>
            </a:r>
          </a:p>
        </c:rich>
      </c:tx>
      <c:layout>
        <c:manualLayout>
          <c:xMode val="edge"/>
          <c:yMode val="edge"/>
          <c:x val="0.48258815745534783"/>
          <c:y val="1.6143614612513527E-2"/>
        </c:manualLayout>
      </c:layout>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404982191923345E-2"/>
          <c:y val="5.8181056329742936E-2"/>
          <c:w val="0.86846277349900203"/>
          <c:h val="0.74153728299359767"/>
        </c:manualLayout>
      </c:layout>
      <c:areaChart>
        <c:grouping val="percentStacked"/>
        <c:varyColors val="0"/>
        <c:ser>
          <c:idx val="0"/>
          <c:order val="0"/>
          <c:tx>
            <c:strRef>
              <c:f>'Output data (results)'!$AV$6:$AV$8</c:f>
              <c:strCache>
                <c:ptCount val="3"/>
                <c:pt idx="0">
                  <c:v>4A</c:v>
                </c:pt>
                <c:pt idx="1">
                  <c:v>SWDS</c:v>
                </c:pt>
                <c:pt idx="2">
                  <c:v>Case 3-B</c:v>
                </c:pt>
              </c:strCache>
            </c:strRef>
          </c:tx>
          <c:spPr>
            <a:solidFill>
              <a:schemeClr val="accent1"/>
            </a:solidFill>
            <a:ln w="25400">
              <a:noFill/>
            </a:ln>
            <a:effectLst/>
          </c:spPr>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(results)'!$AV$10:$AV$60</c:f>
              <c:numCache>
                <c:formatCode>_(* #,##0_);_(* \(#,##0\);_(* "-"_);_(@_)</c:formatCode>
                <c:ptCount val="51"/>
                <c:pt idx="0">
                  <c:v>29668.831149553258</c:v>
                </c:pt>
                <c:pt idx="1">
                  <c:v>30526.628224166292</c:v>
                </c:pt>
                <c:pt idx="2">
                  <c:v>31400.581539521827</c:v>
                </c:pt>
                <c:pt idx="3">
                  <c:v>32304.435710447797</c:v>
                </c:pt>
                <c:pt idx="4">
                  <c:v>33225.082846730525</c:v>
                </c:pt>
                <c:pt idx="5">
                  <c:v>34192.418078555784</c:v>
                </c:pt>
                <c:pt idx="6">
                  <c:v>35221.712489468555</c:v>
                </c:pt>
                <c:pt idx="7">
                  <c:v>36321.956945349011</c:v>
                </c:pt>
                <c:pt idx="8">
                  <c:v>37490.75707250095</c:v>
                </c:pt>
                <c:pt idx="9">
                  <c:v>38682.051593594115</c:v>
                </c:pt>
                <c:pt idx="10">
                  <c:v>39786.646249323305</c:v>
                </c:pt>
                <c:pt idx="11">
                  <c:v>40856.513568839197</c:v>
                </c:pt>
                <c:pt idx="12">
                  <c:v>41918.111863448263</c:v>
                </c:pt>
                <c:pt idx="13">
                  <c:v>42932.397218574253</c:v>
                </c:pt>
                <c:pt idx="14">
                  <c:v>43912.988905799335</c:v>
                </c:pt>
                <c:pt idx="15">
                  <c:v>44848.996713296379</c:v>
                </c:pt>
                <c:pt idx="16">
                  <c:v>45729.066351073867</c:v>
                </c:pt>
                <c:pt idx="17">
                  <c:v>46545.194365763069</c:v>
                </c:pt>
                <c:pt idx="18">
                  <c:v>47312.398709717942</c:v>
                </c:pt>
                <c:pt idx="19">
                  <c:v>47572.056283588638</c:v>
                </c:pt>
                <c:pt idx="20">
                  <c:v>47704.160367515295</c:v>
                </c:pt>
                <c:pt idx="21">
                  <c:v>47449.607307169012</c:v>
                </c:pt>
                <c:pt idx="22">
                  <c:v>46837.295751191741</c:v>
                </c:pt>
                <c:pt idx="23">
                  <c:v>46036.245268525687</c:v>
                </c:pt>
                <c:pt idx="24">
                  <c:v>45236.908843023914</c:v>
                </c:pt>
                <c:pt idx="25">
                  <c:v>44435.583893075869</c:v>
                </c:pt>
                <c:pt idx="26">
                  <c:v>43655.903017943681</c:v>
                </c:pt>
                <c:pt idx="27">
                  <c:v>42876.414712957812</c:v>
                </c:pt>
                <c:pt idx="28">
                  <c:v>42096.827438818735</c:v>
                </c:pt>
                <c:pt idx="29">
                  <c:v>41317.087713381159</c:v>
                </c:pt>
                <c:pt idx="30">
                  <c:v>40537.142903930631</c:v>
                </c:pt>
                <c:pt idx="31">
                  <c:v>39756.873385793748</c:v>
                </c:pt>
                <c:pt idx="32">
                  <c:v>38977.696173782693</c:v>
                </c:pt>
                <c:pt idx="33">
                  <c:v>38199.291611196641</c:v>
                </c:pt>
                <c:pt idx="34">
                  <c:v>37422.067174178526</c:v>
                </c:pt>
                <c:pt idx="35">
                  <c:v>36646.273118289508</c:v>
                </c:pt>
                <c:pt idx="36">
                  <c:v>35872.165874182421</c:v>
                </c:pt>
                <c:pt idx="37">
                  <c:v>35067.312368822466</c:v>
                </c:pt>
                <c:pt idx="38">
                  <c:v>34233.434651884221</c:v>
                </c:pt>
                <c:pt idx="39">
                  <c:v>33372.033140312647</c:v>
                </c:pt>
                <c:pt idx="40">
                  <c:v>32575.564223280337</c:v>
                </c:pt>
                <c:pt idx="41">
                  <c:v>31843.398056387883</c:v>
                </c:pt>
                <c:pt idx="42">
                  <c:v>31173.426436393325</c:v>
                </c:pt>
                <c:pt idx="43">
                  <c:v>30563.744998521037</c:v>
                </c:pt>
                <c:pt idx="44">
                  <c:v>30012.473369252246</c:v>
                </c:pt>
                <c:pt idx="45">
                  <c:v>29517.976214365874</c:v>
                </c:pt>
                <c:pt idx="46">
                  <c:v>29079.33709461513</c:v>
                </c:pt>
                <c:pt idx="47">
                  <c:v>28695.37940507977</c:v>
                </c:pt>
                <c:pt idx="48">
                  <c:v>28365.024484506095</c:v>
                </c:pt>
                <c:pt idx="49">
                  <c:v>28086.060014740993</c:v>
                </c:pt>
                <c:pt idx="50">
                  <c:v>27857.717424608163</c:v>
                </c:pt>
              </c:numCache>
            </c:numRef>
          </c:val>
          <c:extLst>
            <c:ext xmlns:c16="http://schemas.microsoft.com/office/drawing/2014/chart" uri="{C3380CC4-5D6E-409C-BE32-E72D297353CC}">
              <c16:uniqueId val="{00000000-A4C9-4CEF-BA2E-2F7A036E9B1D}"/>
            </c:ext>
          </c:extLst>
        </c:ser>
        <c:ser>
          <c:idx val="1"/>
          <c:order val="1"/>
          <c:tx>
            <c:strRef>
              <c:f>'Output data (results)'!$AW$6:$AW$8</c:f>
              <c:strCache>
                <c:ptCount val="3"/>
                <c:pt idx="0">
                  <c:v>4B</c:v>
                </c:pt>
                <c:pt idx="1">
                  <c:v>Biological treatment of solid waste</c:v>
                </c:pt>
                <c:pt idx="2">
                  <c:v>Case 3-B</c:v>
                </c:pt>
              </c:strCache>
            </c:strRef>
          </c:tx>
          <c:spPr>
            <a:solidFill>
              <a:schemeClr val="accent2"/>
            </a:solidFill>
            <a:ln w="25400">
              <a:noFill/>
            </a:ln>
            <a:effectLst/>
          </c:spPr>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(results)'!$AW$10:$AW$60</c:f>
              <c:numCache>
                <c:formatCode>_(* #,##0_);_(* \(#,##0\);_(* "-"_);_(@_)</c:formatCode>
                <c:ptCount val="51"/>
                <c:pt idx="0">
                  <c:v>760.94982037695092</c:v>
                </c:pt>
                <c:pt idx="1">
                  <c:v>780.54907176832921</c:v>
                </c:pt>
                <c:pt idx="2">
                  <c:v>805.89597323422572</c:v>
                </c:pt>
                <c:pt idx="3">
                  <c:v>827.07597703450631</c:v>
                </c:pt>
                <c:pt idx="4">
                  <c:v>859.4644285342431</c:v>
                </c:pt>
                <c:pt idx="5">
                  <c:v>898.25036493722359</c:v>
                </c:pt>
                <c:pt idx="6">
                  <c:v>941.39728804730544</c:v>
                </c:pt>
                <c:pt idx="7">
                  <c:v>984.94130752933586</c:v>
                </c:pt>
                <c:pt idx="8">
                  <c:v>1012.9537824256299</c:v>
                </c:pt>
                <c:pt idx="9">
                  <c:v>1001.7224131357198</c:v>
                </c:pt>
                <c:pt idx="10">
                  <c:v>1079.9319251187405</c:v>
                </c:pt>
                <c:pt idx="11">
                  <c:v>1113.3470102861947</c:v>
                </c:pt>
                <c:pt idx="12">
                  <c:v>1178.2270336169195</c:v>
                </c:pt>
                <c:pt idx="13">
                  <c:v>1244.2716562766143</c:v>
                </c:pt>
                <c:pt idx="14">
                  <c:v>1302.8741690929994</c:v>
                </c:pt>
                <c:pt idx="15">
                  <c:v>1353.5605273435249</c:v>
                </c:pt>
                <c:pt idx="16">
                  <c:v>1397.1658867042397</c:v>
                </c:pt>
                <c:pt idx="17">
                  <c:v>1441.3820574705167</c:v>
                </c:pt>
                <c:pt idx="18">
                  <c:v>1371.5821551672836</c:v>
                </c:pt>
                <c:pt idx="19">
                  <c:v>1292.775956578251</c:v>
                </c:pt>
                <c:pt idx="20">
                  <c:v>1082.7965821271721</c:v>
                </c:pt>
                <c:pt idx="21">
                  <c:v>834.38402831169572</c:v>
                </c:pt>
                <c:pt idx="22">
                  <c:v>561.7688624733978</c:v>
                </c:pt>
                <c:pt idx="23">
                  <c:v>548.28572945635563</c:v>
                </c:pt>
                <c:pt idx="24">
                  <c:v>533.70450039513526</c:v>
                </c:pt>
                <c:pt idx="25">
                  <c:v>518.16495476302021</c:v>
                </c:pt>
                <c:pt idx="26">
                  <c:v>501.371289070974</c:v>
                </c:pt>
                <c:pt idx="27">
                  <c:v>483.44694891963064</c:v>
                </c:pt>
                <c:pt idx="28">
                  <c:v>464.49615804398422</c:v>
                </c:pt>
                <c:pt idx="29">
                  <c:v>444.4299826413453</c:v>
                </c:pt>
                <c:pt idx="30">
                  <c:v>423.18913690285854</c:v>
                </c:pt>
                <c:pt idx="31">
                  <c:v>397.19009886058177</c:v>
                </c:pt>
                <c:pt idx="32">
                  <c:v>370.47151942987688</c:v>
                </c:pt>
                <c:pt idx="33">
                  <c:v>376.55899079542786</c:v>
                </c:pt>
                <c:pt idx="34">
                  <c:v>382.95910908022921</c:v>
                </c:pt>
                <c:pt idx="35">
                  <c:v>389.68361036425586</c:v>
                </c:pt>
                <c:pt idx="36">
                  <c:v>396.29807794372368</c:v>
                </c:pt>
                <c:pt idx="37">
                  <c:v>403.13424039655706</c:v>
                </c:pt>
                <c:pt idx="38">
                  <c:v>410.0658626211391</c:v>
                </c:pt>
                <c:pt idx="39">
                  <c:v>504.57729926352522</c:v>
                </c:pt>
                <c:pt idx="40">
                  <c:v>601.57184202008659</c:v>
                </c:pt>
                <c:pt idx="41">
                  <c:v>655.27577512744676</c:v>
                </c:pt>
                <c:pt idx="42">
                  <c:v>710.0700838407223</c:v>
                </c:pt>
                <c:pt idx="43">
                  <c:v>765.89161819999686</c:v>
                </c:pt>
                <c:pt idx="44">
                  <c:v>822.88486118123387</c:v>
                </c:pt>
                <c:pt idx="45">
                  <c:v>881.67044872624456</c:v>
                </c:pt>
                <c:pt idx="46">
                  <c:v>941.73779674871844</c:v>
                </c:pt>
                <c:pt idx="47">
                  <c:v>1003.3044699394193</c:v>
                </c:pt>
                <c:pt idx="48">
                  <c:v>1065.2627187410301</c:v>
                </c:pt>
                <c:pt idx="49">
                  <c:v>1128.8940284966816</c:v>
                </c:pt>
                <c:pt idx="50">
                  <c:v>1194.3018596181046</c:v>
                </c:pt>
              </c:numCache>
            </c:numRef>
          </c:val>
          <c:extLst>
            <c:ext xmlns:c16="http://schemas.microsoft.com/office/drawing/2014/chart" uri="{C3380CC4-5D6E-409C-BE32-E72D297353CC}">
              <c16:uniqueId val="{00000001-A4C9-4CEF-BA2E-2F7A036E9B1D}"/>
            </c:ext>
          </c:extLst>
        </c:ser>
        <c:ser>
          <c:idx val="2"/>
          <c:order val="2"/>
          <c:tx>
            <c:strRef>
              <c:f>'Output data (results)'!$AX$6:$AX$8</c:f>
              <c:strCache>
                <c:ptCount val="3"/>
                <c:pt idx="0">
                  <c:v>4C</c:v>
                </c:pt>
                <c:pt idx="1">
                  <c:v>Incineration and open burning of waste</c:v>
                </c:pt>
                <c:pt idx="2">
                  <c:v>Case 3-B</c:v>
                </c:pt>
              </c:strCache>
            </c:strRef>
          </c:tx>
          <c:spPr>
            <a:solidFill>
              <a:schemeClr val="accent3"/>
            </a:solidFill>
            <a:ln w="25400">
              <a:noFill/>
            </a:ln>
            <a:effectLst/>
          </c:spPr>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(results)'!$AX$10:$AX$60</c:f>
              <c:numCache>
                <c:formatCode>_(* #,##0_);_(* \(#,##0\);_(* "-"_);_(@_)</c:formatCode>
                <c:ptCount val="51"/>
                <c:pt idx="0">
                  <c:v>266.67687205779424</c:v>
                </c:pt>
                <c:pt idx="1">
                  <c:v>272.19223463898948</c:v>
                </c:pt>
                <c:pt idx="2">
                  <c:v>275.96813671380778</c:v>
                </c:pt>
                <c:pt idx="3">
                  <c:v>279.50160526857348</c:v>
                </c:pt>
                <c:pt idx="4">
                  <c:v>282.82900533129464</c:v>
                </c:pt>
                <c:pt idx="5">
                  <c:v>286.05943198599482</c:v>
                </c:pt>
                <c:pt idx="6">
                  <c:v>289.28985864069489</c:v>
                </c:pt>
                <c:pt idx="7">
                  <c:v>292.47785942938577</c:v>
                </c:pt>
                <c:pt idx="8">
                  <c:v>295.72646859808981</c:v>
                </c:pt>
                <c:pt idx="9">
                  <c:v>298.92053022478206</c:v>
                </c:pt>
                <c:pt idx="10">
                  <c:v>304.93934942856873</c:v>
                </c:pt>
                <c:pt idx="11">
                  <c:v>318.43600763187357</c:v>
                </c:pt>
                <c:pt idx="12">
                  <c:v>322.81139076076983</c:v>
                </c:pt>
                <c:pt idx="13">
                  <c:v>327.66089203269547</c:v>
                </c:pt>
                <c:pt idx="14">
                  <c:v>331.73770718004255</c:v>
                </c:pt>
                <c:pt idx="15">
                  <c:v>335.00364311397755</c:v>
                </c:pt>
                <c:pt idx="16">
                  <c:v>337.42328896055699</c:v>
                </c:pt>
                <c:pt idx="17">
                  <c:v>338.94549979634837</c:v>
                </c:pt>
                <c:pt idx="18">
                  <c:v>335.95278128317591</c:v>
                </c:pt>
                <c:pt idx="19">
                  <c:v>335.87589480850568</c:v>
                </c:pt>
                <c:pt idx="20">
                  <c:v>333.46522438893732</c:v>
                </c:pt>
                <c:pt idx="21">
                  <c:v>313.47743956132365</c:v>
                </c:pt>
                <c:pt idx="22">
                  <c:v>266.60924533734647</c:v>
                </c:pt>
                <c:pt idx="23">
                  <c:v>256.91392969227354</c:v>
                </c:pt>
                <c:pt idx="24">
                  <c:v>246.60705482792577</c:v>
                </c:pt>
                <c:pt idx="25">
                  <c:v>235.65663571118603</c:v>
                </c:pt>
                <c:pt idx="26">
                  <c:v>223.65860164513867</c:v>
                </c:pt>
                <c:pt idx="27">
                  <c:v>210.99299980947745</c:v>
                </c:pt>
                <c:pt idx="28">
                  <c:v>197.61878116539108</c:v>
                </c:pt>
                <c:pt idx="29">
                  <c:v>183.50605443706081</c:v>
                </c:pt>
                <c:pt idx="30">
                  <c:v>168.61312112362944</c:v>
                </c:pt>
                <c:pt idx="31">
                  <c:v>150.43097070105136</c:v>
                </c:pt>
                <c:pt idx="32">
                  <c:v>131.92651111021479</c:v>
                </c:pt>
                <c:pt idx="33">
                  <c:v>133.05134847594948</c:v>
                </c:pt>
                <c:pt idx="34">
                  <c:v>134.18798483503099</c:v>
                </c:pt>
                <c:pt idx="35">
                  <c:v>135.33248718967712</c:v>
                </c:pt>
                <c:pt idx="36">
                  <c:v>136.32360263081401</c:v>
                </c:pt>
                <c:pt idx="37">
                  <c:v>137.3206175686243</c:v>
                </c:pt>
                <c:pt idx="38">
                  <c:v>138.32746500089033</c:v>
                </c:pt>
                <c:pt idx="39">
                  <c:v>139.34021192982974</c:v>
                </c:pt>
                <c:pt idx="40">
                  <c:v>140.35885835544264</c:v>
                </c:pt>
                <c:pt idx="41">
                  <c:v>141.2319838631108</c:v>
                </c:pt>
                <c:pt idx="42">
                  <c:v>142.10904236856129</c:v>
                </c:pt>
                <c:pt idx="43">
                  <c:v>142.99200037068519</c:v>
                </c:pt>
                <c:pt idx="44">
                  <c:v>143.87889137059139</c:v>
                </c:pt>
                <c:pt idx="45">
                  <c:v>144.77364836606216</c:v>
                </c:pt>
                <c:pt idx="46">
                  <c:v>145.51108545024138</c:v>
                </c:pt>
                <c:pt idx="47">
                  <c:v>146.25442203109404</c:v>
                </c:pt>
                <c:pt idx="48">
                  <c:v>147.00169160972894</c:v>
                </c:pt>
                <c:pt idx="49">
                  <c:v>147.75092768725503</c:v>
                </c:pt>
                <c:pt idx="50">
                  <c:v>148.50606326145453</c:v>
                </c:pt>
              </c:numCache>
            </c:numRef>
          </c:val>
          <c:extLst>
            <c:ext xmlns:c16="http://schemas.microsoft.com/office/drawing/2014/chart" uri="{C3380CC4-5D6E-409C-BE32-E72D297353CC}">
              <c16:uniqueId val="{00000002-A4C9-4CEF-BA2E-2F7A036E9B1D}"/>
            </c:ext>
          </c:extLst>
        </c:ser>
        <c:ser>
          <c:idx val="3"/>
          <c:order val="3"/>
          <c:tx>
            <c:strRef>
              <c:f>'Output data (results)'!$AY$6:$AY$8</c:f>
              <c:strCache>
                <c:ptCount val="3"/>
                <c:pt idx="0">
                  <c:v>4D </c:v>
                </c:pt>
                <c:pt idx="1">
                  <c:v>Wastewater Treatment and Discharge</c:v>
                </c:pt>
                <c:pt idx="2">
                  <c:v>Case 3-B</c:v>
                </c:pt>
              </c:strCache>
            </c:strRef>
          </c:tx>
          <c:spPr>
            <a:solidFill>
              <a:schemeClr val="accent4"/>
            </a:solidFill>
            <a:ln w="25400">
              <a:noFill/>
            </a:ln>
            <a:effectLst/>
          </c:spPr>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(results)'!$AY$10:$AY$60</c:f>
              <c:numCache>
                <c:formatCode>_(* #,##0_);_(* \(#,##0\);_(* "-"_);_(@_)</c:formatCode>
                <c:ptCount val="51"/>
                <c:pt idx="0">
                  <c:v>2831.8730929925982</c:v>
                </c:pt>
                <c:pt idx="1">
                  <c:v>2890.4413774158538</c:v>
                </c:pt>
                <c:pt idx="2">
                  <c:v>2930.5381259825444</c:v>
                </c:pt>
                <c:pt idx="3">
                  <c:v>2968.0604444646974</c:v>
                </c:pt>
                <c:pt idx="4">
                  <c:v>3003.3944973749908</c:v>
                </c:pt>
                <c:pt idx="5">
                  <c:v>3037.6987782514689</c:v>
                </c:pt>
                <c:pt idx="6">
                  <c:v>3072.0030591279478</c:v>
                </c:pt>
                <c:pt idx="7">
                  <c:v>3105.8568147396318</c:v>
                </c:pt>
                <c:pt idx="8">
                  <c:v>3140.3541778724511</c:v>
                </c:pt>
                <c:pt idx="9">
                  <c:v>3174.2722942362484</c:v>
                </c:pt>
                <c:pt idx="10">
                  <c:v>3209.670707898656</c:v>
                </c:pt>
                <c:pt idx="11">
                  <c:v>3332.0204976663595</c:v>
                </c:pt>
                <c:pt idx="12">
                  <c:v>3367.6763543372203</c:v>
                </c:pt>
                <c:pt idx="13">
                  <c:v>3417.813380233612</c:v>
                </c:pt>
                <c:pt idx="14">
                  <c:v>3469.8168679412947</c:v>
                </c:pt>
                <c:pt idx="15">
                  <c:v>3523.7511782123806</c:v>
                </c:pt>
                <c:pt idx="16">
                  <c:v>3579.7450325510972</c:v>
                </c:pt>
                <c:pt idx="17">
                  <c:v>3637.7984309574467</c:v>
                </c:pt>
                <c:pt idx="18">
                  <c:v>3778.1317472739725</c:v>
                </c:pt>
                <c:pt idx="19">
                  <c:v>3922.0671678896119</c:v>
                </c:pt>
                <c:pt idx="20">
                  <c:v>4069.6685524307268</c:v>
                </c:pt>
                <c:pt idx="21">
                  <c:v>4201.6695034402455</c:v>
                </c:pt>
                <c:pt idx="22">
                  <c:v>4336.1091427486772</c:v>
                </c:pt>
                <c:pt idx="23">
                  <c:v>4473.1630222529147</c:v>
                </c:pt>
                <c:pt idx="24">
                  <c:v>4612.7951632570066</c:v>
                </c:pt>
                <c:pt idx="25">
                  <c:v>4755.0396242283468</c:v>
                </c:pt>
                <c:pt idx="26">
                  <c:v>4891.8315325087806</c:v>
                </c:pt>
                <c:pt idx="27">
                  <c:v>5030.9273143213595</c:v>
                </c:pt>
                <c:pt idx="28">
                  <c:v>5172.1968290590494</c:v>
                </c:pt>
                <c:pt idx="29">
                  <c:v>5315.8241432355899</c:v>
                </c:pt>
                <c:pt idx="30">
                  <c:v>5461.7562489213324</c:v>
                </c:pt>
                <c:pt idx="31">
                  <c:v>5508.3777658135459</c:v>
                </c:pt>
                <c:pt idx="32">
                  <c:v>5555.4133281488503</c:v>
                </c:pt>
                <c:pt idx="33">
                  <c:v>5602.7801268386283</c:v>
                </c:pt>
                <c:pt idx="34">
                  <c:v>5650.6437800601161</c:v>
                </c:pt>
                <c:pt idx="35">
                  <c:v>5698.8386696360794</c:v>
                </c:pt>
                <c:pt idx="36">
                  <c:v>5740.5744502998004</c:v>
                </c:pt>
                <c:pt idx="37">
                  <c:v>5782.5586582293754</c:v>
                </c:pt>
                <c:pt idx="38">
                  <c:v>5824.9569116020448</c:v>
                </c:pt>
                <c:pt idx="39">
                  <c:v>5867.6035922405699</c:v>
                </c:pt>
                <c:pt idx="40">
                  <c:v>5910.4987001449481</c:v>
                </c:pt>
                <c:pt idx="41">
                  <c:v>5947.2659354915595</c:v>
                </c:pt>
                <c:pt idx="42">
                  <c:v>5984.1987890154069</c:v>
                </c:pt>
                <c:pt idx="43">
                  <c:v>6021.38006980511</c:v>
                </c:pt>
                <c:pt idx="44">
                  <c:v>6058.7269687720527</c:v>
                </c:pt>
                <c:pt idx="45">
                  <c:v>6096.4051040934646</c:v>
                </c:pt>
                <c:pt idx="46">
                  <c:v>6127.4585123254001</c:v>
                </c:pt>
                <c:pt idx="47">
                  <c:v>6158.7603478231922</c:v>
                </c:pt>
                <c:pt idx="48">
                  <c:v>6190.2278014982176</c:v>
                </c:pt>
                <c:pt idx="49">
                  <c:v>6221.7780642618636</c:v>
                </c:pt>
                <c:pt idx="50">
                  <c:v>6253.5767542913654</c:v>
                </c:pt>
              </c:numCache>
            </c:numRef>
          </c:val>
          <c:extLst>
            <c:ext xmlns:c16="http://schemas.microsoft.com/office/drawing/2014/chart" uri="{C3380CC4-5D6E-409C-BE32-E72D297353CC}">
              <c16:uniqueId val="{00000003-A4C9-4CEF-BA2E-2F7A036E9B1D}"/>
            </c:ext>
          </c:extLst>
        </c:ser>
        <c:dLbls>
          <c:showLegendKey val="0"/>
          <c:showVal val="0"/>
          <c:showCatName val="0"/>
          <c:showSerName val="0"/>
          <c:showPercent val="0"/>
          <c:showBubbleSize val="0"/>
        </c:dLbls>
        <c:axId val="708997896"/>
        <c:axId val="708998552"/>
      </c:areaChart>
      <c:catAx>
        <c:axId val="708997896"/>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ZA" sz="2000"/>
                  <a:t>Year</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08998552"/>
        <c:crosses val="autoZero"/>
        <c:auto val="1"/>
        <c:lblAlgn val="ctr"/>
        <c:lblOffset val="100"/>
        <c:tickMarkSkip val="1"/>
        <c:noMultiLvlLbl val="0"/>
      </c:catAx>
      <c:valAx>
        <c:axId val="708998552"/>
        <c:scaling>
          <c:orientation val="minMax"/>
          <c:min val="0.7500000000000001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Perecntage of GHG emissions per</a:t>
                </a:r>
                <a:r>
                  <a:rPr lang="en-US" sz="1800" baseline="0"/>
                  <a:t> category</a:t>
                </a:r>
                <a:r>
                  <a:rPr lang="en-US" sz="1800"/>
                  <a:t> </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08997896"/>
        <c:crosses val="autoZero"/>
        <c:crossBetween val="midCat"/>
      </c:valAx>
      <c:spPr>
        <a:noFill/>
        <a:ln>
          <a:noFill/>
        </a:ln>
        <a:effectLst/>
      </c:spPr>
    </c:plotArea>
    <c:legend>
      <c:legendPos val="b"/>
      <c:layout>
        <c:manualLayout>
          <c:xMode val="edge"/>
          <c:yMode val="edge"/>
          <c:x val="4.8781019204773492E-2"/>
          <c:y val="0.89873940968170707"/>
          <c:w val="0.89999999999999991"/>
          <c:h val="7.7105837231246893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Case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'Output data (results)'!$X$6:$X$8</c:f>
              <c:strCache>
                <c:ptCount val="3"/>
                <c:pt idx="0">
                  <c:v>4A</c:v>
                </c:pt>
                <c:pt idx="1">
                  <c:v>SWDS</c:v>
                </c:pt>
                <c:pt idx="2">
                  <c:v>Case 1-B</c:v>
                </c:pt>
              </c:strCache>
            </c:strRef>
          </c:tx>
          <c:spPr>
            <a:solidFill>
              <a:schemeClr val="accent1"/>
            </a:solidFill>
            <a:ln>
              <a:noFill/>
            </a:ln>
            <a:effectLst/>
          </c:spPr>
          <c:invertIfNegative val="0"/>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(results)'!$X$10:$X$60</c:f>
              <c:numCache>
                <c:formatCode>_(* #,##0_);_(* \(#,##0\);_(* "-"_);_(@_)</c:formatCode>
                <c:ptCount val="51"/>
                <c:pt idx="0">
                  <c:v>29668.831149553258</c:v>
                </c:pt>
                <c:pt idx="1">
                  <c:v>30526.628224166292</c:v>
                </c:pt>
                <c:pt idx="2">
                  <c:v>31400.581539521827</c:v>
                </c:pt>
                <c:pt idx="3">
                  <c:v>32304.435710447797</c:v>
                </c:pt>
                <c:pt idx="4">
                  <c:v>33225.082846730525</c:v>
                </c:pt>
                <c:pt idx="5">
                  <c:v>34192.418078555784</c:v>
                </c:pt>
                <c:pt idx="6">
                  <c:v>35221.712489468555</c:v>
                </c:pt>
                <c:pt idx="7">
                  <c:v>36321.956945349011</c:v>
                </c:pt>
                <c:pt idx="8">
                  <c:v>37490.75707250095</c:v>
                </c:pt>
                <c:pt idx="9">
                  <c:v>38682.051593594115</c:v>
                </c:pt>
                <c:pt idx="10">
                  <c:v>39786.646249323305</c:v>
                </c:pt>
                <c:pt idx="11">
                  <c:v>40856.513568839197</c:v>
                </c:pt>
                <c:pt idx="12">
                  <c:v>41918.111863448263</c:v>
                </c:pt>
                <c:pt idx="13">
                  <c:v>42932.397218574253</c:v>
                </c:pt>
                <c:pt idx="14">
                  <c:v>43912.988905799335</c:v>
                </c:pt>
                <c:pt idx="15">
                  <c:v>44848.996713296379</c:v>
                </c:pt>
                <c:pt idx="16">
                  <c:v>45729.066351073867</c:v>
                </c:pt>
                <c:pt idx="17">
                  <c:v>46545.194365763069</c:v>
                </c:pt>
                <c:pt idx="18">
                  <c:v>47312.398709717942</c:v>
                </c:pt>
                <c:pt idx="19">
                  <c:v>47916.691555070058</c:v>
                </c:pt>
                <c:pt idx="20">
                  <c:v>48367.055088757734</c:v>
                </c:pt>
                <c:pt idx="21">
                  <c:v>48486.494274091812</c:v>
                </c:pt>
                <c:pt idx="22">
                  <c:v>48520.386688570368</c:v>
                </c:pt>
                <c:pt idx="23">
                  <c:v>48472.424916666474</c:v>
                </c:pt>
                <c:pt idx="24">
                  <c:v>48348.480504554595</c:v>
                </c:pt>
                <c:pt idx="25">
                  <c:v>48152.415682504587</c:v>
                </c:pt>
                <c:pt idx="26">
                  <c:v>47890.871408397164</c:v>
                </c:pt>
                <c:pt idx="27">
                  <c:v>47574.545146465563</c:v>
                </c:pt>
                <c:pt idx="28">
                  <c:v>47206.618795147137</c:v>
                </c:pt>
                <c:pt idx="29">
                  <c:v>46798.250295088452</c:v>
                </c:pt>
                <c:pt idx="30">
                  <c:v>46353.515186207631</c:v>
                </c:pt>
                <c:pt idx="31">
                  <c:v>45876.266303000804</c:v>
                </c:pt>
                <c:pt idx="32">
                  <c:v>45403.048288364451</c:v>
                </c:pt>
                <c:pt idx="33">
                  <c:v>44930.494894036361</c:v>
                </c:pt>
                <c:pt idx="34">
                  <c:v>44461.646909414798</c:v>
                </c:pt>
                <c:pt idx="35">
                  <c:v>43997.825833398994</c:v>
                </c:pt>
                <c:pt idx="36">
                  <c:v>43540.238631072258</c:v>
                </c:pt>
                <c:pt idx="37">
                  <c:v>43088.144102931379</c:v>
                </c:pt>
                <c:pt idx="38">
                  <c:v>42648.33917554182</c:v>
                </c:pt>
                <c:pt idx="39">
                  <c:v>42216.500585255373</c:v>
                </c:pt>
                <c:pt idx="40">
                  <c:v>41792.600256012054</c:v>
                </c:pt>
                <c:pt idx="41">
                  <c:v>41377.432470494998</c:v>
                </c:pt>
                <c:pt idx="42">
                  <c:v>40941.260773860318</c:v>
                </c:pt>
                <c:pt idx="43">
                  <c:v>40486.312702143812</c:v>
                </c:pt>
                <c:pt idx="44">
                  <c:v>40014.467561423313</c:v>
                </c:pt>
                <c:pt idx="45">
                  <c:v>39527.619322725164</c:v>
                </c:pt>
                <c:pt idx="46">
                  <c:v>39028.28893681636</c:v>
                </c:pt>
                <c:pt idx="47">
                  <c:v>38518.128565636798</c:v>
                </c:pt>
                <c:pt idx="48">
                  <c:v>37998.719159910361</c:v>
                </c:pt>
                <c:pt idx="49">
                  <c:v>37477.539450171542</c:v>
                </c:pt>
                <c:pt idx="50">
                  <c:v>36955.926488671204</c:v>
                </c:pt>
              </c:numCache>
            </c:numRef>
          </c:val>
          <c:extLst>
            <c:ext xmlns:c16="http://schemas.microsoft.com/office/drawing/2014/chart" uri="{C3380CC4-5D6E-409C-BE32-E72D297353CC}">
              <c16:uniqueId val="{00000000-C887-4E5E-8E40-A4AF38059F6D}"/>
            </c:ext>
          </c:extLst>
        </c:ser>
        <c:ser>
          <c:idx val="1"/>
          <c:order val="1"/>
          <c:tx>
            <c:strRef>
              <c:f>'Output data (results)'!$Y$6:$Y$8</c:f>
              <c:strCache>
                <c:ptCount val="3"/>
                <c:pt idx="0">
                  <c:v>4B</c:v>
                </c:pt>
                <c:pt idx="1">
                  <c:v>Biological treatment of solid waste</c:v>
                </c:pt>
                <c:pt idx="2">
                  <c:v>Case 1-B</c:v>
                </c:pt>
              </c:strCache>
            </c:strRef>
          </c:tx>
          <c:spPr>
            <a:solidFill>
              <a:schemeClr val="accent2"/>
            </a:solidFill>
            <a:ln>
              <a:noFill/>
            </a:ln>
            <a:effectLst/>
          </c:spPr>
          <c:invertIfNegative val="0"/>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(results)'!$Y$10:$Y$60</c:f>
              <c:numCache>
                <c:formatCode>_(* #,##0_);_(* \(#,##0\);_(* "-"_);_(@_)</c:formatCode>
                <c:ptCount val="51"/>
                <c:pt idx="0">
                  <c:v>760.94982037695092</c:v>
                </c:pt>
                <c:pt idx="1">
                  <c:v>780.54907176832921</c:v>
                </c:pt>
                <c:pt idx="2">
                  <c:v>805.89597323422572</c:v>
                </c:pt>
                <c:pt idx="3">
                  <c:v>827.07597703450631</c:v>
                </c:pt>
                <c:pt idx="4">
                  <c:v>859.4644285342431</c:v>
                </c:pt>
                <c:pt idx="5">
                  <c:v>898.25036493722359</c:v>
                </c:pt>
                <c:pt idx="6">
                  <c:v>941.39728804730544</c:v>
                </c:pt>
                <c:pt idx="7">
                  <c:v>984.94130752933586</c:v>
                </c:pt>
                <c:pt idx="8">
                  <c:v>1012.9537824256299</c:v>
                </c:pt>
                <c:pt idx="9">
                  <c:v>1001.7224131357198</c:v>
                </c:pt>
                <c:pt idx="10">
                  <c:v>1079.9319251187405</c:v>
                </c:pt>
                <c:pt idx="11">
                  <c:v>1113.3470102861947</c:v>
                </c:pt>
                <c:pt idx="12">
                  <c:v>1178.2270336169195</c:v>
                </c:pt>
                <c:pt idx="13">
                  <c:v>1244.2716562766143</c:v>
                </c:pt>
                <c:pt idx="14">
                  <c:v>1302.8741690929994</c:v>
                </c:pt>
                <c:pt idx="15">
                  <c:v>1353.5605273435249</c:v>
                </c:pt>
                <c:pt idx="16">
                  <c:v>1397.1658867042397</c:v>
                </c:pt>
                <c:pt idx="17">
                  <c:v>1441.3820574705167</c:v>
                </c:pt>
                <c:pt idx="18">
                  <c:v>1469.0837304506297</c:v>
                </c:pt>
                <c:pt idx="19">
                  <c:v>1471.4884695340345</c:v>
                </c:pt>
                <c:pt idx="20">
                  <c:v>1327.2267663940122</c:v>
                </c:pt>
                <c:pt idx="21">
                  <c:v>1320.3775094404903</c:v>
                </c:pt>
                <c:pt idx="22">
                  <c:v>1319.6894839077916</c:v>
                </c:pt>
                <c:pt idx="23">
                  <c:v>1320.372220608718</c:v>
                </c:pt>
                <c:pt idx="24">
                  <c:v>1321.9674510257091</c:v>
                </c:pt>
                <c:pt idx="25">
                  <c:v>1284.1931377763024</c:v>
                </c:pt>
                <c:pt idx="26">
                  <c:v>1286.7618276623775</c:v>
                </c:pt>
                <c:pt idx="27">
                  <c:v>1288.7601823010261</c:v>
                </c:pt>
                <c:pt idx="28">
                  <c:v>1204.141607387756</c:v>
                </c:pt>
                <c:pt idx="29">
                  <c:v>1127.9466672032588</c:v>
                </c:pt>
                <c:pt idx="30">
                  <c:v>1060.6124998234311</c:v>
                </c:pt>
                <c:pt idx="31">
                  <c:v>1097.6198208011454</c:v>
                </c:pt>
                <c:pt idx="32">
                  <c:v>1129.6305911463169</c:v>
                </c:pt>
                <c:pt idx="33">
                  <c:v>1166.2881406157899</c:v>
                </c:pt>
                <c:pt idx="34">
                  <c:v>1205.1954733411487</c:v>
                </c:pt>
                <c:pt idx="35">
                  <c:v>1246.2640618634086</c:v>
                </c:pt>
                <c:pt idx="36">
                  <c:v>1354.7267497986973</c:v>
                </c:pt>
                <c:pt idx="37">
                  <c:v>1488.1717608184845</c:v>
                </c:pt>
                <c:pt idx="38">
                  <c:v>1609.4623396132426</c:v>
                </c:pt>
                <c:pt idx="39">
                  <c:v>1731.1874534282022</c:v>
                </c:pt>
                <c:pt idx="40">
                  <c:v>1854.8056177199858</c:v>
                </c:pt>
                <c:pt idx="41">
                  <c:v>1834.9953595104221</c:v>
                </c:pt>
                <c:pt idx="42">
                  <c:v>1817.065608802915</c:v>
                </c:pt>
                <c:pt idx="43">
                  <c:v>1800.6415571194677</c:v>
                </c:pt>
                <c:pt idx="44">
                  <c:v>1785.89000550277</c:v>
                </c:pt>
                <c:pt idx="45">
                  <c:v>1773.9564283005725</c:v>
                </c:pt>
                <c:pt idx="46">
                  <c:v>1763.5520944378718</c:v>
                </c:pt>
                <c:pt idx="47">
                  <c:v>1754.7530568125294</c:v>
                </c:pt>
                <c:pt idx="48">
                  <c:v>1770.3957084774577</c:v>
                </c:pt>
                <c:pt idx="49">
                  <c:v>1788.0075455557344</c:v>
                </c:pt>
                <c:pt idx="50">
                  <c:v>1807.4988164545769</c:v>
                </c:pt>
              </c:numCache>
            </c:numRef>
          </c:val>
          <c:extLst>
            <c:ext xmlns:c16="http://schemas.microsoft.com/office/drawing/2014/chart" uri="{C3380CC4-5D6E-409C-BE32-E72D297353CC}">
              <c16:uniqueId val="{00000001-C887-4E5E-8E40-A4AF38059F6D}"/>
            </c:ext>
          </c:extLst>
        </c:ser>
        <c:ser>
          <c:idx val="2"/>
          <c:order val="2"/>
          <c:tx>
            <c:strRef>
              <c:f>'Output data (results)'!$Z$6:$Z$8</c:f>
              <c:strCache>
                <c:ptCount val="3"/>
                <c:pt idx="0">
                  <c:v>4C</c:v>
                </c:pt>
                <c:pt idx="1">
                  <c:v>Incineration and open burning of waste</c:v>
                </c:pt>
                <c:pt idx="2">
                  <c:v>Case 1-B</c:v>
                </c:pt>
              </c:strCache>
            </c:strRef>
          </c:tx>
          <c:spPr>
            <a:solidFill>
              <a:schemeClr val="accent3"/>
            </a:solidFill>
            <a:ln>
              <a:noFill/>
            </a:ln>
            <a:effectLst/>
          </c:spPr>
          <c:invertIfNegative val="0"/>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(results)'!$Z$10:$Z$60</c:f>
              <c:numCache>
                <c:formatCode>_(* #,##0_);_(* \(#,##0\);_(* "-"_);_(@_)</c:formatCode>
                <c:ptCount val="51"/>
                <c:pt idx="0">
                  <c:v>266.67687205779424</c:v>
                </c:pt>
                <c:pt idx="1">
                  <c:v>272.19223463898948</c:v>
                </c:pt>
                <c:pt idx="2">
                  <c:v>275.96813671380778</c:v>
                </c:pt>
                <c:pt idx="3">
                  <c:v>279.50160526857348</c:v>
                </c:pt>
                <c:pt idx="4">
                  <c:v>282.82900533129464</c:v>
                </c:pt>
                <c:pt idx="5">
                  <c:v>286.05943198599482</c:v>
                </c:pt>
                <c:pt idx="6">
                  <c:v>289.28985864069489</c:v>
                </c:pt>
                <c:pt idx="7">
                  <c:v>292.47785942938577</c:v>
                </c:pt>
                <c:pt idx="8">
                  <c:v>295.72646859808981</c:v>
                </c:pt>
                <c:pt idx="9">
                  <c:v>298.92053022478206</c:v>
                </c:pt>
                <c:pt idx="10">
                  <c:v>304.93934942856873</c:v>
                </c:pt>
                <c:pt idx="11">
                  <c:v>318.43600763187357</c:v>
                </c:pt>
                <c:pt idx="12">
                  <c:v>322.81139076076983</c:v>
                </c:pt>
                <c:pt idx="13">
                  <c:v>327.66089203269547</c:v>
                </c:pt>
                <c:pt idx="14">
                  <c:v>331.73770718004255</c:v>
                </c:pt>
                <c:pt idx="15">
                  <c:v>335.00364311397755</c:v>
                </c:pt>
                <c:pt idx="16">
                  <c:v>337.42328896055699</c:v>
                </c:pt>
                <c:pt idx="17">
                  <c:v>338.94549979634837</c:v>
                </c:pt>
                <c:pt idx="18">
                  <c:v>335.68046841413388</c:v>
                </c:pt>
                <c:pt idx="19">
                  <c:v>332.70865797642222</c:v>
                </c:pt>
                <c:pt idx="20">
                  <c:v>330.03652894956588</c:v>
                </c:pt>
                <c:pt idx="21">
                  <c:v>326.17170830589566</c:v>
                </c:pt>
                <c:pt idx="22">
                  <c:v>322.64861312523112</c:v>
                </c:pt>
                <c:pt idx="23">
                  <c:v>319.48630069981971</c:v>
                </c:pt>
                <c:pt idx="24">
                  <c:v>316.68993002332849</c:v>
                </c:pt>
                <c:pt idx="25">
                  <c:v>314.27272097227706</c:v>
                </c:pt>
                <c:pt idx="26">
                  <c:v>311.73482418219669</c:v>
                </c:pt>
                <c:pt idx="27">
                  <c:v>309.6243195621135</c:v>
                </c:pt>
                <c:pt idx="28">
                  <c:v>296.43539155301011</c:v>
                </c:pt>
                <c:pt idx="29">
                  <c:v>283.81175527719768</c:v>
                </c:pt>
                <c:pt idx="30">
                  <c:v>271.72456549222932</c:v>
                </c:pt>
                <c:pt idx="31">
                  <c:v>261.06910461820985</c:v>
                </c:pt>
                <c:pt idx="32">
                  <c:v>250.21265956771691</c:v>
                </c:pt>
                <c:pt idx="33">
                  <c:v>239.14876988876989</c:v>
                </c:pt>
                <c:pt idx="34">
                  <c:v>227.88177404118193</c:v>
                </c:pt>
                <c:pt idx="35">
                  <c:v>216.40187200977346</c:v>
                </c:pt>
                <c:pt idx="36">
                  <c:v>204.46486805560784</c:v>
                </c:pt>
                <c:pt idx="37">
                  <c:v>201.37922987788298</c:v>
                </c:pt>
                <c:pt idx="38">
                  <c:v>194.16194263633992</c:v>
                </c:pt>
                <c:pt idx="39">
                  <c:v>186.82600557542969</c:v>
                </c:pt>
                <c:pt idx="40">
                  <c:v>179.37030635309591</c:v>
                </c:pt>
                <c:pt idx="41">
                  <c:v>171.60974301155494</c:v>
                </c:pt>
                <c:pt idx="42">
                  <c:v>163.74396035103354</c:v>
                </c:pt>
                <c:pt idx="43">
                  <c:v>155.77435909856584</c:v>
                </c:pt>
                <c:pt idx="44">
                  <c:v>147.69780821725215</c:v>
                </c:pt>
                <c:pt idx="45">
                  <c:v>139.5173563482843</c:v>
                </c:pt>
                <c:pt idx="46">
                  <c:v>131.082713720464</c:v>
                </c:pt>
                <c:pt idx="47">
                  <c:v>122.56031966373671</c:v>
                </c:pt>
                <c:pt idx="48">
                  <c:v>123.1865270437297</c:v>
                </c:pt>
                <c:pt idx="49">
                  <c:v>123.81438233788059</c:v>
                </c:pt>
                <c:pt idx="50">
                  <c:v>124.44718137450511</c:v>
                </c:pt>
              </c:numCache>
            </c:numRef>
          </c:val>
          <c:extLst>
            <c:ext xmlns:c16="http://schemas.microsoft.com/office/drawing/2014/chart" uri="{C3380CC4-5D6E-409C-BE32-E72D297353CC}">
              <c16:uniqueId val="{00000002-C887-4E5E-8E40-A4AF38059F6D}"/>
            </c:ext>
          </c:extLst>
        </c:ser>
        <c:ser>
          <c:idx val="3"/>
          <c:order val="3"/>
          <c:tx>
            <c:strRef>
              <c:f>'Output data (results)'!$AA$6:$AA$8</c:f>
              <c:strCache>
                <c:ptCount val="3"/>
                <c:pt idx="0">
                  <c:v>4D </c:v>
                </c:pt>
                <c:pt idx="1">
                  <c:v>Wastewater Treatment and Discharge</c:v>
                </c:pt>
                <c:pt idx="2">
                  <c:v>Case 1-B</c:v>
                </c:pt>
              </c:strCache>
            </c:strRef>
          </c:tx>
          <c:spPr>
            <a:solidFill>
              <a:schemeClr val="accent4"/>
            </a:solidFill>
            <a:ln>
              <a:noFill/>
            </a:ln>
            <a:effectLst/>
          </c:spPr>
          <c:invertIfNegative val="0"/>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(results)'!$AA$10:$AA$60</c:f>
              <c:numCache>
                <c:formatCode>_(* #,##0_);_(* \(#,##0\);_(* "-"_);_(@_)</c:formatCode>
                <c:ptCount val="51"/>
                <c:pt idx="0">
                  <c:v>2831.8730929925982</c:v>
                </c:pt>
                <c:pt idx="1">
                  <c:v>2890.4413774158538</c:v>
                </c:pt>
                <c:pt idx="2">
                  <c:v>2930.5381259825444</c:v>
                </c:pt>
                <c:pt idx="3">
                  <c:v>2968.0604444646974</c:v>
                </c:pt>
                <c:pt idx="4">
                  <c:v>3003.3944973749908</c:v>
                </c:pt>
                <c:pt idx="5">
                  <c:v>3037.6987782514689</c:v>
                </c:pt>
                <c:pt idx="6">
                  <c:v>3072.0030591279478</c:v>
                </c:pt>
                <c:pt idx="7">
                  <c:v>3105.8568147396318</c:v>
                </c:pt>
                <c:pt idx="8">
                  <c:v>3140.3541778724511</c:v>
                </c:pt>
                <c:pt idx="9">
                  <c:v>3174.2722942362484</c:v>
                </c:pt>
                <c:pt idx="10">
                  <c:v>3209.670707898656</c:v>
                </c:pt>
                <c:pt idx="11">
                  <c:v>3332.0204976663595</c:v>
                </c:pt>
                <c:pt idx="12">
                  <c:v>3367.6763543372203</c:v>
                </c:pt>
                <c:pt idx="13">
                  <c:v>3417.813380233612</c:v>
                </c:pt>
                <c:pt idx="14">
                  <c:v>3469.8168679412947</c:v>
                </c:pt>
                <c:pt idx="15">
                  <c:v>3523.7511782123806</c:v>
                </c:pt>
                <c:pt idx="16">
                  <c:v>3579.7450325510972</c:v>
                </c:pt>
                <c:pt idx="17">
                  <c:v>3637.7984309574467</c:v>
                </c:pt>
                <c:pt idx="18">
                  <c:v>3728.7332085559019</c:v>
                </c:pt>
                <c:pt idx="19">
                  <c:v>3821.6720946853429</c:v>
                </c:pt>
                <c:pt idx="20">
                  <c:v>3916.6402461682742</c:v>
                </c:pt>
                <c:pt idx="21">
                  <c:v>3995.2820715317216</c:v>
                </c:pt>
                <c:pt idx="22">
                  <c:v>4075.1576379006751</c:v>
                </c:pt>
                <c:pt idx="23">
                  <c:v>4156.4141151158683</c:v>
                </c:pt>
                <c:pt idx="24">
                  <c:v>4238.9983232351897</c:v>
                </c:pt>
                <c:pt idx="25">
                  <c:v>4322.9236792306456</c:v>
                </c:pt>
                <c:pt idx="26">
                  <c:v>4400.9174278296796</c:v>
                </c:pt>
                <c:pt idx="27">
                  <c:v>4480.0918085867052</c:v>
                </c:pt>
                <c:pt idx="28">
                  <c:v>4560.3175409569985</c:v>
                </c:pt>
                <c:pt idx="29">
                  <c:v>4641.7451490242902</c:v>
                </c:pt>
                <c:pt idx="30">
                  <c:v>4724.3147443604685</c:v>
                </c:pt>
                <c:pt idx="31">
                  <c:v>4801.8282802505955</c:v>
                </c:pt>
                <c:pt idx="32">
                  <c:v>4880.3350275419698</c:v>
                </c:pt>
                <c:pt idx="33">
                  <c:v>4959.7700664419835</c:v>
                </c:pt>
                <c:pt idx="34">
                  <c:v>5040.2878343178654</c:v>
                </c:pt>
                <c:pt idx="35">
                  <c:v>5121.7495469363903</c:v>
                </c:pt>
                <c:pt idx="36">
                  <c:v>5198.0133460110155</c:v>
                </c:pt>
                <c:pt idx="37">
                  <c:v>5275.0672825961447</c:v>
                </c:pt>
                <c:pt idx="38">
                  <c:v>5353.0685892615111</c:v>
                </c:pt>
                <c:pt idx="39">
                  <c:v>5431.872332328383</c:v>
                </c:pt>
                <c:pt idx="40">
                  <c:v>5511.4835431612637</c:v>
                </c:pt>
                <c:pt idx="41">
                  <c:v>5585.9183683676356</c:v>
                </c:pt>
                <c:pt idx="42">
                  <c:v>5661.0062950673746</c:v>
                </c:pt>
                <c:pt idx="43">
                  <c:v>5736.8295733086024</c:v>
                </c:pt>
                <c:pt idx="44">
                  <c:v>5813.3137796102064</c:v>
                </c:pt>
                <c:pt idx="45">
                  <c:v>5890.622295987414</c:v>
                </c:pt>
                <c:pt idx="46">
                  <c:v>5961.9937050903318</c:v>
                </c:pt>
                <c:pt idx="47">
                  <c:v>6034.0277904697159</c:v>
                </c:pt>
                <c:pt idx="48">
                  <c:v>6106.6478924824532</c:v>
                </c:pt>
                <c:pt idx="49">
                  <c:v>6179.775115323424</c:v>
                </c:pt>
                <c:pt idx="50">
                  <c:v>6253.5767542913654</c:v>
                </c:pt>
              </c:numCache>
            </c:numRef>
          </c:val>
          <c:extLst>
            <c:ext xmlns:c16="http://schemas.microsoft.com/office/drawing/2014/chart" uri="{C3380CC4-5D6E-409C-BE32-E72D297353CC}">
              <c16:uniqueId val="{00000003-C887-4E5E-8E40-A4AF38059F6D}"/>
            </c:ext>
          </c:extLst>
        </c:ser>
        <c:dLbls>
          <c:showLegendKey val="0"/>
          <c:showVal val="0"/>
          <c:showCatName val="0"/>
          <c:showSerName val="0"/>
          <c:showPercent val="0"/>
          <c:showBubbleSize val="0"/>
        </c:dLbls>
        <c:gapWidth val="150"/>
        <c:overlap val="100"/>
        <c:axId val="708997896"/>
        <c:axId val="708998552"/>
      </c:barChart>
      <c:catAx>
        <c:axId val="708997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98552"/>
        <c:crosses val="autoZero"/>
        <c:auto val="1"/>
        <c:lblAlgn val="ctr"/>
        <c:lblOffset val="100"/>
        <c:noMultiLvlLbl val="0"/>
      </c:catAx>
      <c:valAx>
        <c:axId val="70899855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97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Case 2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'Output data (results)'!$AJ$6:$AJ$8</c:f>
              <c:strCache>
                <c:ptCount val="3"/>
                <c:pt idx="0">
                  <c:v>4A</c:v>
                </c:pt>
                <c:pt idx="1">
                  <c:v>SWDS</c:v>
                </c:pt>
                <c:pt idx="2">
                  <c:v>Case 2-B</c:v>
                </c:pt>
              </c:strCache>
            </c:strRef>
          </c:tx>
          <c:spPr>
            <a:solidFill>
              <a:schemeClr val="accent1"/>
            </a:solidFill>
            <a:ln>
              <a:noFill/>
            </a:ln>
            <a:effectLst/>
          </c:spPr>
          <c:invertIfNegative val="0"/>
          <c:cat>
            <c:numRef>
              <c:f>'Output data (results)'!$W$9:$W$59</c:f>
              <c:numCache>
                <c:formatCode>General</c:formatCode>
                <c:ptCount val="51"/>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pt idx="50">
                  <c:v>2049</c:v>
                </c:pt>
              </c:numCache>
            </c:numRef>
          </c:cat>
          <c:val>
            <c:numRef>
              <c:f>'Output data (results)'!$AJ$9:$AJ$59</c:f>
              <c:numCache>
                <c:formatCode>_(* #,##0_);_(* \(#,##0\);_(* "-"_);_(@_)</c:formatCode>
                <c:ptCount val="51"/>
                <c:pt idx="1">
                  <c:v>29668.831149553258</c:v>
                </c:pt>
                <c:pt idx="2">
                  <c:v>30526.628224166292</c:v>
                </c:pt>
                <c:pt idx="3">
                  <c:v>31400.581539521827</c:v>
                </c:pt>
                <c:pt idx="4">
                  <c:v>32304.435710447797</c:v>
                </c:pt>
                <c:pt idx="5">
                  <c:v>33225.082846730525</c:v>
                </c:pt>
                <c:pt idx="6">
                  <c:v>34192.418078555784</c:v>
                </c:pt>
                <c:pt idx="7">
                  <c:v>35221.712489468555</c:v>
                </c:pt>
                <c:pt idx="8">
                  <c:v>36321.956945349011</c:v>
                </c:pt>
                <c:pt idx="9">
                  <c:v>37490.75707250095</c:v>
                </c:pt>
                <c:pt idx="10">
                  <c:v>38682.051593594115</c:v>
                </c:pt>
                <c:pt idx="11">
                  <c:v>39786.646249323305</c:v>
                </c:pt>
                <c:pt idx="12">
                  <c:v>40856.513568839197</c:v>
                </c:pt>
                <c:pt idx="13">
                  <c:v>41918.111863448263</c:v>
                </c:pt>
                <c:pt idx="14">
                  <c:v>42932.397218574253</c:v>
                </c:pt>
                <c:pt idx="15">
                  <c:v>43912.988905799335</c:v>
                </c:pt>
                <c:pt idx="16">
                  <c:v>44848.996713296379</c:v>
                </c:pt>
                <c:pt idx="17">
                  <c:v>45729.066351073867</c:v>
                </c:pt>
                <c:pt idx="18">
                  <c:v>46545.194365763069</c:v>
                </c:pt>
                <c:pt idx="19">
                  <c:v>47312.398709717942</c:v>
                </c:pt>
                <c:pt idx="20">
                  <c:v>47572.048703910252</c:v>
                </c:pt>
                <c:pt idx="21">
                  <c:v>47704.137824690857</c:v>
                </c:pt>
                <c:pt idx="22">
                  <c:v>47449.562596576608</c:v>
                </c:pt>
                <c:pt idx="23">
                  <c:v>46837.221976393514</c:v>
                </c:pt>
                <c:pt idx="24">
                  <c:v>46036.135749814741</c:v>
                </c:pt>
                <c:pt idx="25">
                  <c:v>45236.757100448012</c:v>
                </c:pt>
                <c:pt idx="26">
                  <c:v>44435.383632165205</c:v>
                </c:pt>
                <c:pt idx="27">
                  <c:v>43655.648115742071</c:v>
                </c:pt>
                <c:pt idx="28">
                  <c:v>42876.099329576442</c:v>
                </c:pt>
                <c:pt idx="29">
                  <c:v>42096.445902108055</c:v>
                </c:pt>
                <c:pt idx="30">
                  <c:v>41316.634509294461</c:v>
                </c:pt>
                <c:pt idx="31">
                  <c:v>40536.612662170111</c:v>
                </c:pt>
                <c:pt idx="32">
                  <c:v>39756.260870383543</c:v>
                </c:pt>
                <c:pt idx="33">
                  <c:v>38977.005210097908</c:v>
                </c:pt>
                <c:pt idx="34">
                  <c:v>38198.525793261993</c:v>
                </c:pt>
                <c:pt idx="35">
                  <c:v>37421.22987985675</c:v>
                </c:pt>
                <c:pt idx="36">
                  <c:v>36645.367518438463</c:v>
                </c:pt>
                <c:pt idx="37">
                  <c:v>35871.194948141259</c:v>
                </c:pt>
                <c:pt idx="38">
                  <c:v>35066.279056242078</c:v>
                </c:pt>
                <c:pt idx="39">
                  <c:v>34232.341716076829</c:v>
                </c:pt>
                <c:pt idx="40">
                  <c:v>33370.883175089803</c:v>
                </c:pt>
                <c:pt idx="41">
                  <c:v>32574.359666255052</c:v>
                </c:pt>
                <c:pt idx="42">
                  <c:v>31842.141198070894</c:v>
                </c:pt>
                <c:pt idx="43">
                  <c:v>31172.119560859035</c:v>
                </c:pt>
                <c:pt idx="44">
                  <c:v>30562.390253398557</c:v>
                </c:pt>
                <c:pt idx="45">
                  <c:v>30011.072771955787</c:v>
                </c:pt>
                <c:pt idx="46">
                  <c:v>29516.53166139343</c:v>
                </c:pt>
                <c:pt idx="47">
                  <c:v>29077.850365158949</c:v>
                </c:pt>
                <c:pt idx="48">
                  <c:v>28693.852311966082</c:v>
                </c:pt>
                <c:pt idx="49">
                  <c:v>28363.458729843616</c:v>
                </c:pt>
                <c:pt idx="50">
                  <c:v>28084.457198084194</c:v>
                </c:pt>
              </c:numCache>
            </c:numRef>
          </c:val>
          <c:extLst>
            <c:ext xmlns:c16="http://schemas.microsoft.com/office/drawing/2014/chart" uri="{C3380CC4-5D6E-409C-BE32-E72D297353CC}">
              <c16:uniqueId val="{00000000-8DB4-406B-B658-7A9F5AC821F5}"/>
            </c:ext>
          </c:extLst>
        </c:ser>
        <c:ser>
          <c:idx val="1"/>
          <c:order val="1"/>
          <c:tx>
            <c:strRef>
              <c:f>'Output data (results)'!$AK$6:$AK$8</c:f>
              <c:strCache>
                <c:ptCount val="3"/>
                <c:pt idx="0">
                  <c:v>4B</c:v>
                </c:pt>
                <c:pt idx="1">
                  <c:v>Biological treatment of solid waste</c:v>
                </c:pt>
                <c:pt idx="2">
                  <c:v>Case 2-B</c:v>
                </c:pt>
              </c:strCache>
            </c:strRef>
          </c:tx>
          <c:spPr>
            <a:solidFill>
              <a:schemeClr val="accent2"/>
            </a:solidFill>
            <a:ln>
              <a:noFill/>
            </a:ln>
            <a:effectLst/>
          </c:spPr>
          <c:invertIfNegative val="0"/>
          <c:cat>
            <c:numRef>
              <c:f>'Output data (results)'!$W$9:$W$59</c:f>
              <c:numCache>
                <c:formatCode>General</c:formatCode>
                <c:ptCount val="51"/>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pt idx="50">
                  <c:v>2049</c:v>
                </c:pt>
              </c:numCache>
            </c:numRef>
          </c:cat>
          <c:val>
            <c:numRef>
              <c:f>'Output data (results)'!$AK$9:$AK$59</c:f>
              <c:numCache>
                <c:formatCode>_(* #,##0_);_(* \(#,##0\);_(* "-"_);_(@_)</c:formatCode>
                <c:ptCount val="51"/>
                <c:pt idx="1">
                  <c:v>760.94982037695092</c:v>
                </c:pt>
                <c:pt idx="2">
                  <c:v>780.54907176832921</c:v>
                </c:pt>
                <c:pt idx="3">
                  <c:v>805.89597323422572</c:v>
                </c:pt>
                <c:pt idx="4">
                  <c:v>827.07597703450631</c:v>
                </c:pt>
                <c:pt idx="5">
                  <c:v>859.4644285342431</c:v>
                </c:pt>
                <c:pt idx="6">
                  <c:v>898.25036493722359</c:v>
                </c:pt>
                <c:pt idx="7">
                  <c:v>941.39728804730544</c:v>
                </c:pt>
                <c:pt idx="8">
                  <c:v>984.94130752933586</c:v>
                </c:pt>
                <c:pt idx="9">
                  <c:v>1012.9537824256299</c:v>
                </c:pt>
                <c:pt idx="10">
                  <c:v>1001.7224131357198</c:v>
                </c:pt>
                <c:pt idx="11">
                  <c:v>1079.9319251187405</c:v>
                </c:pt>
                <c:pt idx="12">
                  <c:v>1113.3470102861947</c:v>
                </c:pt>
                <c:pt idx="13">
                  <c:v>1178.2270336169195</c:v>
                </c:pt>
                <c:pt idx="14">
                  <c:v>1244.2716562766143</c:v>
                </c:pt>
                <c:pt idx="15">
                  <c:v>1302.8741690929994</c:v>
                </c:pt>
                <c:pt idx="16">
                  <c:v>1353.5605273435249</c:v>
                </c:pt>
                <c:pt idx="17">
                  <c:v>1397.1658867042397</c:v>
                </c:pt>
                <c:pt idx="18">
                  <c:v>1441.3820574705167</c:v>
                </c:pt>
                <c:pt idx="19">
                  <c:v>1483.7031765110592</c:v>
                </c:pt>
                <c:pt idx="20">
                  <c:v>1525.5397374307915</c:v>
                </c:pt>
                <c:pt idx="21">
                  <c:v>1408.1870660601253</c:v>
                </c:pt>
                <c:pt idx="22">
                  <c:v>1211.1639961309927</c:v>
                </c:pt>
                <c:pt idx="23">
                  <c:v>924.99475711373179</c:v>
                </c:pt>
                <c:pt idx="24">
                  <c:v>902.79376274868412</c:v>
                </c:pt>
                <c:pt idx="25">
                  <c:v>878.78467051363373</c:v>
                </c:pt>
                <c:pt idx="26">
                  <c:v>853.19763784267161</c:v>
                </c:pt>
                <c:pt idx="27">
                  <c:v>825.54560200453534</c:v>
                </c:pt>
                <c:pt idx="28">
                  <c:v>796.03182548136454</c:v>
                </c:pt>
                <c:pt idx="29">
                  <c:v>764.82792050529986</c:v>
                </c:pt>
                <c:pt idx="30">
                  <c:v>731.78745086972197</c:v>
                </c:pt>
                <c:pt idx="31">
                  <c:v>696.81279802361075</c:v>
                </c:pt>
                <c:pt idx="32">
                  <c:v>654.0034230553689</c:v>
                </c:pt>
                <c:pt idx="33">
                  <c:v>610.00926897905742</c:v>
                </c:pt>
                <c:pt idx="34">
                  <c:v>620.03274922754008</c:v>
                </c:pt>
                <c:pt idx="35">
                  <c:v>630.57102618415809</c:v>
                </c:pt>
                <c:pt idx="36">
                  <c:v>641.64342418881563</c:v>
                </c:pt>
                <c:pt idx="37">
                  <c:v>652.53464340870664</c:v>
                </c:pt>
                <c:pt idx="38">
                  <c:v>663.79089994063224</c:v>
                </c:pt>
                <c:pt idx="39">
                  <c:v>675.20433817891671</c:v>
                </c:pt>
                <c:pt idx="40">
                  <c:v>830.82453933528404</c:v>
                </c:pt>
                <c:pt idx="41">
                  <c:v>990.533361791978</c:v>
                </c:pt>
                <c:pt idx="42">
                  <c:v>1078.9609338399873</c:v>
                </c:pt>
                <c:pt idx="43">
                  <c:v>1169.1838914747232</c:v>
                </c:pt>
                <c:pt idx="44">
                  <c:v>1261.0982535293099</c:v>
                </c:pt>
                <c:pt idx="45">
                  <c:v>1354.9419221093742</c:v>
                </c:pt>
                <c:pt idx="46">
                  <c:v>1451.7368210533505</c:v>
                </c:pt>
                <c:pt idx="47">
                  <c:v>1550.6422351944652</c:v>
                </c:pt>
                <c:pt idx="48">
                  <c:v>1652.0164011879208</c:v>
                </c:pt>
                <c:pt idx="49">
                  <c:v>1754.0353259270112</c:v>
                </c:pt>
                <c:pt idx="50">
                  <c:v>1858.8090715794674</c:v>
                </c:pt>
              </c:numCache>
            </c:numRef>
          </c:val>
          <c:extLst>
            <c:ext xmlns:c16="http://schemas.microsoft.com/office/drawing/2014/chart" uri="{C3380CC4-5D6E-409C-BE32-E72D297353CC}">
              <c16:uniqueId val="{00000001-8DB4-406B-B658-7A9F5AC821F5}"/>
            </c:ext>
          </c:extLst>
        </c:ser>
        <c:ser>
          <c:idx val="2"/>
          <c:order val="2"/>
          <c:tx>
            <c:strRef>
              <c:f>'Output data (results)'!$AL$6:$AL$8</c:f>
              <c:strCache>
                <c:ptCount val="3"/>
                <c:pt idx="0">
                  <c:v>4C</c:v>
                </c:pt>
                <c:pt idx="1">
                  <c:v>Incineration and open burning of waste</c:v>
                </c:pt>
                <c:pt idx="2">
                  <c:v>Case 2-B</c:v>
                </c:pt>
              </c:strCache>
            </c:strRef>
          </c:tx>
          <c:spPr>
            <a:solidFill>
              <a:schemeClr val="accent3"/>
            </a:solidFill>
            <a:ln>
              <a:noFill/>
            </a:ln>
            <a:effectLst/>
          </c:spPr>
          <c:invertIfNegative val="0"/>
          <c:cat>
            <c:numRef>
              <c:f>'Output data (results)'!$W$9:$W$59</c:f>
              <c:numCache>
                <c:formatCode>General</c:formatCode>
                <c:ptCount val="51"/>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pt idx="50">
                  <c:v>2049</c:v>
                </c:pt>
              </c:numCache>
            </c:numRef>
          </c:cat>
          <c:val>
            <c:numRef>
              <c:f>'Output data (results)'!$AL$9:$AL$59</c:f>
              <c:numCache>
                <c:formatCode>_(* #,##0_);_(* \(#,##0\);_(* "-"_);_(@_)</c:formatCode>
                <c:ptCount val="51"/>
                <c:pt idx="1">
                  <c:v>266.67687205779424</c:v>
                </c:pt>
                <c:pt idx="2">
                  <c:v>272.19223463898948</c:v>
                </c:pt>
                <c:pt idx="3">
                  <c:v>275.96813671380778</c:v>
                </c:pt>
                <c:pt idx="4">
                  <c:v>279.50160526857348</c:v>
                </c:pt>
                <c:pt idx="5">
                  <c:v>282.82900533129464</c:v>
                </c:pt>
                <c:pt idx="6">
                  <c:v>286.05943198599482</c:v>
                </c:pt>
                <c:pt idx="7">
                  <c:v>289.28985864069489</c:v>
                </c:pt>
                <c:pt idx="8">
                  <c:v>292.47785942938577</c:v>
                </c:pt>
                <c:pt idx="9">
                  <c:v>295.72646859808981</c:v>
                </c:pt>
                <c:pt idx="10">
                  <c:v>298.92053022478206</c:v>
                </c:pt>
                <c:pt idx="11">
                  <c:v>304.93934942856873</c:v>
                </c:pt>
                <c:pt idx="12">
                  <c:v>318.43600763187357</c:v>
                </c:pt>
                <c:pt idx="13">
                  <c:v>322.81139076076983</c:v>
                </c:pt>
                <c:pt idx="14">
                  <c:v>327.66089203269547</c:v>
                </c:pt>
                <c:pt idx="15">
                  <c:v>331.73770718004255</c:v>
                </c:pt>
                <c:pt idx="16">
                  <c:v>335.00364311397755</c:v>
                </c:pt>
                <c:pt idx="17">
                  <c:v>337.42328896055699</c:v>
                </c:pt>
                <c:pt idx="18">
                  <c:v>338.94549979634837</c:v>
                </c:pt>
                <c:pt idx="19">
                  <c:v>335.95278128317591</c:v>
                </c:pt>
                <c:pt idx="20">
                  <c:v>335.91758162413396</c:v>
                </c:pt>
                <c:pt idx="21">
                  <c:v>333.46522438893732</c:v>
                </c:pt>
                <c:pt idx="22">
                  <c:v>313.47743956132365</c:v>
                </c:pt>
                <c:pt idx="23">
                  <c:v>266.60924533734647</c:v>
                </c:pt>
                <c:pt idx="24">
                  <c:v>256.91392969227348</c:v>
                </c:pt>
                <c:pt idx="25">
                  <c:v>246.60705482792568</c:v>
                </c:pt>
                <c:pt idx="26">
                  <c:v>235.65663571118603</c:v>
                </c:pt>
                <c:pt idx="27">
                  <c:v>223.65860164513867</c:v>
                </c:pt>
                <c:pt idx="28">
                  <c:v>210.99299980947745</c:v>
                </c:pt>
                <c:pt idx="29">
                  <c:v>197.61878116539106</c:v>
                </c:pt>
                <c:pt idx="30">
                  <c:v>183.50605443706078</c:v>
                </c:pt>
                <c:pt idx="31">
                  <c:v>168.61312112362941</c:v>
                </c:pt>
                <c:pt idx="32">
                  <c:v>150.43097070105136</c:v>
                </c:pt>
                <c:pt idx="33">
                  <c:v>131.92651111021476</c:v>
                </c:pt>
                <c:pt idx="34">
                  <c:v>133.05134847594945</c:v>
                </c:pt>
                <c:pt idx="35">
                  <c:v>134.18798483503096</c:v>
                </c:pt>
                <c:pt idx="36">
                  <c:v>135.33248718967712</c:v>
                </c:pt>
                <c:pt idx="37">
                  <c:v>136.32360263081392</c:v>
                </c:pt>
                <c:pt idx="38">
                  <c:v>137.32061756862427</c:v>
                </c:pt>
                <c:pt idx="39">
                  <c:v>138.3274650008903</c:v>
                </c:pt>
                <c:pt idx="40">
                  <c:v>139.34021192982971</c:v>
                </c:pt>
                <c:pt idx="41">
                  <c:v>140.35885835544261</c:v>
                </c:pt>
                <c:pt idx="42">
                  <c:v>141.2319838631108</c:v>
                </c:pt>
                <c:pt idx="43">
                  <c:v>142.10904236856123</c:v>
                </c:pt>
                <c:pt idx="44">
                  <c:v>142.99200037068516</c:v>
                </c:pt>
                <c:pt idx="45">
                  <c:v>143.87889137059136</c:v>
                </c:pt>
                <c:pt idx="46">
                  <c:v>144.77364836606213</c:v>
                </c:pt>
                <c:pt idx="47">
                  <c:v>145.51108545024132</c:v>
                </c:pt>
                <c:pt idx="48">
                  <c:v>146.25442203109401</c:v>
                </c:pt>
                <c:pt idx="49">
                  <c:v>147.00169160972888</c:v>
                </c:pt>
                <c:pt idx="50">
                  <c:v>147.750927687255</c:v>
                </c:pt>
              </c:numCache>
            </c:numRef>
          </c:val>
          <c:extLst>
            <c:ext xmlns:c16="http://schemas.microsoft.com/office/drawing/2014/chart" uri="{C3380CC4-5D6E-409C-BE32-E72D297353CC}">
              <c16:uniqueId val="{00000002-8DB4-406B-B658-7A9F5AC821F5}"/>
            </c:ext>
          </c:extLst>
        </c:ser>
        <c:ser>
          <c:idx val="3"/>
          <c:order val="3"/>
          <c:tx>
            <c:strRef>
              <c:f>'Output data (results)'!$AM$6:$AM$8</c:f>
              <c:strCache>
                <c:ptCount val="3"/>
                <c:pt idx="0">
                  <c:v>4D </c:v>
                </c:pt>
                <c:pt idx="1">
                  <c:v>Wastewater Treatment and Discharge</c:v>
                </c:pt>
                <c:pt idx="2">
                  <c:v>Case 2-B</c:v>
                </c:pt>
              </c:strCache>
            </c:strRef>
          </c:tx>
          <c:spPr>
            <a:solidFill>
              <a:schemeClr val="accent4"/>
            </a:solidFill>
            <a:ln>
              <a:noFill/>
            </a:ln>
            <a:effectLst/>
          </c:spPr>
          <c:invertIfNegative val="0"/>
          <c:cat>
            <c:numRef>
              <c:f>'Output data (results)'!$W$9:$W$59</c:f>
              <c:numCache>
                <c:formatCode>General</c:formatCode>
                <c:ptCount val="51"/>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pt idx="50">
                  <c:v>2049</c:v>
                </c:pt>
              </c:numCache>
            </c:numRef>
          </c:cat>
          <c:val>
            <c:numRef>
              <c:f>'Output data (results)'!$AM$9:$AM$59</c:f>
              <c:numCache>
                <c:formatCode>_(* #,##0_);_(* \(#,##0\);_(* "-"_);_(@_)</c:formatCode>
                <c:ptCount val="51"/>
                <c:pt idx="1">
                  <c:v>2831.8730929925982</c:v>
                </c:pt>
                <c:pt idx="2">
                  <c:v>2890.4413774158538</c:v>
                </c:pt>
                <c:pt idx="3">
                  <c:v>2930.5381259825444</c:v>
                </c:pt>
                <c:pt idx="4">
                  <c:v>2968.0604444646974</c:v>
                </c:pt>
                <c:pt idx="5">
                  <c:v>3003.3944973749908</c:v>
                </c:pt>
                <c:pt idx="6">
                  <c:v>3037.6987782514689</c:v>
                </c:pt>
                <c:pt idx="7">
                  <c:v>3072.0030591279478</c:v>
                </c:pt>
                <c:pt idx="8">
                  <c:v>3105.8568147396318</c:v>
                </c:pt>
                <c:pt idx="9">
                  <c:v>3140.3541778724511</c:v>
                </c:pt>
                <c:pt idx="10">
                  <c:v>3174.2722942362484</c:v>
                </c:pt>
                <c:pt idx="11">
                  <c:v>3209.670707898656</c:v>
                </c:pt>
                <c:pt idx="12">
                  <c:v>3332.0204976663595</c:v>
                </c:pt>
                <c:pt idx="13">
                  <c:v>3367.6763543372203</c:v>
                </c:pt>
                <c:pt idx="14">
                  <c:v>3417.813380233612</c:v>
                </c:pt>
                <c:pt idx="15">
                  <c:v>3469.8168679412947</c:v>
                </c:pt>
                <c:pt idx="16">
                  <c:v>3523.7511782123806</c:v>
                </c:pt>
                <c:pt idx="17">
                  <c:v>3579.7450325510972</c:v>
                </c:pt>
                <c:pt idx="18">
                  <c:v>3637.7984309574467</c:v>
                </c:pt>
                <c:pt idx="19">
                  <c:v>3778.1317472739725</c:v>
                </c:pt>
                <c:pt idx="20">
                  <c:v>3922.0671678896119</c:v>
                </c:pt>
                <c:pt idx="21">
                  <c:v>4069.6685524307268</c:v>
                </c:pt>
                <c:pt idx="22">
                  <c:v>4201.6695034402455</c:v>
                </c:pt>
                <c:pt idx="23">
                  <c:v>4336.1091427486772</c:v>
                </c:pt>
                <c:pt idx="24">
                  <c:v>4473.1630222529147</c:v>
                </c:pt>
                <c:pt idx="25">
                  <c:v>4612.7951632570066</c:v>
                </c:pt>
                <c:pt idx="26">
                  <c:v>4755.0396242283468</c:v>
                </c:pt>
                <c:pt idx="27">
                  <c:v>4891.8315325087806</c:v>
                </c:pt>
                <c:pt idx="28">
                  <c:v>5030.9273143213595</c:v>
                </c:pt>
                <c:pt idx="29">
                  <c:v>5172.1968290590494</c:v>
                </c:pt>
                <c:pt idx="30">
                  <c:v>5315.8241432355899</c:v>
                </c:pt>
                <c:pt idx="31">
                  <c:v>5461.7562489213324</c:v>
                </c:pt>
                <c:pt idx="32">
                  <c:v>5508.3777658135459</c:v>
                </c:pt>
                <c:pt idx="33">
                  <c:v>5555.4133281488503</c:v>
                </c:pt>
                <c:pt idx="34">
                  <c:v>5602.7801268386283</c:v>
                </c:pt>
                <c:pt idx="35">
                  <c:v>5650.6437800601161</c:v>
                </c:pt>
                <c:pt idx="36">
                  <c:v>5698.8386696360794</c:v>
                </c:pt>
                <c:pt idx="37">
                  <c:v>5740.5744502998004</c:v>
                </c:pt>
                <c:pt idx="38">
                  <c:v>5782.5586582293754</c:v>
                </c:pt>
                <c:pt idx="39">
                  <c:v>5824.9569116020448</c:v>
                </c:pt>
                <c:pt idx="40">
                  <c:v>5867.6035922405699</c:v>
                </c:pt>
                <c:pt idx="41">
                  <c:v>5910.4987001449481</c:v>
                </c:pt>
                <c:pt idx="42">
                  <c:v>5947.2659354915595</c:v>
                </c:pt>
                <c:pt idx="43">
                  <c:v>5984.1987890154069</c:v>
                </c:pt>
                <c:pt idx="44">
                  <c:v>6021.38006980511</c:v>
                </c:pt>
                <c:pt idx="45">
                  <c:v>6058.7269687720527</c:v>
                </c:pt>
                <c:pt idx="46">
                  <c:v>6096.4051040934646</c:v>
                </c:pt>
                <c:pt idx="47">
                  <c:v>6127.4585123254001</c:v>
                </c:pt>
                <c:pt idx="48">
                  <c:v>6158.7603478231922</c:v>
                </c:pt>
                <c:pt idx="49">
                  <c:v>6190.2278014982176</c:v>
                </c:pt>
                <c:pt idx="50">
                  <c:v>6221.7780642618636</c:v>
                </c:pt>
              </c:numCache>
            </c:numRef>
          </c:val>
          <c:extLst>
            <c:ext xmlns:c16="http://schemas.microsoft.com/office/drawing/2014/chart" uri="{C3380CC4-5D6E-409C-BE32-E72D297353CC}">
              <c16:uniqueId val="{00000003-8DB4-406B-B658-7A9F5AC821F5}"/>
            </c:ext>
          </c:extLst>
        </c:ser>
        <c:dLbls>
          <c:showLegendKey val="0"/>
          <c:showVal val="0"/>
          <c:showCatName val="0"/>
          <c:showSerName val="0"/>
          <c:showPercent val="0"/>
          <c:showBubbleSize val="0"/>
        </c:dLbls>
        <c:gapWidth val="150"/>
        <c:overlap val="100"/>
        <c:axId val="708997896"/>
        <c:axId val="708998552"/>
      </c:barChart>
      <c:catAx>
        <c:axId val="708997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98552"/>
        <c:crosses val="autoZero"/>
        <c:auto val="1"/>
        <c:lblAlgn val="ctr"/>
        <c:lblOffset val="100"/>
        <c:noMultiLvlLbl val="0"/>
      </c:catAx>
      <c:valAx>
        <c:axId val="708998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97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Case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'Output data (results)'!$AV$6:$AV$8</c:f>
              <c:strCache>
                <c:ptCount val="3"/>
                <c:pt idx="0">
                  <c:v>4A</c:v>
                </c:pt>
                <c:pt idx="1">
                  <c:v>SWDS</c:v>
                </c:pt>
                <c:pt idx="2">
                  <c:v>Case 3-B</c:v>
                </c:pt>
              </c:strCache>
            </c:strRef>
          </c:tx>
          <c:spPr>
            <a:solidFill>
              <a:schemeClr val="accent1"/>
            </a:solidFill>
            <a:ln>
              <a:noFill/>
            </a:ln>
            <a:effectLst/>
          </c:spPr>
          <c:invertIfNegative val="0"/>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(results)'!$AV$10:$AV$60</c:f>
              <c:numCache>
                <c:formatCode>_(* #,##0_);_(* \(#,##0\);_(* "-"_);_(@_)</c:formatCode>
                <c:ptCount val="51"/>
                <c:pt idx="0">
                  <c:v>29668.831149553258</c:v>
                </c:pt>
                <c:pt idx="1">
                  <c:v>30526.628224166292</c:v>
                </c:pt>
                <c:pt idx="2">
                  <c:v>31400.581539521827</c:v>
                </c:pt>
                <c:pt idx="3">
                  <c:v>32304.435710447797</c:v>
                </c:pt>
                <c:pt idx="4">
                  <c:v>33225.082846730525</c:v>
                </c:pt>
                <c:pt idx="5">
                  <c:v>34192.418078555784</c:v>
                </c:pt>
                <c:pt idx="6">
                  <c:v>35221.712489468555</c:v>
                </c:pt>
                <c:pt idx="7">
                  <c:v>36321.956945349011</c:v>
                </c:pt>
                <c:pt idx="8">
                  <c:v>37490.75707250095</c:v>
                </c:pt>
                <c:pt idx="9">
                  <c:v>38682.051593594115</c:v>
                </c:pt>
                <c:pt idx="10">
                  <c:v>39786.646249323305</c:v>
                </c:pt>
                <c:pt idx="11">
                  <c:v>40856.513568839197</c:v>
                </c:pt>
                <c:pt idx="12">
                  <c:v>41918.111863448263</c:v>
                </c:pt>
                <c:pt idx="13">
                  <c:v>42932.397218574253</c:v>
                </c:pt>
                <c:pt idx="14">
                  <c:v>43912.988905799335</c:v>
                </c:pt>
                <c:pt idx="15">
                  <c:v>44848.996713296379</c:v>
                </c:pt>
                <c:pt idx="16">
                  <c:v>45729.066351073867</c:v>
                </c:pt>
                <c:pt idx="17">
                  <c:v>46545.194365763069</c:v>
                </c:pt>
                <c:pt idx="18">
                  <c:v>47312.398709717942</c:v>
                </c:pt>
                <c:pt idx="19">
                  <c:v>47572.056283588638</c:v>
                </c:pt>
                <c:pt idx="20">
                  <c:v>47704.160367515295</c:v>
                </c:pt>
                <c:pt idx="21">
                  <c:v>47449.607307169012</c:v>
                </c:pt>
                <c:pt idx="22">
                  <c:v>46837.295751191741</c:v>
                </c:pt>
                <c:pt idx="23">
                  <c:v>46036.245268525687</c:v>
                </c:pt>
                <c:pt idx="24">
                  <c:v>45236.908843023914</c:v>
                </c:pt>
                <c:pt idx="25">
                  <c:v>44435.583893075869</c:v>
                </c:pt>
                <c:pt idx="26">
                  <c:v>43655.903017943681</c:v>
                </c:pt>
                <c:pt idx="27">
                  <c:v>42876.414712957812</c:v>
                </c:pt>
                <c:pt idx="28">
                  <c:v>42096.827438818735</c:v>
                </c:pt>
                <c:pt idx="29">
                  <c:v>41317.087713381159</c:v>
                </c:pt>
                <c:pt idx="30">
                  <c:v>40537.142903930631</c:v>
                </c:pt>
                <c:pt idx="31">
                  <c:v>39756.873385793748</c:v>
                </c:pt>
                <c:pt idx="32">
                  <c:v>38977.696173782693</c:v>
                </c:pt>
                <c:pt idx="33">
                  <c:v>38199.291611196641</c:v>
                </c:pt>
                <c:pt idx="34">
                  <c:v>37422.067174178526</c:v>
                </c:pt>
                <c:pt idx="35">
                  <c:v>36646.273118289508</c:v>
                </c:pt>
                <c:pt idx="36">
                  <c:v>35872.165874182421</c:v>
                </c:pt>
                <c:pt idx="37">
                  <c:v>35067.312368822466</c:v>
                </c:pt>
                <c:pt idx="38">
                  <c:v>34233.434651884221</c:v>
                </c:pt>
                <c:pt idx="39">
                  <c:v>33372.033140312647</c:v>
                </c:pt>
                <c:pt idx="40">
                  <c:v>32575.564223280337</c:v>
                </c:pt>
                <c:pt idx="41">
                  <c:v>31843.398056387883</c:v>
                </c:pt>
                <c:pt idx="42">
                  <c:v>31173.426436393325</c:v>
                </c:pt>
                <c:pt idx="43">
                  <c:v>30563.744998521037</c:v>
                </c:pt>
                <c:pt idx="44">
                  <c:v>30012.473369252246</c:v>
                </c:pt>
                <c:pt idx="45">
                  <c:v>29517.976214365874</c:v>
                </c:pt>
                <c:pt idx="46">
                  <c:v>29079.33709461513</c:v>
                </c:pt>
                <c:pt idx="47">
                  <c:v>28695.37940507977</c:v>
                </c:pt>
                <c:pt idx="48">
                  <c:v>28365.024484506095</c:v>
                </c:pt>
                <c:pt idx="49">
                  <c:v>28086.060014740993</c:v>
                </c:pt>
                <c:pt idx="50">
                  <c:v>27857.717424608163</c:v>
                </c:pt>
              </c:numCache>
            </c:numRef>
          </c:val>
          <c:extLst>
            <c:ext xmlns:c16="http://schemas.microsoft.com/office/drawing/2014/chart" uri="{C3380CC4-5D6E-409C-BE32-E72D297353CC}">
              <c16:uniqueId val="{00000000-103E-4316-8607-099FACE9AFF8}"/>
            </c:ext>
          </c:extLst>
        </c:ser>
        <c:ser>
          <c:idx val="1"/>
          <c:order val="1"/>
          <c:tx>
            <c:strRef>
              <c:f>'Output data (results)'!$AW$6:$AW$8</c:f>
              <c:strCache>
                <c:ptCount val="3"/>
                <c:pt idx="0">
                  <c:v>4B</c:v>
                </c:pt>
                <c:pt idx="1">
                  <c:v>Biological treatment of solid waste</c:v>
                </c:pt>
                <c:pt idx="2">
                  <c:v>Case 3-B</c:v>
                </c:pt>
              </c:strCache>
            </c:strRef>
          </c:tx>
          <c:spPr>
            <a:solidFill>
              <a:schemeClr val="accent2"/>
            </a:solidFill>
            <a:ln>
              <a:noFill/>
            </a:ln>
            <a:effectLst/>
          </c:spPr>
          <c:invertIfNegative val="0"/>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(results)'!$AW$10:$AW$60</c:f>
              <c:numCache>
                <c:formatCode>_(* #,##0_);_(* \(#,##0\);_(* "-"_);_(@_)</c:formatCode>
                <c:ptCount val="51"/>
                <c:pt idx="0">
                  <c:v>760.94982037695092</c:v>
                </c:pt>
                <c:pt idx="1">
                  <c:v>780.54907176832921</c:v>
                </c:pt>
                <c:pt idx="2">
                  <c:v>805.89597323422572</c:v>
                </c:pt>
                <c:pt idx="3">
                  <c:v>827.07597703450631</c:v>
                </c:pt>
                <c:pt idx="4">
                  <c:v>859.4644285342431</c:v>
                </c:pt>
                <c:pt idx="5">
                  <c:v>898.25036493722359</c:v>
                </c:pt>
                <c:pt idx="6">
                  <c:v>941.39728804730544</c:v>
                </c:pt>
                <c:pt idx="7">
                  <c:v>984.94130752933586</c:v>
                </c:pt>
                <c:pt idx="8">
                  <c:v>1012.9537824256299</c:v>
                </c:pt>
                <c:pt idx="9">
                  <c:v>1001.7224131357198</c:v>
                </c:pt>
                <c:pt idx="10">
                  <c:v>1079.9319251187405</c:v>
                </c:pt>
                <c:pt idx="11">
                  <c:v>1113.3470102861947</c:v>
                </c:pt>
                <c:pt idx="12">
                  <c:v>1178.2270336169195</c:v>
                </c:pt>
                <c:pt idx="13">
                  <c:v>1244.2716562766143</c:v>
                </c:pt>
                <c:pt idx="14">
                  <c:v>1302.8741690929994</c:v>
                </c:pt>
                <c:pt idx="15">
                  <c:v>1353.5605273435249</c:v>
                </c:pt>
                <c:pt idx="16">
                  <c:v>1397.1658867042397</c:v>
                </c:pt>
                <c:pt idx="17">
                  <c:v>1441.3820574705167</c:v>
                </c:pt>
                <c:pt idx="18">
                  <c:v>1371.5821551672836</c:v>
                </c:pt>
                <c:pt idx="19">
                  <c:v>1292.775956578251</c:v>
                </c:pt>
                <c:pt idx="20">
                  <c:v>1082.7965821271721</c:v>
                </c:pt>
                <c:pt idx="21">
                  <c:v>834.38402831169572</c:v>
                </c:pt>
                <c:pt idx="22">
                  <c:v>561.7688624733978</c:v>
                </c:pt>
                <c:pt idx="23">
                  <c:v>548.28572945635563</c:v>
                </c:pt>
                <c:pt idx="24">
                  <c:v>533.70450039513526</c:v>
                </c:pt>
                <c:pt idx="25">
                  <c:v>518.16495476302021</c:v>
                </c:pt>
                <c:pt idx="26">
                  <c:v>501.371289070974</c:v>
                </c:pt>
                <c:pt idx="27">
                  <c:v>483.44694891963064</c:v>
                </c:pt>
                <c:pt idx="28">
                  <c:v>464.49615804398422</c:v>
                </c:pt>
                <c:pt idx="29">
                  <c:v>444.4299826413453</c:v>
                </c:pt>
                <c:pt idx="30">
                  <c:v>423.18913690285854</c:v>
                </c:pt>
                <c:pt idx="31">
                  <c:v>397.19009886058177</c:v>
                </c:pt>
                <c:pt idx="32">
                  <c:v>370.47151942987688</c:v>
                </c:pt>
                <c:pt idx="33">
                  <c:v>376.55899079542786</c:v>
                </c:pt>
                <c:pt idx="34">
                  <c:v>382.95910908022921</c:v>
                </c:pt>
                <c:pt idx="35">
                  <c:v>389.68361036425586</c:v>
                </c:pt>
                <c:pt idx="36">
                  <c:v>396.29807794372368</c:v>
                </c:pt>
                <c:pt idx="37">
                  <c:v>403.13424039655706</c:v>
                </c:pt>
                <c:pt idx="38">
                  <c:v>410.0658626211391</c:v>
                </c:pt>
                <c:pt idx="39">
                  <c:v>504.57729926352522</c:v>
                </c:pt>
                <c:pt idx="40">
                  <c:v>601.57184202008659</c:v>
                </c:pt>
                <c:pt idx="41">
                  <c:v>655.27577512744676</c:v>
                </c:pt>
                <c:pt idx="42">
                  <c:v>710.0700838407223</c:v>
                </c:pt>
                <c:pt idx="43">
                  <c:v>765.89161819999686</c:v>
                </c:pt>
                <c:pt idx="44">
                  <c:v>822.88486118123387</c:v>
                </c:pt>
                <c:pt idx="45">
                  <c:v>881.67044872624456</c:v>
                </c:pt>
                <c:pt idx="46">
                  <c:v>941.73779674871844</c:v>
                </c:pt>
                <c:pt idx="47">
                  <c:v>1003.3044699394193</c:v>
                </c:pt>
                <c:pt idx="48">
                  <c:v>1065.2627187410301</c:v>
                </c:pt>
                <c:pt idx="49">
                  <c:v>1128.8940284966816</c:v>
                </c:pt>
                <c:pt idx="50">
                  <c:v>1194.3018596181046</c:v>
                </c:pt>
              </c:numCache>
            </c:numRef>
          </c:val>
          <c:extLst>
            <c:ext xmlns:c16="http://schemas.microsoft.com/office/drawing/2014/chart" uri="{C3380CC4-5D6E-409C-BE32-E72D297353CC}">
              <c16:uniqueId val="{00000001-103E-4316-8607-099FACE9AFF8}"/>
            </c:ext>
          </c:extLst>
        </c:ser>
        <c:ser>
          <c:idx val="2"/>
          <c:order val="2"/>
          <c:tx>
            <c:strRef>
              <c:f>'Output data (results)'!$AX$6:$AX$8</c:f>
              <c:strCache>
                <c:ptCount val="3"/>
                <c:pt idx="0">
                  <c:v>4C</c:v>
                </c:pt>
                <c:pt idx="1">
                  <c:v>Incineration and open burning of waste</c:v>
                </c:pt>
                <c:pt idx="2">
                  <c:v>Case 3-B</c:v>
                </c:pt>
              </c:strCache>
            </c:strRef>
          </c:tx>
          <c:spPr>
            <a:solidFill>
              <a:schemeClr val="accent3"/>
            </a:solidFill>
            <a:ln>
              <a:noFill/>
            </a:ln>
            <a:effectLst/>
          </c:spPr>
          <c:invertIfNegative val="0"/>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(results)'!$AX$10:$AX$60</c:f>
              <c:numCache>
                <c:formatCode>_(* #,##0_);_(* \(#,##0\);_(* "-"_);_(@_)</c:formatCode>
                <c:ptCount val="51"/>
                <c:pt idx="0">
                  <c:v>266.67687205779424</c:v>
                </c:pt>
                <c:pt idx="1">
                  <c:v>272.19223463898948</c:v>
                </c:pt>
                <c:pt idx="2">
                  <c:v>275.96813671380778</c:v>
                </c:pt>
                <c:pt idx="3">
                  <c:v>279.50160526857348</c:v>
                </c:pt>
                <c:pt idx="4">
                  <c:v>282.82900533129464</c:v>
                </c:pt>
                <c:pt idx="5">
                  <c:v>286.05943198599482</c:v>
                </c:pt>
                <c:pt idx="6">
                  <c:v>289.28985864069489</c:v>
                </c:pt>
                <c:pt idx="7">
                  <c:v>292.47785942938577</c:v>
                </c:pt>
                <c:pt idx="8">
                  <c:v>295.72646859808981</c:v>
                </c:pt>
                <c:pt idx="9">
                  <c:v>298.92053022478206</c:v>
                </c:pt>
                <c:pt idx="10">
                  <c:v>304.93934942856873</c:v>
                </c:pt>
                <c:pt idx="11">
                  <c:v>318.43600763187357</c:v>
                </c:pt>
                <c:pt idx="12">
                  <c:v>322.81139076076983</c:v>
                </c:pt>
                <c:pt idx="13">
                  <c:v>327.66089203269547</c:v>
                </c:pt>
                <c:pt idx="14">
                  <c:v>331.73770718004255</c:v>
                </c:pt>
                <c:pt idx="15">
                  <c:v>335.00364311397755</c:v>
                </c:pt>
                <c:pt idx="16">
                  <c:v>337.42328896055699</c:v>
                </c:pt>
                <c:pt idx="17">
                  <c:v>338.94549979634837</c:v>
                </c:pt>
                <c:pt idx="18">
                  <c:v>335.95278128317591</c:v>
                </c:pt>
                <c:pt idx="19">
                  <c:v>335.87589480850568</c:v>
                </c:pt>
                <c:pt idx="20">
                  <c:v>333.46522438893732</c:v>
                </c:pt>
                <c:pt idx="21">
                  <c:v>313.47743956132365</c:v>
                </c:pt>
                <c:pt idx="22">
                  <c:v>266.60924533734647</c:v>
                </c:pt>
                <c:pt idx="23">
                  <c:v>256.91392969227354</c:v>
                </c:pt>
                <c:pt idx="24">
                  <c:v>246.60705482792577</c:v>
                </c:pt>
                <c:pt idx="25">
                  <c:v>235.65663571118603</c:v>
                </c:pt>
                <c:pt idx="26">
                  <c:v>223.65860164513867</c:v>
                </c:pt>
                <c:pt idx="27">
                  <c:v>210.99299980947745</c:v>
                </c:pt>
                <c:pt idx="28">
                  <c:v>197.61878116539108</c:v>
                </c:pt>
                <c:pt idx="29">
                  <c:v>183.50605443706081</c:v>
                </c:pt>
                <c:pt idx="30">
                  <c:v>168.61312112362944</c:v>
                </c:pt>
                <c:pt idx="31">
                  <c:v>150.43097070105136</c:v>
                </c:pt>
                <c:pt idx="32">
                  <c:v>131.92651111021479</c:v>
                </c:pt>
                <c:pt idx="33">
                  <c:v>133.05134847594948</c:v>
                </c:pt>
                <c:pt idx="34">
                  <c:v>134.18798483503099</c:v>
                </c:pt>
                <c:pt idx="35">
                  <c:v>135.33248718967712</c:v>
                </c:pt>
                <c:pt idx="36">
                  <c:v>136.32360263081401</c:v>
                </c:pt>
                <c:pt idx="37">
                  <c:v>137.3206175686243</c:v>
                </c:pt>
                <c:pt idx="38">
                  <c:v>138.32746500089033</c:v>
                </c:pt>
                <c:pt idx="39">
                  <c:v>139.34021192982974</c:v>
                </c:pt>
                <c:pt idx="40">
                  <c:v>140.35885835544264</c:v>
                </c:pt>
                <c:pt idx="41">
                  <c:v>141.2319838631108</c:v>
                </c:pt>
                <c:pt idx="42">
                  <c:v>142.10904236856129</c:v>
                </c:pt>
                <c:pt idx="43">
                  <c:v>142.99200037068519</c:v>
                </c:pt>
                <c:pt idx="44">
                  <c:v>143.87889137059139</c:v>
                </c:pt>
                <c:pt idx="45">
                  <c:v>144.77364836606216</c:v>
                </c:pt>
                <c:pt idx="46">
                  <c:v>145.51108545024138</c:v>
                </c:pt>
                <c:pt idx="47">
                  <c:v>146.25442203109404</c:v>
                </c:pt>
                <c:pt idx="48">
                  <c:v>147.00169160972894</c:v>
                </c:pt>
                <c:pt idx="49">
                  <c:v>147.75092768725503</c:v>
                </c:pt>
                <c:pt idx="50">
                  <c:v>148.50606326145453</c:v>
                </c:pt>
              </c:numCache>
            </c:numRef>
          </c:val>
          <c:extLst>
            <c:ext xmlns:c16="http://schemas.microsoft.com/office/drawing/2014/chart" uri="{C3380CC4-5D6E-409C-BE32-E72D297353CC}">
              <c16:uniqueId val="{00000002-103E-4316-8607-099FACE9AFF8}"/>
            </c:ext>
          </c:extLst>
        </c:ser>
        <c:ser>
          <c:idx val="3"/>
          <c:order val="3"/>
          <c:tx>
            <c:strRef>
              <c:f>'Output data (results)'!$AY$6:$AY$8</c:f>
              <c:strCache>
                <c:ptCount val="3"/>
                <c:pt idx="0">
                  <c:v>4D </c:v>
                </c:pt>
                <c:pt idx="1">
                  <c:v>Wastewater Treatment and Discharge</c:v>
                </c:pt>
                <c:pt idx="2">
                  <c:v>Case 3-B</c:v>
                </c:pt>
              </c:strCache>
            </c:strRef>
          </c:tx>
          <c:spPr>
            <a:solidFill>
              <a:schemeClr val="accent4"/>
            </a:solidFill>
            <a:ln>
              <a:noFill/>
            </a:ln>
            <a:effectLst/>
          </c:spPr>
          <c:invertIfNegative val="0"/>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(results)'!$AY$10:$AY$60</c:f>
              <c:numCache>
                <c:formatCode>_(* #,##0_);_(* \(#,##0\);_(* "-"_);_(@_)</c:formatCode>
                <c:ptCount val="51"/>
                <c:pt idx="0">
                  <c:v>2831.8730929925982</c:v>
                </c:pt>
                <c:pt idx="1">
                  <c:v>2890.4413774158538</c:v>
                </c:pt>
                <c:pt idx="2">
                  <c:v>2930.5381259825444</c:v>
                </c:pt>
                <c:pt idx="3">
                  <c:v>2968.0604444646974</c:v>
                </c:pt>
                <c:pt idx="4">
                  <c:v>3003.3944973749908</c:v>
                </c:pt>
                <c:pt idx="5">
                  <c:v>3037.6987782514689</c:v>
                </c:pt>
                <c:pt idx="6">
                  <c:v>3072.0030591279478</c:v>
                </c:pt>
                <c:pt idx="7">
                  <c:v>3105.8568147396318</c:v>
                </c:pt>
                <c:pt idx="8">
                  <c:v>3140.3541778724511</c:v>
                </c:pt>
                <c:pt idx="9">
                  <c:v>3174.2722942362484</c:v>
                </c:pt>
                <c:pt idx="10">
                  <c:v>3209.670707898656</c:v>
                </c:pt>
                <c:pt idx="11">
                  <c:v>3332.0204976663595</c:v>
                </c:pt>
                <c:pt idx="12">
                  <c:v>3367.6763543372203</c:v>
                </c:pt>
                <c:pt idx="13">
                  <c:v>3417.813380233612</c:v>
                </c:pt>
                <c:pt idx="14">
                  <c:v>3469.8168679412947</c:v>
                </c:pt>
                <c:pt idx="15">
                  <c:v>3523.7511782123806</c:v>
                </c:pt>
                <c:pt idx="16">
                  <c:v>3579.7450325510972</c:v>
                </c:pt>
                <c:pt idx="17">
                  <c:v>3637.7984309574467</c:v>
                </c:pt>
                <c:pt idx="18">
                  <c:v>3778.1317472739725</c:v>
                </c:pt>
                <c:pt idx="19">
                  <c:v>3922.0671678896119</c:v>
                </c:pt>
                <c:pt idx="20">
                  <c:v>4069.6685524307268</c:v>
                </c:pt>
                <c:pt idx="21">
                  <c:v>4201.6695034402455</c:v>
                </c:pt>
                <c:pt idx="22">
                  <c:v>4336.1091427486772</c:v>
                </c:pt>
                <c:pt idx="23">
                  <c:v>4473.1630222529147</c:v>
                </c:pt>
                <c:pt idx="24">
                  <c:v>4612.7951632570066</c:v>
                </c:pt>
                <c:pt idx="25">
                  <c:v>4755.0396242283468</c:v>
                </c:pt>
                <c:pt idx="26">
                  <c:v>4891.8315325087806</c:v>
                </c:pt>
                <c:pt idx="27">
                  <c:v>5030.9273143213595</c:v>
                </c:pt>
                <c:pt idx="28">
                  <c:v>5172.1968290590494</c:v>
                </c:pt>
                <c:pt idx="29">
                  <c:v>5315.8241432355899</c:v>
                </c:pt>
                <c:pt idx="30">
                  <c:v>5461.7562489213324</c:v>
                </c:pt>
                <c:pt idx="31">
                  <c:v>5508.3777658135459</c:v>
                </c:pt>
                <c:pt idx="32">
                  <c:v>5555.4133281488503</c:v>
                </c:pt>
                <c:pt idx="33">
                  <c:v>5602.7801268386283</c:v>
                </c:pt>
                <c:pt idx="34">
                  <c:v>5650.6437800601161</c:v>
                </c:pt>
                <c:pt idx="35">
                  <c:v>5698.8386696360794</c:v>
                </c:pt>
                <c:pt idx="36">
                  <c:v>5740.5744502998004</c:v>
                </c:pt>
                <c:pt idx="37">
                  <c:v>5782.5586582293754</c:v>
                </c:pt>
                <c:pt idx="38">
                  <c:v>5824.9569116020448</c:v>
                </c:pt>
                <c:pt idx="39">
                  <c:v>5867.6035922405699</c:v>
                </c:pt>
                <c:pt idx="40">
                  <c:v>5910.4987001449481</c:v>
                </c:pt>
                <c:pt idx="41">
                  <c:v>5947.2659354915595</c:v>
                </c:pt>
                <c:pt idx="42">
                  <c:v>5984.1987890154069</c:v>
                </c:pt>
                <c:pt idx="43">
                  <c:v>6021.38006980511</c:v>
                </c:pt>
                <c:pt idx="44">
                  <c:v>6058.7269687720527</c:v>
                </c:pt>
                <c:pt idx="45">
                  <c:v>6096.4051040934646</c:v>
                </c:pt>
                <c:pt idx="46">
                  <c:v>6127.4585123254001</c:v>
                </c:pt>
                <c:pt idx="47">
                  <c:v>6158.7603478231922</c:v>
                </c:pt>
                <c:pt idx="48">
                  <c:v>6190.2278014982176</c:v>
                </c:pt>
                <c:pt idx="49">
                  <c:v>6221.7780642618636</c:v>
                </c:pt>
                <c:pt idx="50">
                  <c:v>6253.5767542913654</c:v>
                </c:pt>
              </c:numCache>
            </c:numRef>
          </c:val>
          <c:extLst>
            <c:ext xmlns:c16="http://schemas.microsoft.com/office/drawing/2014/chart" uri="{C3380CC4-5D6E-409C-BE32-E72D297353CC}">
              <c16:uniqueId val="{00000003-103E-4316-8607-099FACE9AFF8}"/>
            </c:ext>
          </c:extLst>
        </c:ser>
        <c:dLbls>
          <c:showLegendKey val="0"/>
          <c:showVal val="0"/>
          <c:showCatName val="0"/>
          <c:showSerName val="0"/>
          <c:showPercent val="0"/>
          <c:showBubbleSize val="0"/>
        </c:dLbls>
        <c:gapWidth val="150"/>
        <c:overlap val="100"/>
        <c:axId val="708997896"/>
        <c:axId val="708998552"/>
      </c:barChart>
      <c:catAx>
        <c:axId val="708997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98552"/>
        <c:crosses val="autoZero"/>
        <c:auto val="1"/>
        <c:lblAlgn val="ctr"/>
        <c:lblOffset val="100"/>
        <c:noMultiLvlLbl val="0"/>
      </c:catAx>
      <c:valAx>
        <c:axId val="70899855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97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702314288368982E-2"/>
          <c:y val="4.743695375288845E-2"/>
          <c:w val="0.88502803993529144"/>
          <c:h val="0.8799340278817176"/>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(results)'!$AB$10:$AB$60</c:f>
              <c:numCache>
                <c:formatCode>_(* #,##0_);_(* \(#,##0\);_(* "-"_);_(@_)</c:formatCode>
                <c:ptCount val="51"/>
                <c:pt idx="0">
                  <c:v>33528.3309349806</c:v>
                </c:pt>
                <c:pt idx="1">
                  <c:v>34469.810907989464</c:v>
                </c:pt>
                <c:pt idx="2">
                  <c:v>35412.983775452405</c:v>
                </c:pt>
                <c:pt idx="3">
                  <c:v>36379.073737215571</c:v>
                </c:pt>
                <c:pt idx="4">
                  <c:v>37370.770777971054</c:v>
                </c:pt>
                <c:pt idx="5">
                  <c:v>38414.426653730472</c:v>
                </c:pt>
                <c:pt idx="6">
                  <c:v>39524.402695284509</c:v>
                </c:pt>
                <c:pt idx="7">
                  <c:v>40705.232927047364</c:v>
                </c:pt>
                <c:pt idx="8">
                  <c:v>41939.791501397129</c:v>
                </c:pt>
                <c:pt idx="9">
                  <c:v>43156.966831190861</c:v>
                </c:pt>
                <c:pt idx="10">
                  <c:v>44381.188231769273</c:v>
                </c:pt>
                <c:pt idx="11">
                  <c:v>45620.31708442363</c:v>
                </c:pt>
                <c:pt idx="12">
                  <c:v>46786.826642163171</c:v>
                </c:pt>
                <c:pt idx="13">
                  <c:v>47922.143147117175</c:v>
                </c:pt>
                <c:pt idx="14">
                  <c:v>49017.417650013667</c:v>
                </c:pt>
                <c:pt idx="15">
                  <c:v>50061.312061966259</c:v>
                </c:pt>
                <c:pt idx="16">
                  <c:v>51043.400559289759</c:v>
                </c:pt>
                <c:pt idx="17">
                  <c:v>51963.320353987379</c:v>
                </c:pt>
                <c:pt idx="18">
                  <c:v>52845.896117138604</c:v>
                </c:pt>
                <c:pt idx="19">
                  <c:v>53542.560777265862</c:v>
                </c:pt>
                <c:pt idx="20">
                  <c:v>53940.95863026959</c:v>
                </c:pt>
                <c:pt idx="21">
                  <c:v>54128.325563369923</c:v>
                </c:pt>
                <c:pt idx="22">
                  <c:v>54237.882423504067</c:v>
                </c:pt>
                <c:pt idx="23">
                  <c:v>54268.697553090882</c:v>
                </c:pt>
                <c:pt idx="24">
                  <c:v>54226.13620883882</c:v>
                </c:pt>
                <c:pt idx="25">
                  <c:v>54073.805220483817</c:v>
                </c:pt>
                <c:pt idx="26">
                  <c:v>53890.285488071415</c:v>
                </c:pt>
                <c:pt idx="27">
                  <c:v>53653.021456915405</c:v>
                </c:pt>
                <c:pt idx="28">
                  <c:v>53267.513335044896</c:v>
                </c:pt>
                <c:pt idx="29">
                  <c:v>52851.753866593193</c:v>
                </c:pt>
                <c:pt idx="30">
                  <c:v>52410.166995883759</c:v>
                </c:pt>
                <c:pt idx="31">
                  <c:v>52036.783508670756</c:v>
                </c:pt>
                <c:pt idx="32">
                  <c:v>51663.226566620462</c:v>
                </c:pt>
                <c:pt idx="33">
                  <c:v>51295.701870982906</c:v>
                </c:pt>
                <c:pt idx="34">
                  <c:v>50935.011991114996</c:v>
                </c:pt>
                <c:pt idx="35">
                  <c:v>50582.241314208572</c:v>
                </c:pt>
                <c:pt idx="36">
                  <c:v>50297.443594937577</c:v>
                </c:pt>
                <c:pt idx="37">
                  <c:v>50052.762376223895</c:v>
                </c:pt>
                <c:pt idx="38">
                  <c:v>49805.032047052911</c:v>
                </c:pt>
                <c:pt idx="39">
                  <c:v>49566.38637658739</c:v>
                </c:pt>
                <c:pt idx="40">
                  <c:v>49338.259723246403</c:v>
                </c:pt>
                <c:pt idx="41">
                  <c:v>48969.955941384615</c:v>
                </c:pt>
                <c:pt idx="42">
                  <c:v>48583.076638081642</c:v>
                </c:pt>
                <c:pt idx="43">
                  <c:v>48179.558191670447</c:v>
                </c:pt>
                <c:pt idx="44">
                  <c:v>47761.369154753542</c:v>
                </c:pt>
                <c:pt idx="45">
                  <c:v>47331.715403361435</c:v>
                </c:pt>
                <c:pt idx="46">
                  <c:v>46884.917450065026</c:v>
                </c:pt>
                <c:pt idx="47">
                  <c:v>46429.46973258278</c:v>
                </c:pt>
                <c:pt idx="48">
                  <c:v>45998.949287914002</c:v>
                </c:pt>
                <c:pt idx="49">
                  <c:v>45569.136493388578</c:v>
                </c:pt>
                <c:pt idx="50">
                  <c:v>45141.449240791655</c:v>
                </c:pt>
              </c:numCache>
            </c:numRef>
          </c:val>
          <c:extLst>
            <c:ext xmlns:c16="http://schemas.microsoft.com/office/drawing/2014/chart" uri="{C3380CC4-5D6E-409C-BE32-E72D297353CC}">
              <c16:uniqueId val="{00000000-6747-46EF-982A-8F1D2D3F8B52}"/>
            </c:ext>
          </c:extLst>
        </c:ser>
        <c:ser>
          <c:idx val="1"/>
          <c:order val="1"/>
          <c:tx>
            <c:strRef>
              <c:f>'Output data (results)'!$AN$7:$AN$8</c:f>
              <c:strCache>
                <c:ptCount val="2"/>
                <c:pt idx="0">
                  <c:v>Total Waste Emissions</c:v>
                </c:pt>
                <c:pt idx="1">
                  <c:v>Case 2-B</c:v>
                </c:pt>
              </c:strCache>
            </c:strRef>
          </c:tx>
          <c:spPr>
            <a:solidFill>
              <a:schemeClr val="accent4">
                <a:lumMod val="60000"/>
                <a:lumOff val="40000"/>
              </a:schemeClr>
            </a:solidFill>
            <a:ln w="19050">
              <a:solidFill>
                <a:schemeClr val="accent2">
                  <a:lumMod val="50000"/>
                </a:schemeClr>
              </a:solidFill>
            </a:ln>
            <a:effectLst/>
          </c:spPr>
          <c:invertIfNegative val="0"/>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(results)'!$AN$10:$AN$60</c:f>
              <c:numCache>
                <c:formatCode>_(* #,##0_);_(* \(#,##0\);_(* "-"_);_(@_)</c:formatCode>
                <c:ptCount val="51"/>
                <c:pt idx="0">
                  <c:v>33528.3309349806</c:v>
                </c:pt>
                <c:pt idx="1">
                  <c:v>34469.810907989464</c:v>
                </c:pt>
                <c:pt idx="2">
                  <c:v>35412.983775452405</c:v>
                </c:pt>
                <c:pt idx="3">
                  <c:v>36379.073737215571</c:v>
                </c:pt>
                <c:pt idx="4">
                  <c:v>37370.770777971054</c:v>
                </c:pt>
                <c:pt idx="5">
                  <c:v>38414.426653730472</c:v>
                </c:pt>
                <c:pt idx="6">
                  <c:v>39524.402695284509</c:v>
                </c:pt>
                <c:pt idx="7">
                  <c:v>40705.232927047364</c:v>
                </c:pt>
                <c:pt idx="8">
                  <c:v>41939.791501397129</c:v>
                </c:pt>
                <c:pt idx="9">
                  <c:v>43156.966831190861</c:v>
                </c:pt>
                <c:pt idx="10">
                  <c:v>44381.188231769273</c:v>
                </c:pt>
                <c:pt idx="11">
                  <c:v>45620.31708442363</c:v>
                </c:pt>
                <c:pt idx="12">
                  <c:v>46786.826642163171</c:v>
                </c:pt>
                <c:pt idx="13">
                  <c:v>47922.143147117175</c:v>
                </c:pt>
                <c:pt idx="14">
                  <c:v>49017.417650013667</c:v>
                </c:pt>
                <c:pt idx="15">
                  <c:v>50061.312061966259</c:v>
                </c:pt>
                <c:pt idx="16">
                  <c:v>51043.400559289759</c:v>
                </c:pt>
                <c:pt idx="17">
                  <c:v>51963.320353987379</c:v>
                </c:pt>
                <c:pt idx="18">
                  <c:v>52910.186414786149</c:v>
                </c:pt>
                <c:pt idx="19">
                  <c:v>53355.57319085479</c:v>
                </c:pt>
                <c:pt idx="20">
                  <c:v>53515.458667570645</c:v>
                </c:pt>
                <c:pt idx="21">
                  <c:v>53175.873535709165</c:v>
                </c:pt>
                <c:pt idx="22">
                  <c:v>52364.935121593269</c:v>
                </c:pt>
                <c:pt idx="23">
                  <c:v>51669.006464508609</c:v>
                </c:pt>
                <c:pt idx="24">
                  <c:v>50974.943989046573</c:v>
                </c:pt>
                <c:pt idx="25">
                  <c:v>50279.277529947409</c:v>
                </c:pt>
                <c:pt idx="26">
                  <c:v>49596.683851900532</c:v>
                </c:pt>
                <c:pt idx="27">
                  <c:v>48914.051469188635</c:v>
                </c:pt>
                <c:pt idx="28">
                  <c:v>48231.089432837798</c:v>
                </c:pt>
                <c:pt idx="29">
                  <c:v>47547.752157836832</c:v>
                </c:pt>
                <c:pt idx="30">
                  <c:v>46863.794830238679</c:v>
                </c:pt>
                <c:pt idx="31">
                  <c:v>46069.073029953513</c:v>
                </c:pt>
                <c:pt idx="32">
                  <c:v>45274.354318336031</c:v>
                </c:pt>
                <c:pt idx="33">
                  <c:v>44554.390017804108</c:v>
                </c:pt>
                <c:pt idx="34">
                  <c:v>43836.632670936058</c:v>
                </c:pt>
                <c:pt idx="35">
                  <c:v>43121.182099453028</c:v>
                </c:pt>
                <c:pt idx="36">
                  <c:v>42400.627644480577</c:v>
                </c:pt>
                <c:pt idx="37">
                  <c:v>41649.94923198071</c:v>
                </c:pt>
                <c:pt idx="38">
                  <c:v>40870.830430858681</c:v>
                </c:pt>
                <c:pt idx="39">
                  <c:v>40208.651518595485</c:v>
                </c:pt>
                <c:pt idx="40">
                  <c:v>39615.750586547423</c:v>
                </c:pt>
                <c:pt idx="41">
                  <c:v>39009.600051265552</c:v>
                </c:pt>
                <c:pt idx="42">
                  <c:v>38467.611283717728</c:v>
                </c:pt>
                <c:pt idx="43">
                  <c:v>37987.860577103667</c:v>
                </c:pt>
                <c:pt idx="44">
                  <c:v>37568.620554207802</c:v>
                </c:pt>
                <c:pt idx="45">
                  <c:v>37209.447234906307</c:v>
                </c:pt>
                <c:pt idx="46">
                  <c:v>36901.462198129055</c:v>
                </c:pt>
                <c:pt idx="47">
                  <c:v>36650.883483008292</c:v>
                </c:pt>
                <c:pt idx="48">
                  <c:v>36454.723548878574</c:v>
                </c:pt>
                <c:pt idx="49">
                  <c:v>36312.79526161278</c:v>
                </c:pt>
                <c:pt idx="50">
                  <c:v>36224.669861706134</c:v>
                </c:pt>
              </c:numCache>
            </c:numRef>
          </c:val>
          <c:extLst>
            <c:ext xmlns:c16="http://schemas.microsoft.com/office/drawing/2014/chart" uri="{C3380CC4-5D6E-409C-BE32-E72D297353CC}">
              <c16:uniqueId val="{00000001-6747-46EF-982A-8F1D2D3F8B52}"/>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(results)'!$AZ$10:$AZ$59</c:f>
              <c:numCache>
                <c:formatCode>_(* #,##0_);_(* \(#,##0\);_(* "-"_);_(@_)</c:formatCode>
                <c:ptCount val="50"/>
                <c:pt idx="0">
                  <c:v>33528.3309349806</c:v>
                </c:pt>
                <c:pt idx="1">
                  <c:v>34469.810907989464</c:v>
                </c:pt>
                <c:pt idx="2">
                  <c:v>35412.983775452405</c:v>
                </c:pt>
                <c:pt idx="3">
                  <c:v>36379.073737215571</c:v>
                </c:pt>
                <c:pt idx="4">
                  <c:v>37370.770777971054</c:v>
                </c:pt>
                <c:pt idx="5">
                  <c:v>38414.426653730472</c:v>
                </c:pt>
                <c:pt idx="6">
                  <c:v>39524.402695284509</c:v>
                </c:pt>
                <c:pt idx="7">
                  <c:v>40705.232927047364</c:v>
                </c:pt>
                <c:pt idx="8">
                  <c:v>41939.791501397129</c:v>
                </c:pt>
                <c:pt idx="9">
                  <c:v>43156.966831190861</c:v>
                </c:pt>
                <c:pt idx="10">
                  <c:v>44381.188231769273</c:v>
                </c:pt>
                <c:pt idx="11">
                  <c:v>45620.31708442363</c:v>
                </c:pt>
                <c:pt idx="12">
                  <c:v>46786.826642163171</c:v>
                </c:pt>
                <c:pt idx="13">
                  <c:v>47922.143147117175</c:v>
                </c:pt>
                <c:pt idx="14">
                  <c:v>49017.417650013667</c:v>
                </c:pt>
                <c:pt idx="15">
                  <c:v>50061.312061966259</c:v>
                </c:pt>
                <c:pt idx="16">
                  <c:v>51043.400559289759</c:v>
                </c:pt>
                <c:pt idx="17">
                  <c:v>51963.320353987379</c:v>
                </c:pt>
                <c:pt idx="18">
                  <c:v>52798.065393442375</c:v>
                </c:pt>
                <c:pt idx="19">
                  <c:v>53122.775302865011</c:v>
                </c:pt>
                <c:pt idx="20">
                  <c:v>53190.090726462127</c:v>
                </c:pt>
                <c:pt idx="21">
                  <c:v>52799.138278482271</c:v>
                </c:pt>
                <c:pt idx="22">
                  <c:v>52001.783001751166</c:v>
                </c:pt>
                <c:pt idx="23">
                  <c:v>51314.607949927231</c:v>
                </c:pt>
                <c:pt idx="24">
                  <c:v>50630.015561503977</c:v>
                </c:pt>
                <c:pt idx="25">
                  <c:v>49944.445107778425</c:v>
                </c:pt>
                <c:pt idx="26">
                  <c:v>49272.764441168576</c:v>
                </c:pt>
                <c:pt idx="27">
                  <c:v>48601.781976008271</c:v>
                </c:pt>
                <c:pt idx="28">
                  <c:v>47931.139207087166</c:v>
                </c:pt>
                <c:pt idx="29">
                  <c:v>47260.847893695158</c:v>
                </c:pt>
                <c:pt idx="30">
                  <c:v>46590.70141087845</c:v>
                </c:pt>
                <c:pt idx="31">
                  <c:v>45812.872221168931</c:v>
                </c:pt>
                <c:pt idx="32">
                  <c:v>45035.507532471631</c:v>
                </c:pt>
                <c:pt idx="33">
                  <c:v>44311.682077306643</c:v>
                </c:pt>
                <c:pt idx="34">
                  <c:v>43589.858048153896</c:v>
                </c:pt>
                <c:pt idx="35">
                  <c:v>42870.127885479524</c:v>
                </c:pt>
                <c:pt idx="36">
                  <c:v>42145.362005056755</c:v>
                </c:pt>
                <c:pt idx="37">
                  <c:v>41390.325885017017</c:v>
                </c:pt>
                <c:pt idx="38">
                  <c:v>40606.784891108291</c:v>
                </c:pt>
                <c:pt idx="39">
                  <c:v>39883.55424374657</c:v>
                </c:pt>
                <c:pt idx="40">
                  <c:v>39227.993623800816</c:v>
                </c:pt>
                <c:pt idx="41">
                  <c:v>38587.171750870002</c:v>
                </c:pt>
                <c:pt idx="42">
                  <c:v>38009.804351618011</c:v>
                </c:pt>
                <c:pt idx="43">
                  <c:v>37494.008686896828</c:v>
                </c:pt>
                <c:pt idx="44">
                  <c:v>37037.964090576126</c:v>
                </c:pt>
                <c:pt idx="45">
                  <c:v>36640.825415551648</c:v>
                </c:pt>
                <c:pt idx="46">
                  <c:v>36294.044489139487</c:v>
                </c:pt>
                <c:pt idx="47">
                  <c:v>36003.698644873475</c:v>
                </c:pt>
                <c:pt idx="48">
                  <c:v>35767.516696355073</c:v>
                </c:pt>
                <c:pt idx="49">
                  <c:v>35584.483035186793</c:v>
                </c:pt>
              </c:numCache>
            </c:numRef>
          </c:val>
          <c:extLst>
            <c:ext xmlns:c16="http://schemas.microsoft.com/office/drawing/2014/chart" uri="{C3380CC4-5D6E-409C-BE32-E72D297353CC}">
              <c16:uniqueId val="{00000002-6747-46EF-982A-8F1D2D3F8B52}"/>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val>
            <c:numRef>
              <c:f>'Output data (results)'!$AH$10:$AH$60</c:f>
              <c:numCache>
                <c:formatCode>_(* #,##0_);_(* \(#,##0\);_(* "-"_);_(@_)</c:formatCode>
                <c:ptCount val="51"/>
                <c:pt idx="0">
                  <c:v>33528.3309349806</c:v>
                </c:pt>
                <c:pt idx="1">
                  <c:v>34469.810907989464</c:v>
                </c:pt>
                <c:pt idx="2">
                  <c:v>35412.983775452405</c:v>
                </c:pt>
                <c:pt idx="3">
                  <c:v>36379.073737215571</c:v>
                </c:pt>
                <c:pt idx="4">
                  <c:v>37370.770777971054</c:v>
                </c:pt>
                <c:pt idx="5">
                  <c:v>38414.426653730472</c:v>
                </c:pt>
                <c:pt idx="6">
                  <c:v>39524.402695284509</c:v>
                </c:pt>
                <c:pt idx="7">
                  <c:v>40705.232927047364</c:v>
                </c:pt>
                <c:pt idx="8">
                  <c:v>41939.791501397129</c:v>
                </c:pt>
                <c:pt idx="9">
                  <c:v>43156.966831190861</c:v>
                </c:pt>
                <c:pt idx="10">
                  <c:v>44381.188231769273</c:v>
                </c:pt>
                <c:pt idx="11">
                  <c:v>45620.31708442363</c:v>
                </c:pt>
                <c:pt idx="12">
                  <c:v>46786.826642163171</c:v>
                </c:pt>
                <c:pt idx="13">
                  <c:v>47922.143147117175</c:v>
                </c:pt>
                <c:pt idx="14">
                  <c:v>49017.417650013667</c:v>
                </c:pt>
                <c:pt idx="15">
                  <c:v>50061.312061966259</c:v>
                </c:pt>
                <c:pt idx="16">
                  <c:v>51043.400559289759</c:v>
                </c:pt>
                <c:pt idx="17">
                  <c:v>51963.320353987379</c:v>
                </c:pt>
                <c:pt idx="18">
                  <c:v>52845.896117138604</c:v>
                </c:pt>
                <c:pt idx="19">
                  <c:v>53515.329998533576</c:v>
                </c:pt>
                <c:pt idx="20">
                  <c:v>53816.493546088946</c:v>
                </c:pt>
                <c:pt idx="21">
                  <c:v>54006.486540194361</c:v>
                </c:pt>
                <c:pt idx="22">
                  <c:v>54106.738124091324</c:v>
                </c:pt>
                <c:pt idx="23">
                  <c:v>54136.184399001148</c:v>
                </c:pt>
                <c:pt idx="24">
                  <c:v>54087.413826569522</c:v>
                </c:pt>
                <c:pt idx="25">
                  <c:v>53969.071661138587</c:v>
                </c:pt>
                <c:pt idx="26">
                  <c:v>53787.128158668049</c:v>
                </c:pt>
                <c:pt idx="27">
                  <c:v>53551.877589758806</c:v>
                </c:pt>
                <c:pt idx="28">
                  <c:v>53173.49977610202</c:v>
                </c:pt>
                <c:pt idx="29">
                  <c:v>52764.909270936194</c:v>
                </c:pt>
                <c:pt idx="30">
                  <c:v>52330.353939793684</c:v>
                </c:pt>
                <c:pt idx="31">
                  <c:v>51893.718650724812</c:v>
                </c:pt>
                <c:pt idx="32">
                  <c:v>51479.962750303879</c:v>
                </c:pt>
                <c:pt idx="33">
                  <c:v>51087.186634948397</c:v>
                </c:pt>
                <c:pt idx="34">
                  <c:v>50714.538809610603</c:v>
                </c:pt>
                <c:pt idx="35">
                  <c:v>50360.969549382862</c:v>
                </c:pt>
                <c:pt idx="36">
                  <c:v>50018.299742950396</c:v>
                </c:pt>
                <c:pt idx="37">
                  <c:v>49726.03870836748</c:v>
                </c:pt>
                <c:pt idx="38">
                  <c:v>49441.768071944272</c:v>
                </c:pt>
                <c:pt idx="39">
                  <c:v>49176.344038414718</c:v>
                </c:pt>
                <c:pt idx="40">
                  <c:v>48929.137858960894</c:v>
                </c:pt>
                <c:pt idx="41">
                  <c:v>48692.654702372209</c:v>
                </c:pt>
                <c:pt idx="42">
                  <c:v>48472.604345640306</c:v>
                </c:pt>
                <c:pt idx="43">
                  <c:v>48268.38417965726</c:v>
                </c:pt>
                <c:pt idx="44">
                  <c:v>48079.317684911599</c:v>
                </c:pt>
                <c:pt idx="45">
                  <c:v>47905.236318859599</c:v>
                </c:pt>
                <c:pt idx="46">
                  <c:v>47738.309879363282</c:v>
                </c:pt>
                <c:pt idx="47">
                  <c:v>47585.173564142882</c:v>
                </c:pt>
                <c:pt idx="48">
                  <c:v>47479.220057648548</c:v>
                </c:pt>
                <c:pt idx="49">
                  <c:v>47393.656241087199</c:v>
                </c:pt>
                <c:pt idx="50">
                  <c:v>47328.200736661573</c:v>
                </c:pt>
              </c:numCache>
            </c:numRef>
          </c:val>
          <c:extLst>
            <c:ext xmlns:c16="http://schemas.microsoft.com/office/drawing/2014/chart" uri="{C3380CC4-5D6E-409C-BE32-E72D297353CC}">
              <c16:uniqueId val="{00000003-6747-46EF-982A-8F1D2D3F8B52}"/>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val>
            <c:numRef>
              <c:f>'Output data (results)'!$AT$10:$AT$60</c:f>
              <c:numCache>
                <c:formatCode>_(* #,##0_);_(* \(#,##0\);_(* "-"_);_(@_)</c:formatCode>
                <c:ptCount val="51"/>
                <c:pt idx="0">
                  <c:v>33528.3309349806</c:v>
                </c:pt>
                <c:pt idx="1">
                  <c:v>34469.810907989464</c:v>
                </c:pt>
                <c:pt idx="2">
                  <c:v>35412.983775452405</c:v>
                </c:pt>
                <c:pt idx="3">
                  <c:v>36379.073737215571</c:v>
                </c:pt>
                <c:pt idx="4">
                  <c:v>37370.770777971054</c:v>
                </c:pt>
                <c:pt idx="5">
                  <c:v>38414.426653730472</c:v>
                </c:pt>
                <c:pt idx="6">
                  <c:v>39524.402695284509</c:v>
                </c:pt>
                <c:pt idx="7">
                  <c:v>40705.232927047364</c:v>
                </c:pt>
                <c:pt idx="8">
                  <c:v>41939.791501397129</c:v>
                </c:pt>
                <c:pt idx="9">
                  <c:v>43156.966831190861</c:v>
                </c:pt>
                <c:pt idx="10">
                  <c:v>44381.188231769273</c:v>
                </c:pt>
                <c:pt idx="11">
                  <c:v>45620.31708442363</c:v>
                </c:pt>
                <c:pt idx="12">
                  <c:v>46786.826642163171</c:v>
                </c:pt>
                <c:pt idx="13">
                  <c:v>47922.143147117175</c:v>
                </c:pt>
                <c:pt idx="14">
                  <c:v>49017.417650013667</c:v>
                </c:pt>
                <c:pt idx="15">
                  <c:v>50061.312061966259</c:v>
                </c:pt>
                <c:pt idx="16">
                  <c:v>51043.400559289759</c:v>
                </c:pt>
                <c:pt idx="17">
                  <c:v>51963.320353987379</c:v>
                </c:pt>
                <c:pt idx="18">
                  <c:v>52798.065393442375</c:v>
                </c:pt>
                <c:pt idx="19">
                  <c:v>53100.725901173595</c:v>
                </c:pt>
                <c:pt idx="20">
                  <c:v>53095.244690674692</c:v>
                </c:pt>
                <c:pt idx="21">
                  <c:v>52704.120107023708</c:v>
                </c:pt>
                <c:pt idx="22">
                  <c:v>52001.709226952938</c:v>
                </c:pt>
                <c:pt idx="23">
                  <c:v>51410.193756976078</c:v>
                </c:pt>
                <c:pt idx="24">
                  <c:v>50810.493976771715</c:v>
                </c:pt>
                <c:pt idx="25">
                  <c:v>50203.107901349111</c:v>
                </c:pt>
                <c:pt idx="26">
                  <c:v>49579.809975705415</c:v>
                </c:pt>
                <c:pt idx="27">
                  <c:v>48949.735927360722</c:v>
                </c:pt>
                <c:pt idx="28">
                  <c:v>48313.150350279786</c:v>
                </c:pt>
                <c:pt idx="29">
                  <c:v>47670.612380508392</c:v>
                </c:pt>
                <c:pt idx="30">
                  <c:v>47022.397200634608</c:v>
                </c:pt>
                <c:pt idx="31">
                  <c:v>46261.21493000941</c:v>
                </c:pt>
                <c:pt idx="32">
                  <c:v>45540.921230631779</c:v>
                </c:pt>
                <c:pt idx="33">
                  <c:v>44912.693785767347</c:v>
                </c:pt>
                <c:pt idx="34">
                  <c:v>44323.078511681437</c:v>
                </c:pt>
                <c:pt idx="35">
                  <c:v>43770.382279483849</c:v>
                </c:pt>
                <c:pt idx="36">
                  <c:v>43245.777024227129</c:v>
                </c:pt>
                <c:pt idx="37">
                  <c:v>42754.895026710976</c:v>
                </c:pt>
                <c:pt idx="38">
                  <c:v>42296.380620018841</c:v>
                </c:pt>
                <c:pt idx="39">
                  <c:v>41868.72683943942</c:v>
                </c:pt>
                <c:pt idx="40">
                  <c:v>41470.798574170025</c:v>
                </c:pt>
                <c:pt idx="41">
                  <c:v>41094.652778405725</c:v>
                </c:pt>
                <c:pt idx="42">
                  <c:v>40745.862531797764</c:v>
                </c:pt>
                <c:pt idx="43">
                  <c:v>40423.457737628065</c:v>
                </c:pt>
                <c:pt idx="44">
                  <c:v>40126.377883508598</c:v>
                </c:pt>
                <c:pt idx="45">
                  <c:v>39854.02336281613</c:v>
                </c:pt>
                <c:pt idx="46">
                  <c:v>39598.210738233531</c:v>
                </c:pt>
                <c:pt idx="47">
                  <c:v>39365.473489142692</c:v>
                </c:pt>
                <c:pt idx="48">
                  <c:v>39154.737021639186</c:v>
                </c:pt>
                <c:pt idx="49">
                  <c:v>38965.257040704848</c:v>
                </c:pt>
                <c:pt idx="50">
                  <c:v>38796.643947465782</c:v>
                </c:pt>
              </c:numCache>
            </c:numRef>
          </c:val>
          <c:extLst>
            <c:ext xmlns:c16="http://schemas.microsoft.com/office/drawing/2014/chart" uri="{C3380CC4-5D6E-409C-BE32-E72D297353CC}">
              <c16:uniqueId val="{00000004-6747-46EF-982A-8F1D2D3F8B52}"/>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val>
            <c:numRef>
              <c:f>'Output data (results)'!$BF$10:$BF$60</c:f>
              <c:numCache>
                <c:formatCode>_(* #,##0_);_(* \(#,##0\);_(* "-"_);_(@_)</c:formatCode>
                <c:ptCount val="51"/>
                <c:pt idx="0">
                  <c:v>33528.3309349806</c:v>
                </c:pt>
                <c:pt idx="1">
                  <c:v>34469.810907989464</c:v>
                </c:pt>
                <c:pt idx="2">
                  <c:v>35412.983775452405</c:v>
                </c:pt>
                <c:pt idx="3">
                  <c:v>36379.073737215571</c:v>
                </c:pt>
                <c:pt idx="4">
                  <c:v>37370.770777971054</c:v>
                </c:pt>
                <c:pt idx="5">
                  <c:v>38414.426653730472</c:v>
                </c:pt>
                <c:pt idx="6">
                  <c:v>39524.402695284509</c:v>
                </c:pt>
                <c:pt idx="7">
                  <c:v>40705.232927047364</c:v>
                </c:pt>
                <c:pt idx="8">
                  <c:v>41939.791501397129</c:v>
                </c:pt>
                <c:pt idx="9">
                  <c:v>43156.966831190861</c:v>
                </c:pt>
                <c:pt idx="10">
                  <c:v>44381.188231769273</c:v>
                </c:pt>
                <c:pt idx="11">
                  <c:v>45620.31708442363</c:v>
                </c:pt>
                <c:pt idx="12">
                  <c:v>46786.826642163171</c:v>
                </c:pt>
                <c:pt idx="13">
                  <c:v>47922.143147117175</c:v>
                </c:pt>
                <c:pt idx="14">
                  <c:v>49017.417650013667</c:v>
                </c:pt>
                <c:pt idx="15">
                  <c:v>50061.312061966259</c:v>
                </c:pt>
                <c:pt idx="16">
                  <c:v>51043.400559289759</c:v>
                </c:pt>
                <c:pt idx="17">
                  <c:v>51963.320353987379</c:v>
                </c:pt>
                <c:pt idx="18">
                  <c:v>52798.065393442375</c:v>
                </c:pt>
                <c:pt idx="19">
                  <c:v>53122.775302865011</c:v>
                </c:pt>
                <c:pt idx="20">
                  <c:v>53190.090726462127</c:v>
                </c:pt>
                <c:pt idx="21">
                  <c:v>52799.138278482285</c:v>
                </c:pt>
                <c:pt idx="22">
                  <c:v>52001.783001751173</c:v>
                </c:pt>
                <c:pt idx="23">
                  <c:v>51410.303275687023</c:v>
                </c:pt>
                <c:pt idx="24">
                  <c:v>50810.645719347631</c:v>
                </c:pt>
                <c:pt idx="25">
                  <c:v>50203.308162259782</c:v>
                </c:pt>
                <c:pt idx="26">
                  <c:v>49580.064877907032</c:v>
                </c:pt>
                <c:pt idx="27">
                  <c:v>48950.051310742099</c:v>
                </c:pt>
                <c:pt idx="28">
                  <c:v>48313.531886990473</c:v>
                </c:pt>
                <c:pt idx="29">
                  <c:v>47671.065584595111</c:v>
                </c:pt>
                <c:pt idx="30">
                  <c:v>47022.927442395136</c:v>
                </c:pt>
                <c:pt idx="31">
                  <c:v>46261.827445419629</c:v>
                </c:pt>
                <c:pt idx="32">
                  <c:v>45541.612194316593</c:v>
                </c:pt>
                <c:pt idx="33">
                  <c:v>44913.459603702009</c:v>
                </c:pt>
                <c:pt idx="34">
                  <c:v>44323.91580600322</c:v>
                </c:pt>
                <c:pt idx="35">
                  <c:v>43771.287879334908</c:v>
                </c:pt>
                <c:pt idx="36">
                  <c:v>43246.747950268298</c:v>
                </c:pt>
                <c:pt idx="37">
                  <c:v>42755.928339291371</c:v>
                </c:pt>
                <c:pt idx="38">
                  <c:v>42297.47355582624</c:v>
                </c:pt>
                <c:pt idx="39">
                  <c:v>41957.230169922084</c:v>
                </c:pt>
                <c:pt idx="40">
                  <c:v>41648.847265364828</c:v>
                </c:pt>
                <c:pt idx="41">
                  <c:v>41318.954316047435</c:v>
                </c:pt>
                <c:pt idx="42">
                  <c:v>41017.239806417849</c:v>
                </c:pt>
                <c:pt idx="43">
                  <c:v>40742.683229519906</c:v>
                </c:pt>
                <c:pt idx="44">
                  <c:v>40494.336669550976</c:v>
                </c:pt>
                <c:pt idx="45">
                  <c:v>40272.068197625107</c:v>
                </c:pt>
                <c:pt idx="46">
                  <c:v>40067.521805525779</c:v>
                </c:pt>
                <c:pt idx="47">
                  <c:v>39887.174469278478</c:v>
                </c:pt>
                <c:pt idx="48">
                  <c:v>39729.11938327329</c:v>
                </c:pt>
                <c:pt idx="49">
                  <c:v>39593.590433369318</c:v>
                </c:pt>
                <c:pt idx="50">
                  <c:v>39480.263392062079</c:v>
                </c:pt>
              </c:numCache>
            </c:numRef>
          </c:val>
          <c:extLst>
            <c:ext xmlns:c16="http://schemas.microsoft.com/office/drawing/2014/chart" uri="{C3380CC4-5D6E-409C-BE32-E72D297353CC}">
              <c16:uniqueId val="{00000005-6747-46EF-982A-8F1D2D3F8B52}"/>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(results)'!$BJ$7</c:f>
              <c:strCache>
                <c:ptCount val="1"/>
                <c:pt idx="0">
                  <c:v>Percent of all waste diverted from landfill -Case 1-B</c:v>
                </c:pt>
              </c:strCache>
            </c:strRef>
          </c:tx>
          <c:spPr>
            <a:ln w="19050" cap="rnd">
              <a:solidFill>
                <a:schemeClr val="accent4"/>
              </a:solidFill>
              <a:round/>
            </a:ln>
            <a:effectLst/>
          </c:spPr>
          <c:marker>
            <c:symbol val="none"/>
          </c:marker>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(results)'!$BJ$10:$BJ$60</c:f>
              <c:numCache>
                <c:formatCode>0%</c:formatCode>
                <c:ptCount val="51"/>
                <c:pt idx="0">
                  <c:v>0.19283372758765369</c:v>
                </c:pt>
                <c:pt idx="1">
                  <c:v>0.19244111347697429</c:v>
                </c:pt>
                <c:pt idx="2">
                  <c:v>0.1921588904207206</c:v>
                </c:pt>
                <c:pt idx="3">
                  <c:v>0.19159968918099338</c:v>
                </c:pt>
                <c:pt idx="4">
                  <c:v>0.19092494708587937</c:v>
                </c:pt>
                <c:pt idx="5">
                  <c:v>0.19020897678168794</c:v>
                </c:pt>
                <c:pt idx="6">
                  <c:v>0.18953960310810339</c:v>
                </c:pt>
                <c:pt idx="7">
                  <c:v>0.18921389159482299</c:v>
                </c:pt>
                <c:pt idx="8">
                  <c:v>0.18963417971367144</c:v>
                </c:pt>
                <c:pt idx="9">
                  <c:v>0.20500122394187426</c:v>
                </c:pt>
                <c:pt idx="10">
                  <c:v>0.22042757957220865</c:v>
                </c:pt>
                <c:pt idx="11">
                  <c:v>0.23459029705587137</c:v>
                </c:pt>
                <c:pt idx="12">
                  <c:v>0.2479747563458998</c:v>
                </c:pt>
                <c:pt idx="13">
                  <c:v>0.26091497211589859</c:v>
                </c:pt>
                <c:pt idx="14">
                  <c:v>0.27355978971582146</c:v>
                </c:pt>
                <c:pt idx="15">
                  <c:v>0.2859242342376842</c:v>
                </c:pt>
                <c:pt idx="16">
                  <c:v>0.29713182575222147</c:v>
                </c:pt>
                <c:pt idx="17">
                  <c:v>0.29713182575222163</c:v>
                </c:pt>
                <c:pt idx="18">
                  <c:v>0.31293665086500594</c:v>
                </c:pt>
                <c:pt idx="19">
                  <c:v>0.32787799383091415</c:v>
                </c:pt>
                <c:pt idx="20">
                  <c:v>0.34722106446039624</c:v>
                </c:pt>
                <c:pt idx="21">
                  <c:v>0.36065982190439488</c:v>
                </c:pt>
                <c:pt idx="22">
                  <c:v>0.37644770728971494</c:v>
                </c:pt>
                <c:pt idx="23">
                  <c:v>0.39248765828826759</c:v>
                </c:pt>
                <c:pt idx="24">
                  <c:v>0.41055002483566649</c:v>
                </c:pt>
                <c:pt idx="25">
                  <c:v>0.42591888123052163</c:v>
                </c:pt>
                <c:pt idx="26">
                  <c:v>0.44701083932551255</c:v>
                </c:pt>
                <c:pt idx="27">
                  <c:v>0.47058540476610006</c:v>
                </c:pt>
                <c:pt idx="28">
                  <c:v>0.47898441413281045</c:v>
                </c:pt>
                <c:pt idx="29">
                  <c:v>0.49040050734563062</c:v>
                </c:pt>
                <c:pt idx="30">
                  <c:v>0.50529375985273739</c:v>
                </c:pt>
                <c:pt idx="31">
                  <c:v>0.50621894254080169</c:v>
                </c:pt>
                <c:pt idx="32">
                  <c:v>0.50699616289955629</c:v>
                </c:pt>
                <c:pt idx="33">
                  <c:v>0.50768662049917834</c:v>
                </c:pt>
                <c:pt idx="34">
                  <c:v>0.5082715397766957</c:v>
                </c:pt>
                <c:pt idx="35">
                  <c:v>0.50873753514314179</c:v>
                </c:pt>
                <c:pt idx="36">
                  <c:v>0.51615109550716909</c:v>
                </c:pt>
                <c:pt idx="37">
                  <c:v>0.53037873809503877</c:v>
                </c:pt>
                <c:pt idx="38">
                  <c:v>0.54172635302405558</c:v>
                </c:pt>
                <c:pt idx="39">
                  <c:v>0.55318668023921835</c:v>
                </c:pt>
                <c:pt idx="40">
                  <c:v>0.56475457421010911</c:v>
                </c:pt>
                <c:pt idx="41">
                  <c:v>0.5661633859114642</c:v>
                </c:pt>
                <c:pt idx="42">
                  <c:v>0.56753797761961333</c:v>
                </c:pt>
                <c:pt idx="43">
                  <c:v>0.56887874777242942</c:v>
                </c:pt>
                <c:pt idx="44">
                  <c:v>0.57017463307146632</c:v>
                </c:pt>
                <c:pt idx="45">
                  <c:v>0.57140223208186791</c:v>
                </c:pt>
                <c:pt idx="46">
                  <c:v>0.57244700888563183</c:v>
                </c:pt>
                <c:pt idx="47">
                  <c:v>0.57342372303964817</c:v>
                </c:pt>
                <c:pt idx="48">
                  <c:v>0.58281745239792693</c:v>
                </c:pt>
                <c:pt idx="49">
                  <c:v>0.59255998640258345</c:v>
                </c:pt>
                <c:pt idx="50">
                  <c:v>0.60263741810996574</c:v>
                </c:pt>
              </c:numCache>
            </c:numRef>
          </c:val>
          <c:smooth val="0"/>
          <c:extLst>
            <c:ext xmlns:c16="http://schemas.microsoft.com/office/drawing/2014/chart" uri="{C3380CC4-5D6E-409C-BE32-E72D297353CC}">
              <c16:uniqueId val="{00000006-6747-46EF-982A-8F1D2D3F8B52}"/>
            </c:ext>
          </c:extLst>
        </c:ser>
        <c:ser>
          <c:idx val="6"/>
          <c:order val="4"/>
          <c:tx>
            <c:strRef>
              <c:f>'Output data (results)'!$BM$7</c:f>
              <c:strCache>
                <c:ptCount val="1"/>
                <c:pt idx="0">
                  <c:v>Percent of all waste diverted from landfill -Case 1-G</c:v>
                </c:pt>
              </c:strCache>
            </c:strRef>
          </c:tx>
          <c:spPr>
            <a:ln w="19050" cap="rnd">
              <a:solidFill>
                <a:schemeClr val="accent1">
                  <a:lumMod val="60000"/>
                </a:schemeClr>
              </a:solidFill>
              <a:round/>
            </a:ln>
            <a:effectLst/>
          </c:spPr>
          <c:marker>
            <c:symbol val="none"/>
          </c:marker>
          <c:val>
            <c:numRef>
              <c:f>'Output data (results)'!$BM$10:$BM$60</c:f>
              <c:numCache>
                <c:formatCode>0%</c:formatCode>
                <c:ptCount val="51"/>
                <c:pt idx="0">
                  <c:v>0.19283372758765369</c:v>
                </c:pt>
                <c:pt idx="1">
                  <c:v>0.19244111347697429</c:v>
                </c:pt>
                <c:pt idx="2">
                  <c:v>0.1921588904207206</c:v>
                </c:pt>
                <c:pt idx="3">
                  <c:v>0.19159968918099338</c:v>
                </c:pt>
                <c:pt idx="4">
                  <c:v>0.19092494708587937</c:v>
                </c:pt>
                <c:pt idx="5">
                  <c:v>0.19020897678168794</c:v>
                </c:pt>
                <c:pt idx="6">
                  <c:v>0.18953960310810339</c:v>
                </c:pt>
                <c:pt idx="7">
                  <c:v>0.18921389159482299</c:v>
                </c:pt>
                <c:pt idx="8">
                  <c:v>0.18963417971367144</c:v>
                </c:pt>
                <c:pt idx="9">
                  <c:v>0.20500122394187426</c:v>
                </c:pt>
                <c:pt idx="10">
                  <c:v>0.22042757957220865</c:v>
                </c:pt>
                <c:pt idx="11">
                  <c:v>0.23459029705587137</c:v>
                </c:pt>
                <c:pt idx="12">
                  <c:v>0.2479747563458998</c:v>
                </c:pt>
                <c:pt idx="13">
                  <c:v>0.26091497211589859</c:v>
                </c:pt>
                <c:pt idx="14">
                  <c:v>0.27355978971582146</c:v>
                </c:pt>
                <c:pt idx="15">
                  <c:v>0.2859242342376842</c:v>
                </c:pt>
                <c:pt idx="16">
                  <c:v>0.29713182575222147</c:v>
                </c:pt>
                <c:pt idx="17">
                  <c:v>0.29713182575222163</c:v>
                </c:pt>
                <c:pt idx="18">
                  <c:v>0.31293665086500594</c:v>
                </c:pt>
                <c:pt idx="19">
                  <c:v>0.32516890976935087</c:v>
                </c:pt>
                <c:pt idx="20">
                  <c:v>0.33358218183458371</c:v>
                </c:pt>
                <c:pt idx="21">
                  <c:v>0.34713115646758858</c:v>
                </c:pt>
                <c:pt idx="22">
                  <c:v>0.36168612911125242</c:v>
                </c:pt>
                <c:pt idx="23">
                  <c:v>0.37752922292640523</c:v>
                </c:pt>
                <c:pt idx="24">
                  <c:v>0.39485555624117569</c:v>
                </c:pt>
                <c:pt idx="25">
                  <c:v>0.41407181932194592</c:v>
                </c:pt>
                <c:pt idx="26">
                  <c:v>0.43540380440931165</c:v>
                </c:pt>
                <c:pt idx="27">
                  <c:v>0.45929506861421338</c:v>
                </c:pt>
                <c:pt idx="28">
                  <c:v>0.46877272754087307</c:v>
                </c:pt>
                <c:pt idx="29">
                  <c:v>0.4813393082633019</c:v>
                </c:pt>
                <c:pt idx="30">
                  <c:v>0.49743184121131157</c:v>
                </c:pt>
                <c:pt idx="31">
                  <c:v>0.48993951424004017</c:v>
                </c:pt>
                <c:pt idx="32">
                  <c:v>0.48230377411684699</c:v>
                </c:pt>
                <c:pt idx="33">
                  <c:v>0.47448555510858836</c:v>
                </c:pt>
                <c:pt idx="34">
                  <c:v>0.46648477033242713</c:v>
                </c:pt>
                <c:pt idx="35">
                  <c:v>0.45829514698282509</c:v>
                </c:pt>
                <c:pt idx="36">
                  <c:v>0.4497280493346551</c:v>
                </c:pt>
                <c:pt idx="37">
                  <c:v>0.44770064969808981</c:v>
                </c:pt>
                <c:pt idx="38">
                  <c:v>0.44262019563431099</c:v>
                </c:pt>
                <c:pt idx="39">
                  <c:v>0.43745858606897259</c:v>
                </c:pt>
                <c:pt idx="40">
                  <c:v>0.43222298183341767</c:v>
                </c:pt>
                <c:pt idx="41">
                  <c:v>0.42677042425305711</c:v>
                </c:pt>
                <c:pt idx="42">
                  <c:v>0.42125241001352964</c:v>
                </c:pt>
                <c:pt idx="43">
                  <c:v>0.41567051776289005</c:v>
                </c:pt>
                <c:pt idx="44">
                  <c:v>0.41002640777845273</c:v>
                </c:pt>
                <c:pt idx="45">
                  <c:v>0.40433530283652841</c:v>
                </c:pt>
                <c:pt idx="46">
                  <c:v>0.39848047650501972</c:v>
                </c:pt>
                <c:pt idx="47">
                  <c:v>0.39259172370221129</c:v>
                </c:pt>
                <c:pt idx="48">
                  <c:v>0.39373005338696981</c:v>
                </c:pt>
                <c:pt idx="49">
                  <c:v>0.39489018524102854</c:v>
                </c:pt>
                <c:pt idx="50">
                  <c:v>0.39607596563955194</c:v>
                </c:pt>
              </c:numCache>
            </c:numRef>
          </c:val>
          <c:smooth val="0"/>
          <c:extLst>
            <c:ext xmlns:c16="http://schemas.microsoft.com/office/drawing/2014/chart" uri="{C3380CC4-5D6E-409C-BE32-E72D297353CC}">
              <c16:uniqueId val="{00000007-6747-46EF-982A-8F1D2D3F8B52}"/>
            </c:ext>
          </c:extLst>
        </c:ser>
        <c:ser>
          <c:idx val="4"/>
          <c:order val="5"/>
          <c:tx>
            <c:strRef>
              <c:f>'Output data (results)'!$BP$7</c:f>
              <c:strCache>
                <c:ptCount val="1"/>
                <c:pt idx="0">
                  <c:v>Percent of all waste diverted from landfill -Case 2-B</c:v>
                </c:pt>
              </c:strCache>
            </c:strRef>
          </c:tx>
          <c:spPr>
            <a:ln w="19050" cap="rnd">
              <a:solidFill>
                <a:schemeClr val="accent5"/>
              </a:solidFill>
              <a:round/>
            </a:ln>
            <a:effectLst/>
          </c:spPr>
          <c:marker>
            <c:symbol val="none"/>
          </c:marker>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(results)'!$BP$10:$BP$60</c:f>
              <c:numCache>
                <c:formatCode>0%</c:formatCode>
                <c:ptCount val="51"/>
                <c:pt idx="0">
                  <c:v>0.19283372758765369</c:v>
                </c:pt>
                <c:pt idx="1">
                  <c:v>0.19244111347697429</c:v>
                </c:pt>
                <c:pt idx="2">
                  <c:v>0.1921588904207206</c:v>
                </c:pt>
                <c:pt idx="3">
                  <c:v>0.19159968918099338</c:v>
                </c:pt>
                <c:pt idx="4">
                  <c:v>0.19092494708587937</c:v>
                </c:pt>
                <c:pt idx="5">
                  <c:v>0.19020897678168794</c:v>
                </c:pt>
                <c:pt idx="6">
                  <c:v>0.18953960310810339</c:v>
                </c:pt>
                <c:pt idx="7">
                  <c:v>0.18921389159482299</c:v>
                </c:pt>
                <c:pt idx="8">
                  <c:v>0.18963417971367144</c:v>
                </c:pt>
                <c:pt idx="9">
                  <c:v>0.20500122394187426</c:v>
                </c:pt>
                <c:pt idx="10">
                  <c:v>0.22042757957220865</c:v>
                </c:pt>
                <c:pt idx="11">
                  <c:v>0.23459029705587137</c:v>
                </c:pt>
                <c:pt idx="12">
                  <c:v>0.2479747563458998</c:v>
                </c:pt>
                <c:pt idx="13">
                  <c:v>0.26091497211589859</c:v>
                </c:pt>
                <c:pt idx="14">
                  <c:v>0.27355978971582146</c:v>
                </c:pt>
                <c:pt idx="15">
                  <c:v>0.2859242342376842</c:v>
                </c:pt>
                <c:pt idx="16">
                  <c:v>0.29713182575222147</c:v>
                </c:pt>
                <c:pt idx="17">
                  <c:v>0.29713182575222163</c:v>
                </c:pt>
                <c:pt idx="18">
                  <c:v>0.33094972611810003</c:v>
                </c:pt>
                <c:pt idx="19">
                  <c:v>0.36636274579971234</c:v>
                </c:pt>
                <c:pt idx="20">
                  <c:v>0.42020821693168348</c:v>
                </c:pt>
                <c:pt idx="21">
                  <c:v>0.48367985270671349</c:v>
                </c:pt>
                <c:pt idx="22">
                  <c:v>0.50754435711610713</c:v>
                </c:pt>
                <c:pt idx="23">
                  <c:v>0.54152982615731027</c:v>
                </c:pt>
                <c:pt idx="24">
                  <c:v>0.57759757175005877</c:v>
                </c:pt>
                <c:pt idx="25">
                  <c:v>0.61161672927982635</c:v>
                </c:pt>
                <c:pt idx="26">
                  <c:v>0.65039722727031157</c:v>
                </c:pt>
                <c:pt idx="27">
                  <c:v>0.6912032059073101</c:v>
                </c:pt>
                <c:pt idx="28">
                  <c:v>0.73419845406543904</c:v>
                </c:pt>
                <c:pt idx="29">
                  <c:v>0.77960419067645326</c:v>
                </c:pt>
                <c:pt idx="30">
                  <c:v>0.82767825110083648</c:v>
                </c:pt>
                <c:pt idx="31">
                  <c:v>0.81391728164353938</c:v>
                </c:pt>
                <c:pt idx="32">
                  <c:v>0.7987169009839189</c:v>
                </c:pt>
                <c:pt idx="33">
                  <c:v>0.80360178668353943</c:v>
                </c:pt>
                <c:pt idx="34">
                  <c:v>0.80873654338819967</c:v>
                </c:pt>
                <c:pt idx="35">
                  <c:v>0.81413181409276203</c:v>
                </c:pt>
                <c:pt idx="36">
                  <c:v>0.82448969342990841</c:v>
                </c:pt>
                <c:pt idx="37">
                  <c:v>0.83624642618945766</c:v>
                </c:pt>
                <c:pt idx="38">
                  <c:v>0.84976438030340973</c:v>
                </c:pt>
                <c:pt idx="39">
                  <c:v>0.83257020027781348</c:v>
                </c:pt>
                <c:pt idx="40">
                  <c:v>0.81548052429422202</c:v>
                </c:pt>
                <c:pt idx="41">
                  <c:v>0.80511470795873352</c:v>
                </c:pt>
                <c:pt idx="42">
                  <c:v>0.79502034703665969</c:v>
                </c:pt>
                <c:pt idx="43">
                  <c:v>0.78522772456567103</c:v>
                </c:pt>
                <c:pt idx="44">
                  <c:v>0.7757037971396038</c:v>
                </c:pt>
                <c:pt idx="45">
                  <c:v>0.7663262452727585</c:v>
                </c:pt>
                <c:pt idx="46">
                  <c:v>0.75699021444823655</c:v>
                </c:pt>
                <c:pt idx="47">
                  <c:v>0.74791555399401666</c:v>
                </c:pt>
                <c:pt idx="48">
                  <c:v>0.73931272849614882</c:v>
                </c:pt>
                <c:pt idx="49">
                  <c:v>0.73093304892195665</c:v>
                </c:pt>
                <c:pt idx="50">
                  <c:v>0.72277857084154584</c:v>
                </c:pt>
              </c:numCache>
            </c:numRef>
          </c:val>
          <c:smooth val="0"/>
          <c:extLst>
            <c:ext xmlns:c16="http://schemas.microsoft.com/office/drawing/2014/chart" uri="{C3380CC4-5D6E-409C-BE32-E72D297353CC}">
              <c16:uniqueId val="{00000008-6747-46EF-982A-8F1D2D3F8B52}"/>
            </c:ext>
          </c:extLst>
        </c:ser>
        <c:ser>
          <c:idx val="7"/>
          <c:order val="6"/>
          <c:tx>
            <c:strRef>
              <c:f>'Output data (results)'!$BS$7</c:f>
              <c:strCache>
                <c:ptCount val="1"/>
                <c:pt idx="0">
                  <c:v>Percent of all waste diverted from landfill -Case 2-G</c:v>
                </c:pt>
              </c:strCache>
            </c:strRef>
          </c:tx>
          <c:spPr>
            <a:ln w="19050" cap="rnd">
              <a:solidFill>
                <a:schemeClr val="accent2">
                  <a:lumMod val="60000"/>
                </a:schemeClr>
              </a:solidFill>
              <a:round/>
            </a:ln>
            <a:effectLst/>
          </c:spPr>
          <c:marker>
            <c:symbol val="none"/>
          </c:marker>
          <c:val>
            <c:numRef>
              <c:f>'Output data (results)'!$BS$10:$BS$60</c:f>
              <c:numCache>
                <c:formatCode>0%</c:formatCode>
                <c:ptCount val="51"/>
                <c:pt idx="0">
                  <c:v>0.19283372758765369</c:v>
                </c:pt>
                <c:pt idx="1">
                  <c:v>0.19244111347697429</c:v>
                </c:pt>
                <c:pt idx="2">
                  <c:v>0.1921588904207206</c:v>
                </c:pt>
                <c:pt idx="3">
                  <c:v>0.19159968918099338</c:v>
                </c:pt>
                <c:pt idx="4">
                  <c:v>0.19092494708587937</c:v>
                </c:pt>
                <c:pt idx="5">
                  <c:v>0.19020897678168794</c:v>
                </c:pt>
                <c:pt idx="6">
                  <c:v>0.18953960310810339</c:v>
                </c:pt>
                <c:pt idx="7">
                  <c:v>0.18921389159482299</c:v>
                </c:pt>
                <c:pt idx="8">
                  <c:v>0.18963417971367144</c:v>
                </c:pt>
                <c:pt idx="9">
                  <c:v>0.20500122394187426</c:v>
                </c:pt>
                <c:pt idx="10">
                  <c:v>0.22042757957220865</c:v>
                </c:pt>
                <c:pt idx="11">
                  <c:v>0.23459029705587137</c:v>
                </c:pt>
                <c:pt idx="12">
                  <c:v>0.2479747563458998</c:v>
                </c:pt>
                <c:pt idx="13">
                  <c:v>0.26091497211589859</c:v>
                </c:pt>
                <c:pt idx="14">
                  <c:v>0.27355978971582146</c:v>
                </c:pt>
                <c:pt idx="15">
                  <c:v>0.2859242342376842</c:v>
                </c:pt>
                <c:pt idx="16">
                  <c:v>0.29713182575222147</c:v>
                </c:pt>
                <c:pt idx="17">
                  <c:v>0.29713182575222163</c:v>
                </c:pt>
                <c:pt idx="18">
                  <c:v>0.33094972611810003</c:v>
                </c:pt>
                <c:pt idx="19">
                  <c:v>0.36416613949519694</c:v>
                </c:pt>
                <c:pt idx="20">
                  <c:v>0.40922707761099464</c:v>
                </c:pt>
                <c:pt idx="21">
                  <c:v>0.46951536630913004</c:v>
                </c:pt>
                <c:pt idx="22">
                  <c:v>0.49306648085014837</c:v>
                </c:pt>
                <c:pt idx="23">
                  <c:v>0.52791870855660539</c:v>
                </c:pt>
                <c:pt idx="24">
                  <c:v>0.56435439435945745</c:v>
                </c:pt>
                <c:pt idx="25">
                  <c:v>0.60250491960245467</c:v>
                </c:pt>
                <c:pt idx="26">
                  <c:v>0.6421765968148021</c:v>
                </c:pt>
                <c:pt idx="27">
                  <c:v>0.68388299507550177</c:v>
                </c:pt>
                <c:pt idx="28">
                  <c:v>0.72779482769232517</c:v>
                </c:pt>
                <c:pt idx="29">
                  <c:v>0.77413579655733455</c:v>
                </c:pt>
                <c:pt idx="30">
                  <c:v>0.8231499410897829</c:v>
                </c:pt>
                <c:pt idx="31">
                  <c:v>0.8051997218498429</c:v>
                </c:pt>
                <c:pt idx="32">
                  <c:v>0.78672715161729612</c:v>
                </c:pt>
                <c:pt idx="33">
                  <c:v>0.78697036714436519</c:v>
                </c:pt>
                <c:pt idx="34">
                  <c:v>0.78716506898172134</c:v>
                </c:pt>
                <c:pt idx="35">
                  <c:v>0.78730439124828855</c:v>
                </c:pt>
                <c:pt idx="36">
                  <c:v>0.78726905246652079</c:v>
                </c:pt>
                <c:pt idx="37">
                  <c:v>0.78719828235836653</c:v>
                </c:pt>
                <c:pt idx="38">
                  <c:v>0.78712202397753595</c:v>
                </c:pt>
                <c:pt idx="39">
                  <c:v>0.78701016505842702</c:v>
                </c:pt>
                <c:pt idx="40">
                  <c:v>0.78684038553282265</c:v>
                </c:pt>
                <c:pt idx="41">
                  <c:v>0.78649178849059465</c:v>
                </c:pt>
                <c:pt idx="42">
                  <c:v>0.78610132014633283</c:v>
                </c:pt>
                <c:pt idx="43">
                  <c:v>0.78567464074495208</c:v>
                </c:pt>
                <c:pt idx="44">
                  <c:v>0.7852041902626834</c:v>
                </c:pt>
                <c:pt idx="45">
                  <c:v>0.78466741329346978</c:v>
                </c:pt>
                <c:pt idx="46">
                  <c:v>0.78392897808228323</c:v>
                </c:pt>
                <c:pt idx="47">
                  <c:v>0.78313840382997202</c:v>
                </c:pt>
                <c:pt idx="48">
                  <c:v>0.78234452786340936</c:v>
                </c:pt>
                <c:pt idx="49">
                  <c:v>0.78149115310275541</c:v>
                </c:pt>
                <c:pt idx="50">
                  <c:v>0.78057803150418648</c:v>
                </c:pt>
              </c:numCache>
            </c:numRef>
          </c:val>
          <c:smooth val="0"/>
          <c:extLst>
            <c:ext xmlns:c16="http://schemas.microsoft.com/office/drawing/2014/chart" uri="{C3380CC4-5D6E-409C-BE32-E72D297353CC}">
              <c16:uniqueId val="{00000009-6747-46EF-982A-8F1D2D3F8B52}"/>
            </c:ext>
          </c:extLst>
        </c:ser>
        <c:ser>
          <c:idx val="5"/>
          <c:order val="7"/>
          <c:tx>
            <c:strRef>
              <c:f>'Output data (results)'!$BV$7</c:f>
              <c:strCache>
                <c:ptCount val="1"/>
                <c:pt idx="0">
                  <c:v>Percent of all waste diverted from landfill -Case 3-B</c:v>
                </c:pt>
              </c:strCache>
            </c:strRef>
          </c:tx>
          <c:spPr>
            <a:ln w="19050" cap="rnd">
              <a:solidFill>
                <a:schemeClr val="accent6"/>
              </a:solidFill>
              <a:round/>
            </a:ln>
            <a:effectLst/>
          </c:spPr>
          <c:marker>
            <c:symbol val="none"/>
          </c:marker>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(results)'!$BV$10:$BV$60</c:f>
              <c:numCache>
                <c:formatCode>0%</c:formatCode>
                <c:ptCount val="51"/>
                <c:pt idx="0">
                  <c:v>0.19283372758765369</c:v>
                </c:pt>
                <c:pt idx="1">
                  <c:v>0.19244111347697429</c:v>
                </c:pt>
                <c:pt idx="2">
                  <c:v>0.1921588904207206</c:v>
                </c:pt>
                <c:pt idx="3">
                  <c:v>0.19159968918099338</c:v>
                </c:pt>
                <c:pt idx="4">
                  <c:v>0.19092494708587937</c:v>
                </c:pt>
                <c:pt idx="5">
                  <c:v>0.19020897678168794</c:v>
                </c:pt>
                <c:pt idx="6">
                  <c:v>0.18953960310810339</c:v>
                </c:pt>
                <c:pt idx="7">
                  <c:v>0.18921389159482299</c:v>
                </c:pt>
                <c:pt idx="8">
                  <c:v>0.18963417971367144</c:v>
                </c:pt>
                <c:pt idx="9">
                  <c:v>0.20500122394187426</c:v>
                </c:pt>
                <c:pt idx="10">
                  <c:v>0.22042757957220865</c:v>
                </c:pt>
                <c:pt idx="11">
                  <c:v>0.23459029705587137</c:v>
                </c:pt>
                <c:pt idx="12">
                  <c:v>0.2479747563458998</c:v>
                </c:pt>
                <c:pt idx="13">
                  <c:v>0.26091497211589859</c:v>
                </c:pt>
                <c:pt idx="14">
                  <c:v>0.27355978971582146</c:v>
                </c:pt>
                <c:pt idx="15">
                  <c:v>0.2859242342376842</c:v>
                </c:pt>
                <c:pt idx="16">
                  <c:v>0.29713182575222147</c:v>
                </c:pt>
                <c:pt idx="17">
                  <c:v>0.29713182575222163</c:v>
                </c:pt>
                <c:pt idx="18">
                  <c:v>0.33094972611810003</c:v>
                </c:pt>
                <c:pt idx="19">
                  <c:v>0.36636274579971234</c:v>
                </c:pt>
                <c:pt idx="20">
                  <c:v>0.42020821693168348</c:v>
                </c:pt>
                <c:pt idx="21">
                  <c:v>0.48367985270671349</c:v>
                </c:pt>
                <c:pt idx="22">
                  <c:v>0.50754435711610713</c:v>
                </c:pt>
                <c:pt idx="23">
                  <c:v>0.54152982615731027</c:v>
                </c:pt>
                <c:pt idx="24">
                  <c:v>0.57759757175005877</c:v>
                </c:pt>
                <c:pt idx="25">
                  <c:v>0.61161672927982635</c:v>
                </c:pt>
                <c:pt idx="26">
                  <c:v>0.65039722727031157</c:v>
                </c:pt>
                <c:pt idx="27">
                  <c:v>0.6912032059073101</c:v>
                </c:pt>
                <c:pt idx="28">
                  <c:v>0.73419845406543904</c:v>
                </c:pt>
                <c:pt idx="29">
                  <c:v>0.77960419067645326</c:v>
                </c:pt>
                <c:pt idx="30">
                  <c:v>0.82767825110083648</c:v>
                </c:pt>
                <c:pt idx="31">
                  <c:v>0.81391728164353938</c:v>
                </c:pt>
                <c:pt idx="32">
                  <c:v>0.7987169009839189</c:v>
                </c:pt>
                <c:pt idx="33">
                  <c:v>0.80360178668353943</c:v>
                </c:pt>
                <c:pt idx="34">
                  <c:v>0.80873654338819967</c:v>
                </c:pt>
                <c:pt idx="35">
                  <c:v>0.81413181409276203</c:v>
                </c:pt>
                <c:pt idx="36">
                  <c:v>0.82448969342990841</c:v>
                </c:pt>
                <c:pt idx="37">
                  <c:v>0.83624642618945766</c:v>
                </c:pt>
                <c:pt idx="38">
                  <c:v>0.84976438030340973</c:v>
                </c:pt>
                <c:pt idx="39">
                  <c:v>0.83257020027781348</c:v>
                </c:pt>
                <c:pt idx="40">
                  <c:v>0.81548052429422202</c:v>
                </c:pt>
                <c:pt idx="41">
                  <c:v>0.80511470795873352</c:v>
                </c:pt>
                <c:pt idx="42">
                  <c:v>0.79502034703665969</c:v>
                </c:pt>
                <c:pt idx="43">
                  <c:v>0.78522772456567103</c:v>
                </c:pt>
                <c:pt idx="44">
                  <c:v>0.7757037971396038</c:v>
                </c:pt>
                <c:pt idx="45">
                  <c:v>0.7663262452727585</c:v>
                </c:pt>
                <c:pt idx="46">
                  <c:v>0.75699021444823655</c:v>
                </c:pt>
                <c:pt idx="47">
                  <c:v>0.74791555399401666</c:v>
                </c:pt>
                <c:pt idx="48">
                  <c:v>0.73931272849614882</c:v>
                </c:pt>
                <c:pt idx="49">
                  <c:v>0.73093304892195665</c:v>
                </c:pt>
                <c:pt idx="50">
                  <c:v>0.72277857084154584</c:v>
                </c:pt>
              </c:numCache>
            </c:numRef>
          </c:val>
          <c:smooth val="0"/>
          <c:extLst>
            <c:ext xmlns:c16="http://schemas.microsoft.com/office/drawing/2014/chart" uri="{C3380CC4-5D6E-409C-BE32-E72D297353CC}">
              <c16:uniqueId val="{0000000A-6747-46EF-982A-8F1D2D3F8B52}"/>
            </c:ext>
          </c:extLst>
        </c:ser>
        <c:ser>
          <c:idx val="8"/>
          <c:order val="8"/>
          <c:tx>
            <c:strRef>
              <c:f>'Output data (results)'!$BY$7</c:f>
              <c:strCache>
                <c:ptCount val="1"/>
                <c:pt idx="0">
                  <c:v>Percent of all waste diverted from landfill - Case 3-G</c:v>
                </c:pt>
              </c:strCache>
            </c:strRef>
          </c:tx>
          <c:spPr>
            <a:ln w="19050" cap="rnd">
              <a:solidFill>
                <a:schemeClr val="accent3">
                  <a:lumMod val="60000"/>
                </a:schemeClr>
              </a:solidFill>
              <a:round/>
            </a:ln>
            <a:effectLst/>
          </c:spPr>
          <c:marker>
            <c:symbol val="none"/>
          </c:marker>
          <c:val>
            <c:numRef>
              <c:f>'Output data (results)'!$BY$10:$BY$60</c:f>
              <c:numCache>
                <c:formatCode>0%</c:formatCode>
                <c:ptCount val="51"/>
                <c:pt idx="0">
                  <c:v>0.19283372758765369</c:v>
                </c:pt>
                <c:pt idx="1">
                  <c:v>0.19244111347697429</c:v>
                </c:pt>
                <c:pt idx="2">
                  <c:v>0.1921588904207206</c:v>
                </c:pt>
                <c:pt idx="3">
                  <c:v>0.19159968918099338</c:v>
                </c:pt>
                <c:pt idx="4">
                  <c:v>0.19092494708587937</c:v>
                </c:pt>
                <c:pt idx="5">
                  <c:v>0.19020897678168794</c:v>
                </c:pt>
                <c:pt idx="6">
                  <c:v>0.18953960310810339</c:v>
                </c:pt>
                <c:pt idx="7">
                  <c:v>0.18921389159482299</c:v>
                </c:pt>
                <c:pt idx="8">
                  <c:v>0.18963417971367144</c:v>
                </c:pt>
                <c:pt idx="9">
                  <c:v>0.20500122394187426</c:v>
                </c:pt>
                <c:pt idx="10">
                  <c:v>0.22042757957220865</c:v>
                </c:pt>
                <c:pt idx="11">
                  <c:v>0.23459029705587137</c:v>
                </c:pt>
                <c:pt idx="12">
                  <c:v>0.2479747563458998</c:v>
                </c:pt>
                <c:pt idx="13">
                  <c:v>0.26091497211589859</c:v>
                </c:pt>
                <c:pt idx="14">
                  <c:v>0.27355978971582146</c:v>
                </c:pt>
                <c:pt idx="15">
                  <c:v>0.2859242342376842</c:v>
                </c:pt>
                <c:pt idx="16">
                  <c:v>0.29713182575222147</c:v>
                </c:pt>
                <c:pt idx="17">
                  <c:v>0.29713182575222163</c:v>
                </c:pt>
                <c:pt idx="18">
                  <c:v>0.33094972611810003</c:v>
                </c:pt>
                <c:pt idx="19">
                  <c:v>0.36416613949519694</c:v>
                </c:pt>
                <c:pt idx="20">
                  <c:v>0.40922707761099464</c:v>
                </c:pt>
                <c:pt idx="21">
                  <c:v>0.46951536630913004</c:v>
                </c:pt>
                <c:pt idx="22">
                  <c:v>0.49306648085014837</c:v>
                </c:pt>
                <c:pt idx="23">
                  <c:v>0.52791870855660539</c:v>
                </c:pt>
                <c:pt idx="24">
                  <c:v>0.56435439435945745</c:v>
                </c:pt>
                <c:pt idx="25">
                  <c:v>0.60250491960245467</c:v>
                </c:pt>
                <c:pt idx="26">
                  <c:v>0.6421765968148021</c:v>
                </c:pt>
                <c:pt idx="27">
                  <c:v>0.68388299507550177</c:v>
                </c:pt>
                <c:pt idx="28">
                  <c:v>0.72779482769232517</c:v>
                </c:pt>
                <c:pt idx="29">
                  <c:v>0.77413579655733455</c:v>
                </c:pt>
                <c:pt idx="30">
                  <c:v>0.8231499410897829</c:v>
                </c:pt>
                <c:pt idx="31">
                  <c:v>0.8051997218498429</c:v>
                </c:pt>
                <c:pt idx="32">
                  <c:v>0.78672715161729612</c:v>
                </c:pt>
                <c:pt idx="33">
                  <c:v>0.78697036714436519</c:v>
                </c:pt>
                <c:pt idx="34">
                  <c:v>0.78716506898172134</c:v>
                </c:pt>
                <c:pt idx="35">
                  <c:v>0.78730439124828855</c:v>
                </c:pt>
                <c:pt idx="36">
                  <c:v>0.78726905246652079</c:v>
                </c:pt>
                <c:pt idx="37">
                  <c:v>0.78719828235836653</c:v>
                </c:pt>
                <c:pt idx="38">
                  <c:v>0.78712202397753595</c:v>
                </c:pt>
                <c:pt idx="39">
                  <c:v>0.78701016505842702</c:v>
                </c:pt>
                <c:pt idx="40">
                  <c:v>0.78684038553282265</c:v>
                </c:pt>
                <c:pt idx="41">
                  <c:v>0.78649178849059465</c:v>
                </c:pt>
                <c:pt idx="42">
                  <c:v>0.78610132014633283</c:v>
                </c:pt>
                <c:pt idx="43">
                  <c:v>0.78567464074495208</c:v>
                </c:pt>
                <c:pt idx="44">
                  <c:v>0.7852041902626834</c:v>
                </c:pt>
                <c:pt idx="45">
                  <c:v>0.78466741329346978</c:v>
                </c:pt>
                <c:pt idx="46">
                  <c:v>0.78392897808228323</c:v>
                </c:pt>
                <c:pt idx="47">
                  <c:v>0.78313840382997202</c:v>
                </c:pt>
                <c:pt idx="48">
                  <c:v>0.78234452786340936</c:v>
                </c:pt>
                <c:pt idx="49">
                  <c:v>0.78149115310275541</c:v>
                </c:pt>
                <c:pt idx="50">
                  <c:v>0.78057803150418648</c:v>
                </c:pt>
              </c:numCache>
            </c:numRef>
          </c:val>
          <c:smooth val="0"/>
          <c:extLst>
            <c:ext xmlns:c16="http://schemas.microsoft.com/office/drawing/2014/chart" uri="{C3380CC4-5D6E-409C-BE32-E72D297353CC}">
              <c16:uniqueId val="{0000000B-6747-46EF-982A-8F1D2D3F8B52}"/>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000" b="0" i="0" u="none" strike="noStrike" kern="1200" baseline="0">
                    <a:solidFill>
                      <a:schemeClr val="tx1"/>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3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000" b="0" i="0" u="none" strike="noStrike" kern="1200" baseline="0">
                    <a:solidFill>
                      <a:schemeClr val="tx1"/>
                    </a:solidFill>
                    <a:latin typeface="+mn-lt"/>
                    <a:ea typeface="+mn-ea"/>
                    <a:cs typeface="+mn-cs"/>
                  </a:defRPr>
                </a:pPr>
                <a:r>
                  <a:rPr lang="en-US"/>
                  <a:t>Total GHG emissions (CO2eq)</a:t>
                </a:r>
              </a:p>
            </c:rich>
          </c:tx>
          <c:layout>
            <c:manualLayout>
              <c:xMode val="edge"/>
              <c:yMode val="edge"/>
              <c:x val="1.1254605508521653E-2"/>
              <c:y val="0.39324101313198384"/>
            </c:manualLayout>
          </c:layout>
          <c:overlay val="0"/>
          <c:spPr>
            <a:noFill/>
            <a:ln>
              <a:noFill/>
            </a:ln>
            <a:effectLst/>
          </c:spPr>
          <c:txPr>
            <a:bodyPr rot="-540000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000" b="0" i="0" u="none" strike="noStrike" kern="1200" baseline="0">
                    <a:solidFill>
                      <a:schemeClr val="tx1"/>
                    </a:solidFill>
                    <a:latin typeface="+mn-lt"/>
                    <a:ea typeface="+mn-ea"/>
                    <a:cs typeface="+mn-cs"/>
                  </a:defRPr>
                </a:pPr>
                <a:r>
                  <a:rPr lang="en-US"/>
                  <a:t>Total mass of waste generated (Mt)</a:t>
                </a:r>
              </a:p>
            </c:rich>
          </c:tx>
          <c:overlay val="0"/>
          <c:spPr>
            <a:noFill/>
            <a:ln>
              <a:noFill/>
            </a:ln>
            <a:effectLst/>
          </c:spPr>
          <c:txPr>
            <a:bodyPr rot="-540000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7.885083268803475E-2"/>
          <c:y val="5.063024637518837E-2"/>
          <c:w val="0.14826334774091424"/>
          <c:h val="0.50553119424633608"/>
        </c:manualLayout>
      </c:layout>
      <c:overlay val="0"/>
      <c:spPr>
        <a:noFill/>
        <a:ln>
          <a:noFill/>
        </a:ln>
        <a:effectLst/>
      </c:spPr>
      <c:txPr>
        <a:bodyPr rot="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input)'!$AD$5</c:f>
              <c:strCache>
                <c:ptCount val="1"/>
                <c:pt idx="0">
                  <c:v>Solid waste disposal </c:v>
                </c:pt>
              </c:strCache>
            </c:strRef>
          </c:tx>
          <c:spPr>
            <a:solidFill>
              <a:schemeClr val="accent1"/>
            </a:solidFill>
            <a:ln>
              <a:noFill/>
            </a:ln>
            <a:effectLst/>
          </c:spPr>
          <c:invertIfNegative val="0"/>
          <c:cat>
            <c:numRef>
              <c:f>'Baseline data (from input)'!$AC$56:$AC$73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'Baseline data (from input)'!$AD$56:$AD$73</c:f>
              <c:numCache>
                <c:formatCode>_(* #,##0_);_(* \(#,##0\);_(* "-"_);_(@_)</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18374.59528039318</c:v>
                </c:pt>
                <c:pt idx="13">
                  <c:v>16840.658038780697</c:v>
                </c:pt>
                <c:pt idx="14">
                  <c:v>15349.153981617965</c:v>
                </c:pt>
                <c:pt idx="15">
                  <c:v>13901.439698167358</c:v>
                </c:pt>
                <c:pt idx="16">
                  <c:v>12499.261385037438</c:v>
                </c:pt>
                <c:pt idx="17">
                  <c:v>11144.041726220405</c:v>
                </c:pt>
              </c:numCache>
            </c:numRef>
          </c:val>
          <c:extLst>
            <c:ext xmlns:c16="http://schemas.microsoft.com/office/drawing/2014/chart" uri="{C3380CC4-5D6E-409C-BE32-E72D297353CC}">
              <c16:uniqueId val="{00000000-5DFB-41BB-9329-5082B91B442B}"/>
            </c:ext>
          </c:extLst>
        </c:ser>
        <c:ser>
          <c:idx val="1"/>
          <c:order val="1"/>
          <c:tx>
            <c:strRef>
              <c:f>'Baseline data (from input)'!$AE$5</c:f>
              <c:strCache>
                <c:ptCount val="1"/>
                <c:pt idx="0">
                  <c:v>Recycling (inert)</c:v>
                </c:pt>
              </c:strCache>
            </c:strRef>
          </c:tx>
          <c:spPr>
            <a:solidFill>
              <a:schemeClr val="accent2"/>
            </a:solidFill>
            <a:ln>
              <a:noFill/>
            </a:ln>
            <a:effectLst/>
          </c:spPr>
          <c:invertIfNegative val="0"/>
          <c:cat>
            <c:numRef>
              <c:f>'Baseline data (from input)'!$AC$56:$AC$73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'Baseline data (from input)'!$AE$56:$AE$73</c:f>
              <c:numCache>
                <c:formatCode>_(* #,##0_);_(* \(#,##0\);_(* "-"_);_(@_)</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4042.2600443407064</c:v>
                </c:pt>
                <c:pt idx="13">
                  <c:v>4620.291700076833</c:v>
                </c:pt>
                <c:pt idx="14">
                  <c:v>5163.9496245303471</c:v>
                </c:pt>
                <c:pt idx="15">
                  <c:v>5671.7464975452258</c:v>
                </c:pt>
                <c:pt idx="16">
                  <c:v>6142.163746987485</c:v>
                </c:pt>
                <c:pt idx="17">
                  <c:v>6573.32227342858</c:v>
                </c:pt>
              </c:numCache>
            </c:numRef>
          </c:val>
          <c:extLst>
            <c:ext xmlns:c16="http://schemas.microsoft.com/office/drawing/2014/chart" uri="{C3380CC4-5D6E-409C-BE32-E72D297353CC}">
              <c16:uniqueId val="{00000001-5DFB-41BB-9329-5082B91B442B}"/>
            </c:ext>
          </c:extLst>
        </c:ser>
        <c:ser>
          <c:idx val="2"/>
          <c:order val="2"/>
          <c:tx>
            <c:strRef>
              <c:f>'Baseline data (from input)'!$AF$5</c:f>
              <c:strCache>
                <c:ptCount val="1"/>
                <c:pt idx="0">
                  <c:v>Recycling (organic)</c:v>
                </c:pt>
              </c:strCache>
            </c:strRef>
          </c:tx>
          <c:spPr>
            <a:solidFill>
              <a:schemeClr val="accent3"/>
            </a:solidFill>
            <a:ln>
              <a:noFill/>
            </a:ln>
            <a:effectLst/>
          </c:spPr>
          <c:invertIfNegative val="0"/>
          <c:cat>
            <c:numRef>
              <c:f>'Baseline data (from input)'!$AC$56:$AC$73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'Baseline data (from input)'!$AF$56:$AF$73</c:f>
              <c:numCache>
                <c:formatCode>_(* #,##0_);_(* \(#,##0\);_(* "-"_);_(@_)</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2060.0821081723147</c:v>
                </c:pt>
                <c:pt idx="13">
                  <c:v>2354.6679732272769</c:v>
                </c:pt>
                <c:pt idx="14">
                  <c:v>2631.7357399833486</c:v>
                </c:pt>
                <c:pt idx="15">
                  <c:v>2890.5274162260434</c:v>
                </c:pt>
                <c:pt idx="16">
                  <c:v>3130.2690826011199</c:v>
                </c:pt>
                <c:pt idx="17">
                  <c:v>3350.003081988611</c:v>
                </c:pt>
              </c:numCache>
            </c:numRef>
          </c:val>
          <c:extLst>
            <c:ext xmlns:c16="http://schemas.microsoft.com/office/drawing/2014/chart" uri="{C3380CC4-5D6E-409C-BE32-E72D297353CC}">
              <c16:uniqueId val="{00000002-5DFB-41BB-9329-5082B91B442B}"/>
            </c:ext>
          </c:extLst>
        </c:ser>
        <c:ser>
          <c:idx val="3"/>
          <c:order val="3"/>
          <c:tx>
            <c:strRef>
              <c:f>'Baseline data (from input)'!$AG$5</c:f>
              <c:strCache>
                <c:ptCount val="1"/>
                <c:pt idx="0">
                  <c:v>Open burning</c:v>
                </c:pt>
              </c:strCache>
            </c:strRef>
          </c:tx>
          <c:spPr>
            <a:solidFill>
              <a:schemeClr val="accent4"/>
            </a:solidFill>
            <a:ln>
              <a:noFill/>
            </a:ln>
            <a:effectLst/>
          </c:spPr>
          <c:invertIfNegative val="0"/>
          <c:cat>
            <c:numRef>
              <c:f>'Baseline data (from input)'!$AC$56:$AC$73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'Baseline data (from input)'!$AG$56:$AG$73</c:f>
              <c:numCache>
                <c:formatCode>_(* #,##0_);_(* \(#,##0\);_(* "-"_);_(@_)</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2774.1802787179481</c:v>
                </c:pt>
                <c:pt idx="13">
                  <c:v>2815.8559790657214</c:v>
                </c:pt>
                <c:pt idx="14">
                  <c:v>2850.8913604229128</c:v>
                </c:pt>
                <c:pt idx="15">
                  <c:v>2878.9581985791697</c:v>
                </c:pt>
                <c:pt idx="16">
                  <c:v>2899.7521791547715</c:v>
                </c:pt>
                <c:pt idx="17">
                  <c:v>2912.8337723127793</c:v>
                </c:pt>
              </c:numCache>
            </c:numRef>
          </c:val>
          <c:extLst>
            <c:ext xmlns:c16="http://schemas.microsoft.com/office/drawing/2014/chart" uri="{C3380CC4-5D6E-409C-BE32-E72D297353CC}">
              <c16:uniqueId val="{00000003-5DFB-41BB-9329-5082B91B442B}"/>
            </c:ext>
          </c:extLst>
        </c:ser>
        <c:ser>
          <c:idx val="4"/>
          <c:order val="4"/>
          <c:tx>
            <c:strRef>
              <c:f>'Baseline data (from input)'!$AH$5</c:f>
              <c:strCache>
                <c:ptCount val="1"/>
                <c:pt idx="0">
                  <c:v>Waste Incineration </c:v>
                </c:pt>
              </c:strCache>
            </c:strRef>
          </c:tx>
          <c:spPr>
            <a:solidFill>
              <a:schemeClr val="accent5"/>
            </a:solidFill>
            <a:ln>
              <a:noFill/>
            </a:ln>
            <a:effectLst/>
          </c:spPr>
          <c:invertIfNegative val="0"/>
          <c:cat>
            <c:numRef>
              <c:f>'Baseline data (from input)'!$AC$56:$AC$73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'Baseline data (from input)'!$AH$56:$AH$73</c:f>
              <c:numCache>
                <c:formatCode>_(* #,##0_);_(* \(#,##0\);_(* "-"_);_(@_)</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4-5DFB-41BB-9329-5082B91B442B}"/>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input)'!$AK$5</c:f>
              <c:strCache>
                <c:ptCount val="1"/>
                <c:pt idx="0">
                  <c:v>Solid waste disposal </c:v>
                </c:pt>
              </c:strCache>
            </c:strRef>
          </c:tx>
          <c:spPr>
            <a:solidFill>
              <a:schemeClr val="accent1"/>
            </a:solidFill>
            <a:ln>
              <a:noFill/>
            </a:ln>
            <a:effectLst/>
          </c:spPr>
          <c:invertIfNegative val="0"/>
          <c:cat>
            <c:numRef>
              <c:f>'Baseline data (from input)'!$AC$56:$AC$73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'Baseline data (from input)'!$AK$56:$AK$73</c:f>
              <c:numCache>
                <c:formatCode>_-* #,##0_-;\-* #,##0_-;_-* "-"??_-;_-@_-</c:formatCode>
                <c:ptCount val="18"/>
                <c:pt idx="0">
                  <c:v>45962.119451163169</c:v>
                </c:pt>
                <c:pt idx="1">
                  <c:v>47203.094179222629</c:v>
                </c:pt>
                <c:pt idx="2">
                  <c:v>48949.789145828523</c:v>
                </c:pt>
                <c:pt idx="3">
                  <c:v>50393.357165133653</c:v>
                </c:pt>
                <c:pt idx="4">
                  <c:v>52688.549197195905</c:v>
                </c:pt>
                <c:pt idx="5">
                  <c:v>55468.953608307747</c:v>
                </c:pt>
                <c:pt idx="6">
                  <c:v>58577.321530972527</c:v>
                </c:pt>
                <c:pt idx="7">
                  <c:v>61717.344729233853</c:v>
                </c:pt>
                <c:pt idx="8">
                  <c:v>63686.774046847793</c:v>
                </c:pt>
                <c:pt idx="9">
                  <c:v>62707.214568064555</c:v>
                </c:pt>
                <c:pt idx="10">
                  <c:v>64613.345091891104</c:v>
                </c:pt>
                <c:pt idx="11">
                  <c:v>66735.355986879513</c:v>
                </c:pt>
                <c:pt idx="12">
                  <c:v>68212.799804891765</c:v>
                </c:pt>
                <c:pt idx="13">
                  <c:v>69902.808589170294</c:v>
                </c:pt>
                <c:pt idx="14">
                  <c:v>71215.63588999986</c:v>
                </c:pt>
                <c:pt idx="15">
                  <c:v>72122.993096121791</c:v>
                </c:pt>
                <c:pt idx="16">
                  <c:v>72699.845027371557</c:v>
                </c:pt>
                <c:pt idx="17">
                  <c:v>73563.119147615391</c:v>
                </c:pt>
              </c:numCache>
            </c:numRef>
          </c:val>
          <c:extLst>
            <c:ext xmlns:c16="http://schemas.microsoft.com/office/drawing/2014/chart" uri="{C3380CC4-5D6E-409C-BE32-E72D297353CC}">
              <c16:uniqueId val="{00000000-9661-482E-BAB2-A131A93C98B3}"/>
            </c:ext>
          </c:extLst>
        </c:ser>
        <c:ser>
          <c:idx val="1"/>
          <c:order val="1"/>
          <c:tx>
            <c:strRef>
              <c:f>'Baseline data (from input)'!$AL$5</c:f>
              <c:strCache>
                <c:ptCount val="1"/>
                <c:pt idx="0">
                  <c:v>Recycling (inert)</c:v>
                </c:pt>
              </c:strCache>
            </c:strRef>
          </c:tx>
          <c:spPr>
            <a:solidFill>
              <a:schemeClr val="accent2"/>
            </a:solidFill>
            <a:ln>
              <a:noFill/>
            </a:ln>
            <a:effectLst/>
          </c:spPr>
          <c:invertIfNegative val="0"/>
          <c:cat>
            <c:numRef>
              <c:f>'Baseline data (from input)'!$AC$56:$AC$73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'Baseline data (from input)'!$AL$56:$AL$73</c:f>
              <c:numCache>
                <c:formatCode>_-* #,##0_-;\-* #,##0_-;_-* "-"??_-;_-@_-</c:formatCode>
                <c:ptCount val="18"/>
                <c:pt idx="0">
                  <c:v>3799.1285813287695</c:v>
                </c:pt>
                <c:pt idx="1">
                  <c:v>3901.7048466179913</c:v>
                </c:pt>
                <c:pt idx="2">
                  <c:v>4046.0828441893718</c:v>
                </c:pt>
                <c:pt idx="3">
                  <c:v>4165.4050292130978</c:v>
                </c:pt>
                <c:pt idx="4">
                  <c:v>4355.1205983114905</c:v>
                </c:pt>
                <c:pt idx="5">
                  <c:v>4584.9427647398988</c:v>
                </c:pt>
                <c:pt idx="6">
                  <c:v>4841.8736799651851</c:v>
                </c:pt>
                <c:pt idx="7">
                  <c:v>5101.4211512523934</c:v>
                </c:pt>
                <c:pt idx="8">
                  <c:v>5264.2098846441158</c:v>
                </c:pt>
                <c:pt idx="9">
                  <c:v>5183.2416338890316</c:v>
                </c:pt>
                <c:pt idx="10">
                  <c:v>5340.7982269984332</c:v>
                </c:pt>
                <c:pt idx="11">
                  <c:v>5516.1990208980169</c:v>
                </c:pt>
                <c:pt idx="12">
                  <c:v>5638.3213055825163</c:v>
                </c:pt>
                <c:pt idx="13">
                  <c:v>5778.0137469171968</c:v>
                </c:pt>
                <c:pt idx="14">
                  <c:v>5886.5291892094056</c:v>
                </c:pt>
                <c:pt idx="15">
                  <c:v>5961.5293575309561</c:v>
                </c:pt>
                <c:pt idx="16">
                  <c:v>6009.2106804415389</c:v>
                </c:pt>
                <c:pt idx="17">
                  <c:v>6080.5670370000007</c:v>
                </c:pt>
              </c:numCache>
            </c:numRef>
          </c:val>
          <c:extLst>
            <c:ext xmlns:c16="http://schemas.microsoft.com/office/drawing/2014/chart" uri="{C3380CC4-5D6E-409C-BE32-E72D297353CC}">
              <c16:uniqueId val="{00000001-9661-482E-BAB2-A131A93C98B3}"/>
            </c:ext>
          </c:extLst>
        </c:ser>
        <c:ser>
          <c:idx val="2"/>
          <c:order val="2"/>
          <c:tx>
            <c:strRef>
              <c:f>'Baseline data (from input)'!$AM$5</c:f>
              <c:strCache>
                <c:ptCount val="1"/>
                <c:pt idx="0">
                  <c:v>Recycling (organic)</c:v>
                </c:pt>
              </c:strCache>
            </c:strRef>
          </c:tx>
          <c:spPr>
            <a:solidFill>
              <a:schemeClr val="accent3"/>
            </a:solidFill>
            <a:ln>
              <a:noFill/>
            </a:ln>
            <a:effectLst/>
          </c:spPr>
          <c:invertIfNegative val="0"/>
          <c:cat>
            <c:numRef>
              <c:f>'Baseline data (from input)'!$AC$56:$AC$73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'Baseline data (from input)'!$AM$56:$AM$73</c:f>
              <c:numCache>
                <c:formatCode>_-* #,##0_-;\-* #,##0_-;_-* "-"??_-;_-@_-</c:formatCode>
                <c:ptCount val="18"/>
                <c:pt idx="0">
                  <c:v>3858.3720678568429</c:v>
                </c:pt>
                <c:pt idx="1">
                  <c:v>3962.5479040636237</c:v>
                </c:pt>
                <c:pt idx="2">
                  <c:v>4109.1773273951394</c:v>
                </c:pt>
                <c:pt idx="3">
                  <c:v>4230.3602186596845</c:v>
                </c:pt>
                <c:pt idx="4">
                  <c:v>4423.0342061220372</c:v>
                </c:pt>
                <c:pt idx="5">
                  <c:v>4656.440211878119</c:v>
                </c:pt>
                <c:pt idx="6">
                  <c:v>4917.3776993709516</c:v>
                </c:pt>
                <c:pt idx="7">
                  <c:v>5180.9725454151421</c:v>
                </c:pt>
                <c:pt idx="8">
                  <c:v>5346.2998009777148</c:v>
                </c:pt>
                <c:pt idx="9">
                  <c:v>5264.0689339752143</c:v>
                </c:pt>
                <c:pt idx="10">
                  <c:v>5424.0824594314599</c:v>
                </c:pt>
                <c:pt idx="11">
                  <c:v>5602.2184475599188</c:v>
                </c:pt>
                <c:pt idx="12">
                  <c:v>5726.2451031475339</c:v>
                </c:pt>
                <c:pt idx="13">
                  <c:v>5868.1159038320293</c:v>
                </c:pt>
                <c:pt idx="14">
                  <c:v>5978.3235323732424</c:v>
                </c:pt>
                <c:pt idx="15">
                  <c:v>6054.4932508604279</c:v>
                </c:pt>
                <c:pt idx="16">
                  <c:v>6102.9181147570616</c:v>
                </c:pt>
                <c:pt idx="17">
                  <c:v>6175.387200000001</c:v>
                </c:pt>
              </c:numCache>
            </c:numRef>
          </c:val>
          <c:extLst>
            <c:ext xmlns:c16="http://schemas.microsoft.com/office/drawing/2014/chart" uri="{C3380CC4-5D6E-409C-BE32-E72D297353CC}">
              <c16:uniqueId val="{00000002-9661-482E-BAB2-A131A93C98B3}"/>
            </c:ext>
          </c:extLst>
        </c:ser>
        <c:ser>
          <c:idx val="3"/>
          <c:order val="3"/>
          <c:tx>
            <c:strRef>
              <c:f>'Baseline data (from input)'!$AN$5</c:f>
              <c:strCache>
                <c:ptCount val="1"/>
                <c:pt idx="0">
                  <c:v>Open burning</c:v>
                </c:pt>
              </c:strCache>
            </c:strRef>
          </c:tx>
          <c:spPr>
            <a:solidFill>
              <a:schemeClr val="accent4"/>
            </a:solidFill>
            <a:ln>
              <a:noFill/>
            </a:ln>
            <a:effectLst/>
          </c:spPr>
          <c:invertIfNegative val="0"/>
          <c:cat>
            <c:numRef>
              <c:f>'Baseline data (from input)'!$AC$56:$AC$73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'Baseline data (from input)'!$AN$56:$AN$73</c:f>
              <c:numCache>
                <c:formatCode>_(* #,##0_);_(* \(#,##0\);_(* "-"_);_(@_)</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3-9661-482E-BAB2-A131A93C98B3}"/>
            </c:ext>
          </c:extLst>
        </c:ser>
        <c:ser>
          <c:idx val="4"/>
          <c:order val="4"/>
          <c:tx>
            <c:strRef>
              <c:f>'Baseline data (from input)'!$AO$5</c:f>
              <c:strCache>
                <c:ptCount val="1"/>
                <c:pt idx="0">
                  <c:v>Waste Incineration </c:v>
                </c:pt>
              </c:strCache>
            </c:strRef>
          </c:tx>
          <c:spPr>
            <a:solidFill>
              <a:schemeClr val="accent5"/>
            </a:solidFill>
            <a:ln>
              <a:noFill/>
            </a:ln>
            <a:effectLst/>
          </c:spPr>
          <c:invertIfNegative val="0"/>
          <c:cat>
            <c:numRef>
              <c:f>'Baseline data (from input)'!$AC$56:$AC$73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'Baseline data (from input)'!$AO$56:$AO$73</c:f>
              <c:numCache>
                <c:formatCode>_-* #,##0.0_-;\-* #,##0.0_-;_-* "-"??_-;_-@_-</c:formatCode>
                <c:ptCount val="18"/>
                <c:pt idx="0">
                  <c:v>48.159460995483073</c:v>
                </c:pt>
                <c:pt idx="1">
                  <c:v>49.459763825857607</c:v>
                </c:pt>
                <c:pt idx="2">
                  <c:v>51.289964197810519</c:v>
                </c:pt>
                <c:pt idx="3">
                  <c:v>52.802545831342925</c:v>
                </c:pt>
                <c:pt idx="4">
                  <c:v>55.207465631934241</c:v>
                </c:pt>
                <c:pt idx="5">
                  <c:v>58.120794681759449</c:v>
                </c:pt>
                <c:pt idx="6">
                  <c:v>61.377766412365673</c:v>
                </c:pt>
                <c:pt idx="7">
                  <c:v>64.667906783334828</c:v>
                </c:pt>
                <c:pt idx="8">
                  <c:v>66.731489915217338</c:v>
                </c:pt>
                <c:pt idx="9">
                  <c:v>65.705099986412094</c:v>
                </c:pt>
                <c:pt idx="10">
                  <c:v>67.702358157068574</c:v>
                </c:pt>
                <c:pt idx="11">
                  <c:v>69.925817435045772</c:v>
                </c:pt>
                <c:pt idx="12">
                  <c:v>71.473894390073525</c:v>
                </c:pt>
                <c:pt idx="13">
                  <c:v>73.244698545764507</c:v>
                </c:pt>
                <c:pt idx="14">
                  <c:v>74.620289052535767</c:v>
                </c:pt>
                <c:pt idx="15">
                  <c:v>75.57102488671832</c:v>
                </c:pt>
                <c:pt idx="16">
                  <c:v>76.175454761034942</c:v>
                </c:pt>
                <c:pt idx="17">
                  <c:v>77.08</c:v>
                </c:pt>
              </c:numCache>
            </c:numRef>
          </c:val>
          <c:extLst>
            <c:ext xmlns:c16="http://schemas.microsoft.com/office/drawing/2014/chart" uri="{C3380CC4-5D6E-409C-BE32-E72D297353CC}">
              <c16:uniqueId val="{00000004-9661-482E-BAB2-A131A93C98B3}"/>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GHG emissions for the waste sector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'Output data (results)'!$Q$6:$Q$7</c:f>
              <c:strCache>
                <c:ptCount val="2"/>
                <c:pt idx="0">
                  <c:v>4A</c:v>
                </c:pt>
                <c:pt idx="1">
                  <c:v>SWDS</c:v>
                </c:pt>
              </c:strCache>
            </c:strRef>
          </c:tx>
          <c:spPr>
            <a:solidFill>
              <a:schemeClr val="accent1"/>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(results)'!$Q$10:$Q$27</c:f>
              <c:numCache>
                <c:formatCode>_(* #,##0_);_(* \(#,##0\);_(* "-"_);_(@_)</c:formatCode>
                <c:ptCount val="18"/>
                <c:pt idx="0">
                  <c:v>29668.831149553258</c:v>
                </c:pt>
                <c:pt idx="1">
                  <c:v>30526.628224166292</c:v>
                </c:pt>
                <c:pt idx="2">
                  <c:v>31400.581539521827</c:v>
                </c:pt>
                <c:pt idx="3">
                  <c:v>32304.435710447797</c:v>
                </c:pt>
                <c:pt idx="4">
                  <c:v>33225.082846730525</c:v>
                </c:pt>
                <c:pt idx="5">
                  <c:v>34192.418078555784</c:v>
                </c:pt>
                <c:pt idx="6">
                  <c:v>35221.712489468555</c:v>
                </c:pt>
                <c:pt idx="7">
                  <c:v>36321.956945349011</c:v>
                </c:pt>
                <c:pt idx="8">
                  <c:v>37490.75707250095</c:v>
                </c:pt>
                <c:pt idx="9">
                  <c:v>38682.051593594115</c:v>
                </c:pt>
                <c:pt idx="10">
                  <c:v>39786.646249323305</c:v>
                </c:pt>
                <c:pt idx="11">
                  <c:v>40856.513568839197</c:v>
                </c:pt>
                <c:pt idx="12">
                  <c:v>41918.111863448263</c:v>
                </c:pt>
                <c:pt idx="13">
                  <c:v>42932.397218574253</c:v>
                </c:pt>
                <c:pt idx="14">
                  <c:v>43912.988905799335</c:v>
                </c:pt>
                <c:pt idx="15">
                  <c:v>44848.996713296379</c:v>
                </c:pt>
                <c:pt idx="16">
                  <c:v>45729.066351073867</c:v>
                </c:pt>
                <c:pt idx="17">
                  <c:v>46545.194365763069</c:v>
                </c:pt>
              </c:numCache>
            </c:numRef>
          </c:val>
          <c:extLst>
            <c:ext xmlns:c16="http://schemas.microsoft.com/office/drawing/2014/chart" uri="{C3380CC4-5D6E-409C-BE32-E72D297353CC}">
              <c16:uniqueId val="{00000000-EF01-4D81-AA09-4C3406C8FDF9}"/>
            </c:ext>
          </c:extLst>
        </c:ser>
        <c:ser>
          <c:idx val="1"/>
          <c:order val="1"/>
          <c:tx>
            <c:strRef>
              <c:f>'Output data (results)'!$R$6:$R$7</c:f>
              <c:strCache>
                <c:ptCount val="2"/>
                <c:pt idx="0">
                  <c:v>4B</c:v>
                </c:pt>
                <c:pt idx="1">
                  <c:v>Biological treatment of solid waste</c:v>
                </c:pt>
              </c:strCache>
            </c:strRef>
          </c:tx>
          <c:spPr>
            <a:solidFill>
              <a:schemeClr val="accent2"/>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(results)'!$R$10:$R$27</c:f>
              <c:numCache>
                <c:formatCode>_-* #,##0.0_-;\-* #,##0.0_-;_-* "-"??_-;_-@_-</c:formatCode>
                <c:ptCount val="18"/>
                <c:pt idx="0">
                  <c:v>760.94982037695092</c:v>
                </c:pt>
                <c:pt idx="1">
                  <c:v>780.54907176832921</c:v>
                </c:pt>
                <c:pt idx="2">
                  <c:v>805.89597323422572</c:v>
                </c:pt>
                <c:pt idx="3">
                  <c:v>827.07597703450631</c:v>
                </c:pt>
                <c:pt idx="4">
                  <c:v>859.4644285342431</c:v>
                </c:pt>
                <c:pt idx="5">
                  <c:v>898.25036493722359</c:v>
                </c:pt>
                <c:pt idx="6">
                  <c:v>941.39728804730544</c:v>
                </c:pt>
                <c:pt idx="7">
                  <c:v>984.94130752933586</c:v>
                </c:pt>
                <c:pt idx="8">
                  <c:v>1012.9537824256299</c:v>
                </c:pt>
                <c:pt idx="9">
                  <c:v>1001.7224131357198</c:v>
                </c:pt>
                <c:pt idx="10" formatCode="_-* #,##0_-;\-* #,##0_-;_-* &quot;-&quot;??_-;_-@_-">
                  <c:v>1079.9319251187405</c:v>
                </c:pt>
                <c:pt idx="11" formatCode="_-* #,##0_-;\-* #,##0_-;_-* &quot;-&quot;??_-;_-@_-">
                  <c:v>1113.3470102861947</c:v>
                </c:pt>
                <c:pt idx="12" formatCode="_-* #,##0_-;\-* #,##0_-;_-* &quot;-&quot;??_-;_-@_-">
                  <c:v>1178.2270336169195</c:v>
                </c:pt>
                <c:pt idx="13" formatCode="_-* #,##0_-;\-* #,##0_-;_-* &quot;-&quot;??_-;_-@_-">
                  <c:v>1244.2716562766143</c:v>
                </c:pt>
                <c:pt idx="14" formatCode="_-* #,##0_-;\-* #,##0_-;_-* &quot;-&quot;??_-;_-@_-">
                  <c:v>1302.8741690929994</c:v>
                </c:pt>
                <c:pt idx="15" formatCode="_-* #,##0_-;\-* #,##0_-;_-* &quot;-&quot;??_-;_-@_-">
                  <c:v>1353.5605273435249</c:v>
                </c:pt>
                <c:pt idx="16" formatCode="_-* #,##0_-;\-* #,##0_-;_-* &quot;-&quot;??_-;_-@_-">
                  <c:v>1397.1658867042397</c:v>
                </c:pt>
                <c:pt idx="17" formatCode="_-* #,##0_-;\-* #,##0_-;_-* &quot;-&quot;??_-;_-@_-">
                  <c:v>1441.3820574705167</c:v>
                </c:pt>
              </c:numCache>
            </c:numRef>
          </c:val>
          <c:extLst>
            <c:ext xmlns:c16="http://schemas.microsoft.com/office/drawing/2014/chart" uri="{C3380CC4-5D6E-409C-BE32-E72D297353CC}">
              <c16:uniqueId val="{00000001-EF01-4D81-AA09-4C3406C8FDF9}"/>
            </c:ext>
          </c:extLst>
        </c:ser>
        <c:ser>
          <c:idx val="2"/>
          <c:order val="2"/>
          <c:tx>
            <c:strRef>
              <c:f>'Output data (results)'!$S$6:$S$7</c:f>
              <c:strCache>
                <c:ptCount val="2"/>
                <c:pt idx="0">
                  <c:v>4C</c:v>
                </c:pt>
                <c:pt idx="1">
                  <c:v>Incineration and open burning of waste</c:v>
                </c:pt>
              </c:strCache>
            </c:strRef>
          </c:tx>
          <c:spPr>
            <a:solidFill>
              <a:schemeClr val="accent3"/>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(results)'!$S$10:$S$27</c:f>
              <c:numCache>
                <c:formatCode>0</c:formatCode>
                <c:ptCount val="18"/>
                <c:pt idx="0">
                  <c:v>266.67687205779424</c:v>
                </c:pt>
                <c:pt idx="1">
                  <c:v>272.19223463898948</c:v>
                </c:pt>
                <c:pt idx="2">
                  <c:v>275.96813671380778</c:v>
                </c:pt>
                <c:pt idx="3">
                  <c:v>279.50160526857348</c:v>
                </c:pt>
                <c:pt idx="4">
                  <c:v>282.82900533129464</c:v>
                </c:pt>
                <c:pt idx="5">
                  <c:v>286.05943198599482</c:v>
                </c:pt>
                <c:pt idx="6">
                  <c:v>289.28985864069489</c:v>
                </c:pt>
                <c:pt idx="7">
                  <c:v>292.47785942938577</c:v>
                </c:pt>
                <c:pt idx="8">
                  <c:v>295.72646859808981</c:v>
                </c:pt>
                <c:pt idx="9">
                  <c:v>298.92053022478206</c:v>
                </c:pt>
                <c:pt idx="10">
                  <c:v>304.93934942856873</c:v>
                </c:pt>
                <c:pt idx="11">
                  <c:v>318.43600763187357</c:v>
                </c:pt>
                <c:pt idx="12">
                  <c:v>322.81139076076983</c:v>
                </c:pt>
                <c:pt idx="13">
                  <c:v>327.66089203269547</c:v>
                </c:pt>
                <c:pt idx="14">
                  <c:v>331.73770718004255</c:v>
                </c:pt>
                <c:pt idx="15">
                  <c:v>335.00364311397755</c:v>
                </c:pt>
                <c:pt idx="16">
                  <c:v>337.42328896055699</c:v>
                </c:pt>
                <c:pt idx="17">
                  <c:v>338.94549979634837</c:v>
                </c:pt>
              </c:numCache>
            </c:numRef>
          </c:val>
          <c:extLst>
            <c:ext xmlns:c16="http://schemas.microsoft.com/office/drawing/2014/chart" uri="{C3380CC4-5D6E-409C-BE32-E72D297353CC}">
              <c16:uniqueId val="{00000002-EF01-4D81-AA09-4C3406C8FDF9}"/>
            </c:ext>
          </c:extLst>
        </c:ser>
        <c:ser>
          <c:idx val="3"/>
          <c:order val="3"/>
          <c:tx>
            <c:strRef>
              <c:f>'Output data (results)'!$T$6:$T$7</c:f>
              <c:strCache>
                <c:ptCount val="2"/>
                <c:pt idx="0">
                  <c:v>4D </c:v>
                </c:pt>
                <c:pt idx="1">
                  <c:v>Wastewater Treatment and Discharge</c:v>
                </c:pt>
              </c:strCache>
            </c:strRef>
          </c:tx>
          <c:spPr>
            <a:solidFill>
              <a:schemeClr val="accent4"/>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(results)'!$T$10:$T$27</c:f>
              <c:numCache>
                <c:formatCode>_(* #,##0_);_(* \(#,##0\);_(* "-"_);_(@_)</c:formatCode>
                <c:ptCount val="18"/>
                <c:pt idx="0">
                  <c:v>2831.8730929925982</c:v>
                </c:pt>
                <c:pt idx="1">
                  <c:v>2890.4413774158538</c:v>
                </c:pt>
                <c:pt idx="2">
                  <c:v>2930.5381259825444</c:v>
                </c:pt>
                <c:pt idx="3">
                  <c:v>2968.0604444646974</c:v>
                </c:pt>
                <c:pt idx="4">
                  <c:v>3003.3944973749908</c:v>
                </c:pt>
                <c:pt idx="5">
                  <c:v>3037.6987782514689</c:v>
                </c:pt>
                <c:pt idx="6">
                  <c:v>3072.0030591279478</c:v>
                </c:pt>
                <c:pt idx="7">
                  <c:v>3105.8568147396318</c:v>
                </c:pt>
                <c:pt idx="8">
                  <c:v>3140.3541778724511</c:v>
                </c:pt>
                <c:pt idx="9">
                  <c:v>3174.2722942362484</c:v>
                </c:pt>
                <c:pt idx="10">
                  <c:v>3209.670707898656</c:v>
                </c:pt>
                <c:pt idx="11">
                  <c:v>3332.0204976663595</c:v>
                </c:pt>
                <c:pt idx="12">
                  <c:v>3367.6763543372203</c:v>
                </c:pt>
                <c:pt idx="13">
                  <c:v>3417.813380233612</c:v>
                </c:pt>
                <c:pt idx="14">
                  <c:v>3469.8168679412947</c:v>
                </c:pt>
                <c:pt idx="15">
                  <c:v>3523.7511782123806</c:v>
                </c:pt>
                <c:pt idx="16">
                  <c:v>3579.7450325510972</c:v>
                </c:pt>
                <c:pt idx="17">
                  <c:v>3637.7984309574467</c:v>
                </c:pt>
              </c:numCache>
            </c:numRef>
          </c:val>
          <c:extLst>
            <c:ext xmlns:c16="http://schemas.microsoft.com/office/drawing/2014/chart" uri="{C3380CC4-5D6E-409C-BE32-E72D297353CC}">
              <c16:uniqueId val="{00000003-EF01-4D81-AA09-4C3406C8FDF9}"/>
            </c:ext>
          </c:extLst>
        </c:ser>
        <c:dLbls>
          <c:showLegendKey val="0"/>
          <c:showVal val="0"/>
          <c:showCatName val="0"/>
          <c:showSerName val="0"/>
          <c:showPercent val="0"/>
          <c:showBubbleSize val="0"/>
        </c:dLbls>
        <c:gapWidth val="150"/>
        <c:overlap val="100"/>
        <c:axId val="802911760"/>
        <c:axId val="802912744"/>
      </c:barChart>
      <c:catAx>
        <c:axId val="8029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2744"/>
        <c:crosses val="autoZero"/>
        <c:auto val="1"/>
        <c:lblAlgn val="ctr"/>
        <c:lblOffset val="100"/>
        <c:noMultiLvlLbl val="0"/>
      </c:catAx>
      <c:valAx>
        <c:axId val="802912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GHG emissions (CO2eq)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input)'!$AD$5</c:f>
              <c:strCache>
                <c:ptCount val="1"/>
                <c:pt idx="0">
                  <c:v>Solid waste disposal </c:v>
                </c:pt>
              </c:strCache>
            </c:strRef>
          </c:tx>
          <c:spPr>
            <a:solidFill>
              <a:schemeClr val="accent1"/>
            </a:solidFill>
            <a:ln>
              <a:noFill/>
            </a:ln>
            <a:effectLst/>
          </c:spPr>
          <c:invertIfNegative val="0"/>
          <c:cat>
            <c:numRef>
              <c:f>'Baseline data (from input)'!$AC$56:$AC$73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'Baseline data (from input)'!$AD$56:$AD$73</c:f>
              <c:numCache>
                <c:formatCode>_(* #,##0_);_(* \(#,##0\);_(* "-"_);_(@_)</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18374.59528039318</c:v>
                </c:pt>
                <c:pt idx="13">
                  <c:v>16840.658038780697</c:v>
                </c:pt>
                <c:pt idx="14">
                  <c:v>15349.153981617965</c:v>
                </c:pt>
                <c:pt idx="15">
                  <c:v>13901.439698167358</c:v>
                </c:pt>
                <c:pt idx="16">
                  <c:v>12499.261385037438</c:v>
                </c:pt>
                <c:pt idx="17">
                  <c:v>11144.041726220405</c:v>
                </c:pt>
              </c:numCache>
            </c:numRef>
          </c:val>
          <c:extLst>
            <c:ext xmlns:c16="http://schemas.microsoft.com/office/drawing/2014/chart" uri="{C3380CC4-5D6E-409C-BE32-E72D297353CC}">
              <c16:uniqueId val="{00000000-A9F3-4F2B-816E-D4FAB8F20152}"/>
            </c:ext>
          </c:extLst>
        </c:ser>
        <c:ser>
          <c:idx val="1"/>
          <c:order val="1"/>
          <c:tx>
            <c:strRef>
              <c:f>'Baseline data (from input)'!$AE$5</c:f>
              <c:strCache>
                <c:ptCount val="1"/>
                <c:pt idx="0">
                  <c:v>Recycling (inert)</c:v>
                </c:pt>
              </c:strCache>
            </c:strRef>
          </c:tx>
          <c:spPr>
            <a:solidFill>
              <a:schemeClr val="accent2"/>
            </a:solidFill>
            <a:ln>
              <a:noFill/>
            </a:ln>
            <a:effectLst/>
          </c:spPr>
          <c:invertIfNegative val="0"/>
          <c:cat>
            <c:numRef>
              <c:f>'Baseline data (from input)'!$AC$56:$AC$73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'Baseline data (from input)'!$AE$56:$AE$73</c:f>
              <c:numCache>
                <c:formatCode>_(* #,##0_);_(* \(#,##0\);_(* "-"_);_(@_)</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4042.2600443407064</c:v>
                </c:pt>
                <c:pt idx="13">
                  <c:v>4620.291700076833</c:v>
                </c:pt>
                <c:pt idx="14">
                  <c:v>5163.9496245303471</c:v>
                </c:pt>
                <c:pt idx="15">
                  <c:v>5671.7464975452258</c:v>
                </c:pt>
                <c:pt idx="16">
                  <c:v>6142.163746987485</c:v>
                </c:pt>
                <c:pt idx="17">
                  <c:v>6573.32227342858</c:v>
                </c:pt>
              </c:numCache>
            </c:numRef>
          </c:val>
          <c:extLst>
            <c:ext xmlns:c16="http://schemas.microsoft.com/office/drawing/2014/chart" uri="{C3380CC4-5D6E-409C-BE32-E72D297353CC}">
              <c16:uniqueId val="{00000001-A9F3-4F2B-816E-D4FAB8F20152}"/>
            </c:ext>
          </c:extLst>
        </c:ser>
        <c:ser>
          <c:idx val="2"/>
          <c:order val="2"/>
          <c:tx>
            <c:strRef>
              <c:f>'Baseline data (from input)'!$AF$5</c:f>
              <c:strCache>
                <c:ptCount val="1"/>
                <c:pt idx="0">
                  <c:v>Recycling (organic)</c:v>
                </c:pt>
              </c:strCache>
            </c:strRef>
          </c:tx>
          <c:spPr>
            <a:solidFill>
              <a:schemeClr val="accent3"/>
            </a:solidFill>
            <a:ln>
              <a:noFill/>
            </a:ln>
            <a:effectLst/>
          </c:spPr>
          <c:invertIfNegative val="0"/>
          <c:cat>
            <c:numRef>
              <c:f>'Baseline data (from input)'!$AC$56:$AC$73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'Baseline data (from input)'!$AF$56:$AF$73</c:f>
              <c:numCache>
                <c:formatCode>_(* #,##0_);_(* \(#,##0\);_(* "-"_);_(@_)</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2060.0821081723147</c:v>
                </c:pt>
                <c:pt idx="13">
                  <c:v>2354.6679732272769</c:v>
                </c:pt>
                <c:pt idx="14">
                  <c:v>2631.7357399833486</c:v>
                </c:pt>
                <c:pt idx="15">
                  <c:v>2890.5274162260434</c:v>
                </c:pt>
                <c:pt idx="16">
                  <c:v>3130.2690826011199</c:v>
                </c:pt>
                <c:pt idx="17">
                  <c:v>3350.003081988611</c:v>
                </c:pt>
              </c:numCache>
            </c:numRef>
          </c:val>
          <c:extLst>
            <c:ext xmlns:c16="http://schemas.microsoft.com/office/drawing/2014/chart" uri="{C3380CC4-5D6E-409C-BE32-E72D297353CC}">
              <c16:uniqueId val="{00000002-A9F3-4F2B-816E-D4FAB8F20152}"/>
            </c:ext>
          </c:extLst>
        </c:ser>
        <c:ser>
          <c:idx val="3"/>
          <c:order val="3"/>
          <c:tx>
            <c:strRef>
              <c:f>'Baseline data (from input)'!$AG$5</c:f>
              <c:strCache>
                <c:ptCount val="1"/>
                <c:pt idx="0">
                  <c:v>Open burning</c:v>
                </c:pt>
              </c:strCache>
            </c:strRef>
          </c:tx>
          <c:spPr>
            <a:solidFill>
              <a:schemeClr val="accent4"/>
            </a:solidFill>
            <a:ln>
              <a:noFill/>
            </a:ln>
            <a:effectLst/>
          </c:spPr>
          <c:invertIfNegative val="0"/>
          <c:cat>
            <c:numRef>
              <c:f>'Baseline data (from input)'!$AC$56:$AC$73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'Baseline data (from input)'!$AG$56:$AG$73</c:f>
              <c:numCache>
                <c:formatCode>_(* #,##0_);_(* \(#,##0\);_(* "-"_);_(@_)</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2774.1802787179481</c:v>
                </c:pt>
                <c:pt idx="13">
                  <c:v>2815.8559790657214</c:v>
                </c:pt>
                <c:pt idx="14">
                  <c:v>2850.8913604229128</c:v>
                </c:pt>
                <c:pt idx="15">
                  <c:v>2878.9581985791697</c:v>
                </c:pt>
                <c:pt idx="16">
                  <c:v>2899.7521791547715</c:v>
                </c:pt>
                <c:pt idx="17">
                  <c:v>2912.8337723127793</c:v>
                </c:pt>
              </c:numCache>
            </c:numRef>
          </c:val>
          <c:extLst>
            <c:ext xmlns:c16="http://schemas.microsoft.com/office/drawing/2014/chart" uri="{C3380CC4-5D6E-409C-BE32-E72D297353CC}">
              <c16:uniqueId val="{00000003-A9F3-4F2B-816E-D4FAB8F20152}"/>
            </c:ext>
          </c:extLst>
        </c:ser>
        <c:ser>
          <c:idx val="4"/>
          <c:order val="4"/>
          <c:tx>
            <c:strRef>
              <c:f>'Baseline data (from input)'!$AH$5</c:f>
              <c:strCache>
                <c:ptCount val="1"/>
                <c:pt idx="0">
                  <c:v>Waste Incineration </c:v>
                </c:pt>
              </c:strCache>
            </c:strRef>
          </c:tx>
          <c:spPr>
            <a:solidFill>
              <a:schemeClr val="accent5"/>
            </a:solidFill>
            <a:ln>
              <a:noFill/>
            </a:ln>
            <a:effectLst/>
          </c:spPr>
          <c:invertIfNegative val="0"/>
          <c:cat>
            <c:numRef>
              <c:f>'Baseline data (from input)'!$AC$56:$AC$73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'Baseline data (from input)'!$AH$56:$AH$73</c:f>
              <c:numCache>
                <c:formatCode>_(* #,##0_);_(* \(#,##0\);_(* "-"_);_(@_)</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4-A9F3-4F2B-816E-D4FAB8F20152}"/>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input)'!$AK$5</c:f>
              <c:strCache>
                <c:ptCount val="1"/>
                <c:pt idx="0">
                  <c:v>Solid waste disposal </c:v>
                </c:pt>
              </c:strCache>
            </c:strRef>
          </c:tx>
          <c:spPr>
            <a:solidFill>
              <a:schemeClr val="accent1"/>
            </a:solidFill>
            <a:ln>
              <a:noFill/>
            </a:ln>
            <a:effectLst/>
          </c:spPr>
          <c:invertIfNegative val="0"/>
          <c:cat>
            <c:numRef>
              <c:f>'Baseline data (from input)'!$AC$56:$AC$73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'Baseline data (from input)'!$AK$56:$AK$73</c:f>
              <c:numCache>
                <c:formatCode>_-* #,##0_-;\-* #,##0_-;_-* "-"??_-;_-@_-</c:formatCode>
                <c:ptCount val="18"/>
                <c:pt idx="0">
                  <c:v>45962.119451163169</c:v>
                </c:pt>
                <c:pt idx="1">
                  <c:v>47203.094179222629</c:v>
                </c:pt>
                <c:pt idx="2">
                  <c:v>48949.789145828523</c:v>
                </c:pt>
                <c:pt idx="3">
                  <c:v>50393.357165133653</c:v>
                </c:pt>
                <c:pt idx="4">
                  <c:v>52688.549197195905</c:v>
                </c:pt>
                <c:pt idx="5">
                  <c:v>55468.953608307747</c:v>
                </c:pt>
                <c:pt idx="6">
                  <c:v>58577.321530972527</c:v>
                </c:pt>
                <c:pt idx="7">
                  <c:v>61717.344729233853</c:v>
                </c:pt>
                <c:pt idx="8">
                  <c:v>63686.774046847793</c:v>
                </c:pt>
                <c:pt idx="9">
                  <c:v>62707.214568064555</c:v>
                </c:pt>
                <c:pt idx="10">
                  <c:v>64613.345091891104</c:v>
                </c:pt>
                <c:pt idx="11">
                  <c:v>66735.355986879513</c:v>
                </c:pt>
                <c:pt idx="12">
                  <c:v>68212.799804891765</c:v>
                </c:pt>
                <c:pt idx="13">
                  <c:v>69902.808589170294</c:v>
                </c:pt>
                <c:pt idx="14">
                  <c:v>71215.63588999986</c:v>
                </c:pt>
                <c:pt idx="15">
                  <c:v>72122.993096121791</c:v>
                </c:pt>
                <c:pt idx="16">
                  <c:v>72699.845027371557</c:v>
                </c:pt>
                <c:pt idx="17">
                  <c:v>73563.119147615391</c:v>
                </c:pt>
              </c:numCache>
            </c:numRef>
          </c:val>
          <c:extLst>
            <c:ext xmlns:c16="http://schemas.microsoft.com/office/drawing/2014/chart" uri="{C3380CC4-5D6E-409C-BE32-E72D297353CC}">
              <c16:uniqueId val="{00000000-C3F5-4EF4-82AC-80E6A81C02FB}"/>
            </c:ext>
          </c:extLst>
        </c:ser>
        <c:ser>
          <c:idx val="1"/>
          <c:order val="1"/>
          <c:tx>
            <c:strRef>
              <c:f>'Baseline data (from input)'!$AL$5</c:f>
              <c:strCache>
                <c:ptCount val="1"/>
                <c:pt idx="0">
                  <c:v>Recycling (inert)</c:v>
                </c:pt>
              </c:strCache>
            </c:strRef>
          </c:tx>
          <c:spPr>
            <a:solidFill>
              <a:schemeClr val="accent2"/>
            </a:solidFill>
            <a:ln>
              <a:noFill/>
            </a:ln>
            <a:effectLst/>
          </c:spPr>
          <c:invertIfNegative val="0"/>
          <c:cat>
            <c:numRef>
              <c:f>'Baseline data (from input)'!$AC$56:$AC$73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'Baseline data (from input)'!$AL$56:$AL$73</c:f>
              <c:numCache>
                <c:formatCode>_-* #,##0_-;\-* #,##0_-;_-* "-"??_-;_-@_-</c:formatCode>
                <c:ptCount val="18"/>
                <c:pt idx="0">
                  <c:v>3799.1285813287695</c:v>
                </c:pt>
                <c:pt idx="1">
                  <c:v>3901.7048466179913</c:v>
                </c:pt>
                <c:pt idx="2">
                  <c:v>4046.0828441893718</c:v>
                </c:pt>
                <c:pt idx="3">
                  <c:v>4165.4050292130978</c:v>
                </c:pt>
                <c:pt idx="4">
                  <c:v>4355.1205983114905</c:v>
                </c:pt>
                <c:pt idx="5">
                  <c:v>4584.9427647398988</c:v>
                </c:pt>
                <c:pt idx="6">
                  <c:v>4841.8736799651851</c:v>
                </c:pt>
                <c:pt idx="7">
                  <c:v>5101.4211512523934</c:v>
                </c:pt>
                <c:pt idx="8">
                  <c:v>5264.2098846441158</c:v>
                </c:pt>
                <c:pt idx="9">
                  <c:v>5183.2416338890316</c:v>
                </c:pt>
                <c:pt idx="10">
                  <c:v>5340.7982269984332</c:v>
                </c:pt>
                <c:pt idx="11">
                  <c:v>5516.1990208980169</c:v>
                </c:pt>
                <c:pt idx="12">
                  <c:v>5638.3213055825163</c:v>
                </c:pt>
                <c:pt idx="13">
                  <c:v>5778.0137469171968</c:v>
                </c:pt>
                <c:pt idx="14">
                  <c:v>5886.5291892094056</c:v>
                </c:pt>
                <c:pt idx="15">
                  <c:v>5961.5293575309561</c:v>
                </c:pt>
                <c:pt idx="16">
                  <c:v>6009.2106804415389</c:v>
                </c:pt>
                <c:pt idx="17">
                  <c:v>6080.5670370000007</c:v>
                </c:pt>
              </c:numCache>
            </c:numRef>
          </c:val>
          <c:extLst>
            <c:ext xmlns:c16="http://schemas.microsoft.com/office/drawing/2014/chart" uri="{C3380CC4-5D6E-409C-BE32-E72D297353CC}">
              <c16:uniqueId val="{00000001-C3F5-4EF4-82AC-80E6A81C02FB}"/>
            </c:ext>
          </c:extLst>
        </c:ser>
        <c:ser>
          <c:idx val="2"/>
          <c:order val="2"/>
          <c:tx>
            <c:strRef>
              <c:f>'Baseline data (from input)'!$AM$5</c:f>
              <c:strCache>
                <c:ptCount val="1"/>
                <c:pt idx="0">
                  <c:v>Recycling (organic)</c:v>
                </c:pt>
              </c:strCache>
            </c:strRef>
          </c:tx>
          <c:spPr>
            <a:solidFill>
              <a:schemeClr val="accent3"/>
            </a:solidFill>
            <a:ln>
              <a:noFill/>
            </a:ln>
            <a:effectLst/>
          </c:spPr>
          <c:invertIfNegative val="0"/>
          <c:cat>
            <c:numRef>
              <c:f>'Baseline data (from input)'!$AC$56:$AC$73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'Baseline data (from input)'!$AM$56:$AM$73</c:f>
              <c:numCache>
                <c:formatCode>_-* #,##0_-;\-* #,##0_-;_-* "-"??_-;_-@_-</c:formatCode>
                <c:ptCount val="18"/>
                <c:pt idx="0">
                  <c:v>3858.3720678568429</c:v>
                </c:pt>
                <c:pt idx="1">
                  <c:v>3962.5479040636237</c:v>
                </c:pt>
                <c:pt idx="2">
                  <c:v>4109.1773273951394</c:v>
                </c:pt>
                <c:pt idx="3">
                  <c:v>4230.3602186596845</c:v>
                </c:pt>
                <c:pt idx="4">
                  <c:v>4423.0342061220372</c:v>
                </c:pt>
                <c:pt idx="5">
                  <c:v>4656.440211878119</c:v>
                </c:pt>
                <c:pt idx="6">
                  <c:v>4917.3776993709516</c:v>
                </c:pt>
                <c:pt idx="7">
                  <c:v>5180.9725454151421</c:v>
                </c:pt>
                <c:pt idx="8">
                  <c:v>5346.2998009777148</c:v>
                </c:pt>
                <c:pt idx="9">
                  <c:v>5264.0689339752143</c:v>
                </c:pt>
                <c:pt idx="10">
                  <c:v>5424.0824594314599</c:v>
                </c:pt>
                <c:pt idx="11">
                  <c:v>5602.2184475599188</c:v>
                </c:pt>
                <c:pt idx="12">
                  <c:v>5726.2451031475339</c:v>
                </c:pt>
                <c:pt idx="13">
                  <c:v>5868.1159038320293</c:v>
                </c:pt>
                <c:pt idx="14">
                  <c:v>5978.3235323732424</c:v>
                </c:pt>
                <c:pt idx="15">
                  <c:v>6054.4932508604279</c:v>
                </c:pt>
                <c:pt idx="16">
                  <c:v>6102.9181147570616</c:v>
                </c:pt>
                <c:pt idx="17">
                  <c:v>6175.387200000001</c:v>
                </c:pt>
              </c:numCache>
            </c:numRef>
          </c:val>
          <c:extLst>
            <c:ext xmlns:c16="http://schemas.microsoft.com/office/drawing/2014/chart" uri="{C3380CC4-5D6E-409C-BE32-E72D297353CC}">
              <c16:uniqueId val="{00000002-C3F5-4EF4-82AC-80E6A81C02FB}"/>
            </c:ext>
          </c:extLst>
        </c:ser>
        <c:ser>
          <c:idx val="3"/>
          <c:order val="3"/>
          <c:tx>
            <c:strRef>
              <c:f>'Baseline data (from input)'!$AN$5</c:f>
              <c:strCache>
                <c:ptCount val="1"/>
                <c:pt idx="0">
                  <c:v>Open burning</c:v>
                </c:pt>
              </c:strCache>
            </c:strRef>
          </c:tx>
          <c:spPr>
            <a:solidFill>
              <a:schemeClr val="accent4"/>
            </a:solidFill>
            <a:ln>
              <a:noFill/>
            </a:ln>
            <a:effectLst/>
          </c:spPr>
          <c:invertIfNegative val="0"/>
          <c:cat>
            <c:numRef>
              <c:f>'Baseline data (from input)'!$AC$56:$AC$73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'Baseline data (from input)'!$AN$56:$AN$73</c:f>
              <c:numCache>
                <c:formatCode>_(* #,##0_);_(* \(#,##0\);_(* "-"_);_(@_)</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3-C3F5-4EF4-82AC-80E6A81C02FB}"/>
            </c:ext>
          </c:extLst>
        </c:ser>
        <c:ser>
          <c:idx val="4"/>
          <c:order val="4"/>
          <c:tx>
            <c:strRef>
              <c:f>'Baseline data (from input)'!$AO$5</c:f>
              <c:strCache>
                <c:ptCount val="1"/>
                <c:pt idx="0">
                  <c:v>Waste Incineration </c:v>
                </c:pt>
              </c:strCache>
            </c:strRef>
          </c:tx>
          <c:spPr>
            <a:solidFill>
              <a:schemeClr val="accent5"/>
            </a:solidFill>
            <a:ln>
              <a:noFill/>
            </a:ln>
            <a:effectLst/>
          </c:spPr>
          <c:invertIfNegative val="0"/>
          <c:cat>
            <c:numRef>
              <c:f>'Baseline data (from input)'!$AC$56:$AC$73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'Baseline data (from input)'!$AO$56:$AO$73</c:f>
              <c:numCache>
                <c:formatCode>_-* #,##0.0_-;\-* #,##0.0_-;_-* "-"??_-;_-@_-</c:formatCode>
                <c:ptCount val="18"/>
                <c:pt idx="0">
                  <c:v>48.159460995483073</c:v>
                </c:pt>
                <c:pt idx="1">
                  <c:v>49.459763825857607</c:v>
                </c:pt>
                <c:pt idx="2">
                  <c:v>51.289964197810519</c:v>
                </c:pt>
                <c:pt idx="3">
                  <c:v>52.802545831342925</c:v>
                </c:pt>
                <c:pt idx="4">
                  <c:v>55.207465631934241</c:v>
                </c:pt>
                <c:pt idx="5">
                  <c:v>58.120794681759449</c:v>
                </c:pt>
                <c:pt idx="6">
                  <c:v>61.377766412365673</c:v>
                </c:pt>
                <c:pt idx="7">
                  <c:v>64.667906783334828</c:v>
                </c:pt>
                <c:pt idx="8">
                  <c:v>66.731489915217338</c:v>
                </c:pt>
                <c:pt idx="9">
                  <c:v>65.705099986412094</c:v>
                </c:pt>
                <c:pt idx="10">
                  <c:v>67.702358157068574</c:v>
                </c:pt>
                <c:pt idx="11">
                  <c:v>69.925817435045772</c:v>
                </c:pt>
                <c:pt idx="12">
                  <c:v>71.473894390073525</c:v>
                </c:pt>
                <c:pt idx="13">
                  <c:v>73.244698545764507</c:v>
                </c:pt>
                <c:pt idx="14">
                  <c:v>74.620289052535767</c:v>
                </c:pt>
                <c:pt idx="15">
                  <c:v>75.57102488671832</c:v>
                </c:pt>
                <c:pt idx="16">
                  <c:v>76.175454761034942</c:v>
                </c:pt>
                <c:pt idx="17">
                  <c:v>77.08</c:v>
                </c:pt>
              </c:numCache>
            </c:numRef>
          </c:val>
          <c:extLst>
            <c:ext xmlns:c16="http://schemas.microsoft.com/office/drawing/2014/chart" uri="{C3380CC4-5D6E-409C-BE32-E72D297353CC}">
              <c16:uniqueId val="{00000004-C3F5-4EF4-82AC-80E6A81C02FB}"/>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GHG emissions for the waste sector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'Output data (results)'!$Q$6:$Q$7</c:f>
              <c:strCache>
                <c:ptCount val="2"/>
                <c:pt idx="0">
                  <c:v>4A</c:v>
                </c:pt>
                <c:pt idx="1">
                  <c:v>SWDS</c:v>
                </c:pt>
              </c:strCache>
            </c:strRef>
          </c:tx>
          <c:spPr>
            <a:solidFill>
              <a:schemeClr val="accent1"/>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(results)'!$Q$10:$Q$27</c:f>
              <c:numCache>
                <c:formatCode>_(* #,##0_);_(* \(#,##0\);_(* "-"_);_(@_)</c:formatCode>
                <c:ptCount val="18"/>
                <c:pt idx="0">
                  <c:v>29668.831149553258</c:v>
                </c:pt>
                <c:pt idx="1">
                  <c:v>30526.628224166292</c:v>
                </c:pt>
                <c:pt idx="2">
                  <c:v>31400.581539521827</c:v>
                </c:pt>
                <c:pt idx="3">
                  <c:v>32304.435710447797</c:v>
                </c:pt>
                <c:pt idx="4">
                  <c:v>33225.082846730525</c:v>
                </c:pt>
                <c:pt idx="5">
                  <c:v>34192.418078555784</c:v>
                </c:pt>
                <c:pt idx="6">
                  <c:v>35221.712489468555</c:v>
                </c:pt>
                <c:pt idx="7">
                  <c:v>36321.956945349011</c:v>
                </c:pt>
                <c:pt idx="8">
                  <c:v>37490.75707250095</c:v>
                </c:pt>
                <c:pt idx="9">
                  <c:v>38682.051593594115</c:v>
                </c:pt>
                <c:pt idx="10">
                  <c:v>39786.646249323305</c:v>
                </c:pt>
                <c:pt idx="11">
                  <c:v>40856.513568839197</c:v>
                </c:pt>
                <c:pt idx="12">
                  <c:v>41918.111863448263</c:v>
                </c:pt>
                <c:pt idx="13">
                  <c:v>42932.397218574253</c:v>
                </c:pt>
                <c:pt idx="14">
                  <c:v>43912.988905799335</c:v>
                </c:pt>
                <c:pt idx="15">
                  <c:v>44848.996713296379</c:v>
                </c:pt>
                <c:pt idx="16">
                  <c:v>45729.066351073867</c:v>
                </c:pt>
                <c:pt idx="17">
                  <c:v>46545.194365763069</c:v>
                </c:pt>
              </c:numCache>
            </c:numRef>
          </c:val>
          <c:extLst>
            <c:ext xmlns:c16="http://schemas.microsoft.com/office/drawing/2014/chart" uri="{C3380CC4-5D6E-409C-BE32-E72D297353CC}">
              <c16:uniqueId val="{00000000-EF5F-433B-BD20-28E7F7001F54}"/>
            </c:ext>
          </c:extLst>
        </c:ser>
        <c:ser>
          <c:idx val="1"/>
          <c:order val="1"/>
          <c:tx>
            <c:strRef>
              <c:f>'Output data (results)'!$R$6:$R$7</c:f>
              <c:strCache>
                <c:ptCount val="2"/>
                <c:pt idx="0">
                  <c:v>4B</c:v>
                </c:pt>
                <c:pt idx="1">
                  <c:v>Biological treatment of solid waste</c:v>
                </c:pt>
              </c:strCache>
            </c:strRef>
          </c:tx>
          <c:spPr>
            <a:solidFill>
              <a:schemeClr val="accent2"/>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(results)'!$R$10:$R$27</c:f>
              <c:numCache>
                <c:formatCode>_-* #,##0.0_-;\-* #,##0.0_-;_-* "-"??_-;_-@_-</c:formatCode>
                <c:ptCount val="18"/>
                <c:pt idx="0">
                  <c:v>760.94982037695092</c:v>
                </c:pt>
                <c:pt idx="1">
                  <c:v>780.54907176832921</c:v>
                </c:pt>
                <c:pt idx="2">
                  <c:v>805.89597323422572</c:v>
                </c:pt>
                <c:pt idx="3">
                  <c:v>827.07597703450631</c:v>
                </c:pt>
                <c:pt idx="4">
                  <c:v>859.4644285342431</c:v>
                </c:pt>
                <c:pt idx="5">
                  <c:v>898.25036493722359</c:v>
                </c:pt>
                <c:pt idx="6">
                  <c:v>941.39728804730544</c:v>
                </c:pt>
                <c:pt idx="7">
                  <c:v>984.94130752933586</c:v>
                </c:pt>
                <c:pt idx="8">
                  <c:v>1012.9537824256299</c:v>
                </c:pt>
                <c:pt idx="9">
                  <c:v>1001.7224131357198</c:v>
                </c:pt>
                <c:pt idx="10" formatCode="_-* #,##0_-;\-* #,##0_-;_-* &quot;-&quot;??_-;_-@_-">
                  <c:v>1079.9319251187405</c:v>
                </c:pt>
                <c:pt idx="11" formatCode="_-* #,##0_-;\-* #,##0_-;_-* &quot;-&quot;??_-;_-@_-">
                  <c:v>1113.3470102861947</c:v>
                </c:pt>
                <c:pt idx="12" formatCode="_-* #,##0_-;\-* #,##0_-;_-* &quot;-&quot;??_-;_-@_-">
                  <c:v>1178.2270336169195</c:v>
                </c:pt>
                <c:pt idx="13" formatCode="_-* #,##0_-;\-* #,##0_-;_-* &quot;-&quot;??_-;_-@_-">
                  <c:v>1244.2716562766143</c:v>
                </c:pt>
                <c:pt idx="14" formatCode="_-* #,##0_-;\-* #,##0_-;_-* &quot;-&quot;??_-;_-@_-">
                  <c:v>1302.8741690929994</c:v>
                </c:pt>
                <c:pt idx="15" formatCode="_-* #,##0_-;\-* #,##0_-;_-* &quot;-&quot;??_-;_-@_-">
                  <c:v>1353.5605273435249</c:v>
                </c:pt>
                <c:pt idx="16" formatCode="_-* #,##0_-;\-* #,##0_-;_-* &quot;-&quot;??_-;_-@_-">
                  <c:v>1397.1658867042397</c:v>
                </c:pt>
                <c:pt idx="17" formatCode="_-* #,##0_-;\-* #,##0_-;_-* &quot;-&quot;??_-;_-@_-">
                  <c:v>1441.3820574705167</c:v>
                </c:pt>
              </c:numCache>
            </c:numRef>
          </c:val>
          <c:extLst>
            <c:ext xmlns:c16="http://schemas.microsoft.com/office/drawing/2014/chart" uri="{C3380CC4-5D6E-409C-BE32-E72D297353CC}">
              <c16:uniqueId val="{00000001-EF5F-433B-BD20-28E7F7001F54}"/>
            </c:ext>
          </c:extLst>
        </c:ser>
        <c:ser>
          <c:idx val="2"/>
          <c:order val="2"/>
          <c:tx>
            <c:strRef>
              <c:f>'Output data (results)'!$S$6:$S$7</c:f>
              <c:strCache>
                <c:ptCount val="2"/>
                <c:pt idx="0">
                  <c:v>4C</c:v>
                </c:pt>
                <c:pt idx="1">
                  <c:v>Incineration and open burning of waste</c:v>
                </c:pt>
              </c:strCache>
            </c:strRef>
          </c:tx>
          <c:spPr>
            <a:solidFill>
              <a:schemeClr val="accent3"/>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(results)'!$S$10:$S$27</c:f>
              <c:numCache>
                <c:formatCode>0</c:formatCode>
                <c:ptCount val="18"/>
                <c:pt idx="0">
                  <c:v>266.67687205779424</c:v>
                </c:pt>
                <c:pt idx="1">
                  <c:v>272.19223463898948</c:v>
                </c:pt>
                <c:pt idx="2">
                  <c:v>275.96813671380778</c:v>
                </c:pt>
                <c:pt idx="3">
                  <c:v>279.50160526857348</c:v>
                </c:pt>
                <c:pt idx="4">
                  <c:v>282.82900533129464</c:v>
                </c:pt>
                <c:pt idx="5">
                  <c:v>286.05943198599482</c:v>
                </c:pt>
                <c:pt idx="6">
                  <c:v>289.28985864069489</c:v>
                </c:pt>
                <c:pt idx="7">
                  <c:v>292.47785942938577</c:v>
                </c:pt>
                <c:pt idx="8">
                  <c:v>295.72646859808981</c:v>
                </c:pt>
                <c:pt idx="9">
                  <c:v>298.92053022478206</c:v>
                </c:pt>
                <c:pt idx="10">
                  <c:v>304.93934942856873</c:v>
                </c:pt>
                <c:pt idx="11">
                  <c:v>318.43600763187357</c:v>
                </c:pt>
                <c:pt idx="12">
                  <c:v>322.81139076076983</c:v>
                </c:pt>
                <c:pt idx="13">
                  <c:v>327.66089203269547</c:v>
                </c:pt>
                <c:pt idx="14">
                  <c:v>331.73770718004255</c:v>
                </c:pt>
                <c:pt idx="15">
                  <c:v>335.00364311397755</c:v>
                </c:pt>
                <c:pt idx="16">
                  <c:v>337.42328896055699</c:v>
                </c:pt>
                <c:pt idx="17">
                  <c:v>338.94549979634837</c:v>
                </c:pt>
              </c:numCache>
            </c:numRef>
          </c:val>
          <c:extLst>
            <c:ext xmlns:c16="http://schemas.microsoft.com/office/drawing/2014/chart" uri="{C3380CC4-5D6E-409C-BE32-E72D297353CC}">
              <c16:uniqueId val="{00000002-EF5F-433B-BD20-28E7F7001F54}"/>
            </c:ext>
          </c:extLst>
        </c:ser>
        <c:ser>
          <c:idx val="3"/>
          <c:order val="3"/>
          <c:tx>
            <c:strRef>
              <c:f>'Output data (results)'!$T$6:$T$7</c:f>
              <c:strCache>
                <c:ptCount val="2"/>
                <c:pt idx="0">
                  <c:v>4D </c:v>
                </c:pt>
                <c:pt idx="1">
                  <c:v>Wastewater Treatment and Discharge</c:v>
                </c:pt>
              </c:strCache>
            </c:strRef>
          </c:tx>
          <c:spPr>
            <a:solidFill>
              <a:schemeClr val="accent4"/>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(results)'!$T$10:$T$27</c:f>
              <c:numCache>
                <c:formatCode>_(* #,##0_);_(* \(#,##0\);_(* "-"_);_(@_)</c:formatCode>
                <c:ptCount val="18"/>
                <c:pt idx="0">
                  <c:v>2831.8730929925982</c:v>
                </c:pt>
                <c:pt idx="1">
                  <c:v>2890.4413774158538</c:v>
                </c:pt>
                <c:pt idx="2">
                  <c:v>2930.5381259825444</c:v>
                </c:pt>
                <c:pt idx="3">
                  <c:v>2968.0604444646974</c:v>
                </c:pt>
                <c:pt idx="4">
                  <c:v>3003.3944973749908</c:v>
                </c:pt>
                <c:pt idx="5">
                  <c:v>3037.6987782514689</c:v>
                </c:pt>
                <c:pt idx="6">
                  <c:v>3072.0030591279478</c:v>
                </c:pt>
                <c:pt idx="7">
                  <c:v>3105.8568147396318</c:v>
                </c:pt>
                <c:pt idx="8">
                  <c:v>3140.3541778724511</c:v>
                </c:pt>
                <c:pt idx="9">
                  <c:v>3174.2722942362484</c:v>
                </c:pt>
                <c:pt idx="10">
                  <c:v>3209.670707898656</c:v>
                </c:pt>
                <c:pt idx="11">
                  <c:v>3332.0204976663595</c:v>
                </c:pt>
                <c:pt idx="12">
                  <c:v>3367.6763543372203</c:v>
                </c:pt>
                <c:pt idx="13">
                  <c:v>3417.813380233612</c:v>
                </c:pt>
                <c:pt idx="14">
                  <c:v>3469.8168679412947</c:v>
                </c:pt>
                <c:pt idx="15">
                  <c:v>3523.7511782123806</c:v>
                </c:pt>
                <c:pt idx="16">
                  <c:v>3579.7450325510972</c:v>
                </c:pt>
                <c:pt idx="17">
                  <c:v>3637.7984309574467</c:v>
                </c:pt>
              </c:numCache>
            </c:numRef>
          </c:val>
          <c:extLst>
            <c:ext xmlns:c16="http://schemas.microsoft.com/office/drawing/2014/chart" uri="{C3380CC4-5D6E-409C-BE32-E72D297353CC}">
              <c16:uniqueId val="{00000003-EF5F-433B-BD20-28E7F7001F54}"/>
            </c:ext>
          </c:extLst>
        </c:ser>
        <c:dLbls>
          <c:showLegendKey val="0"/>
          <c:showVal val="0"/>
          <c:showCatName val="0"/>
          <c:showSerName val="0"/>
          <c:showPercent val="0"/>
          <c:showBubbleSize val="0"/>
        </c:dLbls>
        <c:gapWidth val="150"/>
        <c:overlap val="100"/>
        <c:axId val="802911760"/>
        <c:axId val="802912744"/>
      </c:barChart>
      <c:catAx>
        <c:axId val="8029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2744"/>
        <c:crosses val="autoZero"/>
        <c:auto val="1"/>
        <c:lblAlgn val="ctr"/>
        <c:lblOffset val="100"/>
        <c:noMultiLvlLbl val="0"/>
      </c:catAx>
      <c:valAx>
        <c:axId val="802912744"/>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GHG emissions (CO2eq)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r>
              <a:rPr lang="en-ZA" sz="2800" b="1"/>
              <a:t>Case 1</a:t>
            </a:r>
          </a:p>
        </c:rich>
      </c:tx>
      <c:layout>
        <c:manualLayout>
          <c:xMode val="edge"/>
          <c:yMode val="edge"/>
          <c:x val="0.48258815745534783"/>
          <c:y val="1.6143614612513527E-2"/>
        </c:manualLayout>
      </c:layout>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385088569778963E-2"/>
          <c:y val="5.8181056329742936E-2"/>
          <c:w val="0.86112751536626175"/>
          <c:h val="0.77310328076382961"/>
        </c:manualLayout>
      </c:layout>
      <c:areaChart>
        <c:grouping val="percentStacked"/>
        <c:varyColors val="0"/>
        <c:ser>
          <c:idx val="0"/>
          <c:order val="0"/>
          <c:tx>
            <c:strRef>
              <c:f>'Output data (results)'!$X$6:$X$8</c:f>
              <c:strCache>
                <c:ptCount val="3"/>
                <c:pt idx="0">
                  <c:v>4A</c:v>
                </c:pt>
                <c:pt idx="1">
                  <c:v>SWDS</c:v>
                </c:pt>
                <c:pt idx="2">
                  <c:v>Case 1-B</c:v>
                </c:pt>
              </c:strCache>
            </c:strRef>
          </c:tx>
          <c:spPr>
            <a:solidFill>
              <a:schemeClr val="accent1"/>
            </a:solidFill>
            <a:ln>
              <a:noFill/>
            </a:ln>
            <a:effectLst/>
          </c:spPr>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(results)'!$X$10:$X$60</c:f>
              <c:numCache>
                <c:formatCode>_(* #,##0_);_(* \(#,##0\);_(* "-"_);_(@_)</c:formatCode>
                <c:ptCount val="51"/>
                <c:pt idx="0">
                  <c:v>29668.831149553258</c:v>
                </c:pt>
                <c:pt idx="1">
                  <c:v>30526.628224166292</c:v>
                </c:pt>
                <c:pt idx="2">
                  <c:v>31400.581539521827</c:v>
                </c:pt>
                <c:pt idx="3">
                  <c:v>32304.435710447797</c:v>
                </c:pt>
                <c:pt idx="4">
                  <c:v>33225.082846730525</c:v>
                </c:pt>
                <c:pt idx="5">
                  <c:v>34192.418078555784</c:v>
                </c:pt>
                <c:pt idx="6">
                  <c:v>35221.712489468555</c:v>
                </c:pt>
                <c:pt idx="7">
                  <c:v>36321.956945349011</c:v>
                </c:pt>
                <c:pt idx="8">
                  <c:v>37490.75707250095</c:v>
                </c:pt>
                <c:pt idx="9">
                  <c:v>38682.051593594115</c:v>
                </c:pt>
                <c:pt idx="10">
                  <c:v>39786.646249323305</c:v>
                </c:pt>
                <c:pt idx="11">
                  <c:v>40856.513568839197</c:v>
                </c:pt>
                <c:pt idx="12">
                  <c:v>41918.111863448263</c:v>
                </c:pt>
                <c:pt idx="13">
                  <c:v>42932.397218574253</c:v>
                </c:pt>
                <c:pt idx="14">
                  <c:v>43912.988905799335</c:v>
                </c:pt>
                <c:pt idx="15">
                  <c:v>44848.996713296379</c:v>
                </c:pt>
                <c:pt idx="16">
                  <c:v>45729.066351073867</c:v>
                </c:pt>
                <c:pt idx="17">
                  <c:v>46545.194365763069</c:v>
                </c:pt>
                <c:pt idx="18">
                  <c:v>47312.398709717942</c:v>
                </c:pt>
                <c:pt idx="19">
                  <c:v>47916.691555070058</c:v>
                </c:pt>
                <c:pt idx="20">
                  <c:v>48367.055088757734</c:v>
                </c:pt>
                <c:pt idx="21">
                  <c:v>48486.494274091812</c:v>
                </c:pt>
                <c:pt idx="22">
                  <c:v>48520.386688570368</c:v>
                </c:pt>
                <c:pt idx="23">
                  <c:v>48472.424916666474</c:v>
                </c:pt>
                <c:pt idx="24">
                  <c:v>48348.480504554595</c:v>
                </c:pt>
                <c:pt idx="25">
                  <c:v>48152.415682504587</c:v>
                </c:pt>
                <c:pt idx="26">
                  <c:v>47890.871408397164</c:v>
                </c:pt>
                <c:pt idx="27">
                  <c:v>47574.545146465563</c:v>
                </c:pt>
                <c:pt idx="28">
                  <c:v>47206.618795147137</c:v>
                </c:pt>
                <c:pt idx="29">
                  <c:v>46798.250295088452</c:v>
                </c:pt>
                <c:pt idx="30">
                  <c:v>46353.515186207631</c:v>
                </c:pt>
                <c:pt idx="31">
                  <c:v>45876.266303000804</c:v>
                </c:pt>
                <c:pt idx="32">
                  <c:v>45403.048288364451</c:v>
                </c:pt>
                <c:pt idx="33">
                  <c:v>44930.494894036361</c:v>
                </c:pt>
                <c:pt idx="34">
                  <c:v>44461.646909414798</c:v>
                </c:pt>
                <c:pt idx="35">
                  <c:v>43997.825833398994</c:v>
                </c:pt>
                <c:pt idx="36">
                  <c:v>43540.238631072258</c:v>
                </c:pt>
                <c:pt idx="37">
                  <c:v>43088.144102931379</c:v>
                </c:pt>
                <c:pt idx="38">
                  <c:v>42648.33917554182</c:v>
                </c:pt>
                <c:pt idx="39">
                  <c:v>42216.500585255373</c:v>
                </c:pt>
                <c:pt idx="40">
                  <c:v>41792.600256012054</c:v>
                </c:pt>
                <c:pt idx="41">
                  <c:v>41377.432470494998</c:v>
                </c:pt>
                <c:pt idx="42">
                  <c:v>40941.260773860318</c:v>
                </c:pt>
                <c:pt idx="43">
                  <c:v>40486.312702143812</c:v>
                </c:pt>
                <c:pt idx="44">
                  <c:v>40014.467561423313</c:v>
                </c:pt>
                <c:pt idx="45">
                  <c:v>39527.619322725164</c:v>
                </c:pt>
                <c:pt idx="46">
                  <c:v>39028.28893681636</c:v>
                </c:pt>
                <c:pt idx="47">
                  <c:v>38518.128565636798</c:v>
                </c:pt>
                <c:pt idx="48">
                  <c:v>37998.719159910361</c:v>
                </c:pt>
                <c:pt idx="49">
                  <c:v>37477.539450171542</c:v>
                </c:pt>
                <c:pt idx="50">
                  <c:v>36955.926488671204</c:v>
                </c:pt>
              </c:numCache>
            </c:numRef>
          </c:val>
          <c:extLst>
            <c:ext xmlns:c16="http://schemas.microsoft.com/office/drawing/2014/chart" uri="{C3380CC4-5D6E-409C-BE32-E72D297353CC}">
              <c16:uniqueId val="{00000000-8762-417F-B773-EC763E97AB8A}"/>
            </c:ext>
          </c:extLst>
        </c:ser>
        <c:ser>
          <c:idx val="1"/>
          <c:order val="1"/>
          <c:tx>
            <c:strRef>
              <c:f>'Output data (results)'!$Y$6:$Y$8</c:f>
              <c:strCache>
                <c:ptCount val="3"/>
                <c:pt idx="0">
                  <c:v>4B</c:v>
                </c:pt>
                <c:pt idx="1">
                  <c:v>Biological treatment of solid waste</c:v>
                </c:pt>
                <c:pt idx="2">
                  <c:v>Case 1-B</c:v>
                </c:pt>
              </c:strCache>
            </c:strRef>
          </c:tx>
          <c:spPr>
            <a:solidFill>
              <a:schemeClr val="accent2"/>
            </a:solidFill>
            <a:ln>
              <a:noFill/>
            </a:ln>
            <a:effectLst/>
          </c:spPr>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(results)'!$Y$10:$Y$60</c:f>
              <c:numCache>
                <c:formatCode>_(* #,##0_);_(* \(#,##0\);_(* "-"_);_(@_)</c:formatCode>
                <c:ptCount val="51"/>
                <c:pt idx="0">
                  <c:v>760.94982037695092</c:v>
                </c:pt>
                <c:pt idx="1">
                  <c:v>780.54907176832921</c:v>
                </c:pt>
                <c:pt idx="2">
                  <c:v>805.89597323422572</c:v>
                </c:pt>
                <c:pt idx="3">
                  <c:v>827.07597703450631</c:v>
                </c:pt>
                <c:pt idx="4">
                  <c:v>859.4644285342431</c:v>
                </c:pt>
                <c:pt idx="5">
                  <c:v>898.25036493722359</c:v>
                </c:pt>
                <c:pt idx="6">
                  <c:v>941.39728804730544</c:v>
                </c:pt>
                <c:pt idx="7">
                  <c:v>984.94130752933586</c:v>
                </c:pt>
                <c:pt idx="8">
                  <c:v>1012.9537824256299</c:v>
                </c:pt>
                <c:pt idx="9">
                  <c:v>1001.7224131357198</c:v>
                </c:pt>
                <c:pt idx="10">
                  <c:v>1079.9319251187405</c:v>
                </c:pt>
                <c:pt idx="11">
                  <c:v>1113.3470102861947</c:v>
                </c:pt>
                <c:pt idx="12">
                  <c:v>1178.2270336169195</c:v>
                </c:pt>
                <c:pt idx="13">
                  <c:v>1244.2716562766143</c:v>
                </c:pt>
                <c:pt idx="14">
                  <c:v>1302.8741690929994</c:v>
                </c:pt>
                <c:pt idx="15">
                  <c:v>1353.5605273435249</c:v>
                </c:pt>
                <c:pt idx="16">
                  <c:v>1397.1658867042397</c:v>
                </c:pt>
                <c:pt idx="17">
                  <c:v>1441.3820574705167</c:v>
                </c:pt>
                <c:pt idx="18">
                  <c:v>1469.0837304506297</c:v>
                </c:pt>
                <c:pt idx="19">
                  <c:v>1471.4884695340345</c:v>
                </c:pt>
                <c:pt idx="20">
                  <c:v>1327.2267663940122</c:v>
                </c:pt>
                <c:pt idx="21">
                  <c:v>1320.3775094404903</c:v>
                </c:pt>
                <c:pt idx="22">
                  <c:v>1319.6894839077916</c:v>
                </c:pt>
                <c:pt idx="23">
                  <c:v>1320.372220608718</c:v>
                </c:pt>
                <c:pt idx="24">
                  <c:v>1321.9674510257091</c:v>
                </c:pt>
                <c:pt idx="25">
                  <c:v>1284.1931377763024</c:v>
                </c:pt>
                <c:pt idx="26">
                  <c:v>1286.7618276623775</c:v>
                </c:pt>
                <c:pt idx="27">
                  <c:v>1288.7601823010261</c:v>
                </c:pt>
                <c:pt idx="28">
                  <c:v>1204.141607387756</c:v>
                </c:pt>
                <c:pt idx="29">
                  <c:v>1127.9466672032588</c:v>
                </c:pt>
                <c:pt idx="30">
                  <c:v>1060.6124998234311</c:v>
                </c:pt>
                <c:pt idx="31">
                  <c:v>1097.6198208011454</c:v>
                </c:pt>
                <c:pt idx="32">
                  <c:v>1129.6305911463169</c:v>
                </c:pt>
                <c:pt idx="33">
                  <c:v>1166.2881406157899</c:v>
                </c:pt>
                <c:pt idx="34">
                  <c:v>1205.1954733411487</c:v>
                </c:pt>
                <c:pt idx="35">
                  <c:v>1246.2640618634086</c:v>
                </c:pt>
                <c:pt idx="36">
                  <c:v>1354.7267497986973</c:v>
                </c:pt>
                <c:pt idx="37">
                  <c:v>1488.1717608184845</c:v>
                </c:pt>
                <c:pt idx="38">
                  <c:v>1609.4623396132426</c:v>
                </c:pt>
                <c:pt idx="39">
                  <c:v>1731.1874534282022</c:v>
                </c:pt>
                <c:pt idx="40">
                  <c:v>1854.8056177199858</c:v>
                </c:pt>
                <c:pt idx="41">
                  <c:v>1834.9953595104221</c:v>
                </c:pt>
                <c:pt idx="42">
                  <c:v>1817.065608802915</c:v>
                </c:pt>
                <c:pt idx="43">
                  <c:v>1800.6415571194677</c:v>
                </c:pt>
                <c:pt idx="44">
                  <c:v>1785.89000550277</c:v>
                </c:pt>
                <c:pt idx="45">
                  <c:v>1773.9564283005725</c:v>
                </c:pt>
                <c:pt idx="46">
                  <c:v>1763.5520944378718</c:v>
                </c:pt>
                <c:pt idx="47">
                  <c:v>1754.7530568125294</c:v>
                </c:pt>
                <c:pt idx="48">
                  <c:v>1770.3957084774577</c:v>
                </c:pt>
                <c:pt idx="49">
                  <c:v>1788.0075455557344</c:v>
                </c:pt>
                <c:pt idx="50">
                  <c:v>1807.4988164545769</c:v>
                </c:pt>
              </c:numCache>
            </c:numRef>
          </c:val>
          <c:extLst>
            <c:ext xmlns:c16="http://schemas.microsoft.com/office/drawing/2014/chart" uri="{C3380CC4-5D6E-409C-BE32-E72D297353CC}">
              <c16:uniqueId val="{00000001-8762-417F-B773-EC763E97AB8A}"/>
            </c:ext>
          </c:extLst>
        </c:ser>
        <c:ser>
          <c:idx val="2"/>
          <c:order val="2"/>
          <c:tx>
            <c:strRef>
              <c:f>'Output data (results)'!$Z$6:$Z$8</c:f>
              <c:strCache>
                <c:ptCount val="3"/>
                <c:pt idx="0">
                  <c:v>4C</c:v>
                </c:pt>
                <c:pt idx="1">
                  <c:v>Incineration and open burning of waste</c:v>
                </c:pt>
                <c:pt idx="2">
                  <c:v>Case 1-B</c:v>
                </c:pt>
              </c:strCache>
            </c:strRef>
          </c:tx>
          <c:spPr>
            <a:solidFill>
              <a:schemeClr val="accent3"/>
            </a:solidFill>
            <a:ln>
              <a:noFill/>
            </a:ln>
            <a:effectLst/>
          </c:spPr>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(results)'!$Z$10:$Z$60</c:f>
              <c:numCache>
                <c:formatCode>_(* #,##0_);_(* \(#,##0\);_(* "-"_);_(@_)</c:formatCode>
                <c:ptCount val="51"/>
                <c:pt idx="0">
                  <c:v>266.67687205779424</c:v>
                </c:pt>
                <c:pt idx="1">
                  <c:v>272.19223463898948</c:v>
                </c:pt>
                <c:pt idx="2">
                  <c:v>275.96813671380778</c:v>
                </c:pt>
                <c:pt idx="3">
                  <c:v>279.50160526857348</c:v>
                </c:pt>
                <c:pt idx="4">
                  <c:v>282.82900533129464</c:v>
                </c:pt>
                <c:pt idx="5">
                  <c:v>286.05943198599482</c:v>
                </c:pt>
                <c:pt idx="6">
                  <c:v>289.28985864069489</c:v>
                </c:pt>
                <c:pt idx="7">
                  <c:v>292.47785942938577</c:v>
                </c:pt>
                <c:pt idx="8">
                  <c:v>295.72646859808981</c:v>
                </c:pt>
                <c:pt idx="9">
                  <c:v>298.92053022478206</c:v>
                </c:pt>
                <c:pt idx="10">
                  <c:v>304.93934942856873</c:v>
                </c:pt>
                <c:pt idx="11">
                  <c:v>318.43600763187357</c:v>
                </c:pt>
                <c:pt idx="12">
                  <c:v>322.81139076076983</c:v>
                </c:pt>
                <c:pt idx="13">
                  <c:v>327.66089203269547</c:v>
                </c:pt>
                <c:pt idx="14">
                  <c:v>331.73770718004255</c:v>
                </c:pt>
                <c:pt idx="15">
                  <c:v>335.00364311397755</c:v>
                </c:pt>
                <c:pt idx="16">
                  <c:v>337.42328896055699</c:v>
                </c:pt>
                <c:pt idx="17">
                  <c:v>338.94549979634837</c:v>
                </c:pt>
                <c:pt idx="18">
                  <c:v>335.68046841413388</c:v>
                </c:pt>
                <c:pt idx="19">
                  <c:v>332.70865797642222</c:v>
                </c:pt>
                <c:pt idx="20">
                  <c:v>330.03652894956588</c:v>
                </c:pt>
                <c:pt idx="21">
                  <c:v>326.17170830589566</c:v>
                </c:pt>
                <c:pt idx="22">
                  <c:v>322.64861312523112</c:v>
                </c:pt>
                <c:pt idx="23">
                  <c:v>319.48630069981971</c:v>
                </c:pt>
                <c:pt idx="24">
                  <c:v>316.68993002332849</c:v>
                </c:pt>
                <c:pt idx="25">
                  <c:v>314.27272097227706</c:v>
                </c:pt>
                <c:pt idx="26">
                  <c:v>311.73482418219669</c:v>
                </c:pt>
                <c:pt idx="27">
                  <c:v>309.6243195621135</c:v>
                </c:pt>
                <c:pt idx="28">
                  <c:v>296.43539155301011</c:v>
                </c:pt>
                <c:pt idx="29">
                  <c:v>283.81175527719768</c:v>
                </c:pt>
                <c:pt idx="30">
                  <c:v>271.72456549222932</c:v>
                </c:pt>
                <c:pt idx="31">
                  <c:v>261.06910461820985</c:v>
                </c:pt>
                <c:pt idx="32">
                  <c:v>250.21265956771691</c:v>
                </c:pt>
                <c:pt idx="33">
                  <c:v>239.14876988876989</c:v>
                </c:pt>
                <c:pt idx="34">
                  <c:v>227.88177404118193</c:v>
                </c:pt>
                <c:pt idx="35">
                  <c:v>216.40187200977346</c:v>
                </c:pt>
                <c:pt idx="36">
                  <c:v>204.46486805560784</c:v>
                </c:pt>
                <c:pt idx="37">
                  <c:v>201.37922987788298</c:v>
                </c:pt>
                <c:pt idx="38">
                  <c:v>194.16194263633992</c:v>
                </c:pt>
                <c:pt idx="39">
                  <c:v>186.82600557542969</c:v>
                </c:pt>
                <c:pt idx="40">
                  <c:v>179.37030635309591</c:v>
                </c:pt>
                <c:pt idx="41">
                  <c:v>171.60974301155494</c:v>
                </c:pt>
                <c:pt idx="42">
                  <c:v>163.74396035103354</c:v>
                </c:pt>
                <c:pt idx="43">
                  <c:v>155.77435909856584</c:v>
                </c:pt>
                <c:pt idx="44">
                  <c:v>147.69780821725215</c:v>
                </c:pt>
                <c:pt idx="45">
                  <c:v>139.5173563482843</c:v>
                </c:pt>
                <c:pt idx="46">
                  <c:v>131.082713720464</c:v>
                </c:pt>
                <c:pt idx="47">
                  <c:v>122.56031966373671</c:v>
                </c:pt>
                <c:pt idx="48">
                  <c:v>123.1865270437297</c:v>
                </c:pt>
                <c:pt idx="49">
                  <c:v>123.81438233788059</c:v>
                </c:pt>
                <c:pt idx="50">
                  <c:v>124.44718137450511</c:v>
                </c:pt>
              </c:numCache>
            </c:numRef>
          </c:val>
          <c:extLst>
            <c:ext xmlns:c16="http://schemas.microsoft.com/office/drawing/2014/chart" uri="{C3380CC4-5D6E-409C-BE32-E72D297353CC}">
              <c16:uniqueId val="{00000002-8762-417F-B773-EC763E97AB8A}"/>
            </c:ext>
          </c:extLst>
        </c:ser>
        <c:ser>
          <c:idx val="3"/>
          <c:order val="3"/>
          <c:tx>
            <c:strRef>
              <c:f>'Output data (results)'!$AA$6:$AA$8</c:f>
              <c:strCache>
                <c:ptCount val="3"/>
                <c:pt idx="0">
                  <c:v>4D </c:v>
                </c:pt>
                <c:pt idx="1">
                  <c:v>Wastewater Treatment and Discharge</c:v>
                </c:pt>
                <c:pt idx="2">
                  <c:v>Case 1-B</c:v>
                </c:pt>
              </c:strCache>
            </c:strRef>
          </c:tx>
          <c:spPr>
            <a:solidFill>
              <a:schemeClr val="accent4"/>
            </a:solidFill>
            <a:ln>
              <a:noFill/>
            </a:ln>
            <a:effectLst/>
          </c:spPr>
          <c:cat>
            <c:numRef>
              <c:f>'Output data (results)'!$W$10:$W$60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'Output data (results)'!$AA$10:$AA$60</c:f>
              <c:numCache>
                <c:formatCode>_(* #,##0_);_(* \(#,##0\);_(* "-"_);_(@_)</c:formatCode>
                <c:ptCount val="51"/>
                <c:pt idx="0">
                  <c:v>2831.8730929925982</c:v>
                </c:pt>
                <c:pt idx="1">
                  <c:v>2890.4413774158538</c:v>
                </c:pt>
                <c:pt idx="2">
                  <c:v>2930.5381259825444</c:v>
                </c:pt>
                <c:pt idx="3">
                  <c:v>2968.0604444646974</c:v>
                </c:pt>
                <c:pt idx="4">
                  <c:v>3003.3944973749908</c:v>
                </c:pt>
                <c:pt idx="5">
                  <c:v>3037.6987782514689</c:v>
                </c:pt>
                <c:pt idx="6">
                  <c:v>3072.0030591279478</c:v>
                </c:pt>
                <c:pt idx="7">
                  <c:v>3105.8568147396318</c:v>
                </c:pt>
                <c:pt idx="8">
                  <c:v>3140.3541778724511</c:v>
                </c:pt>
                <c:pt idx="9">
                  <c:v>3174.2722942362484</c:v>
                </c:pt>
                <c:pt idx="10">
                  <c:v>3209.670707898656</c:v>
                </c:pt>
                <c:pt idx="11">
                  <c:v>3332.0204976663595</c:v>
                </c:pt>
                <c:pt idx="12">
                  <c:v>3367.6763543372203</c:v>
                </c:pt>
                <c:pt idx="13">
                  <c:v>3417.813380233612</c:v>
                </c:pt>
                <c:pt idx="14">
                  <c:v>3469.8168679412947</c:v>
                </c:pt>
                <c:pt idx="15">
                  <c:v>3523.7511782123806</c:v>
                </c:pt>
                <c:pt idx="16">
                  <c:v>3579.7450325510972</c:v>
                </c:pt>
                <c:pt idx="17">
                  <c:v>3637.7984309574467</c:v>
                </c:pt>
                <c:pt idx="18">
                  <c:v>3728.7332085559019</c:v>
                </c:pt>
                <c:pt idx="19">
                  <c:v>3821.6720946853429</c:v>
                </c:pt>
                <c:pt idx="20">
                  <c:v>3916.6402461682742</c:v>
                </c:pt>
                <c:pt idx="21">
                  <c:v>3995.2820715317216</c:v>
                </c:pt>
                <c:pt idx="22">
                  <c:v>4075.1576379006751</c:v>
                </c:pt>
                <c:pt idx="23">
                  <c:v>4156.4141151158683</c:v>
                </c:pt>
                <c:pt idx="24">
                  <c:v>4238.9983232351897</c:v>
                </c:pt>
                <c:pt idx="25">
                  <c:v>4322.9236792306456</c:v>
                </c:pt>
                <c:pt idx="26">
                  <c:v>4400.9174278296796</c:v>
                </c:pt>
                <c:pt idx="27">
                  <c:v>4480.0918085867052</c:v>
                </c:pt>
                <c:pt idx="28">
                  <c:v>4560.3175409569985</c:v>
                </c:pt>
                <c:pt idx="29">
                  <c:v>4641.7451490242902</c:v>
                </c:pt>
                <c:pt idx="30">
                  <c:v>4724.3147443604685</c:v>
                </c:pt>
                <c:pt idx="31">
                  <c:v>4801.8282802505955</c:v>
                </c:pt>
                <c:pt idx="32">
                  <c:v>4880.3350275419698</c:v>
                </c:pt>
                <c:pt idx="33">
                  <c:v>4959.7700664419835</c:v>
                </c:pt>
                <c:pt idx="34">
                  <c:v>5040.2878343178654</c:v>
                </c:pt>
                <c:pt idx="35">
                  <c:v>5121.7495469363903</c:v>
                </c:pt>
                <c:pt idx="36">
                  <c:v>5198.0133460110155</c:v>
                </c:pt>
                <c:pt idx="37">
                  <c:v>5275.0672825961447</c:v>
                </c:pt>
                <c:pt idx="38">
                  <c:v>5353.0685892615111</c:v>
                </c:pt>
                <c:pt idx="39">
                  <c:v>5431.872332328383</c:v>
                </c:pt>
                <c:pt idx="40">
                  <c:v>5511.4835431612637</c:v>
                </c:pt>
                <c:pt idx="41">
                  <c:v>5585.9183683676356</c:v>
                </c:pt>
                <c:pt idx="42">
                  <c:v>5661.0062950673746</c:v>
                </c:pt>
                <c:pt idx="43">
                  <c:v>5736.8295733086024</c:v>
                </c:pt>
                <c:pt idx="44">
                  <c:v>5813.3137796102064</c:v>
                </c:pt>
                <c:pt idx="45">
                  <c:v>5890.622295987414</c:v>
                </c:pt>
                <c:pt idx="46">
                  <c:v>5961.9937050903318</c:v>
                </c:pt>
                <c:pt idx="47">
                  <c:v>6034.0277904697159</c:v>
                </c:pt>
                <c:pt idx="48">
                  <c:v>6106.6478924824532</c:v>
                </c:pt>
                <c:pt idx="49">
                  <c:v>6179.775115323424</c:v>
                </c:pt>
                <c:pt idx="50">
                  <c:v>6253.5767542913654</c:v>
                </c:pt>
              </c:numCache>
            </c:numRef>
          </c:val>
          <c:extLst>
            <c:ext xmlns:c16="http://schemas.microsoft.com/office/drawing/2014/chart" uri="{C3380CC4-5D6E-409C-BE32-E72D297353CC}">
              <c16:uniqueId val="{00000003-8762-417F-B773-EC763E97AB8A}"/>
            </c:ext>
          </c:extLst>
        </c:ser>
        <c:dLbls>
          <c:showLegendKey val="0"/>
          <c:showVal val="0"/>
          <c:showCatName val="0"/>
          <c:showSerName val="0"/>
          <c:showPercent val="0"/>
          <c:showBubbleSize val="0"/>
        </c:dLbls>
        <c:axId val="708997896"/>
        <c:axId val="708998552"/>
      </c:areaChart>
      <c:catAx>
        <c:axId val="708997896"/>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ZA" sz="1600"/>
                  <a:t>Year</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08998552"/>
        <c:crosses val="autoZero"/>
        <c:auto val="1"/>
        <c:lblAlgn val="ctr"/>
        <c:lblOffset val="100"/>
        <c:tickMarkSkip val="1"/>
        <c:noMultiLvlLbl val="0"/>
      </c:catAx>
      <c:valAx>
        <c:axId val="708998552"/>
        <c:scaling>
          <c:orientation val="minMax"/>
          <c:min val="0.7500000000000001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800" b="0" i="0" baseline="0">
                    <a:effectLst/>
                  </a:rPr>
                  <a:t>Perecntage of GHG emissions per category </a:t>
                </a:r>
                <a:endParaRPr lang="en-ZA">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08997896"/>
        <c:crosses val="autoZero"/>
        <c:crossBetween val="midCat"/>
      </c:valAx>
      <c:spPr>
        <a:noFill/>
        <a:ln>
          <a:noFill/>
        </a:ln>
        <a:effectLst/>
      </c:spPr>
    </c:plotArea>
    <c:legend>
      <c:legendPos val="b"/>
      <c:layout>
        <c:manualLayout>
          <c:xMode val="edge"/>
          <c:yMode val="edge"/>
          <c:x val="4.9999968791059259E-2"/>
          <c:y val="0.91572211173803242"/>
          <c:w val="0.89999998749425347"/>
          <c:h val="6.994122860683219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22</xdr:col>
      <xdr:colOff>119062</xdr:colOff>
      <xdr:row>64</xdr:row>
      <xdr:rowOff>112933</xdr:rowOff>
    </xdr:from>
    <xdr:to>
      <xdr:col>62</xdr:col>
      <xdr:colOff>638907</xdr:colOff>
      <xdr:row>150</xdr:row>
      <xdr:rowOff>142875</xdr:rowOff>
    </xdr:to>
    <xdr:graphicFrame macro="">
      <xdr:nvGraphicFramePr>
        <xdr:cNvPr id="8" name="Chart 7">
          <a:extLst>
            <a:ext uri="{FF2B5EF4-FFF2-40B4-BE49-F238E27FC236}">
              <a16:creationId xmlns:a16="http://schemas.microsoft.com/office/drawing/2014/main" id="{0D2C70E7-D083-4E8C-AD12-3A1D4D02E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63</xdr:col>
      <xdr:colOff>759012</xdr:colOff>
      <xdr:row>65</xdr:row>
      <xdr:rowOff>140448</xdr:rowOff>
    </xdr:from>
    <xdr:to>
      <xdr:col>93</xdr:col>
      <xdr:colOff>325610</xdr:colOff>
      <xdr:row>151</xdr:row>
      <xdr:rowOff>170390</xdr:rowOff>
    </xdr:to>
    <xdr:graphicFrame macro="">
      <xdr:nvGraphicFramePr>
        <xdr:cNvPr id="9" name="Chart 8">
          <a:extLst>
            <a:ext uri="{FF2B5EF4-FFF2-40B4-BE49-F238E27FC236}">
              <a16:creationId xmlns:a16="http://schemas.microsoft.com/office/drawing/2014/main" id="{0F5032A8-0217-4F1E-8327-06EA1005D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47</xdr:col>
      <xdr:colOff>340822</xdr:colOff>
      <xdr:row>19</xdr:row>
      <xdr:rowOff>120535</xdr:rowOff>
    </xdr:from>
    <xdr:to>
      <xdr:col>59</xdr:col>
      <xdr:colOff>446117</xdr:colOff>
      <xdr:row>46</xdr:row>
      <xdr:rowOff>171797</xdr:rowOff>
    </xdr:to>
    <xdr:graphicFrame macro="">
      <xdr:nvGraphicFramePr>
        <xdr:cNvPr id="3" name="Chart 2">
          <a:extLst>
            <a:ext uri="{FF2B5EF4-FFF2-40B4-BE49-F238E27FC236}">
              <a16:creationId xmlns:a16="http://schemas.microsoft.com/office/drawing/2014/main" id="{E0E581FA-9DD1-477C-888C-4D689437E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53</xdr:col>
      <xdr:colOff>289872</xdr:colOff>
      <xdr:row>48</xdr:row>
      <xdr:rowOff>90137</xdr:rowOff>
    </xdr:from>
    <xdr:to>
      <xdr:col>66</xdr:col>
      <xdr:colOff>236898</xdr:colOff>
      <xdr:row>72</xdr:row>
      <xdr:rowOff>30480</xdr:rowOff>
    </xdr:to>
    <xdr:graphicFrame macro="">
      <xdr:nvGraphicFramePr>
        <xdr:cNvPr id="4" name="Chart 3">
          <a:extLst>
            <a:ext uri="{FF2B5EF4-FFF2-40B4-BE49-F238E27FC236}">
              <a16:creationId xmlns:a16="http://schemas.microsoft.com/office/drawing/2014/main" id="{157FC4E1-70F6-4643-831E-FDBBE7534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49</xdr:col>
      <xdr:colOff>439723</xdr:colOff>
      <xdr:row>33</xdr:row>
      <xdr:rowOff>135838</xdr:rowOff>
    </xdr:from>
    <xdr:to>
      <xdr:col>62</xdr:col>
      <xdr:colOff>235316</xdr:colOff>
      <xdr:row>56</xdr:row>
      <xdr:rowOff>46773</xdr:rowOff>
    </xdr:to>
    <xdr:graphicFrame macro="">
      <xdr:nvGraphicFramePr>
        <xdr:cNvPr id="2" name="Chart 1">
          <a:extLst>
            <a:ext uri="{FF2B5EF4-FFF2-40B4-BE49-F238E27FC236}">
              <a16:creationId xmlns:a16="http://schemas.microsoft.com/office/drawing/2014/main" id="{BE23D291-62C8-49B4-9EAE-6D221E98C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328888</xdr:colOff>
      <xdr:row>8</xdr:row>
      <xdr:rowOff>108627</xdr:rowOff>
    </xdr:from>
    <xdr:to>
      <xdr:col>62</xdr:col>
      <xdr:colOff>180889</xdr:colOff>
      <xdr:row>32</xdr:row>
      <xdr:rowOff>103185</xdr:rowOff>
    </xdr:to>
    <xdr:graphicFrame macro="">
      <xdr:nvGraphicFramePr>
        <xdr:cNvPr id="5" name="Chart 4">
          <a:extLst>
            <a:ext uri="{FF2B5EF4-FFF2-40B4-BE49-F238E27FC236}">
              <a16:creationId xmlns:a16="http://schemas.microsoft.com/office/drawing/2014/main" id="{61E4B9A0-B227-483D-9D25-C18EBD657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64</xdr:col>
      <xdr:colOff>93801</xdr:colOff>
      <xdr:row>8</xdr:row>
      <xdr:rowOff>195712</xdr:rowOff>
    </xdr:from>
    <xdr:to>
      <xdr:col>74</xdr:col>
      <xdr:colOff>286555</xdr:colOff>
      <xdr:row>31</xdr:row>
      <xdr:rowOff>24998</xdr:rowOff>
    </xdr:to>
    <xdr:graphicFrame macro="">
      <xdr:nvGraphicFramePr>
        <xdr:cNvPr id="6" name="Chart 5">
          <a:extLst>
            <a:ext uri="{FF2B5EF4-FFF2-40B4-BE49-F238E27FC236}">
              <a16:creationId xmlns:a16="http://schemas.microsoft.com/office/drawing/2014/main" id="{8A065DB5-FE1D-4478-886F-7BA401586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257087</xdr:colOff>
      <xdr:row>33</xdr:row>
      <xdr:rowOff>135840</xdr:rowOff>
    </xdr:from>
    <xdr:to>
      <xdr:col>74</xdr:col>
      <xdr:colOff>518345</xdr:colOff>
      <xdr:row>56</xdr:row>
      <xdr:rowOff>48754</xdr:rowOff>
    </xdr:to>
    <xdr:graphicFrame macro="">
      <xdr:nvGraphicFramePr>
        <xdr:cNvPr id="7" name="Chart 6">
          <a:extLst>
            <a:ext uri="{FF2B5EF4-FFF2-40B4-BE49-F238E27FC236}">
              <a16:creationId xmlns:a16="http://schemas.microsoft.com/office/drawing/2014/main" id="{D145F295-3721-4951-A982-721ECDFE7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244926</xdr:colOff>
      <xdr:row>5</xdr:row>
      <xdr:rowOff>81642</xdr:rowOff>
    </xdr:from>
    <xdr:to>
      <xdr:col>19</xdr:col>
      <xdr:colOff>289033</xdr:colOff>
      <xdr:row>56</xdr:row>
      <xdr:rowOff>26274</xdr:rowOff>
    </xdr:to>
    <xdr:graphicFrame macro="">
      <xdr:nvGraphicFramePr>
        <xdr:cNvPr id="8" name="Chart 7">
          <a:extLst>
            <a:ext uri="{FF2B5EF4-FFF2-40B4-BE49-F238E27FC236}">
              <a16:creationId xmlns:a16="http://schemas.microsoft.com/office/drawing/2014/main" id="{71C99B9E-B6A0-4E97-BF3B-898D392EC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525518</xdr:colOff>
      <xdr:row>5</xdr:row>
      <xdr:rowOff>101519</xdr:rowOff>
    </xdr:from>
    <xdr:to>
      <xdr:col>41</xdr:col>
      <xdr:colOff>157655</xdr:colOff>
      <xdr:row>56</xdr:row>
      <xdr:rowOff>105103</xdr:rowOff>
    </xdr:to>
    <xdr:graphicFrame macro="">
      <xdr:nvGraphicFramePr>
        <xdr:cNvPr id="9" name="Chart 8">
          <a:extLst>
            <a:ext uri="{FF2B5EF4-FFF2-40B4-BE49-F238E27FC236}">
              <a16:creationId xmlns:a16="http://schemas.microsoft.com/office/drawing/2014/main" id="{08073F3E-ADEB-4A4E-A214-043BFA0B9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59</xdr:row>
      <xdr:rowOff>1</xdr:rowOff>
    </xdr:from>
    <xdr:to>
      <xdr:col>19</xdr:col>
      <xdr:colOff>78826</xdr:colOff>
      <xdr:row>115</xdr:row>
      <xdr:rowOff>26277</xdr:rowOff>
    </xdr:to>
    <xdr:graphicFrame macro="">
      <xdr:nvGraphicFramePr>
        <xdr:cNvPr id="10" name="Chart 9">
          <a:extLst>
            <a:ext uri="{FF2B5EF4-FFF2-40B4-BE49-F238E27FC236}">
              <a16:creationId xmlns:a16="http://schemas.microsoft.com/office/drawing/2014/main" id="{97C7553E-86B7-4E09-BAAC-A82C732D7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122</xdr:row>
      <xdr:rowOff>45936</xdr:rowOff>
    </xdr:from>
    <xdr:to>
      <xdr:col>13</xdr:col>
      <xdr:colOff>217886</xdr:colOff>
      <xdr:row>139</xdr:row>
      <xdr:rowOff>64985</xdr:rowOff>
    </xdr:to>
    <xdr:graphicFrame macro="">
      <xdr:nvGraphicFramePr>
        <xdr:cNvPr id="11" name="Chart 10">
          <a:extLst>
            <a:ext uri="{FF2B5EF4-FFF2-40B4-BE49-F238E27FC236}">
              <a16:creationId xmlns:a16="http://schemas.microsoft.com/office/drawing/2014/main" id="{E870EC7B-39D4-4DEE-BE8A-E3B717EEE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21573</xdr:colOff>
      <xdr:row>121</xdr:row>
      <xdr:rowOff>101957</xdr:rowOff>
    </xdr:from>
    <xdr:to>
      <xdr:col>29</xdr:col>
      <xdr:colOff>74198</xdr:colOff>
      <xdr:row>140</xdr:row>
      <xdr:rowOff>32150</xdr:rowOff>
    </xdr:to>
    <xdr:graphicFrame macro="">
      <xdr:nvGraphicFramePr>
        <xdr:cNvPr id="12" name="Chart 11">
          <a:extLst>
            <a:ext uri="{FF2B5EF4-FFF2-40B4-BE49-F238E27FC236}">
              <a16:creationId xmlns:a16="http://schemas.microsoft.com/office/drawing/2014/main" id="{C02846B7-EF87-45AD-9235-792CDC4BD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30</xdr:col>
      <xdr:colOff>337240</xdr:colOff>
      <xdr:row>120</xdr:row>
      <xdr:rowOff>0</xdr:rowOff>
    </xdr:from>
    <xdr:to>
      <xdr:col>43</xdr:col>
      <xdr:colOff>190060</xdr:colOff>
      <xdr:row>139</xdr:row>
      <xdr:rowOff>62907</xdr:rowOff>
    </xdr:to>
    <xdr:graphicFrame macro="">
      <xdr:nvGraphicFramePr>
        <xdr:cNvPr id="13" name="Chart 12">
          <a:extLst>
            <a:ext uri="{FF2B5EF4-FFF2-40B4-BE49-F238E27FC236}">
              <a16:creationId xmlns:a16="http://schemas.microsoft.com/office/drawing/2014/main" id="{D2509DAF-256E-43C7-8C08-E65DE3A3E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18</xdr:col>
      <xdr:colOff>1536241</xdr:colOff>
      <xdr:row>25</xdr:row>
      <xdr:rowOff>166272</xdr:rowOff>
    </xdr:to>
    <xdr:pic>
      <xdr:nvPicPr>
        <xdr:cNvPr id="3" name="Picture 2">
          <a:extLst>
            <a:ext uri="{FF2B5EF4-FFF2-40B4-BE49-F238E27FC236}">
              <a16:creationId xmlns:a16="http://schemas.microsoft.com/office/drawing/2014/main" id="{2E7D239F-D4A6-4785-AA9A-D158E7F218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09168" y="0"/>
          <a:ext cx="10256736" cy="5193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18</xdr:col>
      <xdr:colOff>1440445</xdr:colOff>
      <xdr:row>25</xdr:row>
      <xdr:rowOff>166272</xdr:rowOff>
    </xdr:to>
    <xdr:pic>
      <xdr:nvPicPr>
        <xdr:cNvPr id="2" name="Picture 1">
          <a:extLst>
            <a:ext uri="{FF2B5EF4-FFF2-40B4-BE49-F238E27FC236}">
              <a16:creationId xmlns:a16="http://schemas.microsoft.com/office/drawing/2014/main" id="{EAEF6B1B-21C5-44A6-94B4-9B13D2145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94198" y="0"/>
          <a:ext cx="10268151" cy="5134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17</xdr:col>
      <xdr:colOff>1061788</xdr:colOff>
      <xdr:row>25</xdr:row>
      <xdr:rowOff>166272</xdr:rowOff>
    </xdr:to>
    <xdr:pic>
      <xdr:nvPicPr>
        <xdr:cNvPr id="2" name="Picture 1">
          <a:extLst>
            <a:ext uri="{FF2B5EF4-FFF2-40B4-BE49-F238E27FC236}">
              <a16:creationId xmlns:a16="http://schemas.microsoft.com/office/drawing/2014/main" id="{E883333B-B3BB-4388-988A-59668641D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94198" y="0"/>
          <a:ext cx="10268151" cy="5134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lla/Documents/Technical%20Analysis/Data/WASTE/SWD_Waste_Model_2017%20ORIG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5D173-8FFC-4D81-AF0F-76CB7CCA5CCB}">
  <dimension ref="A1:M29"/>
  <sheetViews>
    <sheetView topLeftCell="A4" workbookViewId="0">
      <selection activeCell="A10" sqref="A10"/>
    </sheetView>
  </sheetViews>
  <sheetFormatPr defaultRowHeight="15"/>
  <sheetData>
    <row r="1" spans="1:13" ht="15.75">
      <c r="A1" s="724"/>
      <c r="B1" s="724"/>
      <c r="C1" s="724"/>
      <c r="D1" s="724"/>
      <c r="E1" s="724"/>
      <c r="F1" s="724"/>
      <c r="G1" s="724"/>
      <c r="H1" s="724"/>
      <c r="I1" s="724"/>
      <c r="J1" s="724"/>
      <c r="K1" s="724"/>
      <c r="L1" s="724"/>
      <c r="M1" s="724"/>
    </row>
    <row r="2" spans="1:13" ht="15.75">
      <c r="A2" s="724"/>
      <c r="B2" s="724"/>
      <c r="C2" s="724"/>
      <c r="D2" s="724"/>
      <c r="E2" s="724"/>
      <c r="F2" s="724"/>
      <c r="G2" s="724"/>
      <c r="H2" s="724"/>
      <c r="I2" s="724"/>
      <c r="J2" s="724"/>
      <c r="K2" s="724"/>
      <c r="L2" s="724"/>
      <c r="M2" s="724"/>
    </row>
    <row r="3" spans="1:13" ht="30">
      <c r="A3" s="725"/>
      <c r="B3" s="724"/>
      <c r="C3" s="724"/>
      <c r="D3" s="724"/>
      <c r="E3" s="724"/>
      <c r="F3" s="724"/>
      <c r="G3" s="724"/>
      <c r="H3" s="724"/>
      <c r="I3" s="724"/>
      <c r="J3" s="724"/>
      <c r="K3" s="724"/>
      <c r="L3" s="724"/>
      <c r="M3" s="724"/>
    </row>
    <row r="4" spans="1:13" ht="49.5">
      <c r="A4" s="726" t="s">
        <v>616</v>
      </c>
      <c r="B4" s="724"/>
      <c r="C4" s="724"/>
      <c r="D4" s="724"/>
      <c r="E4" s="724"/>
      <c r="F4" s="724"/>
      <c r="G4" s="724"/>
      <c r="H4" s="724"/>
      <c r="I4" s="724"/>
      <c r="J4" s="724"/>
      <c r="K4" s="724"/>
      <c r="L4" s="724"/>
      <c r="M4" s="724"/>
    </row>
    <row r="5" spans="1:13" ht="49.5">
      <c r="A5" s="726" t="s">
        <v>614</v>
      </c>
      <c r="B5" s="724"/>
      <c r="C5" s="724"/>
      <c r="D5" s="724"/>
      <c r="E5" s="724"/>
      <c r="F5" s="724"/>
      <c r="G5" s="724"/>
      <c r="H5" s="724"/>
      <c r="I5" s="724"/>
      <c r="J5" s="724"/>
      <c r="K5" s="724"/>
      <c r="L5" s="724"/>
      <c r="M5" s="724"/>
    </row>
    <row r="6" spans="1:13" ht="49.5">
      <c r="A6" s="726" t="s">
        <v>615</v>
      </c>
      <c r="B6" s="724"/>
      <c r="C6" s="724"/>
      <c r="D6" s="724"/>
      <c r="E6" s="724"/>
      <c r="F6" s="724"/>
      <c r="G6" s="724"/>
      <c r="H6" s="724"/>
      <c r="I6" s="724"/>
      <c r="J6" s="724"/>
      <c r="K6" s="724"/>
      <c r="L6" s="724"/>
      <c r="M6" s="724"/>
    </row>
    <row r="7" spans="1:13" ht="30">
      <c r="A7" s="725" t="s">
        <v>617</v>
      </c>
      <c r="B7" s="724"/>
      <c r="C7" s="724"/>
      <c r="D7" s="724"/>
      <c r="E7" s="724"/>
      <c r="F7" s="724"/>
      <c r="G7" s="724"/>
      <c r="H7" s="724"/>
      <c r="I7" s="724"/>
      <c r="J7" s="724"/>
      <c r="K7" s="724"/>
      <c r="L7" s="724"/>
      <c r="M7" s="724"/>
    </row>
    <row r="8" spans="1:13" ht="20.25">
      <c r="A8" s="727"/>
      <c r="B8" s="724"/>
      <c r="C8" s="724"/>
      <c r="D8" s="724"/>
      <c r="E8" s="724"/>
      <c r="F8" s="724"/>
      <c r="G8" s="724"/>
      <c r="H8" s="724"/>
      <c r="I8" s="724"/>
      <c r="J8" s="724"/>
      <c r="K8" s="724"/>
      <c r="L8" s="724"/>
      <c r="M8" s="724"/>
    </row>
    <row r="9" spans="1:13" ht="18.75">
      <c r="A9" s="729" t="s">
        <v>734</v>
      </c>
      <c r="B9" s="724"/>
      <c r="C9" s="724"/>
      <c r="D9" s="724"/>
      <c r="E9" s="724"/>
      <c r="F9" s="724"/>
      <c r="G9" s="724"/>
      <c r="H9" s="724"/>
      <c r="I9" s="724"/>
      <c r="J9" s="724"/>
      <c r="K9" s="724"/>
      <c r="L9" s="724"/>
      <c r="M9" s="724"/>
    </row>
    <row r="10" spans="1:13" ht="15.75">
      <c r="A10" s="724"/>
      <c r="B10" s="724"/>
      <c r="C10" s="724"/>
      <c r="D10" s="724"/>
      <c r="E10" s="724"/>
      <c r="F10" s="724"/>
      <c r="G10" s="724"/>
      <c r="H10" s="724"/>
      <c r="I10" s="724"/>
      <c r="J10" s="724"/>
      <c r="K10" s="724"/>
      <c r="L10" s="724"/>
      <c r="M10" s="724"/>
    </row>
    <row r="11" spans="1:13" ht="20.25">
      <c r="A11" s="727" t="s">
        <v>618</v>
      </c>
      <c r="B11" s="724"/>
      <c r="C11" s="724"/>
      <c r="D11" s="724"/>
      <c r="E11" s="724"/>
      <c r="F11" s="724"/>
      <c r="G11" s="724"/>
      <c r="H11" s="724"/>
      <c r="I11" s="724"/>
      <c r="J11" s="724"/>
      <c r="K11" s="724"/>
      <c r="L11" s="724"/>
      <c r="M11" s="724"/>
    </row>
    <row r="12" spans="1:13" ht="20.25">
      <c r="A12" s="727" t="s">
        <v>619</v>
      </c>
      <c r="B12" s="724"/>
      <c r="C12" s="724"/>
      <c r="D12" s="724"/>
      <c r="E12" s="724"/>
      <c r="F12" s="724"/>
      <c r="G12" s="724"/>
      <c r="H12" s="724"/>
      <c r="I12" s="724"/>
      <c r="J12" s="724"/>
      <c r="K12" s="724"/>
      <c r="L12" s="724"/>
      <c r="M12" s="724"/>
    </row>
    <row r="13" spans="1:13" ht="15.75">
      <c r="A13" s="724"/>
      <c r="B13" s="724"/>
      <c r="C13" s="724"/>
      <c r="D13" s="724"/>
      <c r="E13" s="724"/>
      <c r="F13" s="724"/>
      <c r="G13" s="724"/>
      <c r="H13" s="724"/>
      <c r="I13" s="724"/>
      <c r="J13" s="724"/>
      <c r="K13" s="724"/>
      <c r="L13" s="724"/>
      <c r="M13" s="724"/>
    </row>
    <row r="14" spans="1:13" ht="15.75">
      <c r="A14" s="724"/>
      <c r="B14" s="724"/>
      <c r="C14" s="724"/>
      <c r="D14" s="724"/>
      <c r="E14" s="724"/>
      <c r="F14" s="724"/>
      <c r="G14" s="724"/>
      <c r="H14" s="724"/>
      <c r="I14" s="724"/>
      <c r="J14" s="724"/>
      <c r="K14" s="724"/>
      <c r="L14" s="724"/>
      <c r="M14" s="724"/>
    </row>
    <row r="15" spans="1:13" ht="15.75">
      <c r="A15" s="724"/>
      <c r="B15" s="724"/>
      <c r="C15" s="724"/>
      <c r="D15" s="724"/>
      <c r="E15" s="724"/>
      <c r="F15" s="724"/>
      <c r="G15" s="724"/>
      <c r="H15" s="724"/>
      <c r="I15" s="724"/>
      <c r="J15" s="724"/>
      <c r="K15" s="724"/>
      <c r="L15" s="724"/>
      <c r="M15" s="724"/>
    </row>
    <row r="16" spans="1:13" ht="15.75">
      <c r="A16" s="724"/>
      <c r="B16" s="724"/>
      <c r="C16" s="724"/>
      <c r="D16" s="724"/>
      <c r="E16" s="724"/>
      <c r="F16" s="724"/>
      <c r="G16" s="724"/>
      <c r="H16" s="724"/>
      <c r="I16" s="724"/>
      <c r="J16" s="724"/>
      <c r="K16" s="724"/>
      <c r="L16" s="724"/>
      <c r="M16" s="724"/>
    </row>
    <row r="17" spans="1:13" ht="15.75">
      <c r="A17" s="724"/>
      <c r="B17" s="724"/>
      <c r="C17" s="724"/>
      <c r="D17" s="724"/>
      <c r="E17" s="724"/>
      <c r="F17" s="724"/>
      <c r="G17" s="724"/>
      <c r="H17" s="724"/>
      <c r="I17" s="724"/>
      <c r="J17" s="724"/>
      <c r="K17" s="724"/>
      <c r="L17" s="724"/>
      <c r="M17" s="724"/>
    </row>
    <row r="18" spans="1:13" ht="15.75">
      <c r="A18" s="724"/>
      <c r="B18" s="724"/>
      <c r="C18" s="724"/>
      <c r="D18" s="724"/>
      <c r="E18" s="724"/>
      <c r="F18" s="724"/>
      <c r="G18" s="724"/>
      <c r="H18" s="724"/>
      <c r="I18" s="724"/>
      <c r="J18" s="724"/>
      <c r="K18" s="724"/>
      <c r="L18" s="724"/>
      <c r="M18" s="724"/>
    </row>
    <row r="19" spans="1:13" ht="15.75">
      <c r="A19" s="724"/>
      <c r="B19" s="724"/>
      <c r="C19" s="724"/>
      <c r="D19" s="724"/>
      <c r="E19" s="724"/>
      <c r="F19" s="724"/>
      <c r="G19" s="724"/>
      <c r="H19" s="724"/>
      <c r="I19" s="724"/>
      <c r="J19" s="724"/>
      <c r="K19" s="724"/>
      <c r="L19" s="724"/>
      <c r="M19" s="724"/>
    </row>
    <row r="20" spans="1:13" ht="15.75">
      <c r="A20" s="724"/>
      <c r="B20" s="724"/>
      <c r="C20" s="724"/>
      <c r="D20" s="724"/>
      <c r="E20" s="724"/>
      <c r="F20" s="724"/>
      <c r="G20" s="724"/>
      <c r="H20" s="724"/>
      <c r="I20" s="724"/>
      <c r="J20" s="724"/>
      <c r="K20" s="724"/>
      <c r="L20" s="724"/>
      <c r="M20" s="724"/>
    </row>
    <row r="21" spans="1:13" ht="15.75">
      <c r="A21" s="724"/>
      <c r="B21" s="724"/>
      <c r="C21" s="724"/>
      <c r="D21" s="724"/>
      <c r="E21" s="724"/>
      <c r="F21" s="724"/>
      <c r="G21" s="724"/>
      <c r="H21" s="724"/>
      <c r="I21" s="724"/>
      <c r="J21" s="724"/>
      <c r="K21" s="724"/>
      <c r="L21" s="724"/>
      <c r="M21" s="724"/>
    </row>
    <row r="22" spans="1:13" ht="15.75">
      <c r="A22" s="724"/>
      <c r="B22" s="724"/>
      <c r="C22" s="724"/>
      <c r="D22" s="724"/>
      <c r="E22" s="724"/>
      <c r="F22" s="724"/>
      <c r="G22" s="724"/>
      <c r="H22" s="724"/>
      <c r="I22" s="724"/>
      <c r="J22" s="724"/>
      <c r="K22" s="724"/>
      <c r="L22" s="724"/>
      <c r="M22" s="724"/>
    </row>
    <row r="23" spans="1:13" ht="15.75">
      <c r="A23" s="728"/>
      <c r="B23" s="728"/>
      <c r="C23" s="728"/>
      <c r="D23" s="728"/>
      <c r="E23" s="728"/>
      <c r="F23" s="728"/>
      <c r="G23" s="728"/>
      <c r="H23" s="728"/>
      <c r="I23" s="728"/>
      <c r="J23" s="728"/>
      <c r="K23" s="728"/>
      <c r="L23" s="728"/>
      <c r="M23" s="728"/>
    </row>
    <row r="24" spans="1:13" ht="15.75">
      <c r="A24" s="728"/>
      <c r="B24" s="728"/>
      <c r="C24" s="728"/>
      <c r="D24" s="728"/>
      <c r="E24" s="728"/>
      <c r="F24" s="728"/>
      <c r="G24" s="728"/>
      <c r="H24" s="728"/>
      <c r="I24" s="728"/>
      <c r="J24" s="728"/>
      <c r="K24" s="728"/>
      <c r="L24" s="728"/>
      <c r="M24" s="728"/>
    </row>
    <row r="25" spans="1:13" ht="15.75">
      <c r="A25" s="728"/>
      <c r="B25" s="728"/>
      <c r="C25" s="728"/>
      <c r="D25" s="728"/>
      <c r="E25" s="728"/>
      <c r="F25" s="728"/>
      <c r="G25" s="728"/>
      <c r="H25" s="728"/>
      <c r="I25" s="728"/>
      <c r="J25" s="728"/>
      <c r="K25" s="728"/>
      <c r="L25" s="728"/>
      <c r="M25" s="728"/>
    </row>
    <row r="26" spans="1:13" ht="15.75">
      <c r="A26" s="728"/>
      <c r="B26" s="728"/>
      <c r="C26" s="728"/>
      <c r="D26" s="728"/>
      <c r="E26" s="728"/>
      <c r="F26" s="728"/>
      <c r="G26" s="728"/>
      <c r="H26" s="728"/>
      <c r="I26" s="728"/>
      <c r="J26" s="728"/>
      <c r="K26" s="728"/>
      <c r="L26" s="728"/>
      <c r="M26" s="728"/>
    </row>
    <row r="27" spans="1:13" ht="15.75">
      <c r="A27" s="728"/>
      <c r="B27" s="728"/>
      <c r="C27" s="728"/>
      <c r="D27" s="728"/>
      <c r="E27" s="728"/>
      <c r="F27" s="728"/>
      <c r="G27" s="728"/>
      <c r="H27" s="728"/>
      <c r="I27" s="728"/>
      <c r="J27" s="728"/>
      <c r="K27" s="728"/>
      <c r="L27" s="728"/>
      <c r="M27" s="728"/>
    </row>
    <row r="28" spans="1:13" ht="15.75">
      <c r="A28" s="728"/>
      <c r="B28" s="728"/>
      <c r="C28" s="728"/>
      <c r="D28" s="728"/>
      <c r="E28" s="728"/>
      <c r="F28" s="728"/>
      <c r="G28" s="728"/>
      <c r="H28" s="728"/>
      <c r="I28" s="728"/>
      <c r="J28" s="728"/>
      <c r="K28" s="728"/>
      <c r="L28" s="728"/>
      <c r="M28" s="728"/>
    </row>
    <row r="29" spans="1:13" ht="15.75">
      <c r="A29" s="728"/>
      <c r="B29" s="728"/>
      <c r="C29" s="728"/>
      <c r="D29" s="728"/>
      <c r="E29" s="728"/>
      <c r="F29" s="728"/>
      <c r="G29" s="728"/>
      <c r="H29" s="728"/>
      <c r="I29" s="728"/>
      <c r="J29" s="728"/>
      <c r="K29" s="728"/>
      <c r="L29" s="728"/>
      <c r="M29" s="72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59484-309D-4B3C-8A79-266A61CAE472}">
  <sheetPr codeName="Sheet3"/>
  <dimension ref="A1:CE208"/>
  <sheetViews>
    <sheetView topLeftCell="O169" zoomScale="70" zoomScaleNormal="70" workbookViewId="0">
      <selection activeCell="T175" sqref="T175"/>
    </sheetView>
  </sheetViews>
  <sheetFormatPr defaultRowHeight="15"/>
  <cols>
    <col min="1" max="1" width="55.28515625" customWidth="1"/>
    <col min="2" max="2" width="32.28515625" customWidth="1"/>
    <col min="3" max="3" width="22.5703125" customWidth="1"/>
    <col min="4" max="4" width="31.28515625" customWidth="1"/>
    <col min="5" max="5" width="25.140625" customWidth="1"/>
    <col min="6" max="6" width="28.140625" customWidth="1"/>
    <col min="7" max="7" width="22.5703125" customWidth="1"/>
    <col min="8" max="8" width="19.7109375" customWidth="1"/>
    <col min="9" max="9" width="30.28515625" customWidth="1"/>
    <col min="10" max="10" width="25.28515625" customWidth="1"/>
    <col min="11" max="12" width="24.7109375" customWidth="1"/>
    <col min="13" max="13" width="21.42578125" customWidth="1"/>
    <col min="14" max="14" width="25.85546875" customWidth="1"/>
    <col min="15" max="15" width="26.140625" customWidth="1"/>
    <col min="16" max="16" width="20.42578125" customWidth="1"/>
    <col min="17" max="17" width="20.7109375" customWidth="1"/>
    <col min="18" max="18" width="19.28515625" customWidth="1"/>
    <col min="19" max="19" width="23.140625" customWidth="1"/>
    <col min="20" max="20" width="17.7109375" customWidth="1"/>
    <col min="21" max="21" width="21.42578125" customWidth="1"/>
    <col min="22" max="22" width="20" customWidth="1"/>
    <col min="23" max="23" width="22.7109375" customWidth="1"/>
    <col min="24" max="24" width="24" customWidth="1"/>
    <col min="25" max="25" width="21.85546875" customWidth="1"/>
    <col min="26" max="26" width="17.28515625" customWidth="1"/>
    <col min="27" max="28" width="21.42578125" customWidth="1"/>
    <col min="29" max="29" width="21.140625" customWidth="1"/>
    <col min="30" max="30" width="22.85546875" customWidth="1"/>
    <col min="31" max="31" width="24.42578125" customWidth="1"/>
    <col min="32" max="32" width="29.42578125" customWidth="1"/>
    <col min="33" max="34" width="22.7109375" customWidth="1"/>
    <col min="35" max="37" width="29.140625" customWidth="1"/>
    <col min="38" max="38" width="17.7109375" customWidth="1"/>
    <col min="39" max="39" width="21" customWidth="1"/>
    <col min="40" max="40" width="21.28515625" customWidth="1"/>
    <col min="41" max="41" width="19.5703125" customWidth="1"/>
    <col min="42" max="42" width="26.42578125" customWidth="1"/>
    <col min="43" max="43" width="22.5703125" customWidth="1"/>
    <col min="44" max="44" width="20.140625" customWidth="1"/>
    <col min="45" max="45" width="22.5703125" customWidth="1"/>
    <col min="46" max="46" width="13.7109375" customWidth="1"/>
    <col min="47" max="47" width="23.140625" customWidth="1"/>
    <col min="48" max="48" width="15.7109375" customWidth="1"/>
    <col min="49" max="49" width="17.7109375" customWidth="1"/>
    <col min="50" max="50" width="20.7109375" customWidth="1"/>
    <col min="51" max="51" width="18" customWidth="1"/>
    <col min="52" max="52" width="14.85546875" customWidth="1"/>
    <col min="53" max="53" width="15.7109375" customWidth="1"/>
    <col min="54" max="54" width="14.7109375" customWidth="1"/>
    <col min="55" max="55" width="23.7109375" customWidth="1"/>
    <col min="56" max="56" width="21.140625" customWidth="1"/>
    <col min="57" max="57" width="24.5703125" customWidth="1"/>
    <col min="58" max="58" width="15.140625" customWidth="1"/>
    <col min="59" max="59" width="20.140625" customWidth="1"/>
    <col min="60" max="60" width="24.140625" customWidth="1"/>
    <col min="61" max="61" width="19.5703125" customWidth="1"/>
    <col min="62" max="62" width="14.85546875" customWidth="1"/>
    <col min="63" max="63" width="14.28515625" customWidth="1"/>
    <col min="64" max="64" width="13.140625" customWidth="1"/>
    <col min="65" max="65" width="11.7109375" customWidth="1"/>
    <col min="66" max="66" width="9.28515625" customWidth="1"/>
    <col min="67" max="67" width="12" customWidth="1"/>
    <col min="68" max="68" width="15.28515625" customWidth="1"/>
    <col min="72" max="72" width="15.140625" customWidth="1"/>
    <col min="73" max="73" width="17.28515625" customWidth="1"/>
    <col min="74" max="74" width="16.7109375" customWidth="1"/>
    <col min="75" max="75" width="12.85546875" customWidth="1"/>
    <col min="76" max="76" width="16.85546875" customWidth="1"/>
    <col min="77" max="77" width="17.28515625" customWidth="1"/>
    <col min="78" max="78" width="12.85546875" customWidth="1"/>
    <col min="79" max="79" width="12.5703125" customWidth="1"/>
    <col min="80" max="83" width="15" customWidth="1"/>
  </cols>
  <sheetData>
    <row r="1" spans="1:11">
      <c r="A1" s="2" t="s">
        <v>620</v>
      </c>
      <c r="J1" s="99"/>
      <c r="K1" s="99"/>
    </row>
    <row r="2" spans="1:11" ht="15.75" thickBot="1">
      <c r="A2" s="2" t="s">
        <v>621</v>
      </c>
      <c r="B2" s="501" t="s">
        <v>633</v>
      </c>
      <c r="J2" s="99"/>
      <c r="K2" s="99"/>
    </row>
    <row r="3" spans="1:11" ht="15.75" thickBot="1">
      <c r="A3" s="2"/>
      <c r="C3" s="736" t="s">
        <v>629</v>
      </c>
      <c r="D3" s="737" t="s">
        <v>636</v>
      </c>
      <c r="E3" s="736" t="s">
        <v>630</v>
      </c>
      <c r="F3" s="737" t="s">
        <v>636</v>
      </c>
      <c r="G3" s="736" t="s">
        <v>631</v>
      </c>
      <c r="H3" s="737" t="s">
        <v>636</v>
      </c>
      <c r="J3" s="99"/>
      <c r="K3" s="99"/>
    </row>
    <row r="4" spans="1:11">
      <c r="A4" s="1652" t="s">
        <v>634</v>
      </c>
      <c r="B4" s="1649" t="s">
        <v>635</v>
      </c>
      <c r="C4" s="735">
        <v>0.5</v>
      </c>
      <c r="D4" s="116">
        <v>2030</v>
      </c>
      <c r="E4" s="735">
        <f>C4</f>
        <v>0.5</v>
      </c>
      <c r="F4" s="116">
        <f>2017+5</f>
        <v>2022</v>
      </c>
      <c r="G4" s="735">
        <f>E4</f>
        <v>0.5</v>
      </c>
      <c r="H4" s="116">
        <f>F4</f>
        <v>2022</v>
      </c>
      <c r="J4" s="99"/>
      <c r="K4" s="99"/>
    </row>
    <row r="5" spans="1:11">
      <c r="A5" s="1632"/>
      <c r="B5" s="1650"/>
      <c r="C5" s="731">
        <v>0.65</v>
      </c>
      <c r="D5" s="130">
        <v>2040</v>
      </c>
      <c r="E5" s="731">
        <f t="shared" ref="E5:E6" si="0">C5</f>
        <v>0.65</v>
      </c>
      <c r="F5" s="130">
        <f>2017+10</f>
        <v>2027</v>
      </c>
      <c r="G5" s="731">
        <f t="shared" ref="G5:G6" si="1">E5</f>
        <v>0.65</v>
      </c>
      <c r="H5" s="130">
        <f t="shared" ref="H5:H6" si="2">F5</f>
        <v>2027</v>
      </c>
      <c r="J5" s="99"/>
      <c r="K5" s="99"/>
    </row>
    <row r="6" spans="1:11" ht="15.75" thickBot="1">
      <c r="A6" s="1633"/>
      <c r="B6" s="1651"/>
      <c r="C6" s="733">
        <v>0.8</v>
      </c>
      <c r="D6" s="140">
        <v>2050</v>
      </c>
      <c r="E6" s="733">
        <f t="shared" si="0"/>
        <v>0.8</v>
      </c>
      <c r="F6" s="140">
        <f>15+2017</f>
        <v>2032</v>
      </c>
      <c r="G6" s="733">
        <f t="shared" si="1"/>
        <v>0.8</v>
      </c>
      <c r="H6" s="140">
        <f t="shared" si="2"/>
        <v>2032</v>
      </c>
      <c r="J6" s="99"/>
      <c r="K6" s="99"/>
    </row>
    <row r="7" spans="1:11" ht="15.75" thickBot="1">
      <c r="A7" s="747"/>
      <c r="B7" s="747"/>
      <c r="C7" s="732"/>
      <c r="D7" s="104"/>
      <c r="E7" s="732"/>
      <c r="F7" s="104"/>
      <c r="G7" s="732"/>
      <c r="H7" s="104"/>
      <c r="J7" s="99"/>
      <c r="K7" s="99"/>
    </row>
    <row r="8" spans="1:11" ht="15.6" customHeight="1">
      <c r="A8" s="1663" t="s">
        <v>652</v>
      </c>
      <c r="B8" s="1515" t="s">
        <v>561</v>
      </c>
      <c r="C8" s="1516"/>
      <c r="D8" s="1516"/>
      <c r="E8" s="1516"/>
      <c r="F8" s="1517"/>
      <c r="G8" s="1515" t="s">
        <v>610</v>
      </c>
      <c r="H8" s="1516"/>
      <c r="I8" s="1517"/>
      <c r="J8" s="353"/>
      <c r="K8" s="99"/>
    </row>
    <row r="9" spans="1:11" ht="32.25" thickBot="1">
      <c r="A9" s="1664"/>
      <c r="B9" s="561" t="s">
        <v>549</v>
      </c>
      <c r="C9" s="307" t="s">
        <v>566</v>
      </c>
      <c r="D9" s="307" t="s">
        <v>429</v>
      </c>
      <c r="E9" s="307" t="s">
        <v>553</v>
      </c>
      <c r="F9" s="562" t="s">
        <v>303</v>
      </c>
      <c r="G9" s="561" t="s">
        <v>569</v>
      </c>
      <c r="H9" s="307" t="s">
        <v>570</v>
      </c>
      <c r="I9" s="562" t="s">
        <v>303</v>
      </c>
      <c r="J9" s="353"/>
      <c r="K9" s="99"/>
    </row>
    <row r="10" spans="1:11" ht="15.75">
      <c r="A10" s="542" t="s">
        <v>651</v>
      </c>
      <c r="B10" s="547">
        <f>'Input data'!B33</f>
        <v>0.46471844811027063</v>
      </c>
      <c r="C10" s="547">
        <f>'Input data'!C33</f>
        <v>0.41381327103365251</v>
      </c>
      <c r="D10" s="547">
        <f>'Input data'!D33</f>
        <v>0.12146828085607692</v>
      </c>
      <c r="E10" s="547">
        <f>'Input data'!E33</f>
        <v>0</v>
      </c>
      <c r="F10" s="547">
        <f>'Input data'!F33</f>
        <v>1</v>
      </c>
      <c r="G10" s="545">
        <f>'Input data'!G33</f>
        <v>0.66241124199764068</v>
      </c>
      <c r="H10" s="545">
        <f>'Input data'!H33</f>
        <v>0.33758875800235938</v>
      </c>
      <c r="I10" s="781">
        <f>'Input data'!I33</f>
        <v>1</v>
      </c>
      <c r="J10" s="158"/>
      <c r="K10" s="99"/>
    </row>
    <row r="11" spans="1:11" ht="15.75">
      <c r="A11" s="543" t="s">
        <v>656</v>
      </c>
      <c r="B11" s="547">
        <f>'Input data'!B34</f>
        <v>0.85641924869700936</v>
      </c>
      <c r="C11" s="547">
        <f>'Input data'!C34</f>
        <v>0.14268338865096522</v>
      </c>
      <c r="D11" s="547">
        <f>'Input data'!D34</f>
        <v>0</v>
      </c>
      <c r="E11" s="547">
        <f>'Input data'!E34</f>
        <v>8.973626520254116E-4</v>
      </c>
      <c r="F11" s="547">
        <f>'Input data'!F34</f>
        <v>1</v>
      </c>
      <c r="G11" s="547">
        <f>'Input data'!G34</f>
        <v>0.49613166950665732</v>
      </c>
      <c r="H11" s="547">
        <f>'Input data'!H34</f>
        <v>0.50386833049334279</v>
      </c>
      <c r="I11" s="547">
        <f>'Input data'!I34</f>
        <v>1</v>
      </c>
      <c r="J11" s="844"/>
      <c r="K11" s="99"/>
    </row>
    <row r="12" spans="1:11" ht="15.75">
      <c r="A12" s="816" t="s">
        <v>657</v>
      </c>
      <c r="B12" s="547">
        <f>'Input data'!B35</f>
        <v>0.74218195843015589</v>
      </c>
      <c r="C12" s="547">
        <f>'Input data'!C35</f>
        <v>0.25567103228934263</v>
      </c>
      <c r="D12" s="547">
        <f>'Input data'!D35</f>
        <v>0</v>
      </c>
      <c r="E12" s="547">
        <f>'Input data'!E35</f>
        <v>2.1470092805013948E-3</v>
      </c>
      <c r="F12" s="547">
        <f>'Input data'!F35</f>
        <v>0.99999999999999989</v>
      </c>
      <c r="G12" s="547">
        <f>'Input data'!G35</f>
        <v>0.32721719372829228</v>
      </c>
      <c r="H12" s="547">
        <f>'Input data'!H35</f>
        <v>0.67278280627170772</v>
      </c>
      <c r="I12" s="547">
        <f>'Input data'!I35</f>
        <v>1</v>
      </c>
      <c r="J12" s="99"/>
      <c r="K12" s="99"/>
    </row>
    <row r="13" spans="1:11" ht="16.5" thickBot="1">
      <c r="A13" s="544" t="s">
        <v>575</v>
      </c>
      <c r="B13" s="782">
        <f>'Input data'!B36</f>
        <v>0.8</v>
      </c>
      <c r="C13" s="782">
        <f>'Input data'!C36</f>
        <v>0.11</v>
      </c>
      <c r="D13" s="782">
        <f>'Input data'!D36</f>
        <v>0.09</v>
      </c>
      <c r="E13" s="782">
        <f>'Input data'!E36</f>
        <v>0</v>
      </c>
      <c r="F13" s="782">
        <f>'Input data'!F36</f>
        <v>1</v>
      </c>
      <c r="G13" s="783">
        <f>'Input data'!G36</f>
        <v>1</v>
      </c>
      <c r="H13" s="783">
        <f>'Input data'!H36</f>
        <v>0</v>
      </c>
      <c r="I13" s="784">
        <f>'Input data'!I36</f>
        <v>1</v>
      </c>
      <c r="J13" s="99"/>
      <c r="K13" s="99">
        <v>0.57999999999999996</v>
      </c>
    </row>
    <row r="14" spans="1:11" ht="15.75">
      <c r="A14" s="580"/>
      <c r="C14" s="780"/>
      <c r="E14" s="780"/>
      <c r="F14" s="780"/>
      <c r="G14" s="535"/>
      <c r="J14" s="99"/>
      <c r="K14" s="99">
        <v>0.21707953063885269</v>
      </c>
    </row>
    <row r="15" spans="1:11" ht="15.6" customHeight="1" thickBot="1">
      <c r="B15" s="501" t="s">
        <v>632</v>
      </c>
      <c r="J15" s="99"/>
      <c r="K15" s="99">
        <v>0.71200000000000008</v>
      </c>
    </row>
    <row r="16" spans="1:11" ht="15.75" thickBot="1">
      <c r="A16" s="788"/>
      <c r="B16" s="787" t="s">
        <v>636</v>
      </c>
      <c r="C16" s="745" t="s">
        <v>87</v>
      </c>
      <c r="D16" s="745" t="s">
        <v>364</v>
      </c>
      <c r="E16" s="745" t="s">
        <v>365</v>
      </c>
      <c r="F16" s="745" t="s">
        <v>366</v>
      </c>
      <c r="G16" s="832" t="s">
        <v>660</v>
      </c>
      <c r="H16" s="833" t="s">
        <v>367</v>
      </c>
      <c r="K16">
        <v>0.8</v>
      </c>
    </row>
    <row r="17" spans="1:11">
      <c r="A17" s="789" t="s">
        <v>653</v>
      </c>
      <c r="B17" s="788">
        <v>2017</v>
      </c>
      <c r="C17" s="114">
        <f>E63/E65</f>
        <v>0.57999999999999996</v>
      </c>
      <c r="D17" s="114">
        <f>J63/J65</f>
        <v>0.437</v>
      </c>
      <c r="E17" s="114">
        <f t="shared" ref="E17:G17" si="3">K63/K65</f>
        <v>0.71200000000000008</v>
      </c>
      <c r="F17" s="114">
        <f t="shared" si="3"/>
        <v>0.8</v>
      </c>
      <c r="G17" s="114">
        <f t="shared" si="3"/>
        <v>0.23600000000000002</v>
      </c>
      <c r="H17" s="741">
        <f>H80</f>
        <v>6.154773859516615E-2</v>
      </c>
      <c r="K17">
        <v>0.23600000000000002</v>
      </c>
    </row>
    <row r="18" spans="1:11">
      <c r="A18" s="790" t="s">
        <v>629</v>
      </c>
      <c r="B18" s="693">
        <v>2030</v>
      </c>
      <c r="C18" s="510">
        <f>C17</f>
        <v>0.57999999999999996</v>
      </c>
      <c r="D18" s="510">
        <f t="shared" ref="D18:F18" si="4">D17</f>
        <v>0.437</v>
      </c>
      <c r="E18" s="510">
        <f t="shared" si="4"/>
        <v>0.71200000000000008</v>
      </c>
      <c r="F18" s="510">
        <f t="shared" si="4"/>
        <v>0.8</v>
      </c>
      <c r="G18" s="510">
        <f>G17</f>
        <v>0.23600000000000002</v>
      </c>
      <c r="H18" s="658">
        <v>0.2</v>
      </c>
    </row>
    <row r="19" spans="1:11">
      <c r="A19" s="789" t="s">
        <v>630</v>
      </c>
      <c r="B19" s="693">
        <v>2030</v>
      </c>
      <c r="C19" s="732">
        <v>0.7</v>
      </c>
      <c r="D19" s="732">
        <v>0.6</v>
      </c>
      <c r="E19" s="732">
        <v>0.9</v>
      </c>
      <c r="F19" s="732">
        <v>0.9</v>
      </c>
      <c r="G19" s="510">
        <f>G18</f>
        <v>0.23600000000000002</v>
      </c>
      <c r="H19" s="742">
        <v>0.4</v>
      </c>
    </row>
    <row r="20" spans="1:11" ht="15.75" thickBot="1">
      <c r="A20" s="791" t="s">
        <v>631</v>
      </c>
      <c r="B20" s="694">
        <v>2030</v>
      </c>
      <c r="C20" s="734">
        <f>C19</f>
        <v>0.7</v>
      </c>
      <c r="D20" s="734">
        <f>D19</f>
        <v>0.6</v>
      </c>
      <c r="E20" s="734">
        <f>E19</f>
        <v>0.9</v>
      </c>
      <c r="F20" s="734">
        <f>F19</f>
        <v>0.9</v>
      </c>
      <c r="G20" s="807">
        <f>G19</f>
        <v>0.23600000000000002</v>
      </c>
      <c r="H20" s="743">
        <f>H19</f>
        <v>0.4</v>
      </c>
    </row>
    <row r="21" spans="1:11">
      <c r="A21" s="738"/>
      <c r="B21" s="104"/>
      <c r="C21" s="732"/>
      <c r="D21" s="732"/>
      <c r="E21" s="732"/>
      <c r="F21" s="104"/>
      <c r="G21" s="104"/>
      <c r="J21" s="510"/>
    </row>
    <row r="22" spans="1:11">
      <c r="A22" s="738"/>
      <c r="B22" s="104"/>
      <c r="C22" s="732"/>
      <c r="D22" s="732"/>
      <c r="E22" s="732"/>
      <c r="F22" s="104"/>
      <c r="G22" s="104"/>
    </row>
    <row r="23" spans="1:11">
      <c r="A23" s="739"/>
      <c r="B23" s="58"/>
      <c r="C23" s="58"/>
      <c r="D23" s="58"/>
      <c r="E23" s="732"/>
    </row>
    <row r="24" spans="1:11" ht="15.75" thickBot="1">
      <c r="A24" s="739"/>
      <c r="B24" s="501" t="s">
        <v>637</v>
      </c>
      <c r="C24" s="58"/>
      <c r="D24" s="58"/>
      <c r="E24" s="732"/>
    </row>
    <row r="25" spans="1:11" ht="15.75" thickBot="1">
      <c r="A25" s="740"/>
      <c r="B25" s="744"/>
      <c r="C25" s="748" t="s">
        <v>629</v>
      </c>
      <c r="D25" s="749" t="s">
        <v>636</v>
      </c>
      <c r="E25" s="746" t="s">
        <v>630</v>
      </c>
      <c r="F25" s="737" t="s">
        <v>636</v>
      </c>
      <c r="G25" s="751" t="s">
        <v>631</v>
      </c>
      <c r="H25" s="737" t="s">
        <v>636</v>
      </c>
    </row>
    <row r="26" spans="1:11">
      <c r="A26" s="1632" t="s">
        <v>638</v>
      </c>
      <c r="B26" s="1650" t="s">
        <v>635</v>
      </c>
      <c r="C26" s="731">
        <v>0.25</v>
      </c>
      <c r="D26" s="104">
        <f>2017+5</f>
        <v>2022</v>
      </c>
      <c r="E26" s="1657">
        <v>0.5</v>
      </c>
      <c r="F26" s="1659">
        <f>2017+5</f>
        <v>2022</v>
      </c>
      <c r="G26" s="1661">
        <f>E26</f>
        <v>0.5</v>
      </c>
      <c r="H26" s="1659">
        <f>F26</f>
        <v>2022</v>
      </c>
    </row>
    <row r="27" spans="1:11" ht="15.75" thickBot="1">
      <c r="A27" s="1633"/>
      <c r="B27" s="1651"/>
      <c r="C27" s="733">
        <v>0.5</v>
      </c>
      <c r="D27" s="163">
        <f>2017+10</f>
        <v>2027</v>
      </c>
      <c r="E27" s="1658"/>
      <c r="F27" s="1660"/>
      <c r="G27" s="1662"/>
      <c r="H27" s="1660"/>
    </row>
    <row r="28" spans="1:11" ht="15.75" thickBot="1">
      <c r="A28" s="747"/>
      <c r="B28" s="747"/>
      <c r="C28" s="732"/>
      <c r="D28" s="104"/>
      <c r="E28" s="732"/>
      <c r="F28" s="104"/>
      <c r="G28" s="732"/>
      <c r="H28" s="104"/>
    </row>
    <row r="29" spans="1:11">
      <c r="A29" s="750"/>
      <c r="B29" s="756"/>
      <c r="C29" s="1654" t="s">
        <v>629</v>
      </c>
      <c r="D29" s="1655"/>
      <c r="E29" s="1654" t="s">
        <v>630</v>
      </c>
      <c r="F29" s="1655"/>
      <c r="G29" s="1656" t="s">
        <v>631</v>
      </c>
      <c r="H29" s="1655"/>
    </row>
    <row r="30" spans="1:11" ht="15.75" thickBot="1">
      <c r="A30" s="752"/>
      <c r="B30" s="757"/>
      <c r="C30" s="753" t="s">
        <v>640</v>
      </c>
      <c r="D30" s="754" t="s">
        <v>176</v>
      </c>
      <c r="E30" s="753" t="s">
        <v>640</v>
      </c>
      <c r="F30" s="754" t="s">
        <v>176</v>
      </c>
      <c r="G30" s="755" t="s">
        <v>640</v>
      </c>
      <c r="H30" s="754" t="s">
        <v>176</v>
      </c>
    </row>
    <row r="31" spans="1:11" ht="15.75" thickBot="1">
      <c r="A31" s="758" t="s">
        <v>639</v>
      </c>
      <c r="B31" s="759" t="s">
        <v>635</v>
      </c>
      <c r="C31" s="733">
        <v>0.1</v>
      </c>
      <c r="D31" s="743">
        <v>0.9</v>
      </c>
      <c r="E31" s="733">
        <v>0.1</v>
      </c>
      <c r="F31" s="743">
        <v>0.9</v>
      </c>
      <c r="G31" s="734">
        <v>0.5</v>
      </c>
      <c r="H31" s="743">
        <v>0.5</v>
      </c>
    </row>
    <row r="32" spans="1:11">
      <c r="A32" s="739"/>
      <c r="B32" s="58"/>
      <c r="C32" s="58"/>
      <c r="D32" s="58"/>
      <c r="E32" s="732"/>
    </row>
    <row r="33" spans="1:24" ht="15.75" thickBot="1">
      <c r="A33" s="739"/>
      <c r="B33" s="501" t="s">
        <v>641</v>
      </c>
      <c r="C33" s="58"/>
      <c r="D33" s="58"/>
      <c r="E33" s="732"/>
    </row>
    <row r="34" spans="1:24" ht="28.9" customHeight="1" thickBot="1">
      <c r="A34" s="767"/>
      <c r="B34" s="1187" t="s">
        <v>636</v>
      </c>
      <c r="C34" s="928" t="s">
        <v>269</v>
      </c>
      <c r="D34" s="929" t="s">
        <v>270</v>
      </c>
      <c r="E34" s="929" t="s">
        <v>271</v>
      </c>
      <c r="F34" s="929" t="s">
        <v>272</v>
      </c>
      <c r="G34" s="930" t="s">
        <v>706</v>
      </c>
    </row>
    <row r="35" spans="1:24">
      <c r="A35" s="768" t="s">
        <v>642</v>
      </c>
      <c r="B35" s="1222">
        <v>2017</v>
      </c>
      <c r="C35" s="931">
        <f>Parameters!C188</f>
        <v>0</v>
      </c>
      <c r="D35" s="932">
        <f>Parameters!D188</f>
        <v>0</v>
      </c>
      <c r="E35" s="932">
        <f>Parameters!E188</f>
        <v>0.4</v>
      </c>
      <c r="F35" s="932">
        <f>Parameters!F188</f>
        <v>0.3</v>
      </c>
      <c r="G35" s="933">
        <f>Parameters!G188</f>
        <v>0.3</v>
      </c>
    </row>
    <row r="36" spans="1:24">
      <c r="A36" s="1637" t="s">
        <v>629</v>
      </c>
      <c r="B36" s="1223">
        <v>2030</v>
      </c>
      <c r="C36" s="764">
        <f>C35</f>
        <v>0</v>
      </c>
      <c r="D36" s="760">
        <f>D35</f>
        <v>0</v>
      </c>
      <c r="E36" s="760">
        <f>1-F36-G36</f>
        <v>0.7</v>
      </c>
      <c r="F36" s="760">
        <f>F35/2</f>
        <v>0.15</v>
      </c>
      <c r="G36" s="761">
        <f>G35/2</f>
        <v>0.15</v>
      </c>
      <c r="H36" t="s">
        <v>643</v>
      </c>
    </row>
    <row r="37" spans="1:24">
      <c r="A37" s="1637"/>
      <c r="B37" s="1223">
        <v>2050</v>
      </c>
      <c r="C37" s="764">
        <f>C38</f>
        <v>0</v>
      </c>
      <c r="D37" s="760">
        <f t="shared" ref="D37:G37" si="5">D38</f>
        <v>0</v>
      </c>
      <c r="E37" s="760">
        <f t="shared" si="5"/>
        <v>1</v>
      </c>
      <c r="F37" s="760">
        <f t="shared" si="5"/>
        <v>0</v>
      </c>
      <c r="G37" s="761">
        <f t="shared" si="5"/>
        <v>0</v>
      </c>
    </row>
    <row r="38" spans="1:24">
      <c r="A38" s="1243" t="s">
        <v>630</v>
      </c>
      <c r="B38" s="1223">
        <v>2030</v>
      </c>
      <c r="C38" s="764">
        <f>C36</f>
        <v>0</v>
      </c>
      <c r="D38" s="760">
        <f>D36</f>
        <v>0</v>
      </c>
      <c r="E38" s="760">
        <v>1</v>
      </c>
      <c r="F38" s="760">
        <v>0</v>
      </c>
      <c r="G38" s="761">
        <v>0</v>
      </c>
      <c r="H38" t="s">
        <v>644</v>
      </c>
    </row>
    <row r="39" spans="1:24" ht="15.75" thickBot="1">
      <c r="A39" s="1244" t="s">
        <v>631</v>
      </c>
      <c r="B39" s="1224">
        <v>2030</v>
      </c>
      <c r="C39" s="765">
        <f>C37</f>
        <v>0</v>
      </c>
      <c r="D39" s="762">
        <f>D37</f>
        <v>0</v>
      </c>
      <c r="E39" s="762">
        <v>1</v>
      </c>
      <c r="F39" s="762">
        <v>0</v>
      </c>
      <c r="G39" s="763">
        <v>0</v>
      </c>
    </row>
    <row r="40" spans="1:24">
      <c r="A40" s="2"/>
    </row>
    <row r="41" spans="1:24" ht="15.75" thickBot="1">
      <c r="A41" s="2"/>
      <c r="B41" s="501" t="s">
        <v>645</v>
      </c>
    </row>
    <row r="42" spans="1:24" ht="15.75" thickBot="1">
      <c r="A42" s="2"/>
      <c r="C42" s="1653" t="s">
        <v>6</v>
      </c>
      <c r="D42" s="1647"/>
      <c r="E42" s="1647"/>
      <c r="F42" s="1647"/>
      <c r="G42" s="1647"/>
      <c r="H42" s="1647"/>
      <c r="I42" s="1648"/>
      <c r="J42" s="1646" t="s">
        <v>298</v>
      </c>
      <c r="K42" s="1647"/>
      <c r="L42" s="1647"/>
      <c r="M42" s="1647"/>
      <c r="N42" s="1647"/>
      <c r="O42" s="1647"/>
      <c r="P42" s="1648"/>
      <c r="Q42" s="1634" t="s">
        <v>299</v>
      </c>
      <c r="R42" s="1634"/>
      <c r="S42" s="1634"/>
      <c r="T42" s="1634"/>
      <c r="U42" s="1634"/>
      <c r="V42" s="1634"/>
      <c r="W42" s="1635"/>
      <c r="X42" s="974"/>
    </row>
    <row r="43" spans="1:24" ht="30.75" thickBot="1">
      <c r="A43" s="767"/>
      <c r="B43" s="1330" t="s">
        <v>636</v>
      </c>
      <c r="C43" s="773" t="s">
        <v>17</v>
      </c>
      <c r="D43" s="774" t="s">
        <v>23</v>
      </c>
      <c r="E43" s="774" t="s">
        <v>19</v>
      </c>
      <c r="F43" s="774" t="s">
        <v>304</v>
      </c>
      <c r="G43" s="774" t="s">
        <v>9</v>
      </c>
      <c r="H43" s="774" t="s">
        <v>10</v>
      </c>
      <c r="I43" s="775" t="s">
        <v>225</v>
      </c>
      <c r="J43" s="777" t="s">
        <v>17</v>
      </c>
      <c r="K43" s="774" t="s">
        <v>23</v>
      </c>
      <c r="L43" s="774" t="s">
        <v>19</v>
      </c>
      <c r="M43" s="774" t="s">
        <v>304</v>
      </c>
      <c r="N43" s="774" t="s">
        <v>9</v>
      </c>
      <c r="O43" s="774" t="s">
        <v>10</v>
      </c>
      <c r="P43" s="775" t="s">
        <v>225</v>
      </c>
      <c r="Q43" s="1199" t="s">
        <v>17</v>
      </c>
      <c r="R43" s="1200" t="s">
        <v>23</v>
      </c>
      <c r="S43" s="1200" t="s">
        <v>19</v>
      </c>
      <c r="T43" s="1200" t="s">
        <v>304</v>
      </c>
      <c r="U43" s="1200" t="s">
        <v>9</v>
      </c>
      <c r="V43" s="1200" t="s">
        <v>10</v>
      </c>
      <c r="W43" s="1201" t="s">
        <v>225</v>
      </c>
    </row>
    <row r="44" spans="1:24">
      <c r="A44" s="1196" t="s">
        <v>646</v>
      </c>
      <c r="B44" s="1222">
        <v>2017</v>
      </c>
      <c r="C44" s="117">
        <f>'4D Wastewater treatment and dis'!H107</f>
        <v>0.1</v>
      </c>
      <c r="D44" s="118">
        <f>'4D Wastewater treatment and dis'!I107</f>
        <v>0</v>
      </c>
      <c r="E44" s="118">
        <f>'4D Wastewater treatment and dis'!J107</f>
        <v>0.1</v>
      </c>
      <c r="F44" s="118">
        <f>'4D Wastewater treatment and dis'!K107</f>
        <v>0.28000000000000003</v>
      </c>
      <c r="G44" s="118">
        <f>'4D Wastewater treatment and dis'!L107</f>
        <v>0.04</v>
      </c>
      <c r="H44" s="118">
        <f>'4D Wastewater treatment and dis'!M107</f>
        <v>0.48</v>
      </c>
      <c r="I44" s="206">
        <f>SUM(C44:H44)</f>
        <v>1</v>
      </c>
      <c r="J44" s="118">
        <f>'4D Wastewater treatment and dis'!N107</f>
        <v>0</v>
      </c>
      <c r="K44" s="118">
        <f>'4D Wastewater treatment and dis'!O107</f>
        <v>0.7</v>
      </c>
      <c r="L44" s="118">
        <f>'4D Wastewater treatment and dis'!P107</f>
        <v>0.15</v>
      </c>
      <c r="M44" s="118">
        <f>'4D Wastewater treatment and dis'!Q107</f>
        <v>0.15</v>
      </c>
      <c r="N44" s="118">
        <f>'4D Wastewater treatment and dis'!R107</f>
        <v>0</v>
      </c>
      <c r="O44" s="118">
        <f>'4D Wastewater treatment and dis'!S107</f>
        <v>0</v>
      </c>
      <c r="P44" s="206">
        <f>SUM(J44:O44)</f>
        <v>1</v>
      </c>
      <c r="Q44" s="839">
        <f>'4D Wastewater treatment and dis'!T107</f>
        <v>0.34</v>
      </c>
      <c r="R44" s="839">
        <f>'4D Wastewater treatment and dis'!U107</f>
        <v>0</v>
      </c>
      <c r="S44" s="839">
        <f>'4D Wastewater treatment and dis'!V107</f>
        <v>0.17</v>
      </c>
      <c r="T44" s="839">
        <f>'4D Wastewater treatment and dis'!W107</f>
        <v>0.24</v>
      </c>
      <c r="U44" s="839">
        <f>'4D Wastewater treatment and dis'!X107</f>
        <v>0.05</v>
      </c>
      <c r="V44" s="839">
        <f>'4D Wastewater treatment and dis'!Y107</f>
        <v>0.2</v>
      </c>
      <c r="W44" s="1022">
        <f>SUM(Q44:V44)</f>
        <v>1</v>
      </c>
    </row>
    <row r="45" spans="1:24">
      <c r="A45" s="1197" t="s">
        <v>629</v>
      </c>
      <c r="B45" s="1223">
        <v>2050</v>
      </c>
      <c r="C45" s="117">
        <f>C44+C44*$H$44/SUM($C$44:$G$44)</f>
        <v>0.19230769230769232</v>
      </c>
      <c r="D45" s="118">
        <f>D44+D44*$H$44/SUM($C$44:$G$44)</f>
        <v>0</v>
      </c>
      <c r="E45" s="118">
        <f>E44+E44*$H$44/SUM($C$44:$G$44)</f>
        <v>0.19230769230769232</v>
      </c>
      <c r="F45" s="118">
        <f>F44+F44*$H$44/SUM($C$44:$G$44)</f>
        <v>0.53846153846153855</v>
      </c>
      <c r="G45" s="118">
        <f>G44+G44*$H$44/SUM($C$44:$G$44)</f>
        <v>7.6923076923076927E-2</v>
      </c>
      <c r="H45" s="118">
        <v>0</v>
      </c>
      <c r="I45" s="206">
        <f>SUM(C45:H45)</f>
        <v>1</v>
      </c>
      <c r="J45" s="118">
        <f>J44</f>
        <v>0</v>
      </c>
      <c r="K45" s="118">
        <f t="shared" ref="K45:O47" si="6">K44</f>
        <v>0.7</v>
      </c>
      <c r="L45" s="118">
        <f t="shared" si="6"/>
        <v>0.15</v>
      </c>
      <c r="M45" s="118">
        <f t="shared" si="6"/>
        <v>0.15</v>
      </c>
      <c r="N45" s="118">
        <f t="shared" si="6"/>
        <v>0</v>
      </c>
      <c r="O45" s="118">
        <f t="shared" si="6"/>
        <v>0</v>
      </c>
      <c r="P45" s="206">
        <f>SUM(J45:O45)</f>
        <v>1</v>
      </c>
      <c r="Q45" s="118">
        <f>Q44+Q44*$V$44/SUM($Q$44:$U$44)</f>
        <v>0.42500000000000004</v>
      </c>
      <c r="R45" s="118">
        <f>R44+R44*$V$44/SUM($Q$44:$U$44)</f>
        <v>0</v>
      </c>
      <c r="S45" s="118">
        <f>S44+S44*$V$44/SUM($Q$44:$U$44)</f>
        <v>0.21250000000000002</v>
      </c>
      <c r="T45" s="118">
        <f>T44+T44*$V$44/SUM($Q$44:$U$44)</f>
        <v>0.3</v>
      </c>
      <c r="U45" s="118">
        <f>U44+U44*$V$44/SUM($Q$44:$U$44)</f>
        <v>6.25E-2</v>
      </c>
      <c r="V45" s="104">
        <v>0</v>
      </c>
      <c r="W45" s="206">
        <f>SUM(Q45:V45)</f>
        <v>1</v>
      </c>
    </row>
    <row r="46" spans="1:24">
      <c r="A46" s="1197" t="s">
        <v>716</v>
      </c>
      <c r="B46" s="1223">
        <v>2030</v>
      </c>
      <c r="C46" s="117">
        <f>C45</f>
        <v>0.19230769230769232</v>
      </c>
      <c r="D46" s="118">
        <f t="shared" ref="D46:H47" si="7">D45</f>
        <v>0</v>
      </c>
      <c r="E46" s="118">
        <f t="shared" si="7"/>
        <v>0.19230769230769232</v>
      </c>
      <c r="F46" s="118">
        <f t="shared" si="7"/>
        <v>0.53846153846153855</v>
      </c>
      <c r="G46" s="118">
        <f t="shared" si="7"/>
        <v>7.6923076923076927E-2</v>
      </c>
      <c r="H46" s="118">
        <f t="shared" si="7"/>
        <v>0</v>
      </c>
      <c r="I46" s="206">
        <f>SUM(C46:H46)</f>
        <v>1</v>
      </c>
      <c r="J46" s="118">
        <f>J45</f>
        <v>0</v>
      </c>
      <c r="K46" s="118">
        <f t="shared" si="6"/>
        <v>0.7</v>
      </c>
      <c r="L46" s="118">
        <f t="shared" si="6"/>
        <v>0.15</v>
      </c>
      <c r="M46" s="118">
        <f t="shared" si="6"/>
        <v>0.15</v>
      </c>
      <c r="N46" s="118">
        <f t="shared" si="6"/>
        <v>0</v>
      </c>
      <c r="O46" s="118">
        <f t="shared" si="6"/>
        <v>0</v>
      </c>
      <c r="P46" s="206">
        <f>SUM(J46:O46)</f>
        <v>1</v>
      </c>
      <c r="Q46" s="118">
        <f>Q45</f>
        <v>0.42500000000000004</v>
      </c>
      <c r="R46" s="118">
        <f t="shared" ref="R46:U47" si="8">R45</f>
        <v>0</v>
      </c>
      <c r="S46" s="118">
        <f t="shared" si="8"/>
        <v>0.21250000000000002</v>
      </c>
      <c r="T46" s="118">
        <f t="shared" si="8"/>
        <v>0.3</v>
      </c>
      <c r="U46" s="118">
        <f t="shared" si="8"/>
        <v>6.25E-2</v>
      </c>
      <c r="V46" s="104">
        <v>0</v>
      </c>
      <c r="W46" s="206">
        <f>SUM(Q46:V46)</f>
        <v>1</v>
      </c>
    </row>
    <row r="47" spans="1:24" ht="15.75" thickBot="1">
      <c r="A47" s="1198" t="s">
        <v>631</v>
      </c>
      <c r="B47" s="1224">
        <v>2030</v>
      </c>
      <c r="C47" s="120">
        <f>C46</f>
        <v>0.19230769230769232</v>
      </c>
      <c r="D47" s="121">
        <f t="shared" si="7"/>
        <v>0</v>
      </c>
      <c r="E47" s="121">
        <f t="shared" si="7"/>
        <v>0.19230769230769232</v>
      </c>
      <c r="F47" s="121">
        <f t="shared" si="7"/>
        <v>0.53846153846153855</v>
      </c>
      <c r="G47" s="121">
        <f t="shared" si="7"/>
        <v>7.6923076923076927E-2</v>
      </c>
      <c r="H47" s="121">
        <f t="shared" si="7"/>
        <v>0</v>
      </c>
      <c r="I47" s="207">
        <f>SUM(C47:H47)</f>
        <v>1</v>
      </c>
      <c r="J47" s="121">
        <f>J46</f>
        <v>0</v>
      </c>
      <c r="K47" s="121">
        <f t="shared" si="6"/>
        <v>0.7</v>
      </c>
      <c r="L47" s="121">
        <f t="shared" si="6"/>
        <v>0.15</v>
      </c>
      <c r="M47" s="121">
        <f t="shared" si="6"/>
        <v>0.15</v>
      </c>
      <c r="N47" s="121">
        <f t="shared" si="6"/>
        <v>0</v>
      </c>
      <c r="O47" s="121">
        <f t="shared" si="6"/>
        <v>0</v>
      </c>
      <c r="P47" s="207">
        <f>SUM(J47:O47)</f>
        <v>1</v>
      </c>
      <c r="Q47" s="121">
        <f>Q46</f>
        <v>0.42500000000000004</v>
      </c>
      <c r="R47" s="121">
        <f t="shared" si="8"/>
        <v>0</v>
      </c>
      <c r="S47" s="121">
        <f t="shared" si="8"/>
        <v>0.21250000000000002</v>
      </c>
      <c r="T47" s="121">
        <f t="shared" si="8"/>
        <v>0.3</v>
      </c>
      <c r="U47" s="121">
        <f t="shared" si="8"/>
        <v>6.25E-2</v>
      </c>
      <c r="V47" s="163">
        <v>0</v>
      </c>
      <c r="W47" s="207">
        <f>SUM(Q47:V47)</f>
        <v>1</v>
      </c>
      <c r="X47" s="118"/>
    </row>
    <row r="48" spans="1:24" ht="15.75" thickBot="1">
      <c r="A48" s="375"/>
      <c r="B48" s="375"/>
      <c r="C48" s="118"/>
      <c r="D48" s="118"/>
      <c r="E48" s="118"/>
      <c r="F48" s="118"/>
      <c r="G48" s="118"/>
      <c r="H48" s="118"/>
      <c r="I48" s="118"/>
      <c r="J48" s="118"/>
      <c r="K48" s="118"/>
      <c r="L48" s="118"/>
      <c r="M48" s="118"/>
      <c r="N48" s="118"/>
      <c r="O48" s="118"/>
      <c r="P48" s="118"/>
      <c r="Q48" s="118"/>
      <c r="R48" s="118"/>
      <c r="S48" s="118"/>
      <c r="T48" s="118"/>
      <c r="U48" s="118"/>
      <c r="V48" s="104"/>
      <c r="W48" s="118"/>
      <c r="X48" s="118"/>
    </row>
    <row r="49" spans="1:28" ht="63" customHeight="1" thickBot="1">
      <c r="A49" s="793"/>
      <c r="B49" s="766" t="s">
        <v>636</v>
      </c>
      <c r="C49" s="801" t="s">
        <v>582</v>
      </c>
      <c r="D49" s="797" t="s">
        <v>581</v>
      </c>
      <c r="J49" s="118"/>
      <c r="K49" s="118"/>
      <c r="L49" s="118"/>
      <c r="M49" s="118"/>
      <c r="N49" s="118"/>
      <c r="O49" s="118"/>
      <c r="P49" s="118"/>
      <c r="Q49" s="118"/>
      <c r="R49" s="118"/>
      <c r="S49" s="118"/>
      <c r="T49" s="118"/>
      <c r="U49" s="118"/>
      <c r="V49" s="118"/>
      <c r="W49" s="104"/>
      <c r="X49" s="118"/>
    </row>
    <row r="50" spans="1:28" ht="15.75">
      <c r="A50" s="790" t="s">
        <v>650</v>
      </c>
      <c r="B50" s="794">
        <v>2017</v>
      </c>
      <c r="C50" s="798">
        <f>'Input data'!C40</f>
        <v>0.71479999999999999</v>
      </c>
      <c r="D50" s="798">
        <f>'Input data'!C39</f>
        <v>0.28959999999999997</v>
      </c>
      <c r="J50" s="118"/>
      <c r="K50" s="118"/>
      <c r="L50" s="118"/>
      <c r="M50" s="118"/>
      <c r="N50" s="118"/>
      <c r="O50" s="118"/>
      <c r="P50" s="118"/>
      <c r="Q50" s="118"/>
      <c r="R50" s="118"/>
      <c r="S50" s="118"/>
      <c r="T50" s="118"/>
      <c r="U50" s="118"/>
      <c r="V50" s="118"/>
      <c r="W50" s="104"/>
      <c r="X50" s="118"/>
    </row>
    <row r="51" spans="1:28">
      <c r="A51" s="789" t="s">
        <v>629</v>
      </c>
      <c r="B51" s="795">
        <v>2050</v>
      </c>
      <c r="C51" s="799">
        <v>1</v>
      </c>
      <c r="D51" s="799">
        <f>(C45+D45)*Parameters!$D$12+Parameters!$D$13*('Recycling - Case 1'!K45+J45)+('Recycling - Case 1'!Q45+'Recycling - Case 1'!R45)*Parameters!$D$14</f>
        <v>0.36725000000000002</v>
      </c>
      <c r="J51" s="118"/>
      <c r="K51" s="118"/>
      <c r="L51" s="118"/>
      <c r="M51" s="118"/>
      <c r="N51" s="118"/>
      <c r="O51" s="118"/>
      <c r="P51" s="118"/>
      <c r="Q51" s="118"/>
      <c r="R51" s="118"/>
      <c r="S51" s="118"/>
      <c r="T51" s="118"/>
      <c r="U51" s="118"/>
      <c r="V51" s="118"/>
      <c r="W51" s="104"/>
      <c r="X51" s="118"/>
    </row>
    <row r="52" spans="1:28" ht="15.75" thickBot="1">
      <c r="A52" s="791" t="s">
        <v>630</v>
      </c>
      <c r="B52" s="796">
        <v>2030</v>
      </c>
      <c r="C52" s="800">
        <v>1</v>
      </c>
      <c r="D52" s="800">
        <f>(C46+D46)*Parameters!$D$12+Parameters!$D$13*('Recycling - Case 1'!K46+J46)+('Recycling - Case 1'!Q46+'Recycling - Case 1'!R46)*Parameters!$D$14</f>
        <v>0.36725000000000002</v>
      </c>
      <c r="J52" s="118"/>
      <c r="K52" s="118"/>
      <c r="L52" s="118"/>
      <c r="M52" s="118"/>
      <c r="N52" s="118"/>
      <c r="O52" s="118"/>
      <c r="P52" s="118"/>
      <c r="Q52" s="118"/>
      <c r="R52" s="118"/>
      <c r="S52" s="118"/>
      <c r="T52" s="118"/>
      <c r="U52" s="118"/>
      <c r="V52" s="118"/>
      <c r="W52" s="104"/>
      <c r="X52" s="118"/>
    </row>
    <row r="53" spans="1:28">
      <c r="A53" s="792"/>
      <c r="B53" s="104"/>
      <c r="C53" s="118"/>
      <c r="D53" s="118"/>
      <c r="E53" s="118"/>
      <c r="F53" s="118"/>
      <c r="G53" s="118"/>
      <c r="H53" s="118"/>
      <c r="I53" s="118"/>
      <c r="Q53" s="104"/>
      <c r="R53" s="104"/>
      <c r="S53" s="104"/>
      <c r="T53" s="104"/>
      <c r="U53" s="104"/>
      <c r="V53" s="104"/>
      <c r="W53" s="104"/>
      <c r="X53" s="104"/>
    </row>
    <row r="54" spans="1:28">
      <c r="A54" s="2"/>
      <c r="Q54" s="104"/>
      <c r="R54" s="104"/>
      <c r="S54" s="104"/>
      <c r="T54" s="104"/>
      <c r="U54" s="104"/>
      <c r="V54" s="104"/>
      <c r="W54" s="104"/>
      <c r="X54" s="104"/>
    </row>
    <row r="55" spans="1:28">
      <c r="A55" s="2"/>
      <c r="Q55" s="104"/>
      <c r="R55" s="104"/>
      <c r="S55" s="104"/>
      <c r="T55" s="104"/>
      <c r="U55" s="104"/>
      <c r="V55" s="104"/>
      <c r="W55" s="104"/>
      <c r="X55" s="104"/>
    </row>
    <row r="56" spans="1:28" ht="15.75">
      <c r="A56" s="367" t="s">
        <v>628</v>
      </c>
      <c r="B56" s="362"/>
      <c r="C56" s="362"/>
      <c r="D56" s="362"/>
      <c r="E56" s="362"/>
      <c r="F56" s="362"/>
      <c r="G56" s="362"/>
      <c r="H56" s="362"/>
      <c r="I56" s="360"/>
      <c r="J56" s="361"/>
      <c r="K56" s="361"/>
      <c r="L56" s="361"/>
      <c r="M56" s="361"/>
      <c r="N56" s="361"/>
      <c r="O56" s="361"/>
      <c r="P56" s="361"/>
      <c r="Q56" s="306"/>
      <c r="R56" s="306"/>
      <c r="S56" s="306"/>
      <c r="T56" s="104"/>
      <c r="U56" s="104"/>
      <c r="V56" s="104"/>
      <c r="W56" s="776"/>
      <c r="X56" s="104"/>
      <c r="Y56" s="338"/>
      <c r="Z56" s="338"/>
      <c r="AA56" s="338"/>
    </row>
    <row r="57" spans="1:28" ht="15.75">
      <c r="A57" s="367"/>
      <c r="B57" s="362" t="s">
        <v>673</v>
      </c>
      <c r="C57" s="362">
        <v>56521948</v>
      </c>
      <c r="D57" s="392"/>
      <c r="E57" s="392"/>
      <c r="F57" s="392"/>
      <c r="G57" s="392"/>
      <c r="H57" s="392"/>
      <c r="I57" s="392"/>
      <c r="J57" s="361"/>
      <c r="K57" s="361"/>
      <c r="L57" s="361"/>
      <c r="M57" s="361"/>
      <c r="N57" s="361"/>
      <c r="O57" s="361"/>
      <c r="P57" s="361"/>
      <c r="Q57" s="10"/>
      <c r="R57" s="10"/>
      <c r="S57" s="10"/>
      <c r="W57" s="337"/>
      <c r="Y57" s="338"/>
      <c r="Z57" s="338"/>
      <c r="AA57" s="338"/>
    </row>
    <row r="58" spans="1:28" ht="15.75">
      <c r="A58" s="232"/>
      <c r="B58" s="363" t="s">
        <v>372</v>
      </c>
      <c r="C58" s="40" t="s">
        <v>221</v>
      </c>
      <c r="D58" s="40" t="s">
        <v>85</v>
      </c>
      <c r="E58" s="40" t="s">
        <v>424</v>
      </c>
      <c r="F58" s="40" t="s">
        <v>222</v>
      </c>
      <c r="G58" s="40" t="s">
        <v>115</v>
      </c>
      <c r="H58" s="40" t="s">
        <v>223</v>
      </c>
      <c r="I58" s="40" t="s">
        <v>373</v>
      </c>
      <c r="J58" s="40" t="s">
        <v>374</v>
      </c>
      <c r="K58" s="40" t="s">
        <v>375</v>
      </c>
      <c r="L58" s="40" t="s">
        <v>376</v>
      </c>
      <c r="M58" s="40" t="s">
        <v>377</v>
      </c>
      <c r="N58" s="40" t="s">
        <v>225</v>
      </c>
      <c r="O58" s="769"/>
      <c r="P58" s="769"/>
      <c r="Q58" s="10"/>
      <c r="R58" s="10"/>
      <c r="S58" s="10"/>
      <c r="W58" s="337"/>
      <c r="X58" s="339"/>
      <c r="Y58" s="337"/>
      <c r="Z58" s="337"/>
      <c r="AA58" s="337"/>
    </row>
    <row r="59" spans="1:28">
      <c r="A59" s="232"/>
      <c r="B59" s="364" t="s">
        <v>378</v>
      </c>
      <c r="C59" s="362">
        <f>'Input data'!C13</f>
        <v>1233791.4119790548</v>
      </c>
      <c r="D59" s="362">
        <f>'Input data'!D13</f>
        <v>1138884.3802883581</v>
      </c>
      <c r="E59" s="362">
        <f>'Input data'!E13</f>
        <v>378326.54427023319</v>
      </c>
      <c r="F59" s="362">
        <f>'Input data'!F13</f>
        <v>0</v>
      </c>
      <c r="G59" s="362">
        <f>'Input data'!G13</f>
        <v>0</v>
      </c>
      <c r="H59" s="362">
        <f>'Input data'!H13</f>
        <v>0</v>
      </c>
      <c r="I59" s="362">
        <f>'Input data'!I13</f>
        <v>0</v>
      </c>
      <c r="J59" s="362">
        <f>'Input data'!J13</f>
        <v>381000</v>
      </c>
      <c r="K59" s="362">
        <f>'Input data'!K13</f>
        <v>338388.97868490184</v>
      </c>
      <c r="L59" s="362">
        <f>'Input data'!L13</f>
        <v>297470.77450579114</v>
      </c>
      <c r="M59" s="362">
        <f>'Input data'!M13</f>
        <v>0</v>
      </c>
      <c r="N59" s="362">
        <f>SUM(C59:M59)</f>
        <v>3767862.0897283391</v>
      </c>
      <c r="O59" s="770"/>
      <c r="P59" s="770"/>
      <c r="Q59" s="384"/>
      <c r="R59" s="10"/>
      <c r="S59" s="10"/>
      <c r="W59" s="338"/>
      <c r="Y59" s="338"/>
      <c r="Z59" s="338"/>
      <c r="AA59" s="338"/>
    </row>
    <row r="60" spans="1:28" ht="15.75">
      <c r="A60" s="12" t="s">
        <v>379</v>
      </c>
      <c r="B60" s="364" t="s">
        <v>380</v>
      </c>
      <c r="C60" s="362">
        <f>'Input data'!C14</f>
        <v>964286</v>
      </c>
      <c r="D60" s="362">
        <f>'Input data'!D14</f>
        <v>964286</v>
      </c>
      <c r="E60" s="362">
        <f>'Input data'!E14</f>
        <v>0</v>
      </c>
      <c r="F60" s="362">
        <f>'Input data'!F14</f>
        <v>0</v>
      </c>
      <c r="G60" s="362">
        <f>'Input data'!G14</f>
        <v>0</v>
      </c>
      <c r="H60" s="362">
        <f>'Input data'!H14</f>
        <v>0</v>
      </c>
      <c r="I60" s="362">
        <f>'Input data'!I14</f>
        <v>2892858</v>
      </c>
      <c r="J60" s="362">
        <f>'Input data'!J14</f>
        <v>0</v>
      </c>
      <c r="K60" s="362">
        <f>'Input data'!K14</f>
        <v>0</v>
      </c>
      <c r="L60" s="362">
        <f>'Input data'!L14</f>
        <v>0</v>
      </c>
      <c r="M60" s="362">
        <f>'Input data'!M14</f>
        <v>0</v>
      </c>
      <c r="N60" s="362">
        <f t="shared" ref="N60:N66" si="9">SUM(C60:M60)</f>
        <v>4821430</v>
      </c>
      <c r="O60" s="770"/>
      <c r="P60" s="770"/>
      <c r="Q60" s="10"/>
      <c r="R60" s="10"/>
      <c r="S60" s="10"/>
      <c r="W60" s="337"/>
      <c r="Y60" s="338"/>
      <c r="Z60" s="338"/>
      <c r="AA60" s="338"/>
    </row>
    <row r="61" spans="1:28" ht="15.75">
      <c r="A61" s="12" t="s">
        <v>381</v>
      </c>
      <c r="B61" s="364" t="s">
        <v>382</v>
      </c>
      <c r="C61" s="362">
        <f>'Input data'!C15</f>
        <v>72176.800000000003</v>
      </c>
      <c r="D61" s="362">
        <f>'Input data'!D15</f>
        <v>72176.800000000003</v>
      </c>
      <c r="E61" s="362">
        <f>'Input data'!E15</f>
        <v>0</v>
      </c>
      <c r="F61" s="362">
        <f>'Input data'!F15</f>
        <v>0</v>
      </c>
      <c r="G61" s="362">
        <f>'Input data'!G15</f>
        <v>0</v>
      </c>
      <c r="H61" s="362">
        <f>'Input data'!H15</f>
        <v>0</v>
      </c>
      <c r="I61" s="362">
        <f>'Input data'!I15</f>
        <v>216530.4</v>
      </c>
      <c r="J61" s="362">
        <f>'Input data'!J15</f>
        <v>0</v>
      </c>
      <c r="K61" s="362">
        <f>'Input data'!K15</f>
        <v>0</v>
      </c>
      <c r="L61" s="362">
        <f>'Input data'!L15</f>
        <v>0</v>
      </c>
      <c r="M61" s="362">
        <f>'Input data'!M15</f>
        <v>0</v>
      </c>
      <c r="N61" s="362">
        <f t="shared" si="9"/>
        <v>360884</v>
      </c>
      <c r="O61" s="770"/>
      <c r="P61" s="770"/>
      <c r="Q61" s="10"/>
      <c r="R61" s="10"/>
      <c r="S61" s="10"/>
      <c r="W61" s="337"/>
      <c r="Y61" s="338"/>
      <c r="Z61" s="338"/>
      <c r="AA61" s="337"/>
    </row>
    <row r="62" spans="1:28" ht="15.75">
      <c r="A62" s="12" t="s">
        <v>383</v>
      </c>
      <c r="B62" s="364" t="s">
        <v>384</v>
      </c>
      <c r="C62" s="362">
        <f>'Input data'!C16</f>
        <v>0</v>
      </c>
      <c r="D62" s="362">
        <f>'Input data'!D16</f>
        <v>0</v>
      </c>
      <c r="E62" s="362">
        <f>'Input data'!E16</f>
        <v>520349.97572976683</v>
      </c>
      <c r="F62" s="362">
        <f>'Input data'!F16</f>
        <v>0</v>
      </c>
      <c r="G62" s="362">
        <f>'Input data'!G16</f>
        <v>0</v>
      </c>
      <c r="H62" s="362">
        <f>'Input data'!H16</f>
        <v>0</v>
      </c>
      <c r="I62" s="362">
        <f>'Input data'!I16</f>
        <v>0</v>
      </c>
      <c r="J62" s="362">
        <f>'Input data'!J16</f>
        <v>237880.00199999998</v>
      </c>
      <c r="K62" s="362">
        <f>'Input data'!K16</f>
        <v>465419.88531509798</v>
      </c>
      <c r="L62" s="362">
        <f>'Input data'!L16</f>
        <v>409141.02549420868</v>
      </c>
      <c r="M62" s="362">
        <f>'Input data'!M16</f>
        <v>123895.58799999999</v>
      </c>
      <c r="N62" s="362">
        <f t="shared" si="9"/>
        <v>1756686.4765390735</v>
      </c>
      <c r="O62" s="770"/>
      <c r="P62" s="770"/>
      <c r="Q62" s="10"/>
      <c r="R62" s="10"/>
      <c r="S62" s="10"/>
      <c r="W62" s="336"/>
      <c r="Y62" s="336"/>
      <c r="Z62" s="336"/>
      <c r="AA62" s="336"/>
      <c r="AB62" s="336"/>
    </row>
    <row r="63" spans="1:28" ht="15.75">
      <c r="A63" s="12" t="s">
        <v>383</v>
      </c>
      <c r="B63" s="364" t="s">
        <v>385</v>
      </c>
      <c r="C63" s="362">
        <f>'Input data'!C17</f>
        <v>0</v>
      </c>
      <c r="D63" s="362">
        <f>'Input data'!D17</f>
        <v>0</v>
      </c>
      <c r="E63" s="362">
        <f>'Input data'!E17</f>
        <v>1241029.48</v>
      </c>
      <c r="F63" s="362">
        <f>'Input data'!F17</f>
        <v>0</v>
      </c>
      <c r="G63" s="362">
        <f>'Input data'!G17</f>
        <v>0</v>
      </c>
      <c r="H63" s="362">
        <f>'Input data'!H17</f>
        <v>0</v>
      </c>
      <c r="I63" s="362">
        <f>'Input data'!I17</f>
        <v>0</v>
      </c>
      <c r="J63" s="362">
        <f>'Input data'!J17</f>
        <v>480373.99800000002</v>
      </c>
      <c r="K63" s="362">
        <f>'Input data'!K17</f>
        <v>1987194.1360000002</v>
      </c>
      <c r="L63" s="362">
        <f>'Input data'!L17</f>
        <v>2826447.2</v>
      </c>
      <c r="M63" s="362">
        <f>'Input data'!M17</f>
        <v>38271.412000000004</v>
      </c>
      <c r="N63" s="362">
        <f>SUM(C63:M63)</f>
        <v>6573316.2259999998</v>
      </c>
      <c r="O63" s="770"/>
      <c r="P63" s="770"/>
      <c r="Q63" s="10"/>
      <c r="R63" s="10"/>
      <c r="S63" s="10"/>
      <c r="W63" s="336"/>
      <c r="Y63" s="336"/>
      <c r="Z63" s="336"/>
      <c r="AA63" s="336"/>
      <c r="AB63" s="336"/>
    </row>
    <row r="64" spans="1:28" ht="15.75">
      <c r="A64" s="12" t="s">
        <v>386</v>
      </c>
      <c r="B64" s="364" t="s">
        <v>387</v>
      </c>
      <c r="C64" s="362">
        <f>'Input data'!C18</f>
        <v>2500000</v>
      </c>
      <c r="D64" s="362">
        <f>'Input data'!D18</f>
        <v>4200000</v>
      </c>
      <c r="E64" s="362">
        <f>'Input data'!E18</f>
        <v>0</v>
      </c>
      <c r="F64" s="362">
        <f>'Input data'!F18</f>
        <v>0</v>
      </c>
      <c r="G64" s="362">
        <f>'Input data'!G18</f>
        <v>0</v>
      </c>
      <c r="H64" s="362">
        <f>'Input data'!H18</f>
        <v>0</v>
      </c>
      <c r="I64" s="362">
        <f>'Input data'!I18</f>
        <v>0</v>
      </c>
      <c r="J64" s="362">
        <f>'Input data'!J18</f>
        <v>0</v>
      </c>
      <c r="K64" s="362">
        <f>'Input data'!K18</f>
        <v>0</v>
      </c>
      <c r="L64" s="362">
        <f>'Input data'!L18</f>
        <v>0</v>
      </c>
      <c r="M64" s="362">
        <f>'Input data'!M18</f>
        <v>0</v>
      </c>
      <c r="N64" s="362">
        <f t="shared" si="9"/>
        <v>6700000</v>
      </c>
      <c r="O64" s="770"/>
      <c r="P64" s="770"/>
      <c r="Q64" s="10"/>
      <c r="R64" s="10"/>
      <c r="S64" s="10"/>
      <c r="W64" s="336"/>
      <c r="Y64" s="336"/>
      <c r="Z64" s="336"/>
      <c r="AA64" s="336"/>
      <c r="AB64" s="336"/>
    </row>
    <row r="65" spans="1:71" ht="15.75">
      <c r="A65" s="232"/>
      <c r="B65" s="365" t="s">
        <v>388</v>
      </c>
      <c r="C65" s="362">
        <f>'Input data'!C19</f>
        <v>4770254.2119790548</v>
      </c>
      <c r="D65" s="362">
        <f>'Input data'!D19</f>
        <v>6375347.1802883577</v>
      </c>
      <c r="E65" s="362">
        <f>'Input data'!E19</f>
        <v>2139706</v>
      </c>
      <c r="F65" s="362">
        <f>'Input data'!F19</f>
        <v>0</v>
      </c>
      <c r="G65" s="362">
        <f>'Input data'!G19</f>
        <v>0</v>
      </c>
      <c r="H65" s="362">
        <f>'Input data'!H19</f>
        <v>0</v>
      </c>
      <c r="I65" s="362">
        <f>'Input data'!I19</f>
        <v>3109388.4</v>
      </c>
      <c r="J65" s="362">
        <f>'Input data'!J19</f>
        <v>1099254</v>
      </c>
      <c r="K65" s="362">
        <f>'Input data'!K19</f>
        <v>2791003</v>
      </c>
      <c r="L65" s="362">
        <f>'Input data'!L19</f>
        <v>3533059</v>
      </c>
      <c r="M65" s="362">
        <f>'Input data'!M19</f>
        <v>162167</v>
      </c>
      <c r="N65" s="362">
        <f t="shared" si="9"/>
        <v>23980178.792267412</v>
      </c>
      <c r="O65" s="771"/>
      <c r="P65" s="771"/>
      <c r="Q65" s="10"/>
      <c r="R65" s="10"/>
      <c r="S65" s="10"/>
      <c r="W65" s="336"/>
      <c r="Y65" s="336"/>
      <c r="Z65" s="336"/>
      <c r="AA65" s="336"/>
      <c r="AB65" s="336"/>
    </row>
    <row r="66" spans="1:71" ht="15.75">
      <c r="A66" s="232"/>
      <c r="B66" s="346" t="s">
        <v>572</v>
      </c>
      <c r="C66" s="362">
        <f>'Input data'!C20</f>
        <v>2674712.2259895275</v>
      </c>
      <c r="D66" s="362">
        <f>'Input data'!D20</f>
        <v>3392258.7101441789</v>
      </c>
      <c r="E66" s="362">
        <f>'Input data'!E20</f>
        <v>657478.25029190676</v>
      </c>
      <c r="F66" s="362">
        <f>'Input data'!F20</f>
        <v>0</v>
      </c>
      <c r="G66" s="362">
        <f>'Input data'!G20</f>
        <v>0</v>
      </c>
      <c r="H66" s="362">
        <f>'Input data'!H20</f>
        <v>0</v>
      </c>
      <c r="I66" s="362">
        <f>'Input data'!I20</f>
        <v>2798449.56</v>
      </c>
      <c r="J66" s="362">
        <f>'Input data'!J20</f>
        <v>404592.00179999997</v>
      </c>
      <c r="K66" s="362">
        <f>'Input data'!K20</f>
        <v>588072.38612603908</v>
      </c>
      <c r="L66" s="362">
        <f>'Input data'!L20</f>
        <v>516962.3101976834</v>
      </c>
      <c r="M66" s="362">
        <f>'Input data'!M20</f>
        <v>111506.02919999999</v>
      </c>
      <c r="N66" s="362">
        <f t="shared" si="9"/>
        <v>11144031.473749338</v>
      </c>
      <c r="O66" s="771"/>
      <c r="P66" s="771"/>
      <c r="Q66" s="10"/>
      <c r="R66" s="10"/>
      <c r="S66" s="10"/>
      <c r="W66" s="336"/>
      <c r="Y66" s="336"/>
      <c r="Z66" s="336"/>
      <c r="AA66" s="336"/>
      <c r="AB66" s="336"/>
    </row>
    <row r="67" spans="1:71" ht="15.75">
      <c r="A67" s="232"/>
      <c r="B67" s="346" t="s">
        <v>674</v>
      </c>
      <c r="C67" s="858">
        <f>C66/$C$57*1000</f>
        <v>47.321656818861364</v>
      </c>
      <c r="D67" s="858">
        <f t="shared" ref="D67:N67" si="10">D66/$C$57*1000</f>
        <v>60.016663087128194</v>
      </c>
      <c r="E67" s="858">
        <f t="shared" si="10"/>
        <v>11.632264519473157</v>
      </c>
      <c r="F67" s="858">
        <f t="shared" si="10"/>
        <v>0</v>
      </c>
      <c r="G67" s="858">
        <f t="shared" si="10"/>
        <v>0</v>
      </c>
      <c r="H67" s="858">
        <f t="shared" si="10"/>
        <v>0</v>
      </c>
      <c r="I67" s="858">
        <f t="shared" si="10"/>
        <v>49.510847715298134</v>
      </c>
      <c r="J67" s="858">
        <f t="shared" si="10"/>
        <v>7.1581397336128605</v>
      </c>
      <c r="K67" s="858">
        <f t="shared" si="10"/>
        <v>10.40431915273053</v>
      </c>
      <c r="L67" s="858">
        <f t="shared" si="10"/>
        <v>9.1462224585338685</v>
      </c>
      <c r="M67" s="858">
        <f t="shared" si="10"/>
        <v>1.9727916879297933</v>
      </c>
      <c r="N67" s="858">
        <f t="shared" si="10"/>
        <v>197.16290517356794</v>
      </c>
      <c r="O67" s="771"/>
      <c r="P67" s="771"/>
      <c r="Q67" s="10"/>
      <c r="R67" s="10"/>
      <c r="S67" s="10"/>
      <c r="W67" s="336"/>
      <c r="Y67" s="336"/>
      <c r="Z67" s="336"/>
      <c r="AA67" s="336"/>
      <c r="AB67" s="336"/>
    </row>
    <row r="68" spans="1:71" ht="15.75">
      <c r="A68" s="232"/>
      <c r="B68" s="348" t="s">
        <v>389</v>
      </c>
      <c r="C68" s="349"/>
      <c r="D68" s="349"/>
      <c r="E68" s="349"/>
      <c r="F68" s="349"/>
      <c r="G68" s="349"/>
      <c r="H68" s="349"/>
      <c r="I68" s="349"/>
      <c r="J68" s="349"/>
      <c r="K68" s="349"/>
      <c r="L68" s="349"/>
      <c r="M68" s="349"/>
      <c r="N68" s="525"/>
      <c r="O68" s="772"/>
      <c r="P68" s="772"/>
      <c r="Q68" s="10"/>
      <c r="R68" s="10"/>
      <c r="S68" s="10"/>
      <c r="W68" s="336"/>
      <c r="Y68" s="336"/>
      <c r="Z68" s="336"/>
      <c r="AA68" s="336"/>
      <c r="AB68" s="336"/>
    </row>
    <row r="69" spans="1:71" ht="15.75">
      <c r="A69" s="232"/>
      <c r="B69" s="344" t="s">
        <v>390</v>
      </c>
      <c r="C69" s="351">
        <f>'Input data'!C22</f>
        <v>0.32745131923552184</v>
      </c>
      <c r="D69" s="351">
        <f>'Input data'!D22</f>
        <v>0.30226275621740473</v>
      </c>
      <c r="E69" s="351">
        <f>'Input data'!E22</f>
        <v>0.10040880883129943</v>
      </c>
      <c r="F69" s="351">
        <f>'Input data'!F22</f>
        <v>0</v>
      </c>
      <c r="G69" s="351">
        <f>'Input data'!G22</f>
        <v>0</v>
      </c>
      <c r="H69" s="351">
        <f>'Input data'!H22</f>
        <v>0</v>
      </c>
      <c r="I69" s="351">
        <f>'Input data'!I22</f>
        <v>0</v>
      </c>
      <c r="J69" s="351">
        <f>'Input data'!J22</f>
        <v>0.10111835065265616</v>
      </c>
      <c r="K69" s="351">
        <f>'Input data'!K22</f>
        <v>8.9809279274682671E-2</v>
      </c>
      <c r="L69" s="351">
        <f>'Input data'!L22</f>
        <v>7.8949485788435164E-2</v>
      </c>
      <c r="M69" s="351">
        <f>'Input data'!M22</f>
        <v>0</v>
      </c>
      <c r="N69" s="526"/>
      <c r="O69" s="510"/>
      <c r="P69" s="510"/>
      <c r="Q69" s="10"/>
      <c r="R69" s="10"/>
      <c r="S69" s="10"/>
      <c r="W69" s="336"/>
      <c r="Y69" s="336"/>
      <c r="Z69" s="336"/>
      <c r="AA69" s="336"/>
      <c r="AB69" s="336"/>
    </row>
    <row r="70" spans="1:71" ht="15.75">
      <c r="A70" s="12" t="s">
        <v>379</v>
      </c>
      <c r="B70" s="344" t="s">
        <v>391</v>
      </c>
      <c r="C70" s="351">
        <f>'Input data'!C23</f>
        <v>0.2</v>
      </c>
      <c r="D70" s="351">
        <f>'Input data'!D23</f>
        <v>0.2</v>
      </c>
      <c r="E70" s="351">
        <f>'Input data'!E23</f>
        <v>0</v>
      </c>
      <c r="F70" s="351">
        <f>'Input data'!F23</f>
        <v>0</v>
      </c>
      <c r="G70" s="351">
        <f>'Input data'!G23</f>
        <v>0</v>
      </c>
      <c r="H70" s="351">
        <f>'Input data'!H23</f>
        <v>0</v>
      </c>
      <c r="I70" s="351">
        <f>'Input data'!I23</f>
        <v>0.6</v>
      </c>
      <c r="J70" s="351">
        <f>'Input data'!J23</f>
        <v>0</v>
      </c>
      <c r="K70" s="351">
        <f>'Input data'!K23</f>
        <v>0</v>
      </c>
      <c r="L70" s="351">
        <f>'Input data'!L23</f>
        <v>0</v>
      </c>
      <c r="M70" s="351">
        <f>'Input data'!M23</f>
        <v>0</v>
      </c>
      <c r="N70" s="526">
        <f t="shared" ref="N70:N74" si="11">SUM(C70:M70)</f>
        <v>1</v>
      </c>
      <c r="O70" s="510"/>
      <c r="P70" s="510"/>
      <c r="Q70" s="10"/>
      <c r="R70" s="10"/>
      <c r="S70" s="10"/>
      <c r="W70" s="336"/>
      <c r="Y70" s="336"/>
      <c r="Z70" s="336"/>
      <c r="AA70" s="336"/>
      <c r="AB70" s="336"/>
    </row>
    <row r="71" spans="1:71" ht="15.75">
      <c r="A71" s="12" t="s">
        <v>381</v>
      </c>
      <c r="B71" s="344" t="s">
        <v>392</v>
      </c>
      <c r="C71" s="351">
        <f>'Input data'!C24</f>
        <v>0.2</v>
      </c>
      <c r="D71" s="351">
        <f>'Input data'!D24</f>
        <v>0.2</v>
      </c>
      <c r="E71" s="351">
        <f>'Input data'!E24</f>
        <v>0</v>
      </c>
      <c r="F71" s="351">
        <f>'Input data'!F24</f>
        <v>0</v>
      </c>
      <c r="G71" s="351">
        <f>'Input data'!G24</f>
        <v>0</v>
      </c>
      <c r="H71" s="351">
        <f>'Input data'!H24</f>
        <v>0</v>
      </c>
      <c r="I71" s="351">
        <f>'Input data'!I24</f>
        <v>0.6</v>
      </c>
      <c r="J71" s="351">
        <f>'Input data'!J24</f>
        <v>0</v>
      </c>
      <c r="K71" s="351">
        <f>'Input data'!K24</f>
        <v>0</v>
      </c>
      <c r="L71" s="351">
        <f>'Input data'!L24</f>
        <v>0</v>
      </c>
      <c r="M71" s="351">
        <f>'Input data'!M24</f>
        <v>0</v>
      </c>
      <c r="N71" s="526">
        <f t="shared" si="11"/>
        <v>1</v>
      </c>
      <c r="O71" s="510"/>
      <c r="P71" s="510"/>
      <c r="Q71" s="10"/>
      <c r="R71" s="10"/>
      <c r="S71" s="10"/>
      <c r="W71" s="336"/>
      <c r="Y71" s="336"/>
      <c r="Z71" s="336"/>
      <c r="AA71" s="336"/>
      <c r="AB71" s="336"/>
    </row>
    <row r="72" spans="1:71" ht="15.75">
      <c r="A72" s="12" t="s">
        <v>383</v>
      </c>
      <c r="B72" s="344" t="s">
        <v>384</v>
      </c>
      <c r="C72" s="351">
        <f>'Input data'!C25</f>
        <v>0</v>
      </c>
      <c r="D72" s="351">
        <f>'Input data'!D25</f>
        <v>0</v>
      </c>
      <c r="E72" s="351">
        <f>'Input data'!E25</f>
        <v>0.29621106707380795</v>
      </c>
      <c r="F72" s="351">
        <f>'Input data'!F25</f>
        <v>0</v>
      </c>
      <c r="G72" s="351">
        <f>'Input data'!G25</f>
        <v>0</v>
      </c>
      <c r="H72" s="351">
        <f>'Input data'!H25</f>
        <v>0</v>
      </c>
      <c r="I72" s="351">
        <f>'Input data'!I25</f>
        <v>0</v>
      </c>
      <c r="J72" s="351">
        <f>'Input data'!J25</f>
        <v>0.1354140338511958</v>
      </c>
      <c r="K72" s="351">
        <f>'Input data'!K25</f>
        <v>0.26494191851015014</v>
      </c>
      <c r="L72" s="351">
        <f>'Input data'!L25</f>
        <v>0.2329049781838565</v>
      </c>
      <c r="M72" s="351">
        <f>'Input data'!M25</f>
        <v>7.0528002380989593E-2</v>
      </c>
      <c r="N72" s="526">
        <f t="shared" si="11"/>
        <v>0.99999999999999989</v>
      </c>
      <c r="O72" s="510"/>
      <c r="P72" s="510"/>
      <c r="Q72" s="10"/>
      <c r="R72" s="10"/>
      <c r="S72" s="10"/>
      <c r="W72" s="336"/>
      <c r="Y72" s="336"/>
      <c r="Z72" s="336"/>
      <c r="AA72" s="336"/>
      <c r="AB72" s="336"/>
    </row>
    <row r="73" spans="1:71" ht="15.75">
      <c r="A73" s="12" t="s">
        <v>383</v>
      </c>
      <c r="B73" s="344" t="s">
        <v>385</v>
      </c>
      <c r="C73" s="351">
        <f>'Input data'!C26</f>
        <v>0</v>
      </c>
      <c r="D73" s="351">
        <f>'Input data'!D26</f>
        <v>0</v>
      </c>
      <c r="E73" s="351">
        <f>'Input data'!E26</f>
        <v>0.188798079588998</v>
      </c>
      <c r="F73" s="351">
        <f>'Input data'!F26</f>
        <v>0</v>
      </c>
      <c r="G73" s="351">
        <f>'Input data'!G26</f>
        <v>0</v>
      </c>
      <c r="H73" s="351">
        <f>'Input data'!H26</f>
        <v>0</v>
      </c>
      <c r="I73" s="351">
        <f>'Input data'!I26</f>
        <v>0</v>
      </c>
      <c r="J73" s="351">
        <f>'Input data'!J26</f>
        <v>7.3079398812419163E-2</v>
      </c>
      <c r="K73" s="351">
        <f>'Input data'!K26</f>
        <v>0.30231226791431109</v>
      </c>
      <c r="L73" s="351">
        <f>'Input data'!L26</f>
        <v>0.42998801561079808</v>
      </c>
      <c r="M73" s="351">
        <f>'Input data'!M26</f>
        <v>5.8222380734737535E-3</v>
      </c>
      <c r="N73" s="526">
        <f t="shared" si="11"/>
        <v>1.0000000000000002</v>
      </c>
      <c r="O73" s="510"/>
      <c r="P73" s="510"/>
      <c r="Q73" s="10"/>
      <c r="R73" s="10"/>
      <c r="S73" s="10"/>
      <c r="W73" s="336"/>
      <c r="Y73" s="336"/>
      <c r="Z73" s="336"/>
      <c r="AA73" s="336"/>
      <c r="AB73" s="336"/>
    </row>
    <row r="74" spans="1:71" ht="15.75">
      <c r="A74" s="12" t="s">
        <v>386</v>
      </c>
      <c r="B74" s="344" t="s">
        <v>387</v>
      </c>
      <c r="C74" s="351">
        <f>'Input data'!C27</f>
        <v>0.37313432835820898</v>
      </c>
      <c r="D74" s="351">
        <f>'Input data'!D27</f>
        <v>0.62686567164179108</v>
      </c>
      <c r="E74" s="351">
        <f>'Input data'!E27</f>
        <v>0</v>
      </c>
      <c r="F74" s="351">
        <f>'Input data'!F27</f>
        <v>0</v>
      </c>
      <c r="G74" s="351">
        <f>'Input data'!G27</f>
        <v>0</v>
      </c>
      <c r="H74" s="351">
        <f>'Input data'!H27</f>
        <v>0</v>
      </c>
      <c r="I74" s="351">
        <f>'Input data'!I27</f>
        <v>0</v>
      </c>
      <c r="J74" s="351">
        <f>'Input data'!J27</f>
        <v>0</v>
      </c>
      <c r="K74" s="351">
        <f>'Input data'!K27</f>
        <v>0</v>
      </c>
      <c r="L74" s="351">
        <f>'Input data'!L27</f>
        <v>0</v>
      </c>
      <c r="M74" s="351">
        <f>'Input data'!M27</f>
        <v>0</v>
      </c>
      <c r="N74" s="526">
        <f t="shared" si="11"/>
        <v>1</v>
      </c>
      <c r="O74" s="510"/>
      <c r="P74" s="510"/>
      <c r="Q74" s="7"/>
      <c r="R74" s="369"/>
      <c r="S74" s="369"/>
      <c r="T74" s="4"/>
      <c r="U74" s="4"/>
      <c r="BI74" s="99"/>
      <c r="BJ74" s="99"/>
      <c r="BK74" s="99"/>
      <c r="BL74" s="99"/>
      <c r="BM74" s="99"/>
      <c r="BN74" s="99"/>
      <c r="BO74" s="99"/>
      <c r="BP74" s="99"/>
      <c r="BQ74" s="99"/>
      <c r="BR74" s="99"/>
      <c r="BS74" s="99"/>
    </row>
    <row r="75" spans="1:71" ht="15.75">
      <c r="A75" s="232"/>
      <c r="B75" s="346" t="s">
        <v>393</v>
      </c>
      <c r="C75" s="351">
        <f>'Input data'!C28</f>
        <v>0.19892488097366726</v>
      </c>
      <c r="D75" s="351">
        <f>'Input data'!D28</f>
        <v>0.26585903447659598</v>
      </c>
      <c r="E75" s="351">
        <f>'Input data'!E28</f>
        <v>8.9228108703258049E-2</v>
      </c>
      <c r="F75" s="351">
        <f>'Input data'!F28</f>
        <v>0</v>
      </c>
      <c r="G75" s="351">
        <f>'Input data'!G28</f>
        <v>0</v>
      </c>
      <c r="H75" s="351">
        <f>'Input data'!H28</f>
        <v>0</v>
      </c>
      <c r="I75" s="351">
        <f>'Input data'!I28</f>
        <v>0.12966493815311525</v>
      </c>
      <c r="J75" s="351">
        <f>'Input data'!J28</f>
        <v>4.5840108596457284E-2</v>
      </c>
      <c r="K75" s="351">
        <f>'Input data'!K28</f>
        <v>0.1163879145429883</v>
      </c>
      <c r="L75" s="351">
        <f>'Input data'!L28</f>
        <v>0.1473324711465146</v>
      </c>
      <c r="M75" s="351">
        <f>'Input data'!M28</f>
        <v>6.7625434074032823E-3</v>
      </c>
      <c r="N75" s="527">
        <v>1</v>
      </c>
      <c r="O75" s="358"/>
      <c r="P75" s="358"/>
      <c r="Q75" s="7"/>
      <c r="R75" s="369"/>
      <c r="S75" s="369"/>
      <c r="T75" s="4"/>
      <c r="U75" s="4"/>
      <c r="BI75" s="99"/>
      <c r="BJ75" s="1636"/>
      <c r="BK75" s="1636"/>
      <c r="BL75" s="1636"/>
      <c r="BM75" s="1636"/>
      <c r="BN75" s="1636"/>
      <c r="BO75" s="1636"/>
      <c r="BP75" s="1636"/>
      <c r="BQ75" s="1636"/>
      <c r="BR75" s="99"/>
      <c r="BS75" s="99"/>
    </row>
    <row r="76" spans="1:71" ht="16.5" thickBot="1">
      <c r="A76" s="371"/>
      <c r="B76" s="529" t="s">
        <v>573</v>
      </c>
      <c r="C76" s="351">
        <f>'Input data'!C29</f>
        <v>0.24001298204245269</v>
      </c>
      <c r="D76" s="351">
        <f>'Input data'!D29</f>
        <v>0.30440139352934503</v>
      </c>
      <c r="E76" s="351">
        <f>'Input data'!E29</f>
        <v>5.8998240613430578E-2</v>
      </c>
      <c r="F76" s="351">
        <f>'Input data'!F29</f>
        <v>0</v>
      </c>
      <c r="G76" s="351">
        <f>'Input data'!G29</f>
        <v>0</v>
      </c>
      <c r="H76" s="351">
        <f>'Input data'!H29</f>
        <v>0</v>
      </c>
      <c r="I76" s="351">
        <f>'Input data'!I29</f>
        <v>0.25111644440272562</v>
      </c>
      <c r="J76" s="351">
        <f>'Input data'!J29</f>
        <v>3.6305712412339194E-2</v>
      </c>
      <c r="K76" s="351">
        <f>'Input data'!K29</f>
        <v>5.2770165582472633E-2</v>
      </c>
      <c r="L76" s="351">
        <f>'Input data'!L29</f>
        <v>4.6389164586929758E-2</v>
      </c>
      <c r="M76" s="351">
        <f>'Input data'!M29</f>
        <v>1.0005896830304312E-2</v>
      </c>
      <c r="N76" s="527">
        <v>1</v>
      </c>
      <c r="O76" s="358"/>
      <c r="P76" s="358"/>
      <c r="Q76" s="7"/>
      <c r="R76" s="369"/>
      <c r="S76" s="369"/>
      <c r="T76" s="4"/>
      <c r="U76" s="4"/>
      <c r="BI76" s="99"/>
      <c r="BJ76" s="1221"/>
      <c r="BK76" s="1221"/>
      <c r="BL76" s="1221"/>
      <c r="BM76" s="1221"/>
      <c r="BN76" s="1221"/>
      <c r="BO76" s="1221"/>
      <c r="BP76" s="1221"/>
      <c r="BQ76" s="1221"/>
      <c r="BR76" s="99"/>
      <c r="BS76" s="99"/>
    </row>
    <row r="77" spans="1:71" ht="15.75">
      <c r="A77" s="371"/>
      <c r="B77" s="730"/>
      <c r="C77" s="351"/>
      <c r="D77" s="351"/>
      <c r="E77" s="351"/>
      <c r="F77" s="351"/>
      <c r="G77" s="351"/>
      <c r="H77" s="351"/>
      <c r="I77" s="510"/>
      <c r="J77" s="510"/>
      <c r="K77" s="510"/>
      <c r="L77" s="510"/>
      <c r="M77" s="510"/>
      <c r="N77" s="358"/>
      <c r="O77" s="358"/>
      <c r="P77" s="358"/>
      <c r="Q77" s="7"/>
      <c r="R77" s="369"/>
      <c r="S77" s="369"/>
      <c r="T77" s="4"/>
      <c r="U77" s="4"/>
      <c r="BI77" s="99"/>
      <c r="BJ77" s="713"/>
      <c r="BK77" s="713"/>
      <c r="BL77" s="713"/>
      <c r="BM77" s="713"/>
      <c r="BN77" s="713"/>
      <c r="BO77" s="713"/>
      <c r="BP77" s="713"/>
      <c r="BQ77" s="713"/>
      <c r="BR77" s="99"/>
      <c r="BS77" s="99"/>
    </row>
    <row r="78" spans="1:71" ht="14.45" customHeight="1">
      <c r="A78" s="374" t="s">
        <v>627</v>
      </c>
      <c r="B78" s="363" t="s">
        <v>372</v>
      </c>
      <c r="C78" s="362" t="s">
        <v>623</v>
      </c>
      <c r="D78" s="362" t="s">
        <v>624</v>
      </c>
      <c r="E78" s="362" t="s">
        <v>625</v>
      </c>
      <c r="F78" s="362" t="s">
        <v>626</v>
      </c>
      <c r="G78" s="362" t="s">
        <v>574</v>
      </c>
      <c r="H78" s="362" t="s">
        <v>622</v>
      </c>
      <c r="I78" s="372"/>
      <c r="J78" s="372"/>
      <c r="K78" s="372"/>
      <c r="L78" s="372"/>
      <c r="M78" s="372"/>
      <c r="N78" s="372"/>
      <c r="O78" s="372"/>
      <c r="P78" s="372"/>
      <c r="Q78" s="7"/>
      <c r="R78" s="369"/>
      <c r="S78" s="369"/>
      <c r="T78" s="4"/>
      <c r="U78" s="4"/>
      <c r="BI78" s="99"/>
      <c r="BJ78" s="99"/>
      <c r="BK78" s="99"/>
      <c r="BL78" s="99"/>
      <c r="BM78" s="99"/>
      <c r="BN78" s="99"/>
      <c r="BO78" s="99"/>
      <c r="BP78" s="99"/>
      <c r="BQ78" s="99"/>
      <c r="BR78" s="99"/>
      <c r="BS78" s="99"/>
    </row>
    <row r="79" spans="1:71">
      <c r="A79" s="232"/>
      <c r="B79" s="364" t="s">
        <v>441</v>
      </c>
      <c r="C79" s="362">
        <f>'Waste Summary 2017 SASOW'!J10+'Waste Summary 2017 SASOW'!J13</f>
        <v>49995051</v>
      </c>
      <c r="D79" s="362">
        <f>'Waste Summary 2017 SASOW'!K10+'Waste Summary 2017 SASOW'!K13</f>
        <v>0</v>
      </c>
      <c r="E79" s="362">
        <f>'Waste Summary 2017 SASOW'!L10+'Waste Summary 2017 SASOW'!L13</f>
        <v>46917968.670000002</v>
      </c>
      <c r="F79" s="362">
        <f>'Waste Summary 2017 SASOW'!M10+'Waste Summary 2017 SASOW'!M13</f>
        <v>0</v>
      </c>
      <c r="G79" s="362">
        <f>'Waste Summary 2017 SASOW'!N10+'Waste Summary 2017 SASOW'!N13</f>
        <v>0</v>
      </c>
      <c r="H79" s="362">
        <f>'Waste Summary 2017 SASOW'!O10+'Waste Summary 2017 SASOW'!O13</f>
        <v>3077082.33</v>
      </c>
      <c r="I79" s="306"/>
      <c r="J79" s="306"/>
      <c r="K79" s="306"/>
      <c r="L79" s="372"/>
      <c r="M79" s="372"/>
      <c r="N79" s="372"/>
      <c r="O79" s="372"/>
      <c r="P79" s="372"/>
      <c r="Q79" s="7"/>
      <c r="R79" s="369"/>
      <c r="S79" s="369"/>
      <c r="T79" s="4"/>
      <c r="U79" s="4"/>
      <c r="BI79" s="99"/>
      <c r="BJ79" s="99"/>
      <c r="BK79" s="99"/>
      <c r="BL79" s="99"/>
      <c r="BM79" s="99"/>
      <c r="BN79" s="99"/>
      <c r="BO79" s="99"/>
      <c r="BP79" s="99"/>
      <c r="BQ79" s="99"/>
      <c r="BR79" s="99"/>
      <c r="BS79" s="99"/>
    </row>
    <row r="80" spans="1:71">
      <c r="A80" s="232"/>
      <c r="B80" s="232" t="s">
        <v>420</v>
      </c>
      <c r="C80" s="370">
        <f t="shared" ref="C80:H80" si="12">C79/$C$79</f>
        <v>1</v>
      </c>
      <c r="D80" s="373">
        <f t="shared" si="12"/>
        <v>0</v>
      </c>
      <c r="E80" s="373">
        <f t="shared" si="12"/>
        <v>0.93845226140483384</v>
      </c>
      <c r="F80" s="373">
        <f t="shared" si="12"/>
        <v>0</v>
      </c>
      <c r="G80" s="373">
        <f t="shared" si="12"/>
        <v>0</v>
      </c>
      <c r="H80" s="373">
        <f t="shared" si="12"/>
        <v>6.154773859516615E-2</v>
      </c>
      <c r="I80" s="306"/>
      <c r="J80" s="306"/>
      <c r="K80" s="306"/>
      <c r="L80" s="372"/>
      <c r="M80" s="372"/>
      <c r="N80" s="372"/>
      <c r="O80" s="372"/>
      <c r="P80" s="372"/>
      <c r="Q80" s="7"/>
      <c r="R80" s="369"/>
      <c r="S80" s="369"/>
      <c r="T80" s="4"/>
      <c r="U80" s="4"/>
      <c r="BI80" s="99"/>
      <c r="BJ80" s="99"/>
      <c r="BK80" s="99"/>
      <c r="BL80" s="99"/>
      <c r="BM80" s="99"/>
      <c r="BN80" s="99"/>
      <c r="BO80" s="99"/>
      <c r="BP80" s="99"/>
      <c r="BQ80" s="99"/>
      <c r="BR80" s="99"/>
      <c r="BS80" s="99"/>
    </row>
    <row r="81" spans="1:83" ht="15.75" thickBot="1">
      <c r="B81" s="306"/>
      <c r="C81" s="372"/>
      <c r="D81" s="372"/>
      <c r="E81" s="372"/>
      <c r="F81" s="372"/>
      <c r="G81" s="372"/>
      <c r="H81" s="372"/>
      <c r="I81" s="306"/>
      <c r="J81" s="306"/>
      <c r="K81" s="306"/>
      <c r="L81" s="372"/>
      <c r="M81" s="372"/>
      <c r="N81" s="372"/>
      <c r="O81" s="372"/>
      <c r="P81" s="372"/>
      <c r="Q81" s="7"/>
      <c r="R81" s="369"/>
      <c r="S81" s="369"/>
      <c r="T81" s="4"/>
      <c r="U81" s="4"/>
      <c r="BI81" s="99"/>
      <c r="BJ81" s="99"/>
      <c r="BK81" s="99"/>
      <c r="BL81" s="99"/>
      <c r="BM81" s="99"/>
      <c r="BN81" s="99"/>
      <c r="BO81" s="99"/>
      <c r="BP81" s="99"/>
      <c r="BQ81" s="99"/>
      <c r="BR81" s="99"/>
      <c r="BS81" s="99"/>
    </row>
    <row r="82" spans="1:83">
      <c r="A82" s="822" t="s">
        <v>705</v>
      </c>
      <c r="B82" s="115"/>
      <c r="C82" s="116"/>
      <c r="D82" s="128"/>
      <c r="E82" s="128"/>
      <c r="F82" s="128"/>
      <c r="G82" s="128"/>
      <c r="H82" s="372"/>
      <c r="I82" s="306"/>
      <c r="J82" s="306"/>
      <c r="K82" s="306"/>
      <c r="L82" s="372"/>
      <c r="M82" s="372"/>
      <c r="N82" s="372"/>
      <c r="O82" s="372"/>
      <c r="P82" s="372"/>
      <c r="Q82" s="7"/>
      <c r="R82" s="369"/>
      <c r="S82" s="369"/>
      <c r="T82" s="4"/>
      <c r="U82" s="4"/>
    </row>
    <row r="83" spans="1:83">
      <c r="A83" s="823" t="s">
        <v>659</v>
      </c>
      <c r="B83" s="128">
        <v>2017</v>
      </c>
      <c r="C83" s="658">
        <f>'Waste Summary 2017 SASOW'!L9/'Waste Summary 2017 SASOW'!L19</f>
        <v>8.711976475859419E-2</v>
      </c>
      <c r="D83" s="785"/>
      <c r="E83" s="785"/>
      <c r="F83" s="785"/>
      <c r="G83" s="785"/>
      <c r="H83" s="786"/>
      <c r="I83" s="306"/>
      <c r="J83" s="306"/>
      <c r="K83" s="306"/>
      <c r="L83" s="372"/>
      <c r="M83" s="372"/>
      <c r="N83" s="372"/>
      <c r="O83" s="372"/>
      <c r="P83" s="372"/>
      <c r="Q83" s="7"/>
      <c r="R83" s="369"/>
      <c r="S83" s="369"/>
      <c r="T83" s="4"/>
      <c r="U83" s="4"/>
    </row>
    <row r="84" spans="1:83" ht="15.75" thickBot="1">
      <c r="A84" s="824" t="s">
        <v>658</v>
      </c>
      <c r="B84" s="138">
        <v>2017</v>
      </c>
      <c r="C84" s="808">
        <f>'Waste Summary 2017 SASOW'!L9/'Waste Summary 2017 SASOW'!L23</f>
        <v>0.24270842804580239</v>
      </c>
      <c r="D84" s="785"/>
      <c r="E84" s="785"/>
      <c r="F84" s="785"/>
      <c r="G84" s="785"/>
      <c r="H84" s="786"/>
      <c r="I84" s="306"/>
      <c r="J84" s="306"/>
      <c r="K84" s="306"/>
      <c r="L84" s="372"/>
      <c r="M84" s="372"/>
      <c r="N84" s="372"/>
      <c r="O84" s="372"/>
      <c r="P84" s="372"/>
      <c r="Q84" s="7"/>
      <c r="R84" s="369"/>
      <c r="S84" s="369"/>
      <c r="T84" s="4"/>
      <c r="U84" s="4"/>
    </row>
    <row r="85" spans="1:83">
      <c r="A85" s="128"/>
      <c r="B85" s="785"/>
      <c r="C85" s="785"/>
      <c r="D85" s="785"/>
      <c r="E85" s="785"/>
      <c r="F85" s="785"/>
      <c r="G85" s="785"/>
      <c r="H85" s="786"/>
      <c r="I85" s="306"/>
      <c r="J85" s="306"/>
      <c r="K85" s="306"/>
      <c r="L85" s="372"/>
      <c r="M85" s="372"/>
      <c r="N85" s="372"/>
      <c r="O85" s="372"/>
      <c r="P85" s="372"/>
      <c r="Q85" s="7"/>
      <c r="R85" s="369"/>
      <c r="S85" s="369"/>
      <c r="T85" s="4"/>
      <c r="U85" s="4"/>
    </row>
    <row r="86" spans="1:83" ht="28.5">
      <c r="A86" s="864" t="s">
        <v>647</v>
      </c>
      <c r="B86" s="785"/>
      <c r="C86" s="785"/>
      <c r="D86" s="785"/>
      <c r="E86" s="785"/>
      <c r="F86" s="785"/>
      <c r="G86" s="785"/>
      <c r="H86" s="786"/>
      <c r="I86" s="306"/>
      <c r="J86" s="306"/>
      <c r="K86" s="306"/>
      <c r="L86" s="372"/>
      <c r="M86" s="372"/>
      <c r="N86" s="372"/>
      <c r="O86" s="372"/>
      <c r="P86" s="372"/>
      <c r="Q86" s="7"/>
      <c r="R86" s="369"/>
      <c r="S86" s="369"/>
      <c r="T86" s="4"/>
      <c r="U86" s="4"/>
    </row>
    <row r="87" spans="1:83">
      <c r="A87" s="128"/>
      <c r="B87" s="785"/>
      <c r="C87" s="785"/>
      <c r="D87" s="785"/>
      <c r="E87" s="785"/>
      <c r="F87" s="785"/>
      <c r="G87" s="785"/>
      <c r="H87" s="786"/>
      <c r="I87" s="306"/>
      <c r="J87" s="306"/>
      <c r="K87" s="306"/>
      <c r="L87" s="372"/>
      <c r="M87" s="372"/>
      <c r="N87" s="372"/>
      <c r="O87" s="372"/>
      <c r="P87" s="372"/>
      <c r="Q87" s="7"/>
      <c r="R87" s="369"/>
      <c r="S87" s="369"/>
      <c r="T87" s="4"/>
      <c r="U87" s="4"/>
      <c r="X87" s="779"/>
    </row>
    <row r="88" spans="1:83" ht="23.25">
      <c r="A88" s="865" t="s">
        <v>736</v>
      </c>
      <c r="B88" s="866"/>
      <c r="C88" s="785"/>
      <c r="D88" s="785"/>
      <c r="E88" s="785"/>
      <c r="F88" s="785"/>
      <c r="G88" s="785"/>
      <c r="H88" s="786"/>
      <c r="I88" s="306"/>
      <c r="J88" s="306"/>
      <c r="K88" s="306"/>
      <c r="L88" s="372"/>
      <c r="M88" s="372"/>
      <c r="N88" s="372"/>
      <c r="O88" s="372"/>
      <c r="P88" s="372"/>
      <c r="Q88" s="7"/>
      <c r="R88" s="369"/>
      <c r="S88" s="369"/>
      <c r="T88" s="4"/>
      <c r="U88" s="4"/>
      <c r="AB88" s="779"/>
      <c r="AF88" s="779"/>
    </row>
    <row r="89" spans="1:83">
      <c r="A89" s="128"/>
      <c r="B89" s="785"/>
      <c r="C89" s="785"/>
      <c r="D89" s="785"/>
      <c r="E89" s="785"/>
      <c r="F89" s="785"/>
      <c r="G89" s="785"/>
      <c r="H89" s="786"/>
      <c r="I89" s="306"/>
      <c r="J89" s="306"/>
      <c r="K89" s="306"/>
      <c r="L89" s="372"/>
      <c r="M89" s="372"/>
      <c r="N89" s="372"/>
      <c r="O89" s="372"/>
      <c r="P89" s="372"/>
      <c r="Q89" s="7"/>
      <c r="R89" s="369"/>
      <c r="S89" s="369"/>
      <c r="T89" s="4"/>
      <c r="U89" s="4"/>
    </row>
    <row r="90" spans="1:83">
      <c r="A90" s="128"/>
      <c r="B90" s="785"/>
      <c r="C90" s="785"/>
      <c r="D90" s="785"/>
      <c r="E90" s="785"/>
      <c r="F90" s="785"/>
      <c r="G90" s="785"/>
      <c r="H90" s="786"/>
      <c r="I90" s="306"/>
      <c r="J90" s="306"/>
      <c r="K90" s="306"/>
      <c r="L90" s="372"/>
      <c r="M90" s="372"/>
      <c r="N90" s="372"/>
      <c r="O90" s="372"/>
      <c r="P90" s="372"/>
      <c r="Q90" s="7"/>
      <c r="R90" s="369"/>
      <c r="S90" s="369"/>
      <c r="T90" s="4"/>
      <c r="U90" s="4"/>
      <c r="BI90" s="99"/>
      <c r="BJ90" s="99"/>
      <c r="BK90" s="99"/>
      <c r="BL90" s="99"/>
      <c r="BM90" s="99"/>
    </row>
    <row r="91" spans="1:83" ht="15.75" thickBot="1">
      <c r="E91" s="10"/>
      <c r="F91" s="10"/>
      <c r="G91" s="10"/>
      <c r="H91" s="10"/>
      <c r="I91" s="10"/>
      <c r="J91" s="10"/>
      <c r="K91" s="10"/>
      <c r="L91" s="10"/>
      <c r="M91" s="10"/>
      <c r="N91" s="10"/>
      <c r="O91" s="10"/>
      <c r="P91" s="10"/>
      <c r="Q91" s="10"/>
      <c r="R91" s="10"/>
      <c r="S91" s="10"/>
      <c r="BI91" s="99"/>
      <c r="BJ91" s="99"/>
      <c r="BK91" s="99"/>
      <c r="BL91" s="99"/>
      <c r="BM91" s="99"/>
    </row>
    <row r="92" spans="1:83" ht="34.9" customHeight="1" thickBot="1">
      <c r="A92" s="1593" t="s">
        <v>688</v>
      </c>
      <c r="B92" s="1594"/>
      <c r="C92" s="1594"/>
      <c r="D92" s="1595"/>
      <c r="E92" s="1638" t="s">
        <v>686</v>
      </c>
      <c r="F92" s="1639"/>
      <c r="G92" s="1640"/>
      <c r="H92" s="1641" t="s">
        <v>687</v>
      </c>
      <c r="I92" s="1642"/>
      <c r="J92" s="1642"/>
      <c r="K92" s="1643"/>
      <c r="L92" s="1626" t="s">
        <v>683</v>
      </c>
      <c r="M92" s="1617"/>
      <c r="N92" s="1617"/>
      <c r="O92" s="1617"/>
      <c r="P92" s="1618"/>
      <c r="Q92" s="1616" t="s">
        <v>684</v>
      </c>
      <c r="R92" s="1617"/>
      <c r="S92" s="1617"/>
      <c r="T92" s="1617"/>
      <c r="U92" s="1618"/>
      <c r="V92" s="1614" t="s">
        <v>685</v>
      </c>
      <c r="W92" s="1644" t="s">
        <v>697</v>
      </c>
      <c r="X92" s="1645"/>
      <c r="Y92" s="1602" t="s">
        <v>675</v>
      </c>
      <c r="Z92" s="1604" t="s">
        <v>681</v>
      </c>
      <c r="AA92" s="1665" t="s">
        <v>661</v>
      </c>
      <c r="AB92" s="1611" t="s">
        <v>728</v>
      </c>
      <c r="AC92" s="1606" t="s">
        <v>731</v>
      </c>
      <c r="AD92" s="1604" t="s">
        <v>730</v>
      </c>
      <c r="AE92" s="1606" t="s">
        <v>733</v>
      </c>
      <c r="AF92" s="1609" t="s">
        <v>682</v>
      </c>
      <c r="AG92" s="1667" t="s">
        <v>700</v>
      </c>
      <c r="AH92" s="1668"/>
      <c r="AI92" s="1668"/>
      <c r="AJ92" s="1668"/>
      <c r="AK92" s="1668"/>
      <c r="AL92" s="1668"/>
      <c r="AM92" s="1668"/>
      <c r="AN92" s="1668"/>
      <c r="AO92" s="1668"/>
      <c r="AP92" s="1668"/>
      <c r="AQ92" s="1669"/>
      <c r="AR92" s="1596" t="s">
        <v>704</v>
      </c>
      <c r="AS92" s="1597"/>
      <c r="AT92" s="1597"/>
      <c r="AU92" s="1597"/>
      <c r="AV92" s="1597"/>
      <c r="AW92" s="1597"/>
      <c r="AX92" s="1597"/>
      <c r="AY92" s="1597"/>
      <c r="AZ92" s="1597"/>
      <c r="BA92" s="1597"/>
      <c r="BB92" s="1598"/>
      <c r="BC92" s="1449" t="s">
        <v>225</v>
      </c>
      <c r="BD92" s="1446" t="s">
        <v>708</v>
      </c>
      <c r="BE92" s="1599" t="s">
        <v>701</v>
      </c>
      <c r="BF92" s="1600"/>
      <c r="BG92" s="1600"/>
      <c r="BH92" s="1600"/>
      <c r="BI92" s="1600"/>
      <c r="BJ92" s="1600"/>
      <c r="BK92" s="1600"/>
      <c r="BL92" s="1601"/>
      <c r="BM92" s="1507" t="s">
        <v>557</v>
      </c>
      <c r="BN92" s="1508"/>
      <c r="BO92" s="1508"/>
      <c r="BP92" s="1508"/>
      <c r="BQ92" s="1508"/>
      <c r="BR92" s="1508"/>
      <c r="BS92" s="1508"/>
      <c r="BT92" s="1509"/>
      <c r="BV92" s="1591" t="s">
        <v>737</v>
      </c>
      <c r="BW92" s="1592"/>
      <c r="BX92" s="1592"/>
      <c r="BY92" s="1589" t="s">
        <v>740</v>
      </c>
      <c r="BZ92" s="1592"/>
      <c r="CA92" s="1592"/>
      <c r="CB92" s="1592" t="s">
        <v>738</v>
      </c>
      <c r="CC92" s="1590"/>
      <c r="CD92" s="1592" t="s">
        <v>741</v>
      </c>
      <c r="CE92" s="1590"/>
    </row>
    <row r="93" spans="1:83" s="10" customFormat="1" ht="42.6" customHeight="1" thickBot="1">
      <c r="A93" s="1619" t="s">
        <v>217</v>
      </c>
      <c r="B93" s="884" t="s">
        <v>218</v>
      </c>
      <c r="C93" s="884" t="s">
        <v>464</v>
      </c>
      <c r="D93" s="644" t="s">
        <v>576</v>
      </c>
      <c r="E93" s="882" t="s">
        <v>577</v>
      </c>
      <c r="F93" s="880" t="s">
        <v>580</v>
      </c>
      <c r="G93" s="881" t="s">
        <v>606</v>
      </c>
      <c r="H93" s="878" t="s">
        <v>554</v>
      </c>
      <c r="I93" s="874" t="s">
        <v>288</v>
      </c>
      <c r="J93" s="873" t="s">
        <v>678</v>
      </c>
      <c r="K93" s="875" t="s">
        <v>679</v>
      </c>
      <c r="L93" s="838" t="s">
        <v>87</v>
      </c>
      <c r="M93" s="827" t="s">
        <v>364</v>
      </c>
      <c r="N93" s="827" t="s">
        <v>365</v>
      </c>
      <c r="O93" s="827" t="s">
        <v>366</v>
      </c>
      <c r="P93" s="826" t="s">
        <v>660</v>
      </c>
      <c r="Q93" s="634" t="s">
        <v>87</v>
      </c>
      <c r="R93" s="827" t="s">
        <v>364</v>
      </c>
      <c r="S93" s="827" t="s">
        <v>365</v>
      </c>
      <c r="T93" s="827" t="s">
        <v>366</v>
      </c>
      <c r="U93" s="1395" t="s">
        <v>660</v>
      </c>
      <c r="V93" s="1615"/>
      <c r="W93" s="639" t="s">
        <v>694</v>
      </c>
      <c r="X93" s="642" t="s">
        <v>654</v>
      </c>
      <c r="Y93" s="1603"/>
      <c r="Z93" s="1605"/>
      <c r="AA93" s="1666"/>
      <c r="AB93" s="1612"/>
      <c r="AC93" s="1607"/>
      <c r="AD93" s="1605"/>
      <c r="AE93" s="1607"/>
      <c r="AF93" s="1610"/>
      <c r="AG93" s="901" t="s">
        <v>549</v>
      </c>
      <c r="AH93" s="901" t="s">
        <v>565</v>
      </c>
      <c r="AI93" s="901" t="s">
        <v>428</v>
      </c>
      <c r="AJ93" s="901" t="s">
        <v>429</v>
      </c>
      <c r="AK93" s="901" t="s">
        <v>225</v>
      </c>
      <c r="AL93" s="905" t="s">
        <v>671</v>
      </c>
      <c r="AM93" s="900" t="s">
        <v>549</v>
      </c>
      <c r="AN93" s="901" t="s">
        <v>565</v>
      </c>
      <c r="AO93" s="901" t="s">
        <v>428</v>
      </c>
      <c r="AP93" s="901" t="s">
        <v>429</v>
      </c>
      <c r="AQ93" s="913" t="s">
        <v>225</v>
      </c>
      <c r="AR93" s="915" t="s">
        <v>221</v>
      </c>
      <c r="AS93" s="914" t="s">
        <v>85</v>
      </c>
      <c r="AT93" s="914" t="s">
        <v>87</v>
      </c>
      <c r="AU93" s="914" t="s">
        <v>222</v>
      </c>
      <c r="AV93" s="914" t="s">
        <v>115</v>
      </c>
      <c r="AW93" s="914" t="s">
        <v>223</v>
      </c>
      <c r="AX93" s="914" t="s">
        <v>548</v>
      </c>
      <c r="AY93" s="914" t="s">
        <v>374</v>
      </c>
      <c r="AZ93" s="914" t="s">
        <v>375</v>
      </c>
      <c r="BA93" s="914" t="s">
        <v>376</v>
      </c>
      <c r="BB93" s="914" t="s">
        <v>377</v>
      </c>
      <c r="BC93" s="1450"/>
      <c r="BD93" s="1447"/>
      <c r="BE93" s="915" t="s">
        <v>221</v>
      </c>
      <c r="BF93" s="914" t="s">
        <v>85</v>
      </c>
      <c r="BG93" s="914" t="s">
        <v>87</v>
      </c>
      <c r="BH93" s="914" t="s">
        <v>222</v>
      </c>
      <c r="BI93" s="914" t="s">
        <v>115</v>
      </c>
      <c r="BJ93" s="914" t="s">
        <v>223</v>
      </c>
      <c r="BK93" s="914" t="s">
        <v>703</v>
      </c>
      <c r="BL93" s="1345" t="s">
        <v>303</v>
      </c>
      <c r="BM93" s="549" t="s">
        <v>221</v>
      </c>
      <c r="BN93" s="509" t="s">
        <v>85</v>
      </c>
      <c r="BO93" s="509" t="s">
        <v>87</v>
      </c>
      <c r="BP93" s="509" t="s">
        <v>222</v>
      </c>
      <c r="BQ93" s="509" t="s">
        <v>115</v>
      </c>
      <c r="BR93" s="509" t="s">
        <v>223</v>
      </c>
      <c r="BS93" s="509" t="s">
        <v>224</v>
      </c>
      <c r="BT93" s="1348" t="s">
        <v>225</v>
      </c>
      <c r="BV93" s="1379" t="s">
        <v>609</v>
      </c>
      <c r="BW93" s="40" t="s">
        <v>718</v>
      </c>
      <c r="BX93" s="40" t="str">
        <f>D133</f>
        <v xml:space="preserve">Coal ash generated - ‘IRP realistic’ </v>
      </c>
      <c r="BY93" s="1497" t="s">
        <v>609</v>
      </c>
      <c r="BZ93" s="40" t="s">
        <v>718</v>
      </c>
      <c r="CA93" s="40" t="s">
        <v>725</v>
      </c>
      <c r="CB93" s="40" t="s">
        <v>267</v>
      </c>
      <c r="CC93" s="1380" t="s">
        <v>735</v>
      </c>
      <c r="CD93" s="40" t="s">
        <v>267</v>
      </c>
      <c r="CE93" s="1380" t="s">
        <v>735</v>
      </c>
    </row>
    <row r="94" spans="1:83" ht="16.5" thickBot="1">
      <c r="A94" s="1631"/>
      <c r="B94" s="567" t="s">
        <v>232</v>
      </c>
      <c r="C94" s="568" t="s">
        <v>558</v>
      </c>
      <c r="D94" s="605" t="s">
        <v>556</v>
      </c>
      <c r="E94" s="883" t="s">
        <v>229</v>
      </c>
      <c r="F94" s="871" t="s">
        <v>229</v>
      </c>
      <c r="G94" s="872" t="s">
        <v>228</v>
      </c>
      <c r="H94" s="879" t="s">
        <v>227</v>
      </c>
      <c r="I94" s="876" t="s">
        <v>228</v>
      </c>
      <c r="J94" s="876" t="s">
        <v>227</v>
      </c>
      <c r="K94" s="877" t="s">
        <v>227</v>
      </c>
      <c r="L94" s="715" t="s">
        <v>229</v>
      </c>
      <c r="M94" s="553" t="s">
        <v>229</v>
      </c>
      <c r="N94" s="553" t="s">
        <v>229</v>
      </c>
      <c r="O94" s="553" t="s">
        <v>229</v>
      </c>
      <c r="P94" s="554" t="s">
        <v>229</v>
      </c>
      <c r="Q94" s="552" t="s">
        <v>227</v>
      </c>
      <c r="R94" s="553" t="s">
        <v>227</v>
      </c>
      <c r="S94" s="553" t="s">
        <v>227</v>
      </c>
      <c r="T94" s="553" t="s">
        <v>227</v>
      </c>
      <c r="U94" s="554" t="s">
        <v>227</v>
      </c>
      <c r="V94" s="869" t="s">
        <v>227</v>
      </c>
      <c r="W94" s="867" t="s">
        <v>229</v>
      </c>
      <c r="X94" s="870" t="s">
        <v>227</v>
      </c>
      <c r="Y94" s="895" t="s">
        <v>227</v>
      </c>
      <c r="Z94" s="896" t="s">
        <v>227</v>
      </c>
      <c r="AA94" s="897" t="s">
        <v>227</v>
      </c>
      <c r="AB94" s="1613"/>
      <c r="AC94" s="1608"/>
      <c r="AD94" s="1411" t="s">
        <v>28</v>
      </c>
      <c r="AE94" s="1608"/>
      <c r="AF94" s="1409" t="s">
        <v>227</v>
      </c>
      <c r="AG94" s="903" t="s">
        <v>227</v>
      </c>
      <c r="AH94" s="903" t="s">
        <v>227</v>
      </c>
      <c r="AI94" s="903" t="s">
        <v>227</v>
      </c>
      <c r="AJ94" s="903" t="s">
        <v>227</v>
      </c>
      <c r="AK94" s="903" t="s">
        <v>227</v>
      </c>
      <c r="AL94" s="912" t="s">
        <v>669</v>
      </c>
      <c r="AM94" s="190" t="s">
        <v>229</v>
      </c>
      <c r="AN94" s="904" t="s">
        <v>229</v>
      </c>
      <c r="AO94" s="904" t="s">
        <v>229</v>
      </c>
      <c r="AP94" s="904" t="s">
        <v>229</v>
      </c>
      <c r="AQ94" s="909" t="s">
        <v>229</v>
      </c>
      <c r="AR94" s="920" t="s">
        <v>227</v>
      </c>
      <c r="AS94" s="921" t="s">
        <v>227</v>
      </c>
      <c r="AT94" s="921" t="s">
        <v>227</v>
      </c>
      <c r="AU94" s="921" t="s">
        <v>227</v>
      </c>
      <c r="AV94" s="921" t="s">
        <v>227</v>
      </c>
      <c r="AW94" s="921" t="s">
        <v>227</v>
      </c>
      <c r="AX94" s="921" t="s">
        <v>227</v>
      </c>
      <c r="AY94" s="921" t="s">
        <v>227</v>
      </c>
      <c r="AZ94" s="921" t="s">
        <v>227</v>
      </c>
      <c r="BA94" s="921" t="s">
        <v>227</v>
      </c>
      <c r="BB94" s="921" t="s">
        <v>227</v>
      </c>
      <c r="BC94" s="921" t="s">
        <v>227</v>
      </c>
      <c r="BD94" s="1448"/>
      <c r="BE94" s="920" t="s">
        <v>229</v>
      </c>
      <c r="BF94" s="921" t="s">
        <v>229</v>
      </c>
      <c r="BG94" s="921" t="s">
        <v>229</v>
      </c>
      <c r="BH94" s="921" t="s">
        <v>229</v>
      </c>
      <c r="BI94" s="921" t="s">
        <v>229</v>
      </c>
      <c r="BJ94" s="921" t="s">
        <v>229</v>
      </c>
      <c r="BK94" s="921" t="s">
        <v>229</v>
      </c>
      <c r="BL94" s="1346" t="s">
        <v>229</v>
      </c>
      <c r="BM94" s="549" t="s">
        <v>229</v>
      </c>
      <c r="BN94" s="509" t="s">
        <v>229</v>
      </c>
      <c r="BO94" s="509" t="s">
        <v>229</v>
      </c>
      <c r="BP94" s="509" t="s">
        <v>229</v>
      </c>
      <c r="BQ94" s="509" t="s">
        <v>229</v>
      </c>
      <c r="BR94" s="509" t="s">
        <v>229</v>
      </c>
      <c r="BS94" s="509" t="s">
        <v>229</v>
      </c>
      <c r="BT94" s="1348" t="s">
        <v>229</v>
      </c>
      <c r="BV94" s="67" t="s">
        <v>719</v>
      </c>
      <c r="BW94" s="1496" t="s">
        <v>229</v>
      </c>
      <c r="BX94" s="1496" t="s">
        <v>719</v>
      </c>
      <c r="BY94" s="1498" t="s">
        <v>719</v>
      </c>
      <c r="BZ94" s="1496" t="s">
        <v>229</v>
      </c>
      <c r="CA94" s="1496" t="s">
        <v>719</v>
      </c>
      <c r="CB94" s="1496" t="s">
        <v>229</v>
      </c>
      <c r="CC94" s="68" t="s">
        <v>229</v>
      </c>
      <c r="CD94" s="1496" t="s">
        <v>229</v>
      </c>
      <c r="CE94" s="68" t="s">
        <v>229</v>
      </c>
    </row>
    <row r="95" spans="1:83">
      <c r="A95" s="127">
        <f>'Input data'!A115</f>
        <v>2017</v>
      </c>
      <c r="B95" s="828">
        <f>'Input data'!B115</f>
        <v>56.521999999999998</v>
      </c>
      <c r="C95" s="238">
        <f>'Input data'!C115</f>
        <v>3120.54</v>
      </c>
      <c r="D95" s="239">
        <f>'Input data'!D115</f>
        <v>49995051</v>
      </c>
      <c r="E95" s="805">
        <f>'Input data'!F115</f>
        <v>0.71479999999999999</v>
      </c>
      <c r="F95" s="805">
        <f>'Input data'!G115</f>
        <v>0.28959999999999997</v>
      </c>
      <c r="G95" s="973">
        <f>'Input data'!H115</f>
        <v>501</v>
      </c>
      <c r="H95" s="654">
        <f>'Input data'!I115</f>
        <v>424.26313389388866</v>
      </c>
      <c r="I95" s="673">
        <f>'Input data'!K115</f>
        <v>23980.200853950373</v>
      </c>
      <c r="J95" s="673">
        <f>H95*B10</f>
        <v>197.16290517356791</v>
      </c>
      <c r="K95" s="802">
        <f t="shared" ref="K95:K128" si="13">H95*$B$10-J95</f>
        <v>0</v>
      </c>
      <c r="L95" s="510">
        <f>C17</f>
        <v>0.57999999999999996</v>
      </c>
      <c r="M95" s="510">
        <f>D17</f>
        <v>0.437</v>
      </c>
      <c r="N95" s="510">
        <f>E17</f>
        <v>0.71200000000000008</v>
      </c>
      <c r="O95" s="510">
        <f>F17</f>
        <v>0.8</v>
      </c>
      <c r="P95" s="114">
        <f>$G$17</f>
        <v>0.23600000000000002</v>
      </c>
      <c r="Q95" s="654">
        <f>H95*$E$75*L95</f>
        <v>21.956594277323916</v>
      </c>
      <c r="R95" s="673">
        <f t="shared" ref="R95:R128" si="14">H95*$J$75*M95</f>
        <v>8.498893173320921</v>
      </c>
      <c r="S95" s="673">
        <f t="shared" ref="S95:S128" si="15">H95*$K$75*N95</f>
        <v>35.157920176424213</v>
      </c>
      <c r="T95" s="673">
        <f t="shared" ref="T95:T128" si="16">H95*$L$75*O95</f>
        <v>50.006188746360976</v>
      </c>
      <c r="U95" s="673">
        <f t="shared" ref="U95:U128" si="17">H95*$M$75*P95</f>
        <v>0.67710709475193609</v>
      </c>
      <c r="V95" s="1422">
        <f t="shared" ref="V95:V128" si="18">SUM(Q95:U95)</f>
        <v>116.29670346818196</v>
      </c>
      <c r="W95" s="805">
        <v>0</v>
      </c>
      <c r="X95" s="671">
        <f t="shared" ref="X95:X128" si="19">W95*H95*($C$76+$D$76)*$B$10</f>
        <v>0</v>
      </c>
      <c r="Y95" s="671">
        <f t="shared" ref="Y95:Y128" si="20">X95+(V95-$V$95)</f>
        <v>0</v>
      </c>
      <c r="Z95" s="672">
        <f t="shared" ref="Z95:Z128" si="21">$J$95-Y95</f>
        <v>197.16290517356791</v>
      </c>
      <c r="AA95" s="673">
        <f t="shared" ref="AA95:AA128" si="22">K95-Y95</f>
        <v>0</v>
      </c>
      <c r="AB95" s="893">
        <f t="shared" ref="AB95:AB128" si="23">AA95/Z95</f>
        <v>0</v>
      </c>
      <c r="AC95" s="135" t="str">
        <f>IF(AND(AB95&gt;=0,AB95&lt;=0.85),"Policies met","Policies not met")</f>
        <v>Policies met</v>
      </c>
      <c r="AD95" s="1353">
        <f>IF(AB95&lt;=0,0,IF(AB95&gt;=0.85,0.85,AB95))</f>
        <v>0</v>
      </c>
      <c r="AE95" s="135" t="str">
        <f>IF(AND(AB95&gt;=0,AB95&lt;=0.85),"No","Yes")</f>
        <v>No</v>
      </c>
      <c r="AF95" s="1420">
        <f>$H$95*(1-AD95)</f>
        <v>424.26313389388866</v>
      </c>
      <c r="AG95" s="839">
        <f>Z95-Z95*AD95</f>
        <v>197.16290517356791</v>
      </c>
      <c r="AH95" s="839">
        <f t="shared" ref="AH95:AH128" si="24">V95*(1-AB95)</f>
        <v>116.29670346818196</v>
      </c>
      <c r="AI95" s="839">
        <f t="shared" ref="AI95:AI128" si="25">($C$10*$H$10*$H$95+X95)*(1-AB95)</f>
        <v>59.269011747436601</v>
      </c>
      <c r="AJ95" s="839">
        <f t="shared" ref="AJ95:AJ128" si="26">H95*$D$10*(1-AB95)</f>
        <v>51.534513504702232</v>
      </c>
      <c r="AK95" s="839">
        <f>SUM(AG95:AJ95)</f>
        <v>424.26313389388872</v>
      </c>
      <c r="AL95" s="947">
        <f t="shared" ref="AL95:AL128" si="27">AF95-AK95</f>
        <v>0</v>
      </c>
      <c r="AM95" s="805">
        <f>AG95/AK95</f>
        <v>0.46471844811027058</v>
      </c>
      <c r="AN95" s="510">
        <f>AH95/AK95</f>
        <v>0.274114562820508</v>
      </c>
      <c r="AO95" s="510">
        <f>AI95/AK95</f>
        <v>0.13969870821314445</v>
      </c>
      <c r="AP95" s="510">
        <f>AJ95/AK95</f>
        <v>0.1214682808560769</v>
      </c>
      <c r="AQ95" s="510">
        <f>SUM(AM95:AP95)</f>
        <v>0.99999999999999989</v>
      </c>
      <c r="AR95" s="1490">
        <f>($H$95*$C$76*AM95-0.5*X95)*(1-AD95)</f>
        <v>47.321656818861349</v>
      </c>
      <c r="AS95" s="1491">
        <f>($H$95*$D$76-0.5*X95)*(1-AD95)*AM95</f>
        <v>60.016663087128173</v>
      </c>
      <c r="AT95" s="1491">
        <f>($H$95*$E$76*AM95-(Q95-$Q$95))*(1-AD95)</f>
        <v>11.632264519473155</v>
      </c>
      <c r="AU95" s="1491">
        <f>$H$95*$F$76*(1-AD95)*AM95</f>
        <v>0</v>
      </c>
      <c r="AV95" s="1491">
        <f>$H$95*$G$76*(1-AD95)*AM95</f>
        <v>0</v>
      </c>
      <c r="AW95" s="1491">
        <f>$H$95*$H$76*(1-AD95)*AM95</f>
        <v>0</v>
      </c>
      <c r="AX95" s="1492">
        <f>$H$95*$I$76*(1-AD95)*$AM$95</f>
        <v>49.510847715298119</v>
      </c>
      <c r="AY95" s="1491">
        <f>($H$95*$J$76*AM95-(R95-$R$95))*(1-AD95)</f>
        <v>7.1581397336128587</v>
      </c>
      <c r="AZ95" s="1491">
        <f>($H$95*$K$76*AM95-(S95-$S$95))*(1-AD95)</f>
        <v>10.404319152730528</v>
      </c>
      <c r="BA95" s="1491">
        <f>($H$95*$L$76*AM95-(T95-$T$95))*(1-AD95)</f>
        <v>9.146222458533865</v>
      </c>
      <c r="BB95" s="1491">
        <f>($H$95*$M$76*AM95-(U95-$U$95))*(1-AB95)</f>
        <v>1.9727916879297922</v>
      </c>
      <c r="BC95" s="673">
        <f>SUM(AR95:BB95)</f>
        <v>197.16290517356785</v>
      </c>
      <c r="BD95" s="922">
        <f>BC95-AG95</f>
        <v>0</v>
      </c>
      <c r="BE95" s="840">
        <f>AR95/BC95</f>
        <v>0.24001298204245272</v>
      </c>
      <c r="BF95" s="535">
        <f>AS95/BC95</f>
        <v>0.30440139352934509</v>
      </c>
      <c r="BG95" s="535">
        <f>AT95/BC95</f>
        <v>5.8998240613430591E-2</v>
      </c>
      <c r="BH95" s="535">
        <f>AU95/BC95</f>
        <v>0</v>
      </c>
      <c r="BI95" s="535">
        <f>AV95/BC95</f>
        <v>0</v>
      </c>
      <c r="BJ95" s="535">
        <f>AW95/BC95</f>
        <v>0</v>
      </c>
      <c r="BK95" s="535">
        <f>SUM(AX95:BB95)/BC95</f>
        <v>0.3965873838147716</v>
      </c>
      <c r="BL95" s="1342">
        <f>SUM(BE95:BK95)</f>
        <v>1</v>
      </c>
      <c r="BM95" s="1237">
        <f>'Input data'!M115</f>
        <v>0.19892488097366726</v>
      </c>
      <c r="BN95" s="713">
        <f>'Input data'!N115</f>
        <v>0.26585903447659598</v>
      </c>
      <c r="BO95" s="713">
        <f>'Input data'!O115</f>
        <v>8.9228108703258049E-2</v>
      </c>
      <c r="BP95" s="713">
        <f>'Input data'!P115</f>
        <v>0</v>
      </c>
      <c r="BQ95" s="713">
        <f>'Input data'!Q115</f>
        <v>0</v>
      </c>
      <c r="BR95" s="713">
        <f>'Input data'!R115</f>
        <v>0</v>
      </c>
      <c r="BS95" s="713">
        <f>'Input data'!S115</f>
        <v>0.4459879758464787</v>
      </c>
      <c r="BT95" s="658">
        <f>SUM(BM95:BS95)</f>
        <v>1</v>
      </c>
      <c r="BV95" s="671">
        <f t="shared" ref="BV95:BV128" si="28">(AK95*B95+C135*W135)*1000/10^6</f>
        <v>109.87635423856577</v>
      </c>
      <c r="BW95" s="713">
        <f>(B95*(AK95-AM95*AK95)+C135*(AC135-AC135*AE135))/(AK95*B95*AM95+AC135*C135*AE135)</f>
        <v>0.29713182575222163</v>
      </c>
      <c r="BX95" s="696">
        <f t="shared" ref="BX95:BX128" si="29">D135/10^6</f>
        <v>49.995050999999997</v>
      </c>
      <c r="BY95" s="671">
        <f t="shared" ref="BY95:BY128" si="30">(AK95*B95+C175*W175)*1000/10^6</f>
        <v>109.87635423856577</v>
      </c>
      <c r="BZ95" s="713">
        <f>(B175*(AK95-AM95*AK95)+C175*(AC175-AC175*AE175))/(AK95*B175*AM95+AC175*C175*AE175)</f>
        <v>0.29713182575222163</v>
      </c>
      <c r="CA95" s="696">
        <f t="shared" ref="CA95:CA128" si="31">D175/10^6</f>
        <v>49.995050999999997</v>
      </c>
      <c r="CB95" s="713">
        <f t="shared" ref="CB95:CB128" si="32">AD95</f>
        <v>0</v>
      </c>
      <c r="CC95" s="713">
        <f t="shared" ref="CC95:CC128" si="33">U135</f>
        <v>0</v>
      </c>
      <c r="CD95" s="713">
        <f t="shared" ref="CD95:CD128" si="34">AD95</f>
        <v>0</v>
      </c>
      <c r="CE95" s="1001">
        <f t="shared" ref="CE95:CE128" si="35">U175</f>
        <v>0</v>
      </c>
    </row>
    <row r="96" spans="1:83">
      <c r="A96" s="127">
        <f>'Input data'!A116</f>
        <v>2018</v>
      </c>
      <c r="B96" s="828">
        <f>'Input data'!B116</f>
        <v>57.436</v>
      </c>
      <c r="C96" s="238">
        <f>'Input data'!C116</f>
        <v>3152.24</v>
      </c>
      <c r="D96" s="239">
        <f>'Input data'!D116</f>
        <v>48694518.38623029</v>
      </c>
      <c r="E96" s="805">
        <f t="shared" ref="E96:E127" si="36">($E$128-$E$95)/($A$128-$A$95)+E95</f>
        <v>0.72344242424242422</v>
      </c>
      <c r="F96" s="510">
        <f t="shared" ref="F96:F127" si="37">($F$128-$F$95)/($A$128-$A$95)+F95</f>
        <v>0.29195303030303027</v>
      </c>
      <c r="G96" s="672">
        <f>B96*F96*'Input data'!$C$9</f>
        <v>513.23802109781525</v>
      </c>
      <c r="H96" s="654">
        <f>'Input data'!I116</f>
        <v>424.26313389388866</v>
      </c>
      <c r="I96" s="673">
        <f>'Input data'!K116</f>
        <v>24367.97735832939</v>
      </c>
      <c r="J96" s="673">
        <f>$J$95*(1+(($J$108/$J$95)^(1/($A$108-$A$95))-1))^(A96-$A$95)</f>
        <v>186.92571705684603</v>
      </c>
      <c r="K96" s="674">
        <f t="shared" si="13"/>
        <v>10.237188116721882</v>
      </c>
      <c r="L96" s="510">
        <f t="shared" ref="L96:L104" si="38">($L$108-$L$95)/($A$108-$A$95)+L95</f>
        <v>0.57999999999999996</v>
      </c>
      <c r="M96" s="510">
        <f t="shared" ref="M96:M104" si="39">($M$108-$M$95)/($A$108-$A$95)+M95</f>
        <v>0.437</v>
      </c>
      <c r="N96" s="510">
        <f t="shared" ref="N96:N104" si="40">($N$108-$N$95)/($A$108-$A$95)+N95</f>
        <v>0.71200000000000008</v>
      </c>
      <c r="O96" s="510">
        <f t="shared" ref="O96:O104" si="41">($O$108-$O$95)/($A$108-$A$95)+O95</f>
        <v>0.8</v>
      </c>
      <c r="P96" s="510">
        <f t="shared" ref="P96:P107" si="42">($P$108-$P$95)/($A$108-$A$95)+P95</f>
        <v>0.23600000000000002</v>
      </c>
      <c r="Q96" s="654">
        <f t="shared" ref="Q96:Q128" si="43">H96*$E$75*L96</f>
        <v>21.956594277323916</v>
      </c>
      <c r="R96" s="673">
        <f t="shared" si="14"/>
        <v>8.498893173320921</v>
      </c>
      <c r="S96" s="673">
        <f t="shared" si="15"/>
        <v>35.157920176424213</v>
      </c>
      <c r="T96" s="673">
        <f t="shared" si="16"/>
        <v>50.006188746360976</v>
      </c>
      <c r="U96" s="673">
        <f t="shared" si="17"/>
        <v>0.67710709475193609</v>
      </c>
      <c r="V96" s="1422">
        <f t="shared" si="18"/>
        <v>116.29670346818196</v>
      </c>
      <c r="W96" s="805">
        <f>($W$100-$W$95)/($A$100-$A$95)+W95</f>
        <v>0.05</v>
      </c>
      <c r="X96" s="671">
        <f t="shared" si="19"/>
        <v>5.3669159952994772</v>
      </c>
      <c r="Y96" s="671">
        <f t="shared" si="20"/>
        <v>5.3669159952994772</v>
      </c>
      <c r="Z96" s="672">
        <f t="shared" si="21"/>
        <v>191.79598917826843</v>
      </c>
      <c r="AA96" s="673">
        <f t="shared" si="22"/>
        <v>4.8702721214224045</v>
      </c>
      <c r="AB96" s="893">
        <f t="shared" si="23"/>
        <v>2.5392982107126535E-2</v>
      </c>
      <c r="AC96" s="135" t="str">
        <f t="shared" ref="AC96:AC128" si="44">IF(AND(AB96&gt;=0,AB96&lt;=0.85),"Policies met","Policies not met")</f>
        <v>Policies met</v>
      </c>
      <c r="AD96" s="1353">
        <f t="shared" ref="AD96:AD128" si="45">IF(AB96&lt;=0,0,IF(AB96&gt;=0.85,0.85,AB96))</f>
        <v>2.5392982107126535E-2</v>
      </c>
      <c r="AE96" s="135" t="str">
        <f t="shared" ref="AE96:AE128" si="46">IF(AND(AB96&gt;=0,AB96&lt;=0.85),"No","Yes")</f>
        <v>No</v>
      </c>
      <c r="AF96" s="1420">
        <f t="shared" ref="AF96:AF128" si="47">$H$95*(1-AD96)</f>
        <v>413.48982772620775</v>
      </c>
      <c r="AG96" s="118">
        <f t="shared" ref="AG96:AG128" si="48">Z96-Z96*AD96</f>
        <v>186.92571705684603</v>
      </c>
      <c r="AH96" s="118">
        <f t="shared" si="24"/>
        <v>113.34358335789662</v>
      </c>
      <c r="AI96" s="118">
        <f t="shared" si="25"/>
        <v>62.994628786087254</v>
      </c>
      <c r="AJ96" s="118">
        <f t="shared" si="26"/>
        <v>50.225898525377858</v>
      </c>
      <c r="AK96" s="118">
        <f t="shared" ref="AK96:AK128" si="49">SUM(AG96:AJ96)</f>
        <v>413.48982772620775</v>
      </c>
      <c r="AL96" s="910">
        <f t="shared" si="27"/>
        <v>0</v>
      </c>
      <c r="AM96" s="805">
        <f t="shared" ref="AM96:AM128" si="50">AG96/AK96</f>
        <v>0.45206847792303823</v>
      </c>
      <c r="AN96" s="510">
        <f t="shared" ref="AN96:AN128" si="51">AH96/AK96</f>
        <v>0.27411456282050806</v>
      </c>
      <c r="AO96" s="510">
        <f t="shared" ref="AO96:AO128" si="52">AI96/AK96</f>
        <v>0.15234867840037686</v>
      </c>
      <c r="AP96" s="510">
        <f t="shared" ref="AP96:AP128" si="53">AJ96/AK96</f>
        <v>0.1214682808560769</v>
      </c>
      <c r="AQ96" s="510">
        <f t="shared" ref="AQ96:AQ128" si="54">SUM(AM96:AP96)</f>
        <v>1.0000000000000002</v>
      </c>
      <c r="AR96" s="916">
        <f>($AR$95-0.5*X96)*(1-AD96)</f>
        <v>43.504701837250231</v>
      </c>
      <c r="AS96" s="917">
        <f>($AS$95-0.5*X96)*(1-AD96)</f>
        <v>55.877344038497093</v>
      </c>
      <c r="AT96" s="917">
        <f>($AT$95-(Q96-$Q$95))*(1-AD96)</f>
        <v>11.336886634664811</v>
      </c>
      <c r="AU96" s="917">
        <f>$H$95*$F$76*(1-AD96)</f>
        <v>0</v>
      </c>
      <c r="AV96" s="917">
        <f>$H$95*$G$76*(1-AD96)</f>
        <v>0</v>
      </c>
      <c r="AW96" s="917">
        <f>$H$95*$H$76*(1-AD96)</f>
        <v>0</v>
      </c>
      <c r="AX96" s="1338">
        <f>$H$95*$I$76*(1-AD96)*$AM$95</f>
        <v>48.253619645154892</v>
      </c>
      <c r="AY96" s="917">
        <f>($AY$95-(R96-$R$95))*(1-AD96)</f>
        <v>6.9763732194369164</v>
      </c>
      <c r="AZ96" s="917">
        <f>($AZ$95-(S96-$S$95))*(1-AD96)</f>
        <v>10.140122462648408</v>
      </c>
      <c r="BA96" s="917">
        <f>($BA$95-(T96-$T$95))*(1-AD96)</f>
        <v>8.9139725952965154</v>
      </c>
      <c r="BB96" s="917">
        <f>($BB$95-(U96-$U$95))*(1-AD96)</f>
        <v>1.9226966238971031</v>
      </c>
      <c r="BC96" s="673">
        <f t="shared" ref="BC96:BC128" si="55">SUM(AR96:BB96)</f>
        <v>186.92571705684597</v>
      </c>
      <c r="BD96" s="922">
        <f t="shared" ref="BD96:BD128" si="56">BC96-AG96</f>
        <v>0</v>
      </c>
      <c r="BE96" s="840">
        <f t="shared" ref="BE96:BE128" si="57">AR96/BC96</f>
        <v>0.23273791601409247</v>
      </c>
      <c r="BF96" s="535">
        <f t="shared" ref="BF96:BF128" si="58">AS96/BC96</f>
        <v>0.29892807109844727</v>
      </c>
      <c r="BG96" s="535">
        <f t="shared" ref="BG96:BG128" si="59">AT96/BC96</f>
        <v>6.0649154183622316E-2</v>
      </c>
      <c r="BH96" s="535">
        <f t="shared" ref="BH96:BH128" si="60">AU96/BC96</f>
        <v>0</v>
      </c>
      <c r="BI96" s="535">
        <f t="shared" ref="BI96:BI128" si="61">AV96/BC96</f>
        <v>0</v>
      </c>
      <c r="BJ96" s="535">
        <f t="shared" ref="BJ96:BJ128" si="62">AW96/BC96</f>
        <v>0</v>
      </c>
      <c r="BK96" s="535">
        <f t="shared" ref="BK96:BK128" si="63">SUM(AX96:BB96)/BC96</f>
        <v>0.40768485870383786</v>
      </c>
      <c r="BL96" s="1342">
        <f t="shared" ref="BL96:BL128" si="64">SUM(BE96:BK96)</f>
        <v>0.99999999999999989</v>
      </c>
      <c r="BM96" s="1237">
        <f>BM95</f>
        <v>0.19892488097366726</v>
      </c>
      <c r="BN96" s="713">
        <f t="shared" ref="BN96:BS96" si="65">BN95</f>
        <v>0.26585903447659598</v>
      </c>
      <c r="BO96" s="713">
        <f t="shared" si="65"/>
        <v>8.9228108703258049E-2</v>
      </c>
      <c r="BP96" s="713">
        <f t="shared" si="65"/>
        <v>0</v>
      </c>
      <c r="BQ96" s="713">
        <f t="shared" si="65"/>
        <v>0</v>
      </c>
      <c r="BR96" s="713">
        <f t="shared" si="65"/>
        <v>0</v>
      </c>
      <c r="BS96" s="713">
        <f t="shared" si="65"/>
        <v>0.4459879758464787</v>
      </c>
      <c r="BT96" s="658">
        <f>SUM(BM96:BS96)</f>
        <v>1</v>
      </c>
      <c r="BV96" s="671">
        <f t="shared" si="28"/>
        <v>106.59508714320488</v>
      </c>
      <c r="BW96" s="713">
        <f t="shared" ref="BW96:BW128" si="66">(B96*(AK96-AM96*AK96)+C136*(AC136-AC136*AE136))/(AK96*B96*AM96+AC136*C136*AE136)</f>
        <v>0.31293665086500594</v>
      </c>
      <c r="BX96" s="696">
        <f t="shared" si="29"/>
        <v>48.694518386230293</v>
      </c>
      <c r="BY96" s="671">
        <f t="shared" si="30"/>
        <v>106.59508714320488</v>
      </c>
      <c r="BZ96" s="713">
        <f t="shared" ref="BZ96:BZ128" si="67">(B176*(AK96-AM96*AK96)+C176*(AC176-AC176*AE176))/(AK96*B176*AM96+AC176*C176*AE176)</f>
        <v>0.31293665086500594</v>
      </c>
      <c r="CA96" s="696">
        <f t="shared" si="31"/>
        <v>48.694518386230293</v>
      </c>
      <c r="CB96" s="713">
        <f t="shared" si="32"/>
        <v>2.5392982107126535E-2</v>
      </c>
      <c r="CC96" s="713">
        <f t="shared" si="33"/>
        <v>5.8303868748956621E-2</v>
      </c>
      <c r="CD96" s="713">
        <f t="shared" si="34"/>
        <v>2.5392982107126535E-2</v>
      </c>
      <c r="CE96" s="1001">
        <f t="shared" si="35"/>
        <v>5.8303868748956621E-2</v>
      </c>
    </row>
    <row r="97" spans="1:83">
      <c r="A97" s="127">
        <f>'Input data'!A117</f>
        <v>2019</v>
      </c>
      <c r="B97" s="828">
        <f>'Input data'!B117</f>
        <v>58.365000000000002</v>
      </c>
      <c r="C97" s="238">
        <f>'Input data'!C117</f>
        <v>3179.2899999999995</v>
      </c>
      <c r="D97" s="239">
        <f>'Input data'!D117</f>
        <v>47939972.084890619</v>
      </c>
      <c r="E97" s="805">
        <f t="shared" si="36"/>
        <v>0.73208484848484845</v>
      </c>
      <c r="F97" s="510">
        <f t="shared" si="37"/>
        <v>0.29430606060606057</v>
      </c>
      <c r="G97" s="672">
        <f>B97*F97*'Input data'!$C$9</f>
        <v>525.7428112174747</v>
      </c>
      <c r="H97" s="654">
        <f>'Input data'!I117</f>
        <v>424.26313389388866</v>
      </c>
      <c r="I97" s="673">
        <f>'Input data'!K117</f>
        <v>24762.117809716812</v>
      </c>
      <c r="J97" s="673">
        <f t="shared" ref="J97:J107" si="68">$J$95*(1+(($J$108/$J$95)^(1/($A$108-$A$95))-1))^(A97-$A$95)</f>
        <v>177.22006919332182</v>
      </c>
      <c r="K97" s="674">
        <f t="shared" si="13"/>
        <v>19.942835980246088</v>
      </c>
      <c r="L97" s="510">
        <f t="shared" si="38"/>
        <v>0.57999999999999996</v>
      </c>
      <c r="M97" s="510">
        <f t="shared" si="39"/>
        <v>0.437</v>
      </c>
      <c r="N97" s="510">
        <f t="shared" si="40"/>
        <v>0.71200000000000008</v>
      </c>
      <c r="O97" s="510">
        <f t="shared" si="41"/>
        <v>0.8</v>
      </c>
      <c r="P97" s="510">
        <f t="shared" si="42"/>
        <v>0.23600000000000002</v>
      </c>
      <c r="Q97" s="654">
        <f t="shared" si="43"/>
        <v>21.956594277323916</v>
      </c>
      <c r="R97" s="673">
        <f t="shared" si="14"/>
        <v>8.498893173320921</v>
      </c>
      <c r="S97" s="673">
        <f t="shared" si="15"/>
        <v>35.157920176424213</v>
      </c>
      <c r="T97" s="673">
        <f t="shared" si="16"/>
        <v>50.006188746360976</v>
      </c>
      <c r="U97" s="673">
        <f t="shared" si="17"/>
        <v>0.67710709475193609</v>
      </c>
      <c r="V97" s="1422">
        <f t="shared" si="18"/>
        <v>116.29670346818196</v>
      </c>
      <c r="W97" s="805">
        <f>($W$100-$W$95)/($A$100-$A$95)+W96</f>
        <v>0.1</v>
      </c>
      <c r="X97" s="671">
        <f t="shared" si="19"/>
        <v>10.733831990598954</v>
      </c>
      <c r="Y97" s="671">
        <f t="shared" si="20"/>
        <v>10.733831990598954</v>
      </c>
      <c r="Z97" s="672">
        <f t="shared" si="21"/>
        <v>186.42907318296895</v>
      </c>
      <c r="AA97" s="673">
        <f t="shared" si="22"/>
        <v>9.2090039896471332</v>
      </c>
      <c r="AB97" s="893">
        <f t="shared" si="23"/>
        <v>4.9396823319553002E-2</v>
      </c>
      <c r="AC97" s="135" t="str">
        <f t="shared" si="44"/>
        <v>Policies met</v>
      </c>
      <c r="AD97" s="1353">
        <f t="shared" si="45"/>
        <v>4.9396823319553002E-2</v>
      </c>
      <c r="AE97" s="135" t="str">
        <f t="shared" si="46"/>
        <v>No</v>
      </c>
      <c r="AF97" s="1420">
        <f t="shared" si="47"/>
        <v>403.30588282793241</v>
      </c>
      <c r="AG97" s="118">
        <f t="shared" si="48"/>
        <v>177.22006919332182</v>
      </c>
      <c r="AH97" s="118">
        <f t="shared" si="24"/>
        <v>110.55201575431774</v>
      </c>
      <c r="AI97" s="118">
        <f t="shared" si="25"/>
        <v>66.544925634041533</v>
      </c>
      <c r="AJ97" s="118">
        <f t="shared" si="26"/>
        <v>48.98887224625134</v>
      </c>
      <c r="AK97" s="118">
        <f t="shared" si="49"/>
        <v>403.30588282793241</v>
      </c>
      <c r="AL97" s="910">
        <f t="shared" si="27"/>
        <v>0</v>
      </c>
      <c r="AM97" s="805">
        <f t="shared" si="50"/>
        <v>0.43941850773580582</v>
      </c>
      <c r="AN97" s="510">
        <f t="shared" si="51"/>
        <v>0.27411456282050806</v>
      </c>
      <c r="AO97" s="510">
        <f t="shared" si="52"/>
        <v>0.16499864858760926</v>
      </c>
      <c r="AP97" s="510">
        <f t="shared" si="53"/>
        <v>0.12146828085607692</v>
      </c>
      <c r="AQ97" s="510">
        <f t="shared" si="54"/>
        <v>1</v>
      </c>
      <c r="AR97" s="916">
        <f t="shared" ref="AR97:AR128" si="69">($AR$95-0.5*X97)*(1-AD97)</f>
        <v>39.882309903682746</v>
      </c>
      <c r="AS97" s="917">
        <f t="shared" ref="AS97:AS128" si="70">($AS$95-0.5*X97)*(1-AD97)</f>
        <v>51.950223190275381</v>
      </c>
      <c r="AT97" s="917">
        <f t="shared" ref="AT97:AT128" si="71">($AT$95-(Q97-$Q$95))*(1-AD97)</f>
        <v>11.057667604198436</v>
      </c>
      <c r="AU97" s="917">
        <f t="shared" ref="AU97:AU128" si="72">$H$95*$F$76*(1-AD97)</f>
        <v>0</v>
      </c>
      <c r="AV97" s="917">
        <f t="shared" ref="AV97:AV128" si="73">$H$95*$G$76*(1-AD97)</f>
        <v>0</v>
      </c>
      <c r="AW97" s="917">
        <f t="shared" ref="AW97:AW128" si="74">$H$95*$H$76*(1-AD97)</f>
        <v>0</v>
      </c>
      <c r="AX97" s="1338">
        <f t="shared" ref="AX97:AX128" si="75">$H$95*$I$76*(1-AD97)*$AM$95</f>
        <v>47.065169118304247</v>
      </c>
      <c r="AY97" s="917">
        <f t="shared" ref="AY97:AY128" si="76">($AY$95-(R97-$R$95))*(1-AD97)</f>
        <v>6.8045503698949119</v>
      </c>
      <c r="AZ97" s="917">
        <f t="shared" ref="AZ97:AZ128" si="77">($AZ$95-(S97-$S$95))*(1-AD97)</f>
        <v>9.8903788377828565</v>
      </c>
      <c r="BA97" s="917">
        <f t="shared" ref="BA97:BA128" si="78">($BA$95-(T97-$T$95))*(1-AD97)</f>
        <v>8.6944281237083398</v>
      </c>
      <c r="BB97" s="917">
        <f t="shared" ref="BB97:BB128" si="79">($BB$95-(U97-$U$95))*(1-AD97)</f>
        <v>1.8753420454748415</v>
      </c>
      <c r="BC97" s="673">
        <f t="shared" si="55"/>
        <v>177.22006919332176</v>
      </c>
      <c r="BD97" s="922">
        <f t="shared" si="56"/>
        <v>0</v>
      </c>
      <c r="BE97" s="840">
        <f t="shared" si="57"/>
        <v>0.22504398110902918</v>
      </c>
      <c r="BF97" s="535">
        <f t="shared" si="58"/>
        <v>0.29313961689973789</v>
      </c>
      <c r="BG97" s="535">
        <f t="shared" si="59"/>
        <v>6.23951206797922E-2</v>
      </c>
      <c r="BH97" s="535">
        <f t="shared" si="60"/>
        <v>0</v>
      </c>
      <c r="BI97" s="535">
        <f t="shared" si="61"/>
        <v>0</v>
      </c>
      <c r="BJ97" s="535">
        <f t="shared" si="62"/>
        <v>0</v>
      </c>
      <c r="BK97" s="535">
        <f t="shared" si="63"/>
        <v>0.41942128131144069</v>
      </c>
      <c r="BL97" s="1342">
        <f t="shared" si="64"/>
        <v>1</v>
      </c>
      <c r="BM97" s="1237">
        <f t="shared" ref="BM97:BM128" si="80">BM96</f>
        <v>0.19892488097366726</v>
      </c>
      <c r="BN97" s="713">
        <f t="shared" ref="BN97:BN128" si="81">BN96</f>
        <v>0.26585903447659598</v>
      </c>
      <c r="BO97" s="713">
        <f t="shared" ref="BO97:BO128" si="82">BO96</f>
        <v>8.9228108703258049E-2</v>
      </c>
      <c r="BP97" s="713">
        <f t="shared" ref="BP97:BP128" si="83">BP96</f>
        <v>0</v>
      </c>
      <c r="BQ97" s="713">
        <f t="shared" ref="BQ97:BQ128" si="84">BQ96</f>
        <v>0</v>
      </c>
      <c r="BR97" s="713">
        <f t="shared" ref="BR97:BR128" si="85">BR96</f>
        <v>0</v>
      </c>
      <c r="BS97" s="713">
        <f t="shared" ref="BS97:BS128" si="86">BS96</f>
        <v>0.4459879758464787</v>
      </c>
      <c r="BT97" s="658">
        <f t="shared" ref="BT97:BT128" si="87">SUM(BM97:BS97)</f>
        <v>1</v>
      </c>
      <c r="BV97" s="671">
        <f t="shared" si="28"/>
        <v>103.19020379288857</v>
      </c>
      <c r="BW97" s="713">
        <f t="shared" si="66"/>
        <v>0.32787799383091415</v>
      </c>
      <c r="BX97" s="696">
        <f t="shared" si="29"/>
        <v>47.93997208489062</v>
      </c>
      <c r="BY97" s="671">
        <f t="shared" si="30"/>
        <v>102.97967922835515</v>
      </c>
      <c r="BZ97" s="713">
        <f t="shared" si="67"/>
        <v>0.32516890976935087</v>
      </c>
      <c r="CA97" s="696">
        <f t="shared" si="31"/>
        <v>48.694518386230293</v>
      </c>
      <c r="CB97" s="713">
        <f t="shared" si="32"/>
        <v>4.9396823319553002E-2</v>
      </c>
      <c r="CC97" s="713">
        <f t="shared" si="33"/>
        <v>0.1330268439826485</v>
      </c>
      <c r="CD97" s="713">
        <f t="shared" si="34"/>
        <v>4.9396823319553002E-2</v>
      </c>
      <c r="CE97" s="1001">
        <f t="shared" si="35"/>
        <v>0.15941147533803918</v>
      </c>
    </row>
    <row r="98" spans="1:83">
      <c r="A98" s="127">
        <f>'Input data'!A118</f>
        <v>2020</v>
      </c>
      <c r="B98" s="828">
        <f>'Input data'!B118</f>
        <v>59.308999999999997</v>
      </c>
      <c r="C98" s="238">
        <f>'Input data'!C118</f>
        <v>2948.9199999999987</v>
      </c>
      <c r="D98" s="239">
        <f>'Input data'!D118</f>
        <v>45386383.927997284</v>
      </c>
      <c r="E98" s="805">
        <f t="shared" si="36"/>
        <v>0.74072727272727268</v>
      </c>
      <c r="F98" s="510">
        <f t="shared" si="37"/>
        <v>0.29665909090909087</v>
      </c>
      <c r="G98" s="672">
        <f>B98*F98*'Input data'!$C$9</f>
        <v>538.51761122950779</v>
      </c>
      <c r="H98" s="654">
        <f>'Input data'!I118</f>
        <v>424.26313389388866</v>
      </c>
      <c r="I98" s="673">
        <f>'Input data'!K118</f>
        <v>25162.622208112643</v>
      </c>
      <c r="J98" s="673">
        <f t="shared" si="68"/>
        <v>168.01836269182053</v>
      </c>
      <c r="K98" s="674">
        <f t="shared" si="13"/>
        <v>29.144542481747379</v>
      </c>
      <c r="L98" s="510">
        <f t="shared" si="38"/>
        <v>0.57999999999999996</v>
      </c>
      <c r="M98" s="510">
        <f t="shared" si="39"/>
        <v>0.437</v>
      </c>
      <c r="N98" s="510">
        <f t="shared" si="40"/>
        <v>0.71200000000000008</v>
      </c>
      <c r="O98" s="510">
        <f t="shared" si="41"/>
        <v>0.8</v>
      </c>
      <c r="P98" s="510">
        <f t="shared" si="42"/>
        <v>0.23600000000000002</v>
      </c>
      <c r="Q98" s="654">
        <f t="shared" si="43"/>
        <v>21.956594277323916</v>
      </c>
      <c r="R98" s="673">
        <f t="shared" si="14"/>
        <v>8.498893173320921</v>
      </c>
      <c r="S98" s="673">
        <f t="shared" si="15"/>
        <v>35.157920176424213</v>
      </c>
      <c r="T98" s="673">
        <f t="shared" si="16"/>
        <v>50.006188746360976</v>
      </c>
      <c r="U98" s="673">
        <f t="shared" si="17"/>
        <v>0.67710709475193609</v>
      </c>
      <c r="V98" s="1422">
        <f t="shared" si="18"/>
        <v>116.29670346818196</v>
      </c>
      <c r="W98" s="805">
        <f>($W$100-$W$95)/($A$100-$A$95)+W97</f>
        <v>0.15000000000000002</v>
      </c>
      <c r="X98" s="671">
        <f t="shared" si="19"/>
        <v>16.100747985898433</v>
      </c>
      <c r="Y98" s="671">
        <f t="shared" si="20"/>
        <v>16.100747985898433</v>
      </c>
      <c r="Z98" s="672">
        <f t="shared" si="21"/>
        <v>181.06215718766947</v>
      </c>
      <c r="AA98" s="673">
        <f t="shared" si="22"/>
        <v>13.043794495848946</v>
      </c>
      <c r="AB98" s="893">
        <f t="shared" si="23"/>
        <v>7.2040423567521938E-2</v>
      </c>
      <c r="AC98" s="135" t="str">
        <f t="shared" si="44"/>
        <v>Policies met</v>
      </c>
      <c r="AD98" s="1353">
        <f t="shared" si="45"/>
        <v>7.2040423567521938E-2</v>
      </c>
      <c r="AE98" s="135" t="str">
        <f t="shared" si="46"/>
        <v>No</v>
      </c>
      <c r="AF98" s="1420">
        <f t="shared" si="47"/>
        <v>393.69903802408868</v>
      </c>
      <c r="AG98" s="118">
        <f t="shared" si="48"/>
        <v>168.01836269182053</v>
      </c>
      <c r="AH98" s="118">
        <f t="shared" si="24"/>
        <v>107.91863969082763</v>
      </c>
      <c r="AI98" s="118">
        <f t="shared" si="25"/>
        <v>69.940090317963211</v>
      </c>
      <c r="AJ98" s="118">
        <f t="shared" si="26"/>
        <v>47.821945323477301</v>
      </c>
      <c r="AK98" s="118">
        <f t="shared" si="49"/>
        <v>393.69903802408868</v>
      </c>
      <c r="AL98" s="910">
        <f t="shared" si="27"/>
        <v>0</v>
      </c>
      <c r="AM98" s="805">
        <f t="shared" si="50"/>
        <v>0.42676853754857341</v>
      </c>
      <c r="AN98" s="510">
        <f t="shared" si="51"/>
        <v>0.274114562820508</v>
      </c>
      <c r="AO98" s="510">
        <f t="shared" si="52"/>
        <v>0.17764861877484164</v>
      </c>
      <c r="AP98" s="510">
        <f t="shared" si="53"/>
        <v>0.1214682808560769</v>
      </c>
      <c r="AQ98" s="510">
        <f t="shared" si="54"/>
        <v>0.99999999999999989</v>
      </c>
      <c r="AR98" s="916">
        <f t="shared" si="69"/>
        <v>36.442162977093474</v>
      </c>
      <c r="AS98" s="917">
        <f t="shared" si="70"/>
        <v>48.222615616602006</v>
      </c>
      <c r="AT98" s="917">
        <f t="shared" si="71"/>
        <v>10.794271256440853</v>
      </c>
      <c r="AU98" s="917">
        <f t="shared" si="72"/>
        <v>0</v>
      </c>
      <c r="AV98" s="917">
        <f t="shared" si="73"/>
        <v>0</v>
      </c>
      <c r="AW98" s="917">
        <f t="shared" si="74"/>
        <v>0</v>
      </c>
      <c r="AX98" s="1338">
        <f t="shared" si="75"/>
        <v>45.944065274700968</v>
      </c>
      <c r="AY98" s="917">
        <f t="shared" si="76"/>
        <v>6.6424643152478797</v>
      </c>
      <c r="AZ98" s="917">
        <f t="shared" si="77"/>
        <v>9.6547875940361401</v>
      </c>
      <c r="BA98" s="917">
        <f t="shared" si="78"/>
        <v>8.4873247185783036</v>
      </c>
      <c r="BB98" s="917">
        <f t="shared" si="79"/>
        <v>1.8306709391208433</v>
      </c>
      <c r="BC98" s="673">
        <f t="shared" si="55"/>
        <v>168.01836269182044</v>
      </c>
      <c r="BD98" s="922">
        <f t="shared" si="56"/>
        <v>0</v>
      </c>
      <c r="BE98" s="840">
        <f t="shared" si="57"/>
        <v>0.2168939298851266</v>
      </c>
      <c r="BF98" s="535">
        <f t="shared" si="58"/>
        <v>0.28700800819641364</v>
      </c>
      <c r="BG98" s="535">
        <f t="shared" si="59"/>
        <v>6.4244592576108622E-2</v>
      </c>
      <c r="BH98" s="535">
        <f t="shared" si="60"/>
        <v>0</v>
      </c>
      <c r="BI98" s="535">
        <f t="shared" si="61"/>
        <v>0</v>
      </c>
      <c r="BJ98" s="535">
        <f t="shared" si="62"/>
        <v>0</v>
      </c>
      <c r="BK98" s="535">
        <f t="shared" si="63"/>
        <v>0.43185346934235136</v>
      </c>
      <c r="BL98" s="1342">
        <f t="shared" si="64"/>
        <v>1.0000000000000002</v>
      </c>
      <c r="BM98" s="1237">
        <f t="shared" si="80"/>
        <v>0.19892488097366726</v>
      </c>
      <c r="BN98" s="713">
        <f t="shared" si="81"/>
        <v>0.26585903447659598</v>
      </c>
      <c r="BO98" s="713">
        <f t="shared" si="82"/>
        <v>8.9228108703258049E-2</v>
      </c>
      <c r="BP98" s="713">
        <f t="shared" si="83"/>
        <v>0</v>
      </c>
      <c r="BQ98" s="713">
        <f t="shared" si="84"/>
        <v>0</v>
      </c>
      <c r="BR98" s="713">
        <f t="shared" si="85"/>
        <v>0</v>
      </c>
      <c r="BS98" s="713">
        <f t="shared" si="86"/>
        <v>0.4459879758464787</v>
      </c>
      <c r="BT98" s="658">
        <f t="shared" si="87"/>
        <v>1</v>
      </c>
      <c r="BV98" s="671">
        <f t="shared" si="28"/>
        <v>93.236247574788607</v>
      </c>
      <c r="BW98" s="713">
        <f t="shared" si="66"/>
        <v>0.34722106446039624</v>
      </c>
      <c r="BX98" s="696">
        <f t="shared" si="29"/>
        <v>45.386383927997286</v>
      </c>
      <c r="BY98" s="671">
        <f t="shared" si="30"/>
        <v>92.292350340185109</v>
      </c>
      <c r="BZ98" s="713">
        <f t="shared" si="67"/>
        <v>0.33358218183458371</v>
      </c>
      <c r="CA98" s="696">
        <f t="shared" si="31"/>
        <v>48.694518386230293</v>
      </c>
      <c r="CB98" s="713">
        <f t="shared" si="32"/>
        <v>7.2040423567521938E-2</v>
      </c>
      <c r="CC98" s="713">
        <f t="shared" si="33"/>
        <v>0.27785487274421622</v>
      </c>
      <c r="CD98" s="713">
        <f t="shared" si="34"/>
        <v>7.2040423567521938E-2</v>
      </c>
      <c r="CE98" s="1001">
        <f t="shared" si="35"/>
        <v>0.40318499738108626</v>
      </c>
    </row>
    <row r="99" spans="1:83">
      <c r="A99" s="127">
        <f>'Input data'!A119</f>
        <v>2021</v>
      </c>
      <c r="B99" s="828">
        <f>'Input data'!B119</f>
        <v>59.991999999999997</v>
      </c>
      <c r="C99" s="238">
        <f>'Input data'!C119</f>
        <v>3014.38</v>
      </c>
      <c r="D99" s="239">
        <f>'Input data'!D119</f>
        <v>45579683.429913521</v>
      </c>
      <c r="E99" s="805">
        <f t="shared" si="36"/>
        <v>0.74936969696969691</v>
      </c>
      <c r="F99" s="510">
        <f t="shared" si="37"/>
        <v>0.29901212121212117</v>
      </c>
      <c r="G99" s="672">
        <f>B99*F99*'Input data'!$C$9</f>
        <v>549.03974240012258</v>
      </c>
      <c r="H99" s="654">
        <f>'Input data'!I119</f>
        <v>424.26313389388866</v>
      </c>
      <c r="I99" s="673">
        <f>'Input data'!K119</f>
        <v>25452.393928562167</v>
      </c>
      <c r="J99" s="673">
        <f t="shared" si="68"/>
        <v>159.29443166419858</v>
      </c>
      <c r="K99" s="674">
        <f t="shared" si="13"/>
        <v>37.868473509369323</v>
      </c>
      <c r="L99" s="510">
        <f t="shared" si="38"/>
        <v>0.57999999999999996</v>
      </c>
      <c r="M99" s="510">
        <f t="shared" si="39"/>
        <v>0.437</v>
      </c>
      <c r="N99" s="510">
        <f t="shared" si="40"/>
        <v>0.71200000000000008</v>
      </c>
      <c r="O99" s="510">
        <f t="shared" si="41"/>
        <v>0.8</v>
      </c>
      <c r="P99" s="510">
        <f t="shared" si="42"/>
        <v>0.23600000000000002</v>
      </c>
      <c r="Q99" s="654">
        <f t="shared" si="43"/>
        <v>21.956594277323916</v>
      </c>
      <c r="R99" s="673">
        <f t="shared" si="14"/>
        <v>8.498893173320921</v>
      </c>
      <c r="S99" s="673">
        <f t="shared" si="15"/>
        <v>35.157920176424213</v>
      </c>
      <c r="T99" s="673">
        <f t="shared" si="16"/>
        <v>50.006188746360976</v>
      </c>
      <c r="U99" s="673">
        <f t="shared" si="17"/>
        <v>0.67710709475193609</v>
      </c>
      <c r="V99" s="1422">
        <f t="shared" si="18"/>
        <v>116.29670346818196</v>
      </c>
      <c r="W99" s="805">
        <f>($W$100-$W$95)/($A$100-$A$95)+W98</f>
        <v>0.2</v>
      </c>
      <c r="X99" s="671">
        <f t="shared" si="19"/>
        <v>21.467663981197909</v>
      </c>
      <c r="Y99" s="671">
        <f t="shared" si="20"/>
        <v>21.467663981197909</v>
      </c>
      <c r="Z99" s="672">
        <f t="shared" si="21"/>
        <v>175.69524119236999</v>
      </c>
      <c r="AA99" s="673">
        <f t="shared" si="22"/>
        <v>16.400809528171415</v>
      </c>
      <c r="AB99" s="893">
        <f t="shared" si="23"/>
        <v>9.33480577895337E-2</v>
      </c>
      <c r="AC99" s="135" t="str">
        <f t="shared" si="44"/>
        <v>Policies met</v>
      </c>
      <c r="AD99" s="1353">
        <f t="shared" si="45"/>
        <v>9.33480577895337E-2</v>
      </c>
      <c r="AE99" s="135" t="str">
        <f t="shared" si="46"/>
        <v>No</v>
      </c>
      <c r="AF99" s="1420">
        <f t="shared" si="47"/>
        <v>384.65899435319329</v>
      </c>
      <c r="AG99" s="118">
        <f t="shared" si="48"/>
        <v>159.29443166419858</v>
      </c>
      <c r="AH99" s="118">
        <f t="shared" si="24"/>
        <v>105.44063207210185</v>
      </c>
      <c r="AI99" s="118">
        <f t="shared" si="25"/>
        <v>73.200063856983093</v>
      </c>
      <c r="AJ99" s="118">
        <f t="shared" si="26"/>
        <v>46.723866759909782</v>
      </c>
      <c r="AK99" s="118">
        <f t="shared" si="49"/>
        <v>384.65899435319329</v>
      </c>
      <c r="AL99" s="910">
        <f t="shared" si="27"/>
        <v>0</v>
      </c>
      <c r="AM99" s="805">
        <f t="shared" si="50"/>
        <v>0.41411856736134106</v>
      </c>
      <c r="AN99" s="510">
        <f t="shared" si="51"/>
        <v>0.27411456282050806</v>
      </c>
      <c r="AO99" s="510">
        <f t="shared" si="52"/>
        <v>0.19029858896207405</v>
      </c>
      <c r="AP99" s="510">
        <f t="shared" si="53"/>
        <v>0.1214682808560769</v>
      </c>
      <c r="AQ99" s="510">
        <f t="shared" si="54"/>
        <v>1.0000000000000002</v>
      </c>
      <c r="AR99" s="916">
        <f t="shared" si="69"/>
        <v>33.172422441800421</v>
      </c>
      <c r="AS99" s="917">
        <f t="shared" si="70"/>
        <v>44.682374531298585</v>
      </c>
      <c r="AT99" s="917">
        <f t="shared" si="71"/>
        <v>10.546415218886233</v>
      </c>
      <c r="AU99" s="917">
        <f t="shared" si="72"/>
        <v>0</v>
      </c>
      <c r="AV99" s="917">
        <f t="shared" si="73"/>
        <v>0</v>
      </c>
      <c r="AW99" s="917">
        <f t="shared" si="74"/>
        <v>0</v>
      </c>
      <c r="AX99" s="1338">
        <f t="shared" si="75"/>
        <v>44.88910624156167</v>
      </c>
      <c r="AY99" s="917">
        <f t="shared" si="76"/>
        <v>6.4899412920940085</v>
      </c>
      <c r="AZ99" s="917">
        <f t="shared" si="77"/>
        <v>9.4330961672006861</v>
      </c>
      <c r="BA99" s="917">
        <f t="shared" si="78"/>
        <v>8.2924403559187141</v>
      </c>
      <c r="BB99" s="917">
        <f t="shared" si="79"/>
        <v>1.7886354154382103</v>
      </c>
      <c r="BC99" s="673">
        <f t="shared" si="55"/>
        <v>159.29443166419858</v>
      </c>
      <c r="BD99" s="922">
        <f t="shared" si="56"/>
        <v>0</v>
      </c>
      <c r="BE99" s="840">
        <f t="shared" si="57"/>
        <v>0.20824596374925214</v>
      </c>
      <c r="BF99" s="535">
        <f t="shared" si="58"/>
        <v>0.28050179823919702</v>
      </c>
      <c r="BG99" s="535">
        <f t="shared" si="59"/>
        <v>6.6207055128698136E-2</v>
      </c>
      <c r="BH99" s="535">
        <f t="shared" si="60"/>
        <v>0</v>
      </c>
      <c r="BI99" s="535">
        <f t="shared" si="61"/>
        <v>0</v>
      </c>
      <c r="BJ99" s="535">
        <f t="shared" si="62"/>
        <v>0</v>
      </c>
      <c r="BK99" s="535">
        <f t="shared" si="63"/>
        <v>0.44504518288285239</v>
      </c>
      <c r="BL99" s="1342">
        <f t="shared" si="64"/>
        <v>0.99999999999999978</v>
      </c>
      <c r="BM99" s="1237">
        <f t="shared" si="80"/>
        <v>0.19892488097366726</v>
      </c>
      <c r="BN99" s="713">
        <f t="shared" si="81"/>
        <v>0.26585903447659598</v>
      </c>
      <c r="BO99" s="713">
        <f t="shared" si="82"/>
        <v>8.9228108703258049E-2</v>
      </c>
      <c r="BP99" s="713">
        <f t="shared" si="83"/>
        <v>0</v>
      </c>
      <c r="BQ99" s="713">
        <f t="shared" si="84"/>
        <v>0</v>
      </c>
      <c r="BR99" s="713">
        <f t="shared" si="85"/>
        <v>0</v>
      </c>
      <c r="BS99" s="713">
        <f t="shared" si="86"/>
        <v>0.4459879758464787</v>
      </c>
      <c r="BT99" s="658">
        <f t="shared" si="87"/>
        <v>1</v>
      </c>
      <c r="BV99" s="671">
        <f t="shared" si="28"/>
        <v>91.121395955279723</v>
      </c>
      <c r="BW99" s="713">
        <f t="shared" si="66"/>
        <v>0.36065982190439488</v>
      </c>
      <c r="BX99" s="696">
        <f t="shared" si="29"/>
        <v>45.579683429913523</v>
      </c>
      <c r="BY99" s="671">
        <f t="shared" si="30"/>
        <v>90.215401040041939</v>
      </c>
      <c r="BZ99" s="713">
        <f t="shared" si="67"/>
        <v>0.34713115646758858</v>
      </c>
      <c r="CA99" s="696">
        <f t="shared" si="31"/>
        <v>48.694518386230293</v>
      </c>
      <c r="CB99" s="713">
        <f t="shared" si="32"/>
        <v>9.33480577895337E-2</v>
      </c>
      <c r="CC99" s="713">
        <f t="shared" si="33"/>
        <v>0.35220852480952181</v>
      </c>
      <c r="CD99" s="713">
        <f t="shared" si="34"/>
        <v>9.33480577895337E-2</v>
      </c>
      <c r="CE99" s="1001">
        <f t="shared" si="35"/>
        <v>0.46815022580110577</v>
      </c>
    </row>
    <row r="100" spans="1:83" s="1" customFormat="1">
      <c r="A100" s="157">
        <f>'Input data'!A120</f>
        <v>2022</v>
      </c>
      <c r="B100" s="829">
        <f>'Input data'!B120</f>
        <v>60.682000000000002</v>
      </c>
      <c r="C100" s="662">
        <f>'Input data'!C120</f>
        <v>3077.2</v>
      </c>
      <c r="D100" s="830">
        <f>'Input data'!D120</f>
        <v>45460990.75329829</v>
      </c>
      <c r="E100" s="804">
        <f t="shared" si="36"/>
        <v>0.75801212121212114</v>
      </c>
      <c r="F100" s="498">
        <f t="shared" si="37"/>
        <v>0.30136515151515147</v>
      </c>
      <c r="G100" s="850">
        <f>B100*F100*'Input data'!$C$9</f>
        <v>559.72481930992205</v>
      </c>
      <c r="H100" s="809">
        <f>'Input data'!I120</f>
        <v>424.26313389388866</v>
      </c>
      <c r="I100" s="815">
        <f>'Input data'!K120</f>
        <v>25745.135490948953</v>
      </c>
      <c r="J100" s="673">
        <f t="shared" si="68"/>
        <v>151.02346882026438</v>
      </c>
      <c r="K100" s="674">
        <f t="shared" si="13"/>
        <v>46.139436353303523</v>
      </c>
      <c r="L100" s="510">
        <f t="shared" si="38"/>
        <v>0.57999999999999996</v>
      </c>
      <c r="M100" s="510">
        <f t="shared" si="39"/>
        <v>0.437</v>
      </c>
      <c r="N100" s="510">
        <f t="shared" si="40"/>
        <v>0.71200000000000008</v>
      </c>
      <c r="O100" s="510">
        <f t="shared" si="41"/>
        <v>0.8</v>
      </c>
      <c r="P100" s="510">
        <f t="shared" si="42"/>
        <v>0.23600000000000002</v>
      </c>
      <c r="Q100" s="654">
        <f t="shared" si="43"/>
        <v>21.956594277323916</v>
      </c>
      <c r="R100" s="673">
        <f t="shared" si="14"/>
        <v>8.498893173320921</v>
      </c>
      <c r="S100" s="673">
        <f t="shared" si="15"/>
        <v>35.157920176424213</v>
      </c>
      <c r="T100" s="673">
        <f t="shared" si="16"/>
        <v>50.006188746360976</v>
      </c>
      <c r="U100" s="673">
        <f t="shared" si="17"/>
        <v>0.67710709475193609</v>
      </c>
      <c r="V100" s="1422">
        <f t="shared" si="18"/>
        <v>116.29670346818196</v>
      </c>
      <c r="W100" s="804">
        <f>$C$26</f>
        <v>0.25</v>
      </c>
      <c r="X100" s="671">
        <f t="shared" si="19"/>
        <v>26.834579976497384</v>
      </c>
      <c r="Y100" s="671">
        <f t="shared" si="20"/>
        <v>26.834579976497384</v>
      </c>
      <c r="Z100" s="672">
        <f t="shared" si="21"/>
        <v>170.32832519707051</v>
      </c>
      <c r="AA100" s="673">
        <f t="shared" si="22"/>
        <v>19.304856376806139</v>
      </c>
      <c r="AB100" s="893">
        <f t="shared" si="23"/>
        <v>0.11333908411575319</v>
      </c>
      <c r="AC100" s="135" t="str">
        <f t="shared" si="44"/>
        <v>Policies met</v>
      </c>
      <c r="AD100" s="1353">
        <f t="shared" si="45"/>
        <v>0.11333908411575319</v>
      </c>
      <c r="AE100" s="135" t="str">
        <f t="shared" si="46"/>
        <v>No</v>
      </c>
      <c r="AF100" s="1420">
        <f t="shared" si="47"/>
        <v>376.17753887427614</v>
      </c>
      <c r="AG100" s="118">
        <f t="shared" si="48"/>
        <v>151.02346882026438</v>
      </c>
      <c r="AH100" s="118">
        <f t="shared" si="24"/>
        <v>103.11574161141688</v>
      </c>
      <c r="AI100" s="118">
        <f t="shared" si="25"/>
        <v>76.344689498866558</v>
      </c>
      <c r="AJ100" s="118">
        <f t="shared" si="26"/>
        <v>45.693638943728367</v>
      </c>
      <c r="AK100" s="118">
        <f t="shared" si="49"/>
        <v>376.17753887427619</v>
      </c>
      <c r="AL100" s="910">
        <f t="shared" si="27"/>
        <v>0</v>
      </c>
      <c r="AM100" s="805">
        <f t="shared" si="50"/>
        <v>0.40146859717410865</v>
      </c>
      <c r="AN100" s="510">
        <f t="shared" si="51"/>
        <v>0.274114562820508</v>
      </c>
      <c r="AO100" s="510">
        <f t="shared" si="52"/>
        <v>0.20294855914930643</v>
      </c>
      <c r="AP100" s="510">
        <f t="shared" si="53"/>
        <v>0.1214682808560769</v>
      </c>
      <c r="AQ100" s="510">
        <f t="shared" si="54"/>
        <v>1</v>
      </c>
      <c r="AR100" s="916">
        <f t="shared" si="69"/>
        <v>30.061676946506498</v>
      </c>
      <c r="AS100" s="917">
        <f t="shared" si="70"/>
        <v>41.317842831484214</v>
      </c>
      <c r="AT100" s="917">
        <f t="shared" si="71"/>
        <v>10.313874312643895</v>
      </c>
      <c r="AU100" s="917">
        <f t="shared" si="72"/>
        <v>0</v>
      </c>
      <c r="AV100" s="917">
        <f t="shared" si="73"/>
        <v>0</v>
      </c>
      <c r="AW100" s="917">
        <f t="shared" si="74"/>
        <v>0</v>
      </c>
      <c r="AX100" s="1338">
        <f t="shared" si="75"/>
        <v>43.8993335814517</v>
      </c>
      <c r="AY100" s="917">
        <f t="shared" si="76"/>
        <v>6.346842732232596</v>
      </c>
      <c r="AZ100" s="917">
        <f t="shared" si="77"/>
        <v>9.2251031491120603</v>
      </c>
      <c r="BA100" s="917">
        <f t="shared" si="78"/>
        <v>8.1095979819647042</v>
      </c>
      <c r="BB100" s="917">
        <f t="shared" si="79"/>
        <v>1.7491972848686588</v>
      </c>
      <c r="BC100" s="673">
        <f t="shared" si="55"/>
        <v>151.02346882026433</v>
      </c>
      <c r="BD100" s="922">
        <f t="shared" si="56"/>
        <v>0</v>
      </c>
      <c r="BE100" s="840">
        <f t="shared" si="57"/>
        <v>0.19905301594074379</v>
      </c>
      <c r="BF100" s="535">
        <f t="shared" si="58"/>
        <v>0.2735855768261905</v>
      </c>
      <c r="BG100" s="535">
        <f t="shared" si="59"/>
        <v>6.8293189086516201E-2</v>
      </c>
      <c r="BH100" s="535">
        <f t="shared" si="60"/>
        <v>0</v>
      </c>
      <c r="BI100" s="535">
        <f t="shared" si="61"/>
        <v>0</v>
      </c>
      <c r="BJ100" s="535">
        <f t="shared" si="62"/>
        <v>0</v>
      </c>
      <c r="BK100" s="535">
        <f t="shared" si="63"/>
        <v>0.45906821814654947</v>
      </c>
      <c r="BL100" s="1342">
        <f t="shared" si="64"/>
        <v>1</v>
      </c>
      <c r="BM100" s="1237">
        <f t="shared" si="80"/>
        <v>0.19892488097366726</v>
      </c>
      <c r="BN100" s="713">
        <f t="shared" si="81"/>
        <v>0.26585903447659598</v>
      </c>
      <c r="BO100" s="713">
        <f t="shared" si="82"/>
        <v>8.9228108703258049E-2</v>
      </c>
      <c r="BP100" s="713">
        <f t="shared" si="83"/>
        <v>0</v>
      </c>
      <c r="BQ100" s="713">
        <f t="shared" si="84"/>
        <v>0</v>
      </c>
      <c r="BR100" s="713">
        <f t="shared" si="85"/>
        <v>0</v>
      </c>
      <c r="BS100" s="713">
        <f t="shared" si="86"/>
        <v>0.4459879758464787</v>
      </c>
      <c r="BT100" s="658">
        <f t="shared" si="87"/>
        <v>1</v>
      </c>
      <c r="BV100" s="671">
        <f t="shared" si="28"/>
        <v>89.097350466517042</v>
      </c>
      <c r="BW100" s="713">
        <f t="shared" si="66"/>
        <v>0.37644770728971494</v>
      </c>
      <c r="BX100" s="1338">
        <f t="shared" si="29"/>
        <v>45.46099075329829</v>
      </c>
      <c r="BY100" s="671">
        <f t="shared" si="30"/>
        <v>88.141834686702154</v>
      </c>
      <c r="BZ100" s="713">
        <f t="shared" si="67"/>
        <v>0.36168612911125242</v>
      </c>
      <c r="CA100" s="1338">
        <f t="shared" si="31"/>
        <v>48.694518386230293</v>
      </c>
      <c r="CB100" s="713">
        <f t="shared" si="32"/>
        <v>0.11333908411575319</v>
      </c>
      <c r="CC100" s="713">
        <f t="shared" si="33"/>
        <v>0.41221205302353037</v>
      </c>
      <c r="CD100" s="713">
        <f t="shared" si="34"/>
        <v>0.11333908411575319</v>
      </c>
      <c r="CE100" s="1001">
        <f t="shared" si="35"/>
        <v>0.53053830463206186</v>
      </c>
    </row>
    <row r="101" spans="1:83">
      <c r="A101" s="127">
        <f>'Input data'!A121</f>
        <v>2023</v>
      </c>
      <c r="B101" s="828">
        <f>'Input data'!B121</f>
        <v>61.381</v>
      </c>
      <c r="C101" s="238">
        <f>'Input data'!C121</f>
        <v>3140.61</v>
      </c>
      <c r="D101" s="239">
        <f>'Input data'!D121</f>
        <v>45566118.552586071</v>
      </c>
      <c r="E101" s="805">
        <f t="shared" si="36"/>
        <v>0.76665454545454537</v>
      </c>
      <c r="F101" s="510">
        <f t="shared" si="37"/>
        <v>0.30371818181818178</v>
      </c>
      <c r="G101" s="672">
        <f>B101*F101*'Input data'!$C$9</f>
        <v>570.59294620778201</v>
      </c>
      <c r="H101" s="654">
        <f>'Input data'!I121</f>
        <v>424.26313389388866</v>
      </c>
      <c r="I101" s="673">
        <f>'Input data'!K121</f>
        <v>26041.695421540779</v>
      </c>
      <c r="J101" s="673">
        <f t="shared" si="68"/>
        <v>143.1819549259956</v>
      </c>
      <c r="K101" s="674">
        <f t="shared" si="13"/>
        <v>53.980950247572309</v>
      </c>
      <c r="L101" s="510">
        <f t="shared" si="38"/>
        <v>0.57999999999999996</v>
      </c>
      <c r="M101" s="510">
        <f t="shared" si="39"/>
        <v>0.437</v>
      </c>
      <c r="N101" s="510">
        <f t="shared" si="40"/>
        <v>0.71200000000000008</v>
      </c>
      <c r="O101" s="510">
        <f t="shared" si="41"/>
        <v>0.8</v>
      </c>
      <c r="P101" s="510">
        <f t="shared" si="42"/>
        <v>0.23600000000000002</v>
      </c>
      <c r="Q101" s="654">
        <f t="shared" si="43"/>
        <v>21.956594277323916</v>
      </c>
      <c r="R101" s="673">
        <f t="shared" si="14"/>
        <v>8.498893173320921</v>
      </c>
      <c r="S101" s="673">
        <f t="shared" si="15"/>
        <v>35.157920176424213</v>
      </c>
      <c r="T101" s="673">
        <f t="shared" si="16"/>
        <v>50.006188746360976</v>
      </c>
      <c r="U101" s="673">
        <f t="shared" si="17"/>
        <v>0.67710709475193609</v>
      </c>
      <c r="V101" s="1422">
        <f t="shared" si="18"/>
        <v>116.29670346818196</v>
      </c>
      <c r="W101" s="805">
        <f>($W$105-$W$100)/($A$105-$A$100)+W100</f>
        <v>0.3</v>
      </c>
      <c r="X101" s="671">
        <f t="shared" si="19"/>
        <v>32.201495971796867</v>
      </c>
      <c r="Y101" s="671">
        <f t="shared" si="20"/>
        <v>32.201495971796867</v>
      </c>
      <c r="Z101" s="672">
        <f t="shared" si="21"/>
        <v>164.96140920177103</v>
      </c>
      <c r="AA101" s="673">
        <f t="shared" si="22"/>
        <v>21.779454275775443</v>
      </c>
      <c r="AB101" s="893">
        <f t="shared" si="23"/>
        <v>0.13202757166760198</v>
      </c>
      <c r="AC101" s="135" t="str">
        <f t="shared" si="44"/>
        <v>Policies met</v>
      </c>
      <c r="AD101" s="1353">
        <f t="shared" si="45"/>
        <v>0.13202757166760198</v>
      </c>
      <c r="AE101" s="135" t="str">
        <f t="shared" si="46"/>
        <v>No</v>
      </c>
      <c r="AF101" s="1420">
        <f t="shared" si="47"/>
        <v>368.24870257779185</v>
      </c>
      <c r="AG101" s="118">
        <f t="shared" si="48"/>
        <v>143.1819549259956</v>
      </c>
      <c r="AH101" s="118">
        <f t="shared" si="24"/>
        <v>100.9423321163307</v>
      </c>
      <c r="AI101" s="118">
        <f t="shared" si="25"/>
        <v>79.393878705860431</v>
      </c>
      <c r="AJ101" s="118">
        <f t="shared" si="26"/>
        <v>44.730536829605157</v>
      </c>
      <c r="AK101" s="118">
        <f t="shared" si="49"/>
        <v>368.2487025777919</v>
      </c>
      <c r="AL101" s="910">
        <f t="shared" si="27"/>
        <v>0</v>
      </c>
      <c r="AM101" s="805">
        <f t="shared" si="50"/>
        <v>0.38881862698687625</v>
      </c>
      <c r="AN101" s="510">
        <f t="shared" si="51"/>
        <v>0.274114562820508</v>
      </c>
      <c r="AO101" s="510">
        <f t="shared" si="52"/>
        <v>0.21559852933653884</v>
      </c>
      <c r="AP101" s="510">
        <f t="shared" si="53"/>
        <v>0.1214682808560769</v>
      </c>
      <c r="AQ101" s="510">
        <f t="shared" si="54"/>
        <v>0.99999999999999989</v>
      </c>
      <c r="AR101" s="916">
        <f t="shared" si="69"/>
        <v>27.098888054491233</v>
      </c>
      <c r="AS101" s="917">
        <f t="shared" si="70"/>
        <v>38.117803472853808</v>
      </c>
      <c r="AT101" s="917">
        <f t="shared" si="71"/>
        <v>10.096484881971909</v>
      </c>
      <c r="AU101" s="917">
        <f t="shared" si="72"/>
        <v>0</v>
      </c>
      <c r="AV101" s="917">
        <f t="shared" si="73"/>
        <v>0</v>
      </c>
      <c r="AW101" s="917">
        <f t="shared" si="74"/>
        <v>0</v>
      </c>
      <c r="AX101" s="1338">
        <f t="shared" si="75"/>
        <v>42.974050720242872</v>
      </c>
      <c r="AY101" s="917">
        <f t="shared" si="76"/>
        <v>6.2130679269265769</v>
      </c>
      <c r="AZ101" s="917">
        <f t="shared" si="77"/>
        <v>9.0306621601407944</v>
      </c>
      <c r="BA101" s="917">
        <f t="shared" si="78"/>
        <v>7.9386689174019534</v>
      </c>
      <c r="BB101" s="917">
        <f t="shared" si="79"/>
        <v>1.7123287919663919</v>
      </c>
      <c r="BC101" s="673">
        <f t="shared" si="55"/>
        <v>143.18195492599551</v>
      </c>
      <c r="BD101" s="922">
        <f t="shared" si="56"/>
        <v>0</v>
      </c>
      <c r="BE101" s="840">
        <f t="shared" si="57"/>
        <v>0.18926189454877512</v>
      </c>
      <c r="BF101" s="535">
        <f t="shared" si="58"/>
        <v>0.26621932556064926</v>
      </c>
      <c r="BG101" s="535">
        <f t="shared" si="59"/>
        <v>7.0515065164394083E-2</v>
      </c>
      <c r="BH101" s="535">
        <f t="shared" si="60"/>
        <v>0</v>
      </c>
      <c r="BI101" s="535">
        <f t="shared" si="61"/>
        <v>0</v>
      </c>
      <c r="BJ101" s="535">
        <f t="shared" si="62"/>
        <v>0</v>
      </c>
      <c r="BK101" s="535">
        <f t="shared" si="63"/>
        <v>0.47400371472618164</v>
      </c>
      <c r="BL101" s="1342">
        <f t="shared" si="64"/>
        <v>1</v>
      </c>
      <c r="BM101" s="1237">
        <f t="shared" si="80"/>
        <v>0.19892488097366726</v>
      </c>
      <c r="BN101" s="713">
        <f t="shared" si="81"/>
        <v>0.26585903447659598</v>
      </c>
      <c r="BO101" s="713">
        <f t="shared" si="82"/>
        <v>8.9228108703258049E-2</v>
      </c>
      <c r="BP101" s="713">
        <f t="shared" si="83"/>
        <v>0</v>
      </c>
      <c r="BQ101" s="713">
        <f t="shared" si="84"/>
        <v>0</v>
      </c>
      <c r="BR101" s="713">
        <f t="shared" si="85"/>
        <v>0</v>
      </c>
      <c r="BS101" s="713">
        <f t="shared" si="86"/>
        <v>0.4459879758464787</v>
      </c>
      <c r="BT101" s="658">
        <f t="shared" si="87"/>
        <v>1</v>
      </c>
      <c r="BV101" s="671">
        <f t="shared" si="28"/>
        <v>87.106535810773579</v>
      </c>
      <c r="BW101" s="713">
        <f t="shared" si="66"/>
        <v>0.39248765828826759</v>
      </c>
      <c r="BX101" s="1338">
        <f t="shared" si="29"/>
        <v>45.566118552586069</v>
      </c>
      <c r="BY101" s="671">
        <f t="shared" si="30"/>
        <v>86.170816576376239</v>
      </c>
      <c r="BZ101" s="713">
        <f t="shared" si="67"/>
        <v>0.37752922292640523</v>
      </c>
      <c r="CA101" s="1338">
        <f t="shared" si="31"/>
        <v>48.694518386230293</v>
      </c>
      <c r="CB101" s="713">
        <f t="shared" si="32"/>
        <v>0.13202757166760198</v>
      </c>
      <c r="CC101" s="713">
        <f t="shared" si="33"/>
        <v>0.47589555004266321</v>
      </c>
      <c r="CD101" s="713">
        <f t="shared" si="34"/>
        <v>0.13202757166760198</v>
      </c>
      <c r="CE101" s="1001">
        <f t="shared" si="35"/>
        <v>0.58837531069560167</v>
      </c>
    </row>
    <row r="102" spans="1:83">
      <c r="A102" s="127">
        <f>'Input data'!A122</f>
        <v>2024</v>
      </c>
      <c r="B102" s="828">
        <f>'Input data'!B122</f>
        <v>62.088000000000001</v>
      </c>
      <c r="C102" s="238">
        <f>'Input data'!C122</f>
        <v>3201.77</v>
      </c>
      <c r="D102" s="239">
        <f>'Input data'!D122</f>
        <v>45550858.065592684</v>
      </c>
      <c r="E102" s="805">
        <f t="shared" si="36"/>
        <v>0.7752969696969696</v>
      </c>
      <c r="F102" s="510">
        <f t="shared" si="37"/>
        <v>0.30607121212121208</v>
      </c>
      <c r="G102" s="672">
        <f>B102*F102*'Input data'!$C$9</f>
        <v>581.63669967536055</v>
      </c>
      <c r="H102" s="654">
        <f>'Input data'!I122</f>
        <v>424.26313389388866</v>
      </c>
      <c r="I102" s="673">
        <f>'Input data'!K122</f>
        <v>26341.649457203759</v>
      </c>
      <c r="J102" s="673">
        <f t="shared" si="68"/>
        <v>135.7475919244612</v>
      </c>
      <c r="K102" s="674">
        <f t="shared" si="13"/>
        <v>61.415313249106703</v>
      </c>
      <c r="L102" s="510">
        <f t="shared" si="38"/>
        <v>0.57999999999999996</v>
      </c>
      <c r="M102" s="510">
        <f t="shared" si="39"/>
        <v>0.437</v>
      </c>
      <c r="N102" s="510">
        <f t="shared" si="40"/>
        <v>0.71200000000000008</v>
      </c>
      <c r="O102" s="510">
        <f t="shared" si="41"/>
        <v>0.8</v>
      </c>
      <c r="P102" s="510">
        <f t="shared" si="42"/>
        <v>0.23600000000000002</v>
      </c>
      <c r="Q102" s="654">
        <f t="shared" si="43"/>
        <v>21.956594277323916</v>
      </c>
      <c r="R102" s="673">
        <f t="shared" si="14"/>
        <v>8.498893173320921</v>
      </c>
      <c r="S102" s="673">
        <f t="shared" si="15"/>
        <v>35.157920176424213</v>
      </c>
      <c r="T102" s="673">
        <f t="shared" si="16"/>
        <v>50.006188746360976</v>
      </c>
      <c r="U102" s="673">
        <f t="shared" si="17"/>
        <v>0.67710709475193609</v>
      </c>
      <c r="V102" s="1422">
        <f t="shared" si="18"/>
        <v>116.29670346818196</v>
      </c>
      <c r="W102" s="805">
        <f>($W$105-$W$100)/($A$105-$A$100)+W101</f>
        <v>0.35</v>
      </c>
      <c r="X102" s="671">
        <f t="shared" si="19"/>
        <v>37.568411967096331</v>
      </c>
      <c r="Y102" s="671">
        <f t="shared" si="20"/>
        <v>37.568411967096331</v>
      </c>
      <c r="Z102" s="672">
        <f t="shared" si="21"/>
        <v>159.59449320647158</v>
      </c>
      <c r="AA102" s="673">
        <f t="shared" si="22"/>
        <v>23.846901282010371</v>
      </c>
      <c r="AB102" s="893">
        <f t="shared" si="23"/>
        <v>0.14942183030813608</v>
      </c>
      <c r="AC102" s="135" t="str">
        <f t="shared" si="44"/>
        <v>Policies met</v>
      </c>
      <c r="AD102" s="1353">
        <f t="shared" si="45"/>
        <v>0.14942183030813608</v>
      </c>
      <c r="AE102" s="135" t="str">
        <f t="shared" si="46"/>
        <v>No</v>
      </c>
      <c r="AF102" s="1420">
        <f t="shared" si="47"/>
        <v>360.86895989519803</v>
      </c>
      <c r="AG102" s="118">
        <f t="shared" si="48"/>
        <v>135.7475919244612</v>
      </c>
      <c r="AH102" s="118">
        <f t="shared" si="24"/>
        <v>98.919437177163658</v>
      </c>
      <c r="AI102" s="118">
        <f t="shared" si="25"/>
        <v>82.367798620782921</v>
      </c>
      <c r="AJ102" s="118">
        <f t="shared" si="26"/>
        <v>43.83413217279027</v>
      </c>
      <c r="AK102" s="118">
        <f t="shared" si="49"/>
        <v>360.86895989519803</v>
      </c>
      <c r="AL102" s="910">
        <f t="shared" si="27"/>
        <v>0</v>
      </c>
      <c r="AM102" s="805">
        <f t="shared" si="50"/>
        <v>0.3761686567996439</v>
      </c>
      <c r="AN102" s="510">
        <f t="shared" si="51"/>
        <v>0.27411456282050806</v>
      </c>
      <c r="AO102" s="510">
        <f t="shared" si="52"/>
        <v>0.22824849952377121</v>
      </c>
      <c r="AP102" s="510">
        <f t="shared" si="53"/>
        <v>0.12146828085607692</v>
      </c>
      <c r="AQ102" s="510">
        <f t="shared" si="54"/>
        <v>1.0000000000000002</v>
      </c>
      <c r="AR102" s="916">
        <f t="shared" si="69"/>
        <v>24.273332699172244</v>
      </c>
      <c r="AS102" s="917">
        <f t="shared" si="70"/>
        <v>35.071427895061376</v>
      </c>
      <c r="AT102" s="917">
        <f t="shared" si="71"/>
        <v>9.894150264345086</v>
      </c>
      <c r="AU102" s="917">
        <f t="shared" si="72"/>
        <v>0</v>
      </c>
      <c r="AV102" s="917">
        <f t="shared" si="73"/>
        <v>0</v>
      </c>
      <c r="AW102" s="917">
        <f t="shared" si="74"/>
        <v>0</v>
      </c>
      <c r="AX102" s="1338">
        <f t="shared" si="75"/>
        <v>42.112846229570877</v>
      </c>
      <c r="AY102" s="917">
        <f t="shared" si="76"/>
        <v>6.0885573930150318</v>
      </c>
      <c r="AZ102" s="917">
        <f t="shared" si="77"/>
        <v>8.8496867418195375</v>
      </c>
      <c r="BA102" s="917">
        <f t="shared" si="78"/>
        <v>7.7795771583743552</v>
      </c>
      <c r="BB102" s="917">
        <f t="shared" si="79"/>
        <v>1.6780135431026455</v>
      </c>
      <c r="BC102" s="673">
        <f t="shared" si="55"/>
        <v>135.74759192446118</v>
      </c>
      <c r="BD102" s="922">
        <f t="shared" si="56"/>
        <v>0</v>
      </c>
      <c r="BE102" s="840">
        <f t="shared" si="57"/>
        <v>0.17881225261571868</v>
      </c>
      <c r="BF102" s="535">
        <f t="shared" si="58"/>
        <v>0.25835764301865044</v>
      </c>
      <c r="BG102" s="535">
        <f t="shared" si="59"/>
        <v>7.2886377755053203E-2</v>
      </c>
      <c r="BH102" s="535">
        <f t="shared" si="60"/>
        <v>0</v>
      </c>
      <c r="BI102" s="535">
        <f t="shared" si="61"/>
        <v>0</v>
      </c>
      <c r="BJ102" s="535">
        <f t="shared" si="62"/>
        <v>0</v>
      </c>
      <c r="BK102" s="535">
        <f t="shared" si="63"/>
        <v>0.48994372661057761</v>
      </c>
      <c r="BL102" s="1342">
        <f t="shared" si="64"/>
        <v>1</v>
      </c>
      <c r="BM102" s="1237">
        <f t="shared" si="80"/>
        <v>0.19892488097366726</v>
      </c>
      <c r="BN102" s="713">
        <f t="shared" si="81"/>
        <v>0.26585903447659598</v>
      </c>
      <c r="BO102" s="713">
        <f t="shared" si="82"/>
        <v>8.9228108703258049E-2</v>
      </c>
      <c r="BP102" s="713">
        <f t="shared" si="83"/>
        <v>0</v>
      </c>
      <c r="BQ102" s="713">
        <f t="shared" si="84"/>
        <v>0</v>
      </c>
      <c r="BR102" s="713">
        <f t="shared" si="85"/>
        <v>0</v>
      </c>
      <c r="BS102" s="713">
        <f t="shared" si="86"/>
        <v>0.4459879758464787</v>
      </c>
      <c r="BT102" s="658">
        <f t="shared" si="87"/>
        <v>1</v>
      </c>
      <c r="BV102" s="671">
        <f t="shared" si="28"/>
        <v>85.190551830809383</v>
      </c>
      <c r="BW102" s="713">
        <f t="shared" si="66"/>
        <v>0.41055002483566649</v>
      </c>
      <c r="BX102" s="1338">
        <f t="shared" si="29"/>
        <v>45.550858065592685</v>
      </c>
      <c r="BY102" s="671">
        <f t="shared" si="30"/>
        <v>84.242680137700347</v>
      </c>
      <c r="BZ102" s="713">
        <f t="shared" si="67"/>
        <v>0.39485555624117569</v>
      </c>
      <c r="CA102" s="1338">
        <f t="shared" si="31"/>
        <v>48.694518386230293</v>
      </c>
      <c r="CB102" s="713">
        <f t="shared" si="32"/>
        <v>0.14942183030813608</v>
      </c>
      <c r="CC102" s="713">
        <f t="shared" si="33"/>
        <v>0.53213615667573488</v>
      </c>
      <c r="CD102" s="713">
        <f t="shared" si="34"/>
        <v>0.14942183030813608</v>
      </c>
      <c r="CE102" s="1001">
        <f t="shared" si="35"/>
        <v>0.64321153270212195</v>
      </c>
    </row>
    <row r="103" spans="1:83">
      <c r="A103" s="127">
        <f>'Input data'!A123</f>
        <v>2025</v>
      </c>
      <c r="B103" s="828">
        <f>'Input data'!B123</f>
        <v>62.802999999999997</v>
      </c>
      <c r="C103" s="238">
        <f>'Input data'!C123</f>
        <v>3265.54</v>
      </c>
      <c r="D103" s="239">
        <f>'Input data'!D123</f>
        <v>46410532.166220129</v>
      </c>
      <c r="E103" s="805">
        <f t="shared" si="36"/>
        <v>0.78393939393939382</v>
      </c>
      <c r="F103" s="510">
        <f t="shared" si="37"/>
        <v>0.30842424242424238</v>
      </c>
      <c r="G103" s="672">
        <f>B103*F103*'Input data'!$C$9</f>
        <v>592.85780817693978</v>
      </c>
      <c r="H103" s="654">
        <f>'Input data'!I123</f>
        <v>424.26313389388866</v>
      </c>
      <c r="I103" s="673">
        <f>'Input data'!K123</f>
        <v>26644.997597937887</v>
      </c>
      <c r="J103" s="673">
        <f t="shared" si="68"/>
        <v>128.69923952927135</v>
      </c>
      <c r="K103" s="674">
        <f t="shared" si="13"/>
        <v>68.463665644296555</v>
      </c>
      <c r="L103" s="510">
        <f t="shared" si="38"/>
        <v>0.57999999999999996</v>
      </c>
      <c r="M103" s="510">
        <f t="shared" si="39"/>
        <v>0.437</v>
      </c>
      <c r="N103" s="510">
        <f t="shared" si="40"/>
        <v>0.71200000000000008</v>
      </c>
      <c r="O103" s="510">
        <f t="shared" si="41"/>
        <v>0.8</v>
      </c>
      <c r="P103" s="510">
        <f t="shared" si="42"/>
        <v>0.23600000000000002</v>
      </c>
      <c r="Q103" s="654">
        <f t="shared" si="43"/>
        <v>21.956594277323916</v>
      </c>
      <c r="R103" s="673">
        <f t="shared" si="14"/>
        <v>8.498893173320921</v>
      </c>
      <c r="S103" s="673">
        <f t="shared" si="15"/>
        <v>35.157920176424213</v>
      </c>
      <c r="T103" s="673">
        <f t="shared" si="16"/>
        <v>50.006188746360976</v>
      </c>
      <c r="U103" s="673">
        <f t="shared" si="17"/>
        <v>0.67710709475193609</v>
      </c>
      <c r="V103" s="1422">
        <f t="shared" si="18"/>
        <v>116.29670346818196</v>
      </c>
      <c r="W103" s="805">
        <f>($W$105-$W$100)/($A$105-$A$100)+W102</f>
        <v>0.39999999999999997</v>
      </c>
      <c r="X103" s="671">
        <f t="shared" si="19"/>
        <v>42.935327962395817</v>
      </c>
      <c r="Y103" s="671">
        <f t="shared" si="20"/>
        <v>42.935327962395817</v>
      </c>
      <c r="Z103" s="672">
        <f t="shared" si="21"/>
        <v>154.2275772111721</v>
      </c>
      <c r="AA103" s="673">
        <f t="shared" si="22"/>
        <v>25.528337681900737</v>
      </c>
      <c r="AB103" s="893">
        <f t="shared" si="23"/>
        <v>0.16552381969241936</v>
      </c>
      <c r="AC103" s="135" t="str">
        <f t="shared" si="44"/>
        <v>Policies met</v>
      </c>
      <c r="AD103" s="1353">
        <f t="shared" si="45"/>
        <v>0.16552381969241936</v>
      </c>
      <c r="AE103" s="135" t="str">
        <f t="shared" si="46"/>
        <v>No</v>
      </c>
      <c r="AF103" s="1420">
        <f t="shared" si="47"/>
        <v>354.03747941709588</v>
      </c>
      <c r="AG103" s="118">
        <f t="shared" si="48"/>
        <v>128.69923952927138</v>
      </c>
      <c r="AH103" s="118">
        <f t="shared" si="24"/>
        <v>97.046828892491845</v>
      </c>
      <c r="AI103" s="118">
        <f t="shared" si="25"/>
        <v>85.28708701191934</v>
      </c>
      <c r="AJ103" s="118">
        <f t="shared" si="26"/>
        <v>43.00432398341335</v>
      </c>
      <c r="AK103" s="118">
        <f t="shared" si="49"/>
        <v>354.03747941709594</v>
      </c>
      <c r="AL103" s="910">
        <f t="shared" si="27"/>
        <v>0</v>
      </c>
      <c r="AM103" s="805">
        <f t="shared" si="50"/>
        <v>0.36351868661241149</v>
      </c>
      <c r="AN103" s="510">
        <f t="shared" si="51"/>
        <v>0.274114562820508</v>
      </c>
      <c r="AO103" s="510">
        <f t="shared" si="52"/>
        <v>0.24089846971100359</v>
      </c>
      <c r="AP103" s="510">
        <f t="shared" si="53"/>
        <v>0.12146828085607689</v>
      </c>
      <c r="AQ103" s="510">
        <f t="shared" si="54"/>
        <v>1</v>
      </c>
      <c r="AR103" s="916">
        <f t="shared" si="69"/>
        <v>21.574541188872935</v>
      </c>
      <c r="AS103" s="917">
        <f t="shared" si="70"/>
        <v>32.16822152859703</v>
      </c>
      <c r="AT103" s="917">
        <f t="shared" si="71"/>
        <v>9.7068476645373529</v>
      </c>
      <c r="AU103" s="917">
        <f t="shared" si="72"/>
        <v>0</v>
      </c>
      <c r="AV103" s="917">
        <f t="shared" si="73"/>
        <v>0</v>
      </c>
      <c r="AW103" s="917">
        <f t="shared" si="74"/>
        <v>0</v>
      </c>
      <c r="AX103" s="1338">
        <f t="shared" si="75"/>
        <v>41.315623085252284</v>
      </c>
      <c r="AY103" s="917">
        <f t="shared" si="76"/>
        <v>5.9732971030131807</v>
      </c>
      <c r="AZ103" s="917">
        <f t="shared" si="77"/>
        <v>8.6821565052715748</v>
      </c>
      <c r="BA103" s="917">
        <f t="shared" si="78"/>
        <v>7.632304781440749</v>
      </c>
      <c r="BB103" s="917">
        <f t="shared" si="79"/>
        <v>1.6462476722861976</v>
      </c>
      <c r="BC103" s="673">
        <f t="shared" si="55"/>
        <v>128.69923952927132</v>
      </c>
      <c r="BD103" s="922">
        <f t="shared" si="56"/>
        <v>0</v>
      </c>
      <c r="BE103" s="840">
        <f t="shared" si="57"/>
        <v>0.16763534320625123</v>
      </c>
      <c r="BF103" s="535">
        <f t="shared" si="58"/>
        <v>0.24994880813791209</v>
      </c>
      <c r="BG103" s="535">
        <f t="shared" si="59"/>
        <v>7.5422727438336029E-2</v>
      </c>
      <c r="BH103" s="535">
        <f t="shared" si="60"/>
        <v>0</v>
      </c>
      <c r="BI103" s="535">
        <f t="shared" si="61"/>
        <v>0</v>
      </c>
      <c r="BJ103" s="535">
        <f t="shared" si="62"/>
        <v>0</v>
      </c>
      <c r="BK103" s="535">
        <f t="shared" si="63"/>
        <v>0.50699312121750051</v>
      </c>
      <c r="BL103" s="1342">
        <f t="shared" si="64"/>
        <v>0.99999999999999989</v>
      </c>
      <c r="BM103" s="1237">
        <f t="shared" si="80"/>
        <v>0.19892488097366726</v>
      </c>
      <c r="BN103" s="713">
        <f t="shared" si="81"/>
        <v>0.26585903447659598</v>
      </c>
      <c r="BO103" s="713">
        <f t="shared" si="82"/>
        <v>8.9228108703258049E-2</v>
      </c>
      <c r="BP103" s="713">
        <f t="shared" si="83"/>
        <v>0</v>
      </c>
      <c r="BQ103" s="713">
        <f t="shared" si="84"/>
        <v>0</v>
      </c>
      <c r="BR103" s="713">
        <f t="shared" si="85"/>
        <v>0</v>
      </c>
      <c r="BS103" s="713">
        <f t="shared" si="86"/>
        <v>0.4459879758464787</v>
      </c>
      <c r="BT103" s="658">
        <f t="shared" si="87"/>
        <v>1</v>
      </c>
      <c r="BV103" s="671">
        <f t="shared" si="28"/>
        <v>83.177711672744095</v>
      </c>
      <c r="BW103" s="713">
        <f t="shared" si="66"/>
        <v>0.42591888123052163</v>
      </c>
      <c r="BX103" s="1338">
        <f t="shared" si="29"/>
        <v>46.410532166220129</v>
      </c>
      <c r="BY103" s="671">
        <f t="shared" si="30"/>
        <v>82.48664045363644</v>
      </c>
      <c r="BZ103" s="713">
        <f t="shared" si="67"/>
        <v>0.41407181932194592</v>
      </c>
      <c r="CA103" s="1338">
        <f t="shared" si="31"/>
        <v>48.694518386230293</v>
      </c>
      <c r="CB103" s="713">
        <f t="shared" si="32"/>
        <v>0.16552381969241936</v>
      </c>
      <c r="CC103" s="713">
        <f t="shared" si="33"/>
        <v>0.61317975418608361</v>
      </c>
      <c r="CD103" s="713">
        <f t="shared" si="34"/>
        <v>0.16552381969241936</v>
      </c>
      <c r="CE103" s="1001">
        <f t="shared" si="35"/>
        <v>0.69236829068387395</v>
      </c>
    </row>
    <row r="104" spans="1:83">
      <c r="A104" s="127">
        <f>'Input data'!A124</f>
        <v>2026</v>
      </c>
      <c r="B104" s="828">
        <f>'Input data'!B124</f>
        <v>63.420999999999999</v>
      </c>
      <c r="C104" s="238">
        <f>'Input data'!C124</f>
        <v>3341.28</v>
      </c>
      <c r="D104" s="239">
        <f>'Input data'!D124</f>
        <v>46524138.013837561</v>
      </c>
      <c r="E104" s="805">
        <f t="shared" si="36"/>
        <v>0.79258181818181805</v>
      </c>
      <c r="F104" s="510">
        <f t="shared" si="37"/>
        <v>0.31077727272727268</v>
      </c>
      <c r="G104" s="672">
        <f>B104*F104*'Input data'!$C$9</f>
        <v>603.2592423450709</v>
      </c>
      <c r="H104" s="654">
        <f>'Input data'!I124</f>
        <v>424.26313389388866</v>
      </c>
      <c r="I104" s="673">
        <f>'Input data'!K124</f>
        <v>26907.192214684314</v>
      </c>
      <c r="J104" s="673">
        <f t="shared" si="68"/>
        <v>122.01685511025322</v>
      </c>
      <c r="K104" s="674">
        <f t="shared" si="13"/>
        <v>75.146050063314689</v>
      </c>
      <c r="L104" s="510">
        <f t="shared" si="38"/>
        <v>0.57999999999999996</v>
      </c>
      <c r="M104" s="510">
        <f t="shared" si="39"/>
        <v>0.437</v>
      </c>
      <c r="N104" s="510">
        <f t="shared" si="40"/>
        <v>0.71200000000000008</v>
      </c>
      <c r="O104" s="510">
        <f t="shared" si="41"/>
        <v>0.8</v>
      </c>
      <c r="P104" s="510">
        <f t="shared" si="42"/>
        <v>0.23600000000000002</v>
      </c>
      <c r="Q104" s="654">
        <f t="shared" si="43"/>
        <v>21.956594277323916</v>
      </c>
      <c r="R104" s="673">
        <f t="shared" si="14"/>
        <v>8.498893173320921</v>
      </c>
      <c r="S104" s="673">
        <f t="shared" si="15"/>
        <v>35.157920176424213</v>
      </c>
      <c r="T104" s="673">
        <f t="shared" si="16"/>
        <v>50.006188746360976</v>
      </c>
      <c r="U104" s="673">
        <f t="shared" si="17"/>
        <v>0.67710709475193609</v>
      </c>
      <c r="V104" s="1422">
        <f t="shared" si="18"/>
        <v>116.29670346818196</v>
      </c>
      <c r="W104" s="805">
        <f>($W$105-$W$100)/($A$105-$A$100)+W103</f>
        <v>0.44999999999999996</v>
      </c>
      <c r="X104" s="671">
        <f t="shared" si="19"/>
        <v>48.302243957695282</v>
      </c>
      <c r="Y104" s="671">
        <f t="shared" si="20"/>
        <v>48.302243957695282</v>
      </c>
      <c r="Z104" s="672">
        <f t="shared" si="21"/>
        <v>148.86066121587263</v>
      </c>
      <c r="AA104" s="673">
        <f t="shared" si="22"/>
        <v>26.843806105619407</v>
      </c>
      <c r="AB104" s="893">
        <f t="shared" si="23"/>
        <v>0.18032840836768446</v>
      </c>
      <c r="AC104" s="135" t="str">
        <f t="shared" si="44"/>
        <v>Policies met</v>
      </c>
      <c r="AD104" s="1353">
        <f t="shared" si="45"/>
        <v>0.18032840836768446</v>
      </c>
      <c r="AE104" s="135" t="str">
        <f t="shared" si="46"/>
        <v>No</v>
      </c>
      <c r="AF104" s="1420">
        <f t="shared" si="47"/>
        <v>347.7564382297179</v>
      </c>
      <c r="AG104" s="118">
        <f t="shared" si="48"/>
        <v>122.01685511025322</v>
      </c>
      <c r="AH104" s="118">
        <f t="shared" si="24"/>
        <v>95.325104033356141</v>
      </c>
      <c r="AI104" s="118">
        <f t="shared" si="25"/>
        <v>88.17310237771224</v>
      </c>
      <c r="AJ104" s="118">
        <f t="shared" si="26"/>
        <v>42.241376708396338</v>
      </c>
      <c r="AK104" s="118">
        <f t="shared" si="49"/>
        <v>347.75643822971796</v>
      </c>
      <c r="AL104" s="910">
        <f t="shared" si="27"/>
        <v>0</v>
      </c>
      <c r="AM104" s="805">
        <f t="shared" si="50"/>
        <v>0.35086871642517908</v>
      </c>
      <c r="AN104" s="510">
        <f t="shared" si="51"/>
        <v>0.274114562820508</v>
      </c>
      <c r="AO104" s="510">
        <f t="shared" si="52"/>
        <v>0.25354843989823594</v>
      </c>
      <c r="AP104" s="510">
        <f t="shared" si="53"/>
        <v>0.1214682808560769</v>
      </c>
      <c r="AQ104" s="510">
        <f t="shared" si="54"/>
        <v>0.99999999999999989</v>
      </c>
      <c r="AR104" s="916">
        <f t="shared" si="69"/>
        <v>18.992229171286056</v>
      </c>
      <c r="AS104" s="917">
        <f t="shared" si="70"/>
        <v>29.397965164978544</v>
      </c>
      <c r="AT104" s="917">
        <f t="shared" si="71"/>
        <v>9.5346367729646726</v>
      </c>
      <c r="AU104" s="917">
        <f t="shared" si="72"/>
        <v>0</v>
      </c>
      <c r="AV104" s="917">
        <f t="shared" si="73"/>
        <v>0</v>
      </c>
      <c r="AW104" s="917">
        <f t="shared" si="74"/>
        <v>0</v>
      </c>
      <c r="AX104" s="1338">
        <f t="shared" si="75"/>
        <v>40.582635349863601</v>
      </c>
      <c r="AY104" s="917">
        <f t="shared" si="76"/>
        <v>5.8673237885769707</v>
      </c>
      <c r="AZ104" s="917">
        <f t="shared" si="77"/>
        <v>8.528124839769216</v>
      </c>
      <c r="BA104" s="917">
        <f t="shared" si="78"/>
        <v>7.4968987200096828</v>
      </c>
      <c r="BB104" s="917">
        <f t="shared" si="79"/>
        <v>1.617041302804415</v>
      </c>
      <c r="BC104" s="673">
        <f t="shared" si="55"/>
        <v>122.01685511025316</v>
      </c>
      <c r="BD104" s="922">
        <f t="shared" si="56"/>
        <v>0</v>
      </c>
      <c r="BE104" s="840">
        <f t="shared" si="57"/>
        <v>0.15565250517336213</v>
      </c>
      <c r="BF104" s="535">
        <f t="shared" si="58"/>
        <v>0.24093364099914596</v>
      </c>
      <c r="BG104" s="535">
        <f t="shared" si="59"/>
        <v>7.8141964602753231E-2</v>
      </c>
      <c r="BH104" s="535">
        <f t="shared" si="60"/>
        <v>0</v>
      </c>
      <c r="BI104" s="535">
        <f t="shared" si="61"/>
        <v>0</v>
      </c>
      <c r="BJ104" s="535">
        <f t="shared" si="62"/>
        <v>0</v>
      </c>
      <c r="BK104" s="535">
        <f t="shared" si="63"/>
        <v>0.52527188922473855</v>
      </c>
      <c r="BL104" s="1342">
        <f t="shared" si="64"/>
        <v>0.99999999999999989</v>
      </c>
      <c r="BM104" s="1237">
        <f t="shared" si="80"/>
        <v>0.19892488097366726</v>
      </c>
      <c r="BN104" s="713">
        <f t="shared" si="81"/>
        <v>0.26585903447659598</v>
      </c>
      <c r="BO104" s="713">
        <f t="shared" si="82"/>
        <v>8.9228108703258049E-2</v>
      </c>
      <c r="BP104" s="713">
        <f t="shared" si="83"/>
        <v>0</v>
      </c>
      <c r="BQ104" s="713">
        <f t="shared" si="84"/>
        <v>0</v>
      </c>
      <c r="BR104" s="713">
        <f t="shared" si="85"/>
        <v>0</v>
      </c>
      <c r="BS104" s="713">
        <f t="shared" si="86"/>
        <v>0.4459879758464787</v>
      </c>
      <c r="BT104" s="658">
        <f t="shared" si="87"/>
        <v>1</v>
      </c>
      <c r="BV104" s="671">
        <f t="shared" si="28"/>
        <v>81.733403090445265</v>
      </c>
      <c r="BW104" s="713">
        <f t="shared" si="66"/>
        <v>0.44701083932551255</v>
      </c>
      <c r="BX104" s="1338">
        <f t="shared" si="29"/>
        <v>46.524138013837558</v>
      </c>
      <c r="BY104" s="671">
        <f t="shared" si="30"/>
        <v>81.077787778031379</v>
      </c>
      <c r="BZ104" s="713">
        <f t="shared" si="67"/>
        <v>0.43540380440931165</v>
      </c>
      <c r="CA104" s="1338">
        <f t="shared" si="31"/>
        <v>48.694518386230293</v>
      </c>
      <c r="CB104" s="713">
        <f t="shared" si="32"/>
        <v>0.18032840836768446</v>
      </c>
      <c r="CC104" s="713">
        <f t="shared" si="33"/>
        <v>0.65780499060797182</v>
      </c>
      <c r="CD104" s="713">
        <f t="shared" si="34"/>
        <v>0.18032840836768446</v>
      </c>
      <c r="CE104" s="1001">
        <f t="shared" si="35"/>
        <v>0.73132077456133915</v>
      </c>
    </row>
    <row r="105" spans="1:83" s="1" customFormat="1">
      <c r="A105" s="157">
        <f>'Input data'!A125</f>
        <v>2027</v>
      </c>
      <c r="B105" s="829">
        <f>'Input data'!B125</f>
        <v>64.046000000000006</v>
      </c>
      <c r="C105" s="662">
        <f>'Input data'!C125</f>
        <v>3416.2799999999997</v>
      </c>
      <c r="D105" s="830">
        <f>'Input data'!D125</f>
        <v>46636048.251789063</v>
      </c>
      <c r="E105" s="804">
        <f t="shared" si="36"/>
        <v>0.80122424242424228</v>
      </c>
      <c r="F105" s="498">
        <f t="shared" si="37"/>
        <v>0.31313030303030298</v>
      </c>
      <c r="G105" s="850">
        <f>B105*F105*'Input data'!$C$9</f>
        <v>613.81678041460282</v>
      </c>
      <c r="H105" s="809">
        <f>'Input data'!I125</f>
        <v>424.26313389388866</v>
      </c>
      <c r="I105" s="815">
        <f>'Input data'!K125</f>
        <v>27172.356673367995</v>
      </c>
      <c r="J105" s="673">
        <f t="shared" si="68"/>
        <v>115.68143670041169</v>
      </c>
      <c r="K105" s="674">
        <f t="shared" si="13"/>
        <v>81.481468473156212</v>
      </c>
      <c r="L105" s="498">
        <f>($L$108-$L$95)/($A$108-$A$95)*L104+L104</f>
        <v>0.57999999999999996</v>
      </c>
      <c r="M105" s="498">
        <f>($M$108-$M$95)/($A$108-$A$95)*M104+M104</f>
        <v>0.437</v>
      </c>
      <c r="N105" s="498">
        <f>($N$108-$N$95)/($A$108-$A$95)*N104+N104</f>
        <v>0.71200000000000008</v>
      </c>
      <c r="O105" s="498">
        <f>($L$108-$L$95)/($A$108-$A$95)*O104+O104</f>
        <v>0.8</v>
      </c>
      <c r="P105" s="510">
        <f t="shared" si="42"/>
        <v>0.23600000000000002</v>
      </c>
      <c r="Q105" s="654">
        <f t="shared" si="43"/>
        <v>21.956594277323916</v>
      </c>
      <c r="R105" s="673">
        <f t="shared" si="14"/>
        <v>8.498893173320921</v>
      </c>
      <c r="S105" s="673">
        <f t="shared" si="15"/>
        <v>35.157920176424213</v>
      </c>
      <c r="T105" s="673">
        <f t="shared" si="16"/>
        <v>50.006188746360976</v>
      </c>
      <c r="U105" s="673">
        <f t="shared" si="17"/>
        <v>0.67710709475193609</v>
      </c>
      <c r="V105" s="1422">
        <f t="shared" si="18"/>
        <v>116.29670346818196</v>
      </c>
      <c r="W105" s="804">
        <f>$C$27</f>
        <v>0.5</v>
      </c>
      <c r="X105" s="671">
        <f t="shared" si="19"/>
        <v>53.669159952994768</v>
      </c>
      <c r="Y105" s="671">
        <f t="shared" si="20"/>
        <v>53.669159952994768</v>
      </c>
      <c r="Z105" s="672">
        <f t="shared" si="21"/>
        <v>143.49374522057315</v>
      </c>
      <c r="AA105" s="673">
        <f t="shared" si="22"/>
        <v>27.812308520161444</v>
      </c>
      <c r="AB105" s="893">
        <f t="shared" si="23"/>
        <v>0.193822444855763</v>
      </c>
      <c r="AC105" s="135" t="str">
        <f t="shared" si="44"/>
        <v>Policies met</v>
      </c>
      <c r="AD105" s="1353">
        <f t="shared" si="45"/>
        <v>0.193822444855763</v>
      </c>
      <c r="AE105" s="135" t="str">
        <f t="shared" si="46"/>
        <v>No</v>
      </c>
      <c r="AF105" s="1420">
        <f t="shared" si="47"/>
        <v>342.03141602040722</v>
      </c>
      <c r="AG105" s="118">
        <f t="shared" si="48"/>
        <v>115.68143670041169</v>
      </c>
      <c r="AH105" s="118">
        <f t="shared" si="24"/>
        <v>93.755792073313231</v>
      </c>
      <c r="AI105" s="118">
        <f t="shared" si="25"/>
        <v>91.048219143913812</v>
      </c>
      <c r="AJ105" s="118">
        <f t="shared" si="26"/>
        <v>41.545968102768505</v>
      </c>
      <c r="AK105" s="118">
        <f t="shared" si="49"/>
        <v>342.03141602040722</v>
      </c>
      <c r="AL105" s="910">
        <f t="shared" si="27"/>
        <v>0</v>
      </c>
      <c r="AM105" s="805">
        <f t="shared" si="50"/>
        <v>0.33821874623794673</v>
      </c>
      <c r="AN105" s="510">
        <f t="shared" si="51"/>
        <v>0.274114562820508</v>
      </c>
      <c r="AO105" s="510">
        <f t="shared" si="52"/>
        <v>0.26619841008546841</v>
      </c>
      <c r="AP105" s="510">
        <f t="shared" si="53"/>
        <v>0.1214682808560769</v>
      </c>
      <c r="AQ105" s="510">
        <f t="shared" si="54"/>
        <v>1</v>
      </c>
      <c r="AR105" s="916">
        <f t="shared" si="69"/>
        <v>16.516221520829095</v>
      </c>
      <c r="AS105" s="917">
        <f t="shared" si="70"/>
        <v>26.750650636721204</v>
      </c>
      <c r="AT105" s="917">
        <f t="shared" si="71"/>
        <v>9.3776705710999213</v>
      </c>
      <c r="AU105" s="917">
        <f t="shared" si="72"/>
        <v>0</v>
      </c>
      <c r="AV105" s="917">
        <f t="shared" si="73"/>
        <v>0</v>
      </c>
      <c r="AW105" s="917">
        <f t="shared" si="74"/>
        <v>0</v>
      </c>
      <c r="AX105" s="1338">
        <f t="shared" si="75"/>
        <v>39.914534164237672</v>
      </c>
      <c r="AY105" s="917">
        <f t="shared" si="76"/>
        <v>5.7707315898248339</v>
      </c>
      <c r="AZ105" s="917">
        <f t="shared" si="77"/>
        <v>8.3877285774886552</v>
      </c>
      <c r="BA105" s="917">
        <f t="shared" si="78"/>
        <v>7.3734792604261434</v>
      </c>
      <c r="BB105" s="917">
        <f t="shared" si="79"/>
        <v>1.5904203797841123</v>
      </c>
      <c r="BC105" s="673">
        <f t="shared" si="55"/>
        <v>115.68143670041162</v>
      </c>
      <c r="BD105" s="922">
        <f t="shared" si="56"/>
        <v>0</v>
      </c>
      <c r="BE105" s="840">
        <f t="shared" si="57"/>
        <v>0.14277330911442879</v>
      </c>
      <c r="BF105" s="535">
        <f t="shared" si="58"/>
        <v>0.23124410795484199</v>
      </c>
      <c r="BG105" s="535">
        <f t="shared" si="59"/>
        <v>8.1064610179297267E-2</v>
      </c>
      <c r="BH105" s="535">
        <f t="shared" si="60"/>
        <v>0</v>
      </c>
      <c r="BI105" s="535">
        <f t="shared" si="61"/>
        <v>0</v>
      </c>
      <c r="BJ105" s="535">
        <f t="shared" si="62"/>
        <v>0</v>
      </c>
      <c r="BK105" s="535">
        <f t="shared" si="63"/>
        <v>0.54491797275143206</v>
      </c>
      <c r="BL105" s="1342">
        <f t="shared" si="64"/>
        <v>1</v>
      </c>
      <c r="BM105" s="1237">
        <f t="shared" si="80"/>
        <v>0.19892488097366726</v>
      </c>
      <c r="BN105" s="713">
        <f t="shared" si="81"/>
        <v>0.26585903447659598</v>
      </c>
      <c r="BO105" s="713">
        <f t="shared" si="82"/>
        <v>8.9228108703258049E-2</v>
      </c>
      <c r="BP105" s="713">
        <f t="shared" si="83"/>
        <v>0</v>
      </c>
      <c r="BQ105" s="713">
        <f t="shared" si="84"/>
        <v>0</v>
      </c>
      <c r="BR105" s="713">
        <f t="shared" si="85"/>
        <v>0</v>
      </c>
      <c r="BS105" s="713">
        <f t="shared" si="86"/>
        <v>0.4459879758464787</v>
      </c>
      <c r="BT105" s="658">
        <f t="shared" si="87"/>
        <v>1</v>
      </c>
      <c r="BV105" s="671">
        <f t="shared" si="28"/>
        <v>80.383908263295481</v>
      </c>
      <c r="BW105" s="713">
        <f t="shared" si="66"/>
        <v>0.47058540476610006</v>
      </c>
      <c r="BX105" s="1338">
        <f t="shared" si="29"/>
        <v>46.636048251789063</v>
      </c>
      <c r="BY105" s="671">
        <f t="shared" si="30"/>
        <v>79.766765360507492</v>
      </c>
      <c r="BZ105" s="713">
        <f t="shared" si="67"/>
        <v>0.45929506861421338</v>
      </c>
      <c r="CA105" s="1338">
        <f t="shared" si="31"/>
        <v>48.694518386230293</v>
      </c>
      <c r="CB105" s="713">
        <f t="shared" si="32"/>
        <v>0.193822444855763</v>
      </c>
      <c r="CC105" s="713">
        <f t="shared" si="33"/>
        <v>0.69870091009148583</v>
      </c>
      <c r="CD105" s="713">
        <f t="shared" si="34"/>
        <v>0.193822444855763</v>
      </c>
      <c r="CE105" s="1001">
        <f t="shared" si="35"/>
        <v>0.7667765628782568</v>
      </c>
    </row>
    <row r="106" spans="1:83">
      <c r="A106" s="127">
        <f>'Input data'!A126</f>
        <v>2028</v>
      </c>
      <c r="B106" s="828">
        <f>'Input data'!B126</f>
        <v>64.676000000000002</v>
      </c>
      <c r="C106" s="238">
        <f>'Input data'!C126</f>
        <v>3494.8800000000006</v>
      </c>
      <c r="D106" s="239">
        <f>'Input data'!D126</f>
        <v>46747958.489740558</v>
      </c>
      <c r="E106" s="805">
        <f t="shared" si="36"/>
        <v>0.80986666666666651</v>
      </c>
      <c r="F106" s="510">
        <f t="shared" si="37"/>
        <v>0.31548333333333328</v>
      </c>
      <c r="G106" s="672">
        <f>B106*F106*'Input data'!$C$9</f>
        <v>624.51262275570207</v>
      </c>
      <c r="H106" s="654">
        <f>'Input data'!I126</f>
        <v>424.26313389388866</v>
      </c>
      <c r="I106" s="673">
        <f>'Input data'!K126</f>
        <v>27439.642447721144</v>
      </c>
      <c r="J106" s="673">
        <f t="shared" si="68"/>
        <v>109.67496896211051</v>
      </c>
      <c r="K106" s="674">
        <f t="shared" si="13"/>
        <v>87.487936211457395</v>
      </c>
      <c r="L106" s="510">
        <f>($L$108-$L$95)/($A$108-$A$95)*L105+L105</f>
        <v>0.57999999999999996</v>
      </c>
      <c r="M106" s="510">
        <f>($M$108-$M$95)/($A$108-$A$95)*M105+M105</f>
        <v>0.437</v>
      </c>
      <c r="N106" s="510">
        <f>($N$108-$N$95)/($A$108-$A$95)*N105+N105</f>
        <v>0.71200000000000008</v>
      </c>
      <c r="O106" s="510">
        <f>($L$108-$L$95)/($A$108-$A$95)*O105+O105</f>
        <v>0.8</v>
      </c>
      <c r="P106" s="510">
        <f t="shared" si="42"/>
        <v>0.23600000000000002</v>
      </c>
      <c r="Q106" s="654">
        <f t="shared" si="43"/>
        <v>21.956594277323916</v>
      </c>
      <c r="R106" s="673">
        <f t="shared" si="14"/>
        <v>8.498893173320921</v>
      </c>
      <c r="S106" s="673">
        <f t="shared" si="15"/>
        <v>35.157920176424213</v>
      </c>
      <c r="T106" s="673">
        <f t="shared" si="16"/>
        <v>50.006188746360976</v>
      </c>
      <c r="U106" s="673">
        <f t="shared" si="17"/>
        <v>0.67710709475193609</v>
      </c>
      <c r="V106" s="1422">
        <f t="shared" si="18"/>
        <v>116.29670346818196</v>
      </c>
      <c r="W106" s="805">
        <f>W105</f>
        <v>0.5</v>
      </c>
      <c r="X106" s="671">
        <f t="shared" si="19"/>
        <v>53.669159952994768</v>
      </c>
      <c r="Y106" s="671">
        <f t="shared" si="20"/>
        <v>53.669159952994768</v>
      </c>
      <c r="Z106" s="672">
        <f t="shared" si="21"/>
        <v>143.49374522057315</v>
      </c>
      <c r="AA106" s="673">
        <f t="shared" si="22"/>
        <v>33.818776258462627</v>
      </c>
      <c r="AB106" s="893">
        <f t="shared" si="23"/>
        <v>0.23568118740282154</v>
      </c>
      <c r="AC106" s="135" t="str">
        <f t="shared" si="44"/>
        <v>Policies met</v>
      </c>
      <c r="AD106" s="1353">
        <f t="shared" si="45"/>
        <v>0.23568118740282154</v>
      </c>
      <c r="AE106" s="135" t="str">
        <f t="shared" si="46"/>
        <v>No</v>
      </c>
      <c r="AF106" s="1420">
        <f t="shared" si="47"/>
        <v>324.27229472653471</v>
      </c>
      <c r="AG106" s="118">
        <f t="shared" si="48"/>
        <v>109.67496896211051</v>
      </c>
      <c r="AH106" s="118">
        <f t="shared" si="24"/>
        <v>88.887758303767001</v>
      </c>
      <c r="AI106" s="118">
        <f t="shared" si="25"/>
        <v>86.320769290969963</v>
      </c>
      <c r="AJ106" s="118">
        <f t="shared" si="26"/>
        <v>39.38879816968727</v>
      </c>
      <c r="AK106" s="118">
        <f t="shared" si="49"/>
        <v>324.27229472653477</v>
      </c>
      <c r="AL106" s="910">
        <f t="shared" si="27"/>
        <v>0</v>
      </c>
      <c r="AM106" s="805">
        <f t="shared" si="50"/>
        <v>0.33821874623794668</v>
      </c>
      <c r="AN106" s="510">
        <f t="shared" si="51"/>
        <v>0.274114562820508</v>
      </c>
      <c r="AO106" s="510">
        <f t="shared" si="52"/>
        <v>0.26619841008546835</v>
      </c>
      <c r="AP106" s="510">
        <f t="shared" si="53"/>
        <v>0.1214682808560769</v>
      </c>
      <c r="AQ106" s="510">
        <f t="shared" si="54"/>
        <v>0.99999999999999989</v>
      </c>
      <c r="AR106" s="916">
        <f t="shared" si="69"/>
        <v>15.658658245742778</v>
      </c>
      <c r="AS106" s="917">
        <f t="shared" si="70"/>
        <v>25.361690362618212</v>
      </c>
      <c r="AT106" s="917">
        <f t="shared" si="71"/>
        <v>8.8907586053400109</v>
      </c>
      <c r="AU106" s="917">
        <f t="shared" si="72"/>
        <v>0</v>
      </c>
      <c r="AV106" s="917">
        <f t="shared" si="73"/>
        <v>0</v>
      </c>
      <c r="AW106" s="917">
        <f t="shared" si="74"/>
        <v>0</v>
      </c>
      <c r="AX106" s="1338">
        <f t="shared" si="75"/>
        <v>37.842072336436388</v>
      </c>
      <c r="AY106" s="917">
        <f t="shared" si="76"/>
        <v>5.4711008615996635</v>
      </c>
      <c r="AZ106" s="917">
        <f t="shared" si="77"/>
        <v>7.9522168606970789</v>
      </c>
      <c r="BA106" s="917">
        <f t="shared" si="78"/>
        <v>6.9906298892562502</v>
      </c>
      <c r="BB106" s="917">
        <f t="shared" si="79"/>
        <v>1.5078418004200822</v>
      </c>
      <c r="BC106" s="673">
        <f t="shared" si="55"/>
        <v>109.67496896211047</v>
      </c>
      <c r="BD106" s="922">
        <f t="shared" si="56"/>
        <v>0</v>
      </c>
      <c r="BE106" s="840">
        <f t="shared" si="57"/>
        <v>0.14277330911442876</v>
      </c>
      <c r="BF106" s="535">
        <f t="shared" si="58"/>
        <v>0.23124410795484193</v>
      </c>
      <c r="BG106" s="535">
        <f t="shared" si="59"/>
        <v>8.1064610179297253E-2</v>
      </c>
      <c r="BH106" s="535">
        <f t="shared" si="60"/>
        <v>0</v>
      </c>
      <c r="BI106" s="535">
        <f t="shared" si="61"/>
        <v>0</v>
      </c>
      <c r="BJ106" s="535">
        <f t="shared" si="62"/>
        <v>0</v>
      </c>
      <c r="BK106" s="535">
        <f t="shared" si="63"/>
        <v>0.54491797275143194</v>
      </c>
      <c r="BL106" s="1342">
        <f t="shared" si="64"/>
        <v>0.99999999999999989</v>
      </c>
      <c r="BM106" s="1237">
        <f t="shared" si="80"/>
        <v>0.19892488097366726</v>
      </c>
      <c r="BN106" s="713">
        <f t="shared" si="81"/>
        <v>0.26585903447659598</v>
      </c>
      <c r="BO106" s="713">
        <f t="shared" si="82"/>
        <v>8.9228108703258049E-2</v>
      </c>
      <c r="BP106" s="713">
        <f t="shared" si="83"/>
        <v>0</v>
      </c>
      <c r="BQ106" s="713">
        <f t="shared" si="84"/>
        <v>0</v>
      </c>
      <c r="BR106" s="713">
        <f t="shared" si="85"/>
        <v>0</v>
      </c>
      <c r="BS106" s="713">
        <f t="shared" si="86"/>
        <v>0.4459879758464787</v>
      </c>
      <c r="BT106" s="658">
        <f t="shared" si="87"/>
        <v>1</v>
      </c>
      <c r="BV106" s="671">
        <f t="shared" si="28"/>
        <v>78.272028369031432</v>
      </c>
      <c r="BW106" s="713">
        <f t="shared" si="66"/>
        <v>0.47898441413281045</v>
      </c>
      <c r="BX106" s="1338">
        <f t="shared" si="29"/>
        <v>46.747958489740554</v>
      </c>
      <c r="BY106" s="671">
        <f t="shared" si="30"/>
        <v>77.731597100803057</v>
      </c>
      <c r="BZ106" s="713">
        <f t="shared" si="67"/>
        <v>0.46877272754087307</v>
      </c>
      <c r="CA106" s="1338">
        <f t="shared" si="31"/>
        <v>48.694518386230293</v>
      </c>
      <c r="CB106" s="713">
        <f t="shared" si="32"/>
        <v>0.23568118740282154</v>
      </c>
      <c r="CC106" s="713">
        <f t="shared" si="33"/>
        <v>0.73757740436590691</v>
      </c>
      <c r="CD106" s="713">
        <f t="shared" si="34"/>
        <v>0.23568118740282154</v>
      </c>
      <c r="CE106" s="1001">
        <f t="shared" si="35"/>
        <v>0.79943085653917401</v>
      </c>
    </row>
    <row r="107" spans="1:83">
      <c r="A107" s="127">
        <f>'Input data'!A127</f>
        <v>2029</v>
      </c>
      <c r="B107" s="828">
        <f>'Input data'!B127</f>
        <v>65.313000000000002</v>
      </c>
      <c r="C107" s="238">
        <f>'Input data'!C127</f>
        <v>3576.08</v>
      </c>
      <c r="D107" s="239">
        <f>'Input data'!D127</f>
        <v>46861564.337357998</v>
      </c>
      <c r="E107" s="805">
        <f t="shared" si="36"/>
        <v>0.81850909090909074</v>
      </c>
      <c r="F107" s="510">
        <f t="shared" si="37"/>
        <v>0.31783636363636358</v>
      </c>
      <c r="G107" s="672">
        <f>B107*F107*'Input data'!$C$9</f>
        <v>635.36730573331556</v>
      </c>
      <c r="H107" s="654">
        <f>'Input data'!I127</f>
        <v>424.26313389388866</v>
      </c>
      <c r="I107" s="673">
        <f>'Input data'!K127</f>
        <v>27709.898064011551</v>
      </c>
      <c r="J107" s="673">
        <f t="shared" si="68"/>
        <v>103.98037195882353</v>
      </c>
      <c r="K107" s="674">
        <f t="shared" si="13"/>
        <v>93.182533214744382</v>
      </c>
      <c r="L107" s="510">
        <f>($L$108-$L$95)/($A$108-$A$95)*L106+L106</f>
        <v>0.57999999999999996</v>
      </c>
      <c r="M107" s="510">
        <f>($L$108-$L$95)/($A$108-$A$95)*M106+M106</f>
        <v>0.437</v>
      </c>
      <c r="N107" s="510">
        <f>($N$108-$N$95)/($A$108-$A$95)*N106+N106</f>
        <v>0.71200000000000008</v>
      </c>
      <c r="O107" s="510">
        <f>($L$108-$L$95)/($A$108-$A$95)*O106+O106</f>
        <v>0.8</v>
      </c>
      <c r="P107" s="510">
        <f t="shared" si="42"/>
        <v>0.23600000000000002</v>
      </c>
      <c r="Q107" s="654">
        <f t="shared" si="43"/>
        <v>21.956594277323916</v>
      </c>
      <c r="R107" s="673">
        <f t="shared" si="14"/>
        <v>8.498893173320921</v>
      </c>
      <c r="S107" s="673">
        <f t="shared" si="15"/>
        <v>35.157920176424213</v>
      </c>
      <c r="T107" s="673">
        <f t="shared" si="16"/>
        <v>50.006188746360976</v>
      </c>
      <c r="U107" s="673">
        <f t="shared" si="17"/>
        <v>0.67710709475193609</v>
      </c>
      <c r="V107" s="1422">
        <f t="shared" si="18"/>
        <v>116.29670346818196</v>
      </c>
      <c r="W107" s="805">
        <f t="shared" ref="W107:W128" si="88">W106</f>
        <v>0.5</v>
      </c>
      <c r="X107" s="671">
        <f t="shared" si="19"/>
        <v>53.669159952994768</v>
      </c>
      <c r="Y107" s="671">
        <f t="shared" si="20"/>
        <v>53.669159952994768</v>
      </c>
      <c r="Z107" s="672">
        <f t="shared" si="21"/>
        <v>143.49374522057315</v>
      </c>
      <c r="AA107" s="673">
        <f t="shared" si="22"/>
        <v>39.513373261749614</v>
      </c>
      <c r="AB107" s="893">
        <f t="shared" si="23"/>
        <v>0.27536651999019995</v>
      </c>
      <c r="AC107" s="135" t="str">
        <f t="shared" si="44"/>
        <v>Policies met</v>
      </c>
      <c r="AD107" s="1353">
        <f t="shared" si="45"/>
        <v>0.27536651999019995</v>
      </c>
      <c r="AE107" s="135" t="str">
        <f t="shared" si="46"/>
        <v>No</v>
      </c>
      <c r="AF107" s="1420">
        <f t="shared" si="47"/>
        <v>307.43527115339225</v>
      </c>
      <c r="AG107" s="118">
        <f t="shared" si="48"/>
        <v>103.98037195882353</v>
      </c>
      <c r="AH107" s="118">
        <f t="shared" si="24"/>
        <v>84.272484947816466</v>
      </c>
      <c r="AI107" s="118">
        <f t="shared" si="25"/>
        <v>81.838780385227892</v>
      </c>
      <c r="AJ107" s="118">
        <f t="shared" si="26"/>
        <v>37.34363386152441</v>
      </c>
      <c r="AK107" s="118">
        <f t="shared" si="49"/>
        <v>307.43527115339225</v>
      </c>
      <c r="AL107" s="910">
        <f t="shared" si="27"/>
        <v>0</v>
      </c>
      <c r="AM107" s="805">
        <f t="shared" si="50"/>
        <v>0.33821874623794673</v>
      </c>
      <c r="AN107" s="510">
        <f t="shared" si="51"/>
        <v>0.27411456282050806</v>
      </c>
      <c r="AO107" s="510">
        <f t="shared" si="52"/>
        <v>0.26619841008546841</v>
      </c>
      <c r="AP107" s="510">
        <f t="shared" si="53"/>
        <v>0.12146828085607692</v>
      </c>
      <c r="AQ107" s="510">
        <f t="shared" si="54"/>
        <v>1.0000000000000002</v>
      </c>
      <c r="AR107" s="916">
        <f t="shared" si="69"/>
        <v>14.845621787510385</v>
      </c>
      <c r="AS107" s="917">
        <f t="shared" si="70"/>
        <v>24.044848358430794</v>
      </c>
      <c r="AT107" s="917">
        <f t="shared" si="71"/>
        <v>8.4291283191403572</v>
      </c>
      <c r="AU107" s="917">
        <f t="shared" si="72"/>
        <v>0</v>
      </c>
      <c r="AV107" s="917">
        <f t="shared" si="73"/>
        <v>0</v>
      </c>
      <c r="AW107" s="917">
        <f t="shared" si="74"/>
        <v>0</v>
      </c>
      <c r="AX107" s="1338">
        <f t="shared" si="75"/>
        <v>35.877217878171734</v>
      </c>
      <c r="AY107" s="917">
        <f t="shared" si="76"/>
        <v>5.1870277055643088</v>
      </c>
      <c r="AZ107" s="917">
        <f t="shared" si="77"/>
        <v>7.5393179947757361</v>
      </c>
      <c r="BA107" s="917">
        <f t="shared" si="78"/>
        <v>6.6276590090711833</v>
      </c>
      <c r="BB107" s="917">
        <f t="shared" si="79"/>
        <v>1.4295509061589726</v>
      </c>
      <c r="BC107" s="673">
        <f t="shared" si="55"/>
        <v>103.98037195882347</v>
      </c>
      <c r="BD107" s="922">
        <f t="shared" si="56"/>
        <v>0</v>
      </c>
      <c r="BE107" s="840">
        <f t="shared" si="57"/>
        <v>0.14277330911442879</v>
      </c>
      <c r="BF107" s="535">
        <f t="shared" si="58"/>
        <v>0.23124410795484193</v>
      </c>
      <c r="BG107" s="535">
        <f t="shared" si="59"/>
        <v>8.1064610179297267E-2</v>
      </c>
      <c r="BH107" s="535">
        <f t="shared" si="60"/>
        <v>0</v>
      </c>
      <c r="BI107" s="535">
        <f t="shared" si="61"/>
        <v>0</v>
      </c>
      <c r="BJ107" s="535">
        <f t="shared" si="62"/>
        <v>0</v>
      </c>
      <c r="BK107" s="535">
        <f t="shared" si="63"/>
        <v>0.54491797275143206</v>
      </c>
      <c r="BL107" s="1342">
        <f t="shared" si="64"/>
        <v>1</v>
      </c>
      <c r="BM107" s="1237">
        <f t="shared" si="80"/>
        <v>0.19892488097366726</v>
      </c>
      <c r="BN107" s="713">
        <f t="shared" si="81"/>
        <v>0.26585903447659598</v>
      </c>
      <c r="BO107" s="713">
        <f t="shared" si="82"/>
        <v>8.9228108703258049E-2</v>
      </c>
      <c r="BP107" s="713">
        <f t="shared" si="83"/>
        <v>0</v>
      </c>
      <c r="BQ107" s="713">
        <f t="shared" si="84"/>
        <v>0</v>
      </c>
      <c r="BR107" s="713">
        <f t="shared" si="85"/>
        <v>0</v>
      </c>
      <c r="BS107" s="713">
        <f t="shared" si="86"/>
        <v>0.4459879758464787</v>
      </c>
      <c r="BT107" s="658">
        <f t="shared" si="87"/>
        <v>1</v>
      </c>
      <c r="BV107" s="671">
        <f t="shared" si="28"/>
        <v>76.384050225413262</v>
      </c>
      <c r="BW107" s="713">
        <f t="shared" si="66"/>
        <v>0.49040050734563062</v>
      </c>
      <c r="BX107" s="1338">
        <f t="shared" si="29"/>
        <v>46.861564337357997</v>
      </c>
      <c r="BY107" s="671">
        <f t="shared" si="30"/>
        <v>75.919657545461945</v>
      </c>
      <c r="BZ107" s="713">
        <f t="shared" si="67"/>
        <v>0.4813393082633019</v>
      </c>
      <c r="CA107" s="1338">
        <f t="shared" si="31"/>
        <v>48.694518386230293</v>
      </c>
      <c r="CB107" s="713">
        <f t="shared" si="32"/>
        <v>0.27536651999019995</v>
      </c>
      <c r="CC107" s="713">
        <f t="shared" si="33"/>
        <v>0.77047860710346061</v>
      </c>
      <c r="CD107" s="713">
        <f t="shared" si="34"/>
        <v>0.27536651999019995</v>
      </c>
      <c r="CE107" s="1001">
        <f t="shared" si="35"/>
        <v>0.82631807744251118</v>
      </c>
    </row>
    <row r="108" spans="1:83" s="1" customFormat="1">
      <c r="A108" s="157">
        <f>'Input data'!A128</f>
        <v>2030</v>
      </c>
      <c r="B108" s="829">
        <f>'Input data'!B128</f>
        <v>65.956000000000003</v>
      </c>
      <c r="C108" s="662">
        <f>'Input data'!C128</f>
        <v>3660.12</v>
      </c>
      <c r="D108" s="830">
        <f>'Input data'!D128</f>
        <v>46973474.5753095</v>
      </c>
      <c r="E108" s="804">
        <f t="shared" si="36"/>
        <v>0.82715151515151497</v>
      </c>
      <c r="F108" s="498">
        <f t="shared" si="37"/>
        <v>0.32018939393939388</v>
      </c>
      <c r="G108" s="850">
        <f>B108*F108*'Input data'!$C$9</f>
        <v>646.37254169696007</v>
      </c>
      <c r="H108" s="809">
        <f>'Input data'!I128</f>
        <v>424.26313389388866</v>
      </c>
      <c r="I108" s="815">
        <f>'Input data'!K128</f>
        <v>27982.69925910532</v>
      </c>
      <c r="J108" s="673">
        <f>J95*(1-$C$4)</f>
        <v>98.581452586783954</v>
      </c>
      <c r="K108" s="674">
        <f t="shared" si="13"/>
        <v>98.581452586783954</v>
      </c>
      <c r="L108" s="498">
        <f>C18</f>
        <v>0.57999999999999996</v>
      </c>
      <c r="M108" s="498">
        <f>D18</f>
        <v>0.437</v>
      </c>
      <c r="N108" s="498">
        <f>E18</f>
        <v>0.71200000000000008</v>
      </c>
      <c r="O108" s="498">
        <f>F18</f>
        <v>0.8</v>
      </c>
      <c r="P108" s="498">
        <f>G18</f>
        <v>0.23600000000000002</v>
      </c>
      <c r="Q108" s="654">
        <f t="shared" si="43"/>
        <v>21.956594277323916</v>
      </c>
      <c r="R108" s="673">
        <f t="shared" si="14"/>
        <v>8.498893173320921</v>
      </c>
      <c r="S108" s="673">
        <f t="shared" si="15"/>
        <v>35.157920176424213</v>
      </c>
      <c r="T108" s="673">
        <f t="shared" si="16"/>
        <v>50.006188746360976</v>
      </c>
      <c r="U108" s="673">
        <f t="shared" si="17"/>
        <v>0.67710709475193609</v>
      </c>
      <c r="V108" s="1422">
        <f t="shared" si="18"/>
        <v>116.29670346818196</v>
      </c>
      <c r="W108" s="805">
        <f t="shared" si="88"/>
        <v>0.5</v>
      </c>
      <c r="X108" s="671">
        <f t="shared" si="19"/>
        <v>53.669159952994768</v>
      </c>
      <c r="Y108" s="671">
        <f t="shared" si="20"/>
        <v>53.669159952994768</v>
      </c>
      <c r="Z108" s="672">
        <f t="shared" si="21"/>
        <v>143.49374522057315</v>
      </c>
      <c r="AA108" s="673">
        <f t="shared" si="22"/>
        <v>44.912292633789185</v>
      </c>
      <c r="AB108" s="893">
        <f t="shared" si="23"/>
        <v>0.31299129146536464</v>
      </c>
      <c r="AC108" s="135" t="str">
        <f t="shared" si="44"/>
        <v>Policies met</v>
      </c>
      <c r="AD108" s="1353">
        <f t="shared" si="45"/>
        <v>0.31299129146536464</v>
      </c>
      <c r="AE108" s="135" t="str">
        <f t="shared" si="46"/>
        <v>No</v>
      </c>
      <c r="AF108" s="1420">
        <f t="shared" si="47"/>
        <v>291.47246769529755</v>
      </c>
      <c r="AG108" s="118">
        <f t="shared" si="48"/>
        <v>98.581452586783968</v>
      </c>
      <c r="AH108" s="118">
        <f t="shared" si="24"/>
        <v>79.896848056511132</v>
      </c>
      <c r="AI108" s="118">
        <f t="shared" si="25"/>
        <v>77.589507484176252</v>
      </c>
      <c r="AJ108" s="118">
        <f t="shared" si="26"/>
        <v>35.404659567826208</v>
      </c>
      <c r="AK108" s="118">
        <f t="shared" si="49"/>
        <v>291.47246769529755</v>
      </c>
      <c r="AL108" s="910">
        <f t="shared" si="27"/>
        <v>0</v>
      </c>
      <c r="AM108" s="805">
        <f t="shared" si="50"/>
        <v>0.33821874623794673</v>
      </c>
      <c r="AN108" s="510">
        <f t="shared" si="51"/>
        <v>0.274114562820508</v>
      </c>
      <c r="AO108" s="510">
        <f t="shared" si="52"/>
        <v>0.26619841008546835</v>
      </c>
      <c r="AP108" s="510">
        <f t="shared" si="53"/>
        <v>0.12146828085607692</v>
      </c>
      <c r="AQ108" s="510">
        <f t="shared" si="54"/>
        <v>1</v>
      </c>
      <c r="AR108" s="916">
        <f t="shared" si="69"/>
        <v>14.074800203122303</v>
      </c>
      <c r="AS108" s="917">
        <f t="shared" si="70"/>
        <v>22.79638006432339</v>
      </c>
      <c r="AT108" s="917">
        <f t="shared" si="71"/>
        <v>7.9914670248565134</v>
      </c>
      <c r="AU108" s="917">
        <f t="shared" si="72"/>
        <v>0</v>
      </c>
      <c r="AV108" s="917">
        <f t="shared" si="73"/>
        <v>0</v>
      </c>
      <c r="AW108" s="917">
        <f t="shared" si="74"/>
        <v>0</v>
      </c>
      <c r="AX108" s="1338">
        <f t="shared" si="75"/>
        <v>34.014383547341964</v>
      </c>
      <c r="AY108" s="917">
        <f t="shared" si="76"/>
        <v>4.9177043338998292</v>
      </c>
      <c r="AZ108" s="917">
        <f t="shared" si="77"/>
        <v>7.1478578642995716</v>
      </c>
      <c r="BA108" s="917">
        <f t="shared" si="78"/>
        <v>6.2835344792078285</v>
      </c>
      <c r="BB108" s="917">
        <f t="shared" si="79"/>
        <v>1.3553250697325099</v>
      </c>
      <c r="BC108" s="673">
        <f t="shared" si="55"/>
        <v>98.581452586783911</v>
      </c>
      <c r="BD108" s="922">
        <f t="shared" si="56"/>
        <v>0</v>
      </c>
      <c r="BE108" s="840">
        <f t="shared" si="57"/>
        <v>0.14277330911442876</v>
      </c>
      <c r="BF108" s="535">
        <f t="shared" si="58"/>
        <v>0.23124410795484193</v>
      </c>
      <c r="BG108" s="535">
        <f t="shared" si="59"/>
        <v>8.1064610179297267E-2</v>
      </c>
      <c r="BH108" s="535">
        <f t="shared" si="60"/>
        <v>0</v>
      </c>
      <c r="BI108" s="535">
        <f t="shared" si="61"/>
        <v>0</v>
      </c>
      <c r="BJ108" s="535">
        <f t="shared" si="62"/>
        <v>0</v>
      </c>
      <c r="BK108" s="535">
        <f t="shared" si="63"/>
        <v>0.54491797275143206</v>
      </c>
      <c r="BL108" s="1342">
        <f t="shared" si="64"/>
        <v>1</v>
      </c>
      <c r="BM108" s="1237">
        <f t="shared" si="80"/>
        <v>0.19892488097366726</v>
      </c>
      <c r="BN108" s="713">
        <f t="shared" si="81"/>
        <v>0.26585903447659598</v>
      </c>
      <c r="BO108" s="713">
        <f t="shared" si="82"/>
        <v>8.9228108703258049E-2</v>
      </c>
      <c r="BP108" s="713">
        <f t="shared" si="83"/>
        <v>0</v>
      </c>
      <c r="BQ108" s="713">
        <f t="shared" si="84"/>
        <v>0</v>
      </c>
      <c r="BR108" s="713">
        <f t="shared" si="85"/>
        <v>0</v>
      </c>
      <c r="BS108" s="713">
        <f t="shared" si="86"/>
        <v>0.4459879758464787</v>
      </c>
      <c r="BT108" s="658">
        <f t="shared" si="87"/>
        <v>1</v>
      </c>
      <c r="BV108" s="671">
        <f t="shared" si="28"/>
        <v>74.728178546899031</v>
      </c>
      <c r="BW108" s="713">
        <f t="shared" si="66"/>
        <v>0.50529375985273739</v>
      </c>
      <c r="BX108" s="1338">
        <f t="shared" si="29"/>
        <v>46.973474575309503</v>
      </c>
      <c r="BY108" s="671">
        <f t="shared" si="30"/>
        <v>74.337884721449896</v>
      </c>
      <c r="BZ108" s="713">
        <f t="shared" si="67"/>
        <v>0.49743184121131157</v>
      </c>
      <c r="CA108" s="1338">
        <f t="shared" si="31"/>
        <v>48.694518386230293</v>
      </c>
      <c r="CB108" s="713">
        <f t="shared" si="32"/>
        <v>0.31299129146536464</v>
      </c>
      <c r="CC108" s="713">
        <f t="shared" si="33"/>
        <v>0.79742153000227645</v>
      </c>
      <c r="CD108" s="713">
        <f t="shared" si="34"/>
        <v>0.31299129146536464</v>
      </c>
      <c r="CE108" s="1001">
        <f t="shared" si="35"/>
        <v>0.84756153058672967</v>
      </c>
    </row>
    <row r="109" spans="1:83">
      <c r="A109" s="127">
        <f>'Input data'!A129</f>
        <v>2031</v>
      </c>
      <c r="B109" s="828">
        <f>'Input data'!B129</f>
        <v>66.519000000000005</v>
      </c>
      <c r="C109" s="238">
        <f>'Input data'!C129</f>
        <v>3761.03</v>
      </c>
      <c r="D109" s="239">
        <f>'Input data'!D129</f>
        <v>45096434.675122961</v>
      </c>
      <c r="E109" s="805">
        <f t="shared" si="36"/>
        <v>0.8357939393939392</v>
      </c>
      <c r="F109" s="510">
        <f t="shared" si="37"/>
        <v>0.32254242424242419</v>
      </c>
      <c r="G109" s="672">
        <f>B109*F109*'Input data'!$C$9</f>
        <v>656.68062845237228</v>
      </c>
      <c r="H109" s="654">
        <f>'Input data'!I129</f>
        <v>424.26313389388866</v>
      </c>
      <c r="I109" s="673">
        <f>'Input data'!K129</f>
        <v>28221.559403487583</v>
      </c>
      <c r="J109" s="673">
        <f t="shared" ref="J109:J114" si="89">($J$115-$J$105)/($A$115-$A$105)+J108</f>
        <v>93.914010597817665</v>
      </c>
      <c r="K109" s="674">
        <f t="shared" si="13"/>
        <v>103.24889457575024</v>
      </c>
      <c r="L109" s="510">
        <f>L108</f>
        <v>0.57999999999999996</v>
      </c>
      <c r="M109" s="510">
        <f t="shared" ref="M109:P109" si="90">M108</f>
        <v>0.437</v>
      </c>
      <c r="N109" s="510">
        <f t="shared" si="90"/>
        <v>0.71200000000000008</v>
      </c>
      <c r="O109" s="510">
        <f t="shared" si="90"/>
        <v>0.8</v>
      </c>
      <c r="P109" s="510">
        <f t="shared" si="90"/>
        <v>0.23600000000000002</v>
      </c>
      <c r="Q109" s="654">
        <f t="shared" si="43"/>
        <v>21.956594277323916</v>
      </c>
      <c r="R109" s="673">
        <f t="shared" si="14"/>
        <v>8.498893173320921</v>
      </c>
      <c r="S109" s="673">
        <f t="shared" si="15"/>
        <v>35.157920176424213</v>
      </c>
      <c r="T109" s="673">
        <f t="shared" si="16"/>
        <v>50.006188746360976</v>
      </c>
      <c r="U109" s="673">
        <f t="shared" si="17"/>
        <v>0.67710709475193609</v>
      </c>
      <c r="V109" s="1422">
        <f t="shared" si="18"/>
        <v>116.29670346818196</v>
      </c>
      <c r="W109" s="805">
        <f t="shared" si="88"/>
        <v>0.5</v>
      </c>
      <c r="X109" s="671">
        <f t="shared" si="19"/>
        <v>53.669159952994768</v>
      </c>
      <c r="Y109" s="671">
        <f t="shared" si="20"/>
        <v>53.669159952994768</v>
      </c>
      <c r="Z109" s="672">
        <f t="shared" si="21"/>
        <v>143.49374522057315</v>
      </c>
      <c r="AA109" s="673">
        <f t="shared" si="22"/>
        <v>49.579734622755474</v>
      </c>
      <c r="AB109" s="893">
        <f t="shared" si="23"/>
        <v>0.34551843738236382</v>
      </c>
      <c r="AC109" s="135" t="str">
        <f t="shared" si="44"/>
        <v>Policies met</v>
      </c>
      <c r="AD109" s="1353">
        <f t="shared" si="45"/>
        <v>0.34551843738236382</v>
      </c>
      <c r="AE109" s="135" t="str">
        <f t="shared" si="46"/>
        <v>No</v>
      </c>
      <c r="AF109" s="1420">
        <f t="shared" si="47"/>
        <v>277.67239883192764</v>
      </c>
      <c r="AG109" s="118">
        <f t="shared" si="48"/>
        <v>93.914010597817679</v>
      </c>
      <c r="AH109" s="118">
        <f t="shared" si="24"/>
        <v>76.11404821313559</v>
      </c>
      <c r="AI109" s="118">
        <f t="shared" si="25"/>
        <v>73.915951093677208</v>
      </c>
      <c r="AJ109" s="118">
        <f t="shared" si="26"/>
        <v>33.728388927297189</v>
      </c>
      <c r="AK109" s="118">
        <f t="shared" si="49"/>
        <v>277.67239883192769</v>
      </c>
      <c r="AL109" s="910">
        <f t="shared" si="27"/>
        <v>0</v>
      </c>
      <c r="AM109" s="805">
        <f t="shared" si="50"/>
        <v>0.33821874623794668</v>
      </c>
      <c r="AN109" s="510">
        <f t="shared" si="51"/>
        <v>0.274114562820508</v>
      </c>
      <c r="AO109" s="510">
        <f t="shared" si="52"/>
        <v>0.26619841008546835</v>
      </c>
      <c r="AP109" s="510">
        <f t="shared" si="53"/>
        <v>0.12146828085607689</v>
      </c>
      <c r="AQ109" s="510">
        <f t="shared" si="54"/>
        <v>0.99999999999999989</v>
      </c>
      <c r="AR109" s="916">
        <f t="shared" si="69"/>
        <v>13.408414065257954</v>
      </c>
      <c r="AS109" s="917">
        <f t="shared" si="70"/>
        <v>21.717061605153908</v>
      </c>
      <c r="AT109" s="917">
        <f t="shared" si="71"/>
        <v>7.6131026594864766</v>
      </c>
      <c r="AU109" s="917">
        <f t="shared" si="72"/>
        <v>0</v>
      </c>
      <c r="AV109" s="917">
        <f t="shared" si="73"/>
        <v>0</v>
      </c>
      <c r="AW109" s="917">
        <f t="shared" si="74"/>
        <v>0</v>
      </c>
      <c r="AX109" s="1338">
        <f t="shared" si="75"/>
        <v>32.403936979232135</v>
      </c>
      <c r="AY109" s="917">
        <f t="shared" si="76"/>
        <v>4.6848704782903337</v>
      </c>
      <c r="AZ109" s="917">
        <f t="shared" si="77"/>
        <v>6.809435057051676</v>
      </c>
      <c r="BA109" s="917">
        <f t="shared" si="78"/>
        <v>5.986033966709762</v>
      </c>
      <c r="BB109" s="917">
        <f t="shared" si="79"/>
        <v>1.2911557866353744</v>
      </c>
      <c r="BC109" s="673">
        <f t="shared" si="55"/>
        <v>93.914010597817608</v>
      </c>
      <c r="BD109" s="922">
        <f t="shared" si="56"/>
        <v>0</v>
      </c>
      <c r="BE109" s="840">
        <f t="shared" si="57"/>
        <v>0.14277330911442879</v>
      </c>
      <c r="BF109" s="535">
        <f t="shared" si="58"/>
        <v>0.23124410795484199</v>
      </c>
      <c r="BG109" s="535">
        <f t="shared" si="59"/>
        <v>8.1064610179297267E-2</v>
      </c>
      <c r="BH109" s="535">
        <f t="shared" si="60"/>
        <v>0</v>
      </c>
      <c r="BI109" s="535">
        <f t="shared" si="61"/>
        <v>0</v>
      </c>
      <c r="BJ109" s="535">
        <f t="shared" si="62"/>
        <v>0</v>
      </c>
      <c r="BK109" s="535">
        <f t="shared" si="63"/>
        <v>0.54491797275143217</v>
      </c>
      <c r="BL109" s="1342">
        <f t="shared" si="64"/>
        <v>1.0000000000000002</v>
      </c>
      <c r="BM109" s="1237">
        <f t="shared" si="80"/>
        <v>0.19892488097366726</v>
      </c>
      <c r="BN109" s="713">
        <f t="shared" si="81"/>
        <v>0.26585903447659598</v>
      </c>
      <c r="BO109" s="713">
        <f t="shared" si="82"/>
        <v>8.9228108703258049E-2</v>
      </c>
      <c r="BP109" s="713">
        <f t="shared" si="83"/>
        <v>0</v>
      </c>
      <c r="BQ109" s="713">
        <f t="shared" si="84"/>
        <v>0</v>
      </c>
      <c r="BR109" s="713">
        <f t="shared" si="85"/>
        <v>0</v>
      </c>
      <c r="BS109" s="713">
        <f t="shared" si="86"/>
        <v>0.4459879758464787</v>
      </c>
      <c r="BT109" s="658">
        <f t="shared" si="87"/>
        <v>1</v>
      </c>
      <c r="BV109" s="671">
        <f t="shared" si="28"/>
        <v>73.841965599666878</v>
      </c>
      <c r="BW109" s="713">
        <f t="shared" si="66"/>
        <v>0.50621894254080169</v>
      </c>
      <c r="BX109" s="1338">
        <f t="shared" si="29"/>
        <v>45.096434675122964</v>
      </c>
      <c r="BY109" s="671">
        <f t="shared" si="30"/>
        <v>73.65547779051721</v>
      </c>
      <c r="BZ109" s="713">
        <f t="shared" si="67"/>
        <v>0.48993951424004017</v>
      </c>
      <c r="CA109" s="1338">
        <f t="shared" si="31"/>
        <v>48.694518386230293</v>
      </c>
      <c r="CB109" s="713">
        <f t="shared" si="32"/>
        <v>0.34551843738236382</v>
      </c>
      <c r="CC109" s="713">
        <f t="shared" si="33"/>
        <v>0.76253548568931517</v>
      </c>
      <c r="CD109" s="713">
        <f t="shared" si="34"/>
        <v>0.34551843738236382</v>
      </c>
      <c r="CE109" s="1001">
        <f t="shared" si="35"/>
        <v>0.85</v>
      </c>
    </row>
    <row r="110" spans="1:83">
      <c r="A110" s="127">
        <f>'Input data'!A130</f>
        <v>2032</v>
      </c>
      <c r="B110" s="828">
        <f>'Input data'!B130</f>
        <v>67.087000000000003</v>
      </c>
      <c r="C110" s="238">
        <f>'Input data'!C130</f>
        <v>3857.2</v>
      </c>
      <c r="D110" s="239">
        <f>'Input data'!D130</f>
        <v>43216003.555604555</v>
      </c>
      <c r="E110" s="805">
        <f t="shared" si="36"/>
        <v>0.84443636363636343</v>
      </c>
      <c r="F110" s="510">
        <f t="shared" si="37"/>
        <v>0.32489545454545449</v>
      </c>
      <c r="G110" s="672">
        <f>B110*F110*'Input data'!$C$9</f>
        <v>667.11952946746214</v>
      </c>
      <c r="H110" s="654">
        <f>'Input data'!I130</f>
        <v>424.26313389388866</v>
      </c>
      <c r="I110" s="673">
        <f>'Input data'!K130</f>
        <v>28462.540863539311</v>
      </c>
      <c r="J110" s="673">
        <f t="shared" si="89"/>
        <v>89.246568608851376</v>
      </c>
      <c r="K110" s="674">
        <f t="shared" si="13"/>
        <v>107.91633656471653</v>
      </c>
      <c r="L110" s="510">
        <f t="shared" ref="L110:L128" si="91">L109</f>
        <v>0.57999999999999996</v>
      </c>
      <c r="M110" s="510">
        <f t="shared" ref="M110:M128" si="92">M109</f>
        <v>0.437</v>
      </c>
      <c r="N110" s="510">
        <f t="shared" ref="N110:N128" si="93">N109</f>
        <v>0.71200000000000008</v>
      </c>
      <c r="O110" s="510">
        <f t="shared" ref="O110:P128" si="94">O109</f>
        <v>0.8</v>
      </c>
      <c r="P110" s="510">
        <f t="shared" si="94"/>
        <v>0.23600000000000002</v>
      </c>
      <c r="Q110" s="654">
        <f t="shared" si="43"/>
        <v>21.956594277323916</v>
      </c>
      <c r="R110" s="673">
        <f t="shared" si="14"/>
        <v>8.498893173320921</v>
      </c>
      <c r="S110" s="673">
        <f t="shared" si="15"/>
        <v>35.157920176424213</v>
      </c>
      <c r="T110" s="673">
        <f t="shared" si="16"/>
        <v>50.006188746360976</v>
      </c>
      <c r="U110" s="673">
        <f t="shared" si="17"/>
        <v>0.67710709475193609</v>
      </c>
      <c r="V110" s="1422">
        <f t="shared" si="18"/>
        <v>116.29670346818196</v>
      </c>
      <c r="W110" s="805">
        <f t="shared" si="88"/>
        <v>0.5</v>
      </c>
      <c r="X110" s="671">
        <f t="shared" si="19"/>
        <v>53.669159952994768</v>
      </c>
      <c r="Y110" s="671">
        <f t="shared" si="20"/>
        <v>53.669159952994768</v>
      </c>
      <c r="Z110" s="672">
        <f t="shared" si="21"/>
        <v>143.49374522057315</v>
      </c>
      <c r="AA110" s="673">
        <f t="shared" si="22"/>
        <v>54.247176611721763</v>
      </c>
      <c r="AB110" s="893">
        <f t="shared" si="23"/>
        <v>0.37804558329936305</v>
      </c>
      <c r="AC110" s="135" t="str">
        <f t="shared" si="44"/>
        <v>Policies met</v>
      </c>
      <c r="AD110" s="1353">
        <f t="shared" si="45"/>
        <v>0.37804558329936305</v>
      </c>
      <c r="AE110" s="135" t="str">
        <f t="shared" si="46"/>
        <v>No</v>
      </c>
      <c r="AF110" s="1420">
        <f t="shared" si="47"/>
        <v>263.87232996855778</v>
      </c>
      <c r="AG110" s="118">
        <f t="shared" si="48"/>
        <v>89.246568608851391</v>
      </c>
      <c r="AH110" s="118">
        <f t="shared" si="24"/>
        <v>72.331248369760061</v>
      </c>
      <c r="AI110" s="118">
        <f t="shared" si="25"/>
        <v>70.242394703178178</v>
      </c>
      <c r="AJ110" s="118">
        <f t="shared" si="26"/>
        <v>32.052118286768177</v>
      </c>
      <c r="AK110" s="118">
        <f t="shared" si="49"/>
        <v>263.87232996855778</v>
      </c>
      <c r="AL110" s="910">
        <f t="shared" si="27"/>
        <v>0</v>
      </c>
      <c r="AM110" s="805">
        <f t="shared" si="50"/>
        <v>0.33821874623794673</v>
      </c>
      <c r="AN110" s="510">
        <f t="shared" si="51"/>
        <v>0.27411456282050806</v>
      </c>
      <c r="AO110" s="510">
        <f t="shared" si="52"/>
        <v>0.26619841008546841</v>
      </c>
      <c r="AP110" s="510">
        <f t="shared" si="53"/>
        <v>0.12146828085607692</v>
      </c>
      <c r="AQ110" s="510">
        <f t="shared" si="54"/>
        <v>1.0000000000000002</v>
      </c>
      <c r="AR110" s="916">
        <f t="shared" si="69"/>
        <v>12.742027927393607</v>
      </c>
      <c r="AS110" s="917">
        <f t="shared" si="70"/>
        <v>20.63774314598443</v>
      </c>
      <c r="AT110" s="917">
        <f t="shared" si="71"/>
        <v>7.2347382941164415</v>
      </c>
      <c r="AU110" s="917">
        <f t="shared" si="72"/>
        <v>0</v>
      </c>
      <c r="AV110" s="917">
        <f t="shared" si="73"/>
        <v>0</v>
      </c>
      <c r="AW110" s="917">
        <f t="shared" si="74"/>
        <v>0</v>
      </c>
      <c r="AX110" s="1338">
        <f t="shared" si="75"/>
        <v>30.793490411122306</v>
      </c>
      <c r="AY110" s="917">
        <f t="shared" si="76"/>
        <v>4.452036622680839</v>
      </c>
      <c r="AZ110" s="917">
        <f t="shared" si="77"/>
        <v>6.4710122498037812</v>
      </c>
      <c r="BA110" s="917">
        <f t="shared" si="78"/>
        <v>5.6885334542116963</v>
      </c>
      <c r="BB110" s="917">
        <f t="shared" si="79"/>
        <v>1.226986503538239</v>
      </c>
      <c r="BC110" s="673">
        <f t="shared" si="55"/>
        <v>89.246568608851334</v>
      </c>
      <c r="BD110" s="922">
        <f t="shared" si="56"/>
        <v>0</v>
      </c>
      <c r="BE110" s="840">
        <f t="shared" si="57"/>
        <v>0.14277330911442879</v>
      </c>
      <c r="BF110" s="535">
        <f t="shared" si="58"/>
        <v>0.23124410795484199</v>
      </c>
      <c r="BG110" s="535">
        <f t="shared" si="59"/>
        <v>8.1064610179297267E-2</v>
      </c>
      <c r="BH110" s="535">
        <f t="shared" si="60"/>
        <v>0</v>
      </c>
      <c r="BI110" s="535">
        <f t="shared" si="61"/>
        <v>0</v>
      </c>
      <c r="BJ110" s="535">
        <f t="shared" si="62"/>
        <v>0</v>
      </c>
      <c r="BK110" s="535">
        <f t="shared" si="63"/>
        <v>0.54491797275143194</v>
      </c>
      <c r="BL110" s="1342">
        <f t="shared" si="64"/>
        <v>1</v>
      </c>
      <c r="BM110" s="1237">
        <f t="shared" si="80"/>
        <v>0.19892488097366726</v>
      </c>
      <c r="BN110" s="713">
        <f t="shared" si="81"/>
        <v>0.26585903447659598</v>
      </c>
      <c r="BO110" s="713">
        <f t="shared" si="82"/>
        <v>8.9228108703258049E-2</v>
      </c>
      <c r="BP110" s="713">
        <f t="shared" si="83"/>
        <v>0</v>
      </c>
      <c r="BQ110" s="713">
        <f t="shared" si="84"/>
        <v>0</v>
      </c>
      <c r="BR110" s="713">
        <f t="shared" si="85"/>
        <v>0</v>
      </c>
      <c r="BS110" s="713">
        <f t="shared" si="86"/>
        <v>0.4459879758464787</v>
      </c>
      <c r="BT110" s="658">
        <f t="shared" si="87"/>
        <v>1</v>
      </c>
      <c r="BV110" s="671">
        <f t="shared" si="28"/>
        <v>72.820408557070181</v>
      </c>
      <c r="BW110" s="713">
        <f t="shared" si="66"/>
        <v>0.50699616289955629</v>
      </c>
      <c r="BX110" s="1338">
        <f t="shared" si="29"/>
        <v>43.216003555604551</v>
      </c>
      <c r="BY110" s="671">
        <f t="shared" si="30"/>
        <v>73.053352587101003</v>
      </c>
      <c r="BZ110" s="713">
        <f t="shared" si="67"/>
        <v>0.48230377411684699</v>
      </c>
      <c r="CA110" s="1338">
        <f t="shared" si="31"/>
        <v>48.694518386230293</v>
      </c>
      <c r="CB110" s="713">
        <f t="shared" si="32"/>
        <v>0.37804558329936305</v>
      </c>
      <c r="CC110" s="713">
        <f t="shared" si="33"/>
        <v>0.73179317168375246</v>
      </c>
      <c r="CD110" s="713">
        <f t="shared" si="34"/>
        <v>0.37804558329936305</v>
      </c>
      <c r="CE110" s="1001">
        <f t="shared" si="35"/>
        <v>0.85</v>
      </c>
    </row>
    <row r="111" spans="1:83">
      <c r="A111" s="127">
        <f>'Input data'!A131</f>
        <v>2033</v>
      </c>
      <c r="B111" s="828">
        <f>'Input data'!B131</f>
        <v>67.659000000000006</v>
      </c>
      <c r="C111" s="238">
        <f>'Input data'!C131</f>
        <v>3964.01</v>
      </c>
      <c r="D111" s="239">
        <f>'Input data'!D131</f>
        <v>41337268.045752093</v>
      </c>
      <c r="E111" s="805">
        <f t="shared" si="36"/>
        <v>0.85307878787878766</v>
      </c>
      <c r="F111" s="510">
        <f t="shared" si="37"/>
        <v>0.32724848484848479</v>
      </c>
      <c r="G111" s="672">
        <f>B111*F111*'Input data'!$C$9</f>
        <v>677.6803089176409</v>
      </c>
      <c r="H111" s="654">
        <f>'Input data'!I131</f>
        <v>424.26313389388866</v>
      </c>
      <c r="I111" s="673">
        <f>'Input data'!K131</f>
        <v>28705.219376126617</v>
      </c>
      <c r="J111" s="673">
        <f t="shared" si="89"/>
        <v>84.579126619885088</v>
      </c>
      <c r="K111" s="674">
        <f t="shared" si="13"/>
        <v>112.58377855368282</v>
      </c>
      <c r="L111" s="510">
        <f t="shared" si="91"/>
        <v>0.57999999999999996</v>
      </c>
      <c r="M111" s="510">
        <f t="shared" si="92"/>
        <v>0.437</v>
      </c>
      <c r="N111" s="510">
        <f t="shared" si="93"/>
        <v>0.71200000000000008</v>
      </c>
      <c r="O111" s="510">
        <f t="shared" si="94"/>
        <v>0.8</v>
      </c>
      <c r="P111" s="510">
        <f t="shared" si="94"/>
        <v>0.23600000000000002</v>
      </c>
      <c r="Q111" s="654">
        <f t="shared" si="43"/>
        <v>21.956594277323916</v>
      </c>
      <c r="R111" s="673">
        <f t="shared" si="14"/>
        <v>8.498893173320921</v>
      </c>
      <c r="S111" s="673">
        <f t="shared" si="15"/>
        <v>35.157920176424213</v>
      </c>
      <c r="T111" s="673">
        <f t="shared" si="16"/>
        <v>50.006188746360976</v>
      </c>
      <c r="U111" s="673">
        <f t="shared" si="17"/>
        <v>0.67710709475193609</v>
      </c>
      <c r="V111" s="1422">
        <f t="shared" si="18"/>
        <v>116.29670346818196</v>
      </c>
      <c r="W111" s="805">
        <f t="shared" si="88"/>
        <v>0.5</v>
      </c>
      <c r="X111" s="671">
        <f t="shared" si="19"/>
        <v>53.669159952994768</v>
      </c>
      <c r="Y111" s="671">
        <f t="shared" si="20"/>
        <v>53.669159952994768</v>
      </c>
      <c r="Z111" s="672">
        <f t="shared" si="21"/>
        <v>143.49374522057315</v>
      </c>
      <c r="AA111" s="673">
        <f t="shared" si="22"/>
        <v>58.914618600688051</v>
      </c>
      <c r="AB111" s="893">
        <f t="shared" si="23"/>
        <v>0.41057272921636223</v>
      </c>
      <c r="AC111" s="135" t="str">
        <f t="shared" si="44"/>
        <v>Policies met</v>
      </c>
      <c r="AD111" s="1353">
        <f t="shared" si="45"/>
        <v>0.41057272921636223</v>
      </c>
      <c r="AE111" s="135" t="str">
        <f t="shared" si="46"/>
        <v>No</v>
      </c>
      <c r="AF111" s="1420">
        <f t="shared" si="47"/>
        <v>250.07226110518789</v>
      </c>
      <c r="AG111" s="118">
        <f t="shared" si="48"/>
        <v>84.579126619885102</v>
      </c>
      <c r="AH111" s="118">
        <f t="shared" si="24"/>
        <v>68.548448526384519</v>
      </c>
      <c r="AI111" s="118">
        <f t="shared" si="25"/>
        <v>66.568838312679134</v>
      </c>
      <c r="AJ111" s="118">
        <f t="shared" si="26"/>
        <v>30.375847646239162</v>
      </c>
      <c r="AK111" s="118">
        <f t="shared" si="49"/>
        <v>250.07226110518792</v>
      </c>
      <c r="AL111" s="910">
        <f t="shared" si="27"/>
        <v>0</v>
      </c>
      <c r="AM111" s="805">
        <f t="shared" si="50"/>
        <v>0.33821874623794668</v>
      </c>
      <c r="AN111" s="510">
        <f t="shared" si="51"/>
        <v>0.274114562820508</v>
      </c>
      <c r="AO111" s="510">
        <f t="shared" si="52"/>
        <v>0.26619841008546835</v>
      </c>
      <c r="AP111" s="510">
        <f t="shared" si="53"/>
        <v>0.1214682808560769</v>
      </c>
      <c r="AQ111" s="510">
        <f t="shared" si="54"/>
        <v>0.99999999999999989</v>
      </c>
      <c r="AR111" s="916">
        <f t="shared" si="69"/>
        <v>12.075641789529259</v>
      </c>
      <c r="AS111" s="917">
        <f t="shared" si="70"/>
        <v>19.558424686814945</v>
      </c>
      <c r="AT111" s="917">
        <f t="shared" si="71"/>
        <v>6.8563739287464056</v>
      </c>
      <c r="AU111" s="917">
        <f t="shared" si="72"/>
        <v>0</v>
      </c>
      <c r="AV111" s="917">
        <f t="shared" si="73"/>
        <v>0</v>
      </c>
      <c r="AW111" s="917">
        <f t="shared" si="74"/>
        <v>0</v>
      </c>
      <c r="AX111" s="1338">
        <f t="shared" si="75"/>
        <v>29.183043843012477</v>
      </c>
      <c r="AY111" s="917">
        <f t="shared" si="76"/>
        <v>4.2192027670713435</v>
      </c>
      <c r="AZ111" s="917">
        <f t="shared" si="77"/>
        <v>6.1325894425558856</v>
      </c>
      <c r="BA111" s="917">
        <f t="shared" si="78"/>
        <v>5.3910329417136298</v>
      </c>
      <c r="BB111" s="917">
        <f t="shared" si="79"/>
        <v>1.1628172204411034</v>
      </c>
      <c r="BC111" s="673">
        <f t="shared" si="55"/>
        <v>84.579126619885031</v>
      </c>
      <c r="BD111" s="922">
        <f t="shared" si="56"/>
        <v>0</v>
      </c>
      <c r="BE111" s="840">
        <f t="shared" si="57"/>
        <v>0.14277330911442879</v>
      </c>
      <c r="BF111" s="535">
        <f t="shared" si="58"/>
        <v>0.23124410795484199</v>
      </c>
      <c r="BG111" s="535">
        <f t="shared" si="59"/>
        <v>8.1064610179297281E-2</v>
      </c>
      <c r="BH111" s="535">
        <f t="shared" si="60"/>
        <v>0</v>
      </c>
      <c r="BI111" s="535">
        <f t="shared" si="61"/>
        <v>0</v>
      </c>
      <c r="BJ111" s="535">
        <f t="shared" si="62"/>
        <v>0</v>
      </c>
      <c r="BK111" s="535">
        <f t="shared" si="63"/>
        <v>0.54491797275143217</v>
      </c>
      <c r="BL111" s="1342">
        <f t="shared" si="64"/>
        <v>1.0000000000000002</v>
      </c>
      <c r="BM111" s="1237">
        <f t="shared" si="80"/>
        <v>0.19892488097366726</v>
      </c>
      <c r="BN111" s="713">
        <f t="shared" si="81"/>
        <v>0.26585903447659598</v>
      </c>
      <c r="BO111" s="713">
        <f t="shared" si="82"/>
        <v>8.9228108703258049E-2</v>
      </c>
      <c r="BP111" s="713">
        <f t="shared" si="83"/>
        <v>0</v>
      </c>
      <c r="BQ111" s="713">
        <f t="shared" si="84"/>
        <v>0</v>
      </c>
      <c r="BR111" s="713">
        <f t="shared" si="85"/>
        <v>0</v>
      </c>
      <c r="BS111" s="713">
        <f t="shared" si="86"/>
        <v>0.4459879758464787</v>
      </c>
      <c r="BT111" s="658">
        <f t="shared" si="87"/>
        <v>1</v>
      </c>
      <c r="BV111" s="671">
        <f t="shared" si="28"/>
        <v>71.923701615288195</v>
      </c>
      <c r="BW111" s="713">
        <f t="shared" si="66"/>
        <v>0.50768662049917834</v>
      </c>
      <c r="BX111" s="696">
        <f t="shared" si="29"/>
        <v>41.33726804575209</v>
      </c>
      <c r="BY111" s="671">
        <f t="shared" si="30"/>
        <v>72.454912411209662</v>
      </c>
      <c r="BZ111" s="713">
        <f t="shared" si="67"/>
        <v>0.47448555510858836</v>
      </c>
      <c r="CA111" s="696">
        <f t="shared" si="31"/>
        <v>48.694518386230293</v>
      </c>
      <c r="CB111" s="713">
        <f t="shared" si="32"/>
        <v>0.41057272921636223</v>
      </c>
      <c r="CC111" s="713">
        <f t="shared" si="33"/>
        <v>0.70032266978933944</v>
      </c>
      <c r="CD111" s="713">
        <f t="shared" si="34"/>
        <v>0.41057272921636223</v>
      </c>
      <c r="CE111" s="1001">
        <f t="shared" si="35"/>
        <v>0.85</v>
      </c>
    </row>
    <row r="112" spans="1:83">
      <c r="A112" s="127">
        <f>'Input data'!A132</f>
        <v>2034</v>
      </c>
      <c r="B112" s="828">
        <f>'Input data'!B132</f>
        <v>68.236999999999995</v>
      </c>
      <c r="C112" s="238">
        <f>'Input data'!C132</f>
        <v>4078.22</v>
      </c>
      <c r="D112" s="239">
        <f>'Input data'!D132</f>
        <v>39458532.535899624</v>
      </c>
      <c r="E112" s="805">
        <f t="shared" si="36"/>
        <v>0.86172121212121189</v>
      </c>
      <c r="F112" s="510">
        <f t="shared" si="37"/>
        <v>0.32960151515151509</v>
      </c>
      <c r="G112" s="672">
        <f>B112*F112*'Input data'!$C$9</f>
        <v>688.38400730327044</v>
      </c>
      <c r="H112" s="654">
        <f>'Input data'!I132</f>
        <v>424.26313389388866</v>
      </c>
      <c r="I112" s="673">
        <f>'Input data'!K132</f>
        <v>28950.443467517278</v>
      </c>
      <c r="J112" s="673">
        <f t="shared" si="89"/>
        <v>79.911684630918799</v>
      </c>
      <c r="K112" s="674">
        <f t="shared" si="13"/>
        <v>117.25122054264911</v>
      </c>
      <c r="L112" s="510">
        <f t="shared" si="91"/>
        <v>0.57999999999999996</v>
      </c>
      <c r="M112" s="510">
        <f t="shared" si="92"/>
        <v>0.437</v>
      </c>
      <c r="N112" s="510">
        <f t="shared" si="93"/>
        <v>0.71200000000000008</v>
      </c>
      <c r="O112" s="510">
        <f t="shared" si="94"/>
        <v>0.8</v>
      </c>
      <c r="P112" s="510">
        <f t="shared" si="94"/>
        <v>0.23600000000000002</v>
      </c>
      <c r="Q112" s="654">
        <f t="shared" si="43"/>
        <v>21.956594277323916</v>
      </c>
      <c r="R112" s="673">
        <f t="shared" si="14"/>
        <v>8.498893173320921</v>
      </c>
      <c r="S112" s="673">
        <f t="shared" si="15"/>
        <v>35.157920176424213</v>
      </c>
      <c r="T112" s="673">
        <f t="shared" si="16"/>
        <v>50.006188746360976</v>
      </c>
      <c r="U112" s="673">
        <f t="shared" si="17"/>
        <v>0.67710709475193609</v>
      </c>
      <c r="V112" s="1422">
        <f t="shared" si="18"/>
        <v>116.29670346818196</v>
      </c>
      <c r="W112" s="805">
        <f t="shared" si="88"/>
        <v>0.5</v>
      </c>
      <c r="X112" s="671">
        <f t="shared" si="19"/>
        <v>53.669159952994768</v>
      </c>
      <c r="Y112" s="671">
        <f t="shared" si="20"/>
        <v>53.669159952994768</v>
      </c>
      <c r="Z112" s="672">
        <f t="shared" si="21"/>
        <v>143.49374522057315</v>
      </c>
      <c r="AA112" s="673">
        <f t="shared" si="22"/>
        <v>63.58206058965434</v>
      </c>
      <c r="AB112" s="893">
        <f t="shared" si="23"/>
        <v>0.44309987513336141</v>
      </c>
      <c r="AC112" s="135" t="str">
        <f t="shared" si="44"/>
        <v>Policies met</v>
      </c>
      <c r="AD112" s="1353">
        <f t="shared" si="45"/>
        <v>0.44309987513336141</v>
      </c>
      <c r="AE112" s="135" t="str">
        <f t="shared" si="46"/>
        <v>No</v>
      </c>
      <c r="AF112" s="1420">
        <f t="shared" si="47"/>
        <v>236.27219224181798</v>
      </c>
      <c r="AG112" s="118">
        <f t="shared" si="48"/>
        <v>79.911684630918813</v>
      </c>
      <c r="AH112" s="118">
        <f t="shared" si="24"/>
        <v>64.765648683008962</v>
      </c>
      <c r="AI112" s="118">
        <f t="shared" si="25"/>
        <v>62.895281922180089</v>
      </c>
      <c r="AJ112" s="118">
        <f t="shared" si="26"/>
        <v>28.699577005710143</v>
      </c>
      <c r="AK112" s="118">
        <f t="shared" si="49"/>
        <v>236.272192241818</v>
      </c>
      <c r="AL112" s="910">
        <f t="shared" si="27"/>
        <v>0</v>
      </c>
      <c r="AM112" s="805">
        <f t="shared" si="50"/>
        <v>0.33821874623794673</v>
      </c>
      <c r="AN112" s="510">
        <f t="shared" si="51"/>
        <v>0.274114562820508</v>
      </c>
      <c r="AO112" s="510">
        <f t="shared" si="52"/>
        <v>0.26619841008546835</v>
      </c>
      <c r="AP112" s="510">
        <f t="shared" si="53"/>
        <v>0.1214682808560769</v>
      </c>
      <c r="AQ112" s="510">
        <f t="shared" si="54"/>
        <v>0.99999999999999989</v>
      </c>
      <c r="AR112" s="916">
        <f t="shared" si="69"/>
        <v>11.40925565166491</v>
      </c>
      <c r="AS112" s="917">
        <f t="shared" si="70"/>
        <v>18.479106227645463</v>
      </c>
      <c r="AT112" s="917">
        <f t="shared" si="71"/>
        <v>6.4780095633763697</v>
      </c>
      <c r="AU112" s="917">
        <f t="shared" si="72"/>
        <v>0</v>
      </c>
      <c r="AV112" s="917">
        <f t="shared" si="73"/>
        <v>0</v>
      </c>
      <c r="AW112" s="917">
        <f t="shared" si="74"/>
        <v>0</v>
      </c>
      <c r="AX112" s="1338">
        <f t="shared" si="75"/>
        <v>27.572597274902648</v>
      </c>
      <c r="AY112" s="917">
        <f t="shared" si="76"/>
        <v>3.9863689114618479</v>
      </c>
      <c r="AZ112" s="917">
        <f t="shared" si="77"/>
        <v>5.7941666353079899</v>
      </c>
      <c r="BA112" s="917">
        <f t="shared" si="78"/>
        <v>5.0935324292155633</v>
      </c>
      <c r="BB112" s="917">
        <f t="shared" si="79"/>
        <v>1.0986479373439679</v>
      </c>
      <c r="BC112" s="673">
        <f t="shared" si="55"/>
        <v>79.911684630918757</v>
      </c>
      <c r="BD112" s="922">
        <f t="shared" si="56"/>
        <v>0</v>
      </c>
      <c r="BE112" s="840">
        <f t="shared" si="57"/>
        <v>0.14277330911442876</v>
      </c>
      <c r="BF112" s="535">
        <f t="shared" si="58"/>
        <v>0.23124410795484199</v>
      </c>
      <c r="BG112" s="535">
        <f t="shared" si="59"/>
        <v>8.1064610179297267E-2</v>
      </c>
      <c r="BH112" s="535">
        <f t="shared" si="60"/>
        <v>0</v>
      </c>
      <c r="BI112" s="535">
        <f t="shared" si="61"/>
        <v>0</v>
      </c>
      <c r="BJ112" s="535">
        <f t="shared" si="62"/>
        <v>0</v>
      </c>
      <c r="BK112" s="535">
        <f t="shared" si="63"/>
        <v>0.54491797275143206</v>
      </c>
      <c r="BL112" s="1342">
        <f t="shared" si="64"/>
        <v>1</v>
      </c>
      <c r="BM112" s="1237">
        <f t="shared" si="80"/>
        <v>0.19892488097366726</v>
      </c>
      <c r="BN112" s="713">
        <f t="shared" si="81"/>
        <v>0.26585903447659598</v>
      </c>
      <c r="BO112" s="713">
        <f t="shared" si="82"/>
        <v>8.9228108703258049E-2</v>
      </c>
      <c r="BP112" s="713">
        <f t="shared" si="83"/>
        <v>0</v>
      </c>
      <c r="BQ112" s="713">
        <f t="shared" si="84"/>
        <v>0</v>
      </c>
      <c r="BR112" s="713">
        <f t="shared" si="85"/>
        <v>0</v>
      </c>
      <c r="BS112" s="713">
        <f t="shared" si="86"/>
        <v>0.4459879758464787</v>
      </c>
      <c r="BT112" s="658">
        <f t="shared" si="87"/>
        <v>1</v>
      </c>
      <c r="BV112" s="671">
        <f t="shared" si="28"/>
        <v>71.086735319830382</v>
      </c>
      <c r="BW112" s="713">
        <f t="shared" si="66"/>
        <v>0.5082715397766957</v>
      </c>
      <c r="BX112" s="696">
        <f t="shared" si="29"/>
        <v>39.458532535899622</v>
      </c>
      <c r="BY112" s="671">
        <f t="shared" si="30"/>
        <v>71.854872887027454</v>
      </c>
      <c r="BZ112" s="713">
        <f t="shared" si="67"/>
        <v>0.46648477033242713</v>
      </c>
      <c r="CA112" s="696">
        <f t="shared" si="31"/>
        <v>48.694518386230293</v>
      </c>
      <c r="CB112" s="713">
        <f t="shared" si="32"/>
        <v>0.44309987513336141</v>
      </c>
      <c r="CC112" s="713">
        <f t="shared" si="33"/>
        <v>0.66952195093610889</v>
      </c>
      <c r="CD112" s="713">
        <f t="shared" si="34"/>
        <v>0.44309987513336141</v>
      </c>
      <c r="CE112" s="1001">
        <f t="shared" si="35"/>
        <v>0.85</v>
      </c>
    </row>
    <row r="113" spans="1:83">
      <c r="A113" s="127">
        <f>'Input data'!A133</f>
        <v>2035</v>
      </c>
      <c r="B113" s="828">
        <f>'Input data'!B133</f>
        <v>68.819000000000003</v>
      </c>
      <c r="C113" s="238">
        <f>'Input data'!C133</f>
        <v>4200.2899999999991</v>
      </c>
      <c r="D113" s="239">
        <f>'Input data'!D133</f>
        <v>37579797.026047163</v>
      </c>
      <c r="E113" s="805">
        <f t="shared" si="36"/>
        <v>0.87036363636363612</v>
      </c>
      <c r="F113" s="510">
        <f t="shared" si="37"/>
        <v>0.33195454545454539</v>
      </c>
      <c r="G113" s="672">
        <f>B113*F113*'Input data'!$C$9</f>
        <v>699.21160066565164</v>
      </c>
      <c r="H113" s="654">
        <f>'Input data'!I133</f>
        <v>424.26313389388866</v>
      </c>
      <c r="I113" s="673">
        <f>'Input data'!K133</f>
        <v>29197.364611443525</v>
      </c>
      <c r="J113" s="673">
        <f t="shared" si="89"/>
        <v>75.244242641952511</v>
      </c>
      <c r="K113" s="674">
        <f t="shared" si="13"/>
        <v>121.9186625316154</v>
      </c>
      <c r="L113" s="510">
        <f t="shared" si="91"/>
        <v>0.57999999999999996</v>
      </c>
      <c r="M113" s="510">
        <f t="shared" si="92"/>
        <v>0.437</v>
      </c>
      <c r="N113" s="510">
        <f t="shared" si="93"/>
        <v>0.71200000000000008</v>
      </c>
      <c r="O113" s="510">
        <f t="shared" si="94"/>
        <v>0.8</v>
      </c>
      <c r="P113" s="510">
        <f t="shared" si="94"/>
        <v>0.23600000000000002</v>
      </c>
      <c r="Q113" s="654">
        <f t="shared" si="43"/>
        <v>21.956594277323916</v>
      </c>
      <c r="R113" s="673">
        <f t="shared" si="14"/>
        <v>8.498893173320921</v>
      </c>
      <c r="S113" s="673">
        <f t="shared" si="15"/>
        <v>35.157920176424213</v>
      </c>
      <c r="T113" s="673">
        <f t="shared" si="16"/>
        <v>50.006188746360976</v>
      </c>
      <c r="U113" s="673">
        <f t="shared" si="17"/>
        <v>0.67710709475193609</v>
      </c>
      <c r="V113" s="1422">
        <f t="shared" si="18"/>
        <v>116.29670346818196</v>
      </c>
      <c r="W113" s="805">
        <f t="shared" si="88"/>
        <v>0.5</v>
      </c>
      <c r="X113" s="671">
        <f t="shared" si="19"/>
        <v>53.669159952994768</v>
      </c>
      <c r="Y113" s="671">
        <f t="shared" si="20"/>
        <v>53.669159952994768</v>
      </c>
      <c r="Z113" s="672">
        <f t="shared" si="21"/>
        <v>143.49374522057315</v>
      </c>
      <c r="AA113" s="673">
        <f t="shared" si="22"/>
        <v>68.249502578620621</v>
      </c>
      <c r="AB113" s="893">
        <f t="shared" si="23"/>
        <v>0.47562702105036059</v>
      </c>
      <c r="AC113" s="135" t="str">
        <f t="shared" si="44"/>
        <v>Policies met</v>
      </c>
      <c r="AD113" s="1353">
        <f t="shared" si="45"/>
        <v>0.47562702105036059</v>
      </c>
      <c r="AE113" s="135" t="str">
        <f t="shared" si="46"/>
        <v>No</v>
      </c>
      <c r="AF113" s="1420">
        <f t="shared" si="47"/>
        <v>222.47212337844812</v>
      </c>
      <c r="AG113" s="118">
        <f t="shared" si="48"/>
        <v>75.244242641952525</v>
      </c>
      <c r="AH113" s="118">
        <f t="shared" si="24"/>
        <v>60.982848839633434</v>
      </c>
      <c r="AI113" s="118">
        <f t="shared" si="25"/>
        <v>59.221725531681059</v>
      </c>
      <c r="AJ113" s="118">
        <f t="shared" si="26"/>
        <v>27.023306365181131</v>
      </c>
      <c r="AK113" s="118">
        <f t="shared" si="49"/>
        <v>222.47212337844812</v>
      </c>
      <c r="AL113" s="910">
        <f t="shared" si="27"/>
        <v>0</v>
      </c>
      <c r="AM113" s="805">
        <f t="shared" si="50"/>
        <v>0.33821874623794673</v>
      </c>
      <c r="AN113" s="510">
        <f t="shared" si="51"/>
        <v>0.27411456282050806</v>
      </c>
      <c r="AO113" s="510">
        <f t="shared" si="52"/>
        <v>0.26619841008546841</v>
      </c>
      <c r="AP113" s="510">
        <f t="shared" si="53"/>
        <v>0.12146828085607692</v>
      </c>
      <c r="AQ113" s="510">
        <f t="shared" si="54"/>
        <v>1.0000000000000002</v>
      </c>
      <c r="AR113" s="916">
        <f t="shared" si="69"/>
        <v>10.742869513800565</v>
      </c>
      <c r="AS113" s="917">
        <f t="shared" si="70"/>
        <v>17.399787768475981</v>
      </c>
      <c r="AT113" s="917">
        <f t="shared" si="71"/>
        <v>6.0996451980063346</v>
      </c>
      <c r="AU113" s="917">
        <f t="shared" si="72"/>
        <v>0</v>
      </c>
      <c r="AV113" s="917">
        <f t="shared" si="73"/>
        <v>0</v>
      </c>
      <c r="AW113" s="917">
        <f t="shared" si="74"/>
        <v>0</v>
      </c>
      <c r="AX113" s="1338">
        <f t="shared" si="75"/>
        <v>25.962150706792823</v>
      </c>
      <c r="AY113" s="917">
        <f t="shared" si="76"/>
        <v>3.7535350558523533</v>
      </c>
      <c r="AZ113" s="917">
        <f t="shared" si="77"/>
        <v>5.4557438280600952</v>
      </c>
      <c r="BA113" s="917">
        <f t="shared" si="78"/>
        <v>4.7960319167174976</v>
      </c>
      <c r="BB113" s="917">
        <f t="shared" si="79"/>
        <v>1.0344786542468325</v>
      </c>
      <c r="BC113" s="673">
        <f t="shared" si="55"/>
        <v>75.244242641952468</v>
      </c>
      <c r="BD113" s="922">
        <f t="shared" si="56"/>
        <v>0</v>
      </c>
      <c r="BE113" s="840">
        <f t="shared" si="57"/>
        <v>0.14277330911442881</v>
      </c>
      <c r="BF113" s="535">
        <f t="shared" si="58"/>
        <v>0.23124410795484199</v>
      </c>
      <c r="BG113" s="535">
        <f t="shared" si="59"/>
        <v>8.1064610179297281E-2</v>
      </c>
      <c r="BH113" s="535">
        <f t="shared" si="60"/>
        <v>0</v>
      </c>
      <c r="BI113" s="535">
        <f t="shared" si="61"/>
        <v>0</v>
      </c>
      <c r="BJ113" s="535">
        <f t="shared" si="62"/>
        <v>0</v>
      </c>
      <c r="BK113" s="535">
        <f t="shared" si="63"/>
        <v>0.54491797275143217</v>
      </c>
      <c r="BL113" s="1342">
        <f t="shared" si="64"/>
        <v>1.0000000000000002</v>
      </c>
      <c r="BM113" s="1237">
        <f t="shared" si="80"/>
        <v>0.19892488097366726</v>
      </c>
      <c r="BN113" s="713">
        <f t="shared" si="81"/>
        <v>0.26585903447659598</v>
      </c>
      <c r="BO113" s="713">
        <f t="shared" si="82"/>
        <v>8.9228108703258049E-2</v>
      </c>
      <c r="BP113" s="713">
        <f t="shared" si="83"/>
        <v>0</v>
      </c>
      <c r="BQ113" s="713">
        <f t="shared" si="84"/>
        <v>0</v>
      </c>
      <c r="BR113" s="713">
        <f t="shared" si="85"/>
        <v>0</v>
      </c>
      <c r="BS113" s="713">
        <f t="shared" si="86"/>
        <v>0.4459879758464787</v>
      </c>
      <c r="BT113" s="658">
        <f t="shared" si="87"/>
        <v>1</v>
      </c>
      <c r="BV113" s="671">
        <f t="shared" si="28"/>
        <v>70.307178707156766</v>
      </c>
      <c r="BW113" s="713">
        <f t="shared" si="66"/>
        <v>0.50873753514314179</v>
      </c>
      <c r="BX113" s="696">
        <f t="shared" si="29"/>
        <v>37.57979702604716</v>
      </c>
      <c r="BY113" s="671">
        <f t="shared" si="30"/>
        <v>71.253334498361909</v>
      </c>
      <c r="BZ113" s="713">
        <f t="shared" si="67"/>
        <v>0.45829514698282509</v>
      </c>
      <c r="CA113" s="696">
        <f t="shared" si="31"/>
        <v>48.694518386230293</v>
      </c>
      <c r="CB113" s="713">
        <f t="shared" si="32"/>
        <v>0.47562702105036059</v>
      </c>
      <c r="CC113" s="713">
        <f t="shared" si="33"/>
        <v>0.63957255278633918</v>
      </c>
      <c r="CD113" s="713">
        <f t="shared" si="34"/>
        <v>0.47562702105036059</v>
      </c>
      <c r="CE113" s="1001">
        <f t="shared" si="35"/>
        <v>0.85</v>
      </c>
    </row>
    <row r="114" spans="1:83">
      <c r="A114" s="127">
        <f>'Input data'!A134</f>
        <v>2036</v>
      </c>
      <c r="B114" s="828">
        <f>'Input data'!B134</f>
        <v>69.322999999999993</v>
      </c>
      <c r="C114" s="238">
        <f>'Input data'!C134</f>
        <v>4325.9699999999993</v>
      </c>
      <c r="D114" s="239">
        <f>'Input data'!D134</f>
        <v>34222489.887502141</v>
      </c>
      <c r="E114" s="805">
        <f t="shared" si="36"/>
        <v>0.87900606060606035</v>
      </c>
      <c r="F114" s="510">
        <f t="shared" si="37"/>
        <v>0.33430757575757569</v>
      </c>
      <c r="G114" s="672">
        <f>B114*F114*'Input data'!$C$9</f>
        <v>709.32491506726262</v>
      </c>
      <c r="H114" s="654">
        <f>'Input data'!I134</f>
        <v>424.26313389388866</v>
      </c>
      <c r="I114" s="673">
        <f>'Input data'!K134</f>
        <v>29411.193230926041</v>
      </c>
      <c r="J114" s="673">
        <f t="shared" si="89"/>
        <v>70.576800652986222</v>
      </c>
      <c r="K114" s="674">
        <f t="shared" si="13"/>
        <v>126.58610452058169</v>
      </c>
      <c r="L114" s="510">
        <f t="shared" si="91"/>
        <v>0.57999999999999996</v>
      </c>
      <c r="M114" s="510">
        <f t="shared" si="92"/>
        <v>0.437</v>
      </c>
      <c r="N114" s="510">
        <f t="shared" si="93"/>
        <v>0.71200000000000008</v>
      </c>
      <c r="O114" s="510">
        <f t="shared" si="94"/>
        <v>0.8</v>
      </c>
      <c r="P114" s="510">
        <f t="shared" si="94"/>
        <v>0.23600000000000002</v>
      </c>
      <c r="Q114" s="654">
        <f t="shared" si="43"/>
        <v>21.956594277323916</v>
      </c>
      <c r="R114" s="673">
        <f t="shared" si="14"/>
        <v>8.498893173320921</v>
      </c>
      <c r="S114" s="673">
        <f t="shared" si="15"/>
        <v>35.157920176424213</v>
      </c>
      <c r="T114" s="673">
        <f t="shared" si="16"/>
        <v>50.006188746360976</v>
      </c>
      <c r="U114" s="673">
        <f t="shared" si="17"/>
        <v>0.67710709475193609</v>
      </c>
      <c r="V114" s="1422">
        <f t="shared" si="18"/>
        <v>116.29670346818196</v>
      </c>
      <c r="W114" s="805">
        <f t="shared" si="88"/>
        <v>0.5</v>
      </c>
      <c r="X114" s="671">
        <f t="shared" si="19"/>
        <v>53.669159952994768</v>
      </c>
      <c r="Y114" s="671">
        <f t="shared" si="20"/>
        <v>53.669159952994768</v>
      </c>
      <c r="Z114" s="672">
        <f t="shared" si="21"/>
        <v>143.49374522057315</v>
      </c>
      <c r="AA114" s="673">
        <f t="shared" si="22"/>
        <v>72.91694456758691</v>
      </c>
      <c r="AB114" s="893">
        <f t="shared" si="23"/>
        <v>0.50815416696735982</v>
      </c>
      <c r="AC114" s="135" t="str">
        <f t="shared" si="44"/>
        <v>Policies met</v>
      </c>
      <c r="AD114" s="1353">
        <f t="shared" si="45"/>
        <v>0.50815416696735982</v>
      </c>
      <c r="AE114" s="135" t="str">
        <f t="shared" si="46"/>
        <v>No</v>
      </c>
      <c r="AF114" s="1420">
        <f t="shared" si="47"/>
        <v>208.67205451507823</v>
      </c>
      <c r="AG114" s="118">
        <f t="shared" si="48"/>
        <v>70.576800652986236</v>
      </c>
      <c r="AH114" s="118">
        <f t="shared" si="24"/>
        <v>57.200048996257891</v>
      </c>
      <c r="AI114" s="118">
        <f t="shared" si="25"/>
        <v>55.548169141182015</v>
      </c>
      <c r="AJ114" s="118">
        <f t="shared" si="26"/>
        <v>25.347035724652116</v>
      </c>
      <c r="AK114" s="118">
        <f t="shared" si="49"/>
        <v>208.67205451507829</v>
      </c>
      <c r="AL114" s="910">
        <f t="shared" si="27"/>
        <v>0</v>
      </c>
      <c r="AM114" s="805">
        <f t="shared" si="50"/>
        <v>0.33821874623794668</v>
      </c>
      <c r="AN114" s="510">
        <f t="shared" si="51"/>
        <v>0.27411456282050795</v>
      </c>
      <c r="AO114" s="510">
        <f t="shared" si="52"/>
        <v>0.26619841008546835</v>
      </c>
      <c r="AP114" s="510">
        <f t="shared" si="53"/>
        <v>0.12146828085607689</v>
      </c>
      <c r="AQ114" s="510">
        <f t="shared" si="54"/>
        <v>0.99999999999999989</v>
      </c>
      <c r="AR114" s="916">
        <f t="shared" si="69"/>
        <v>10.076483375936217</v>
      </c>
      <c r="AS114" s="917">
        <f t="shared" si="70"/>
        <v>16.3204693093065</v>
      </c>
      <c r="AT114" s="917">
        <f t="shared" si="71"/>
        <v>5.7212808326362978</v>
      </c>
      <c r="AU114" s="917">
        <f t="shared" si="72"/>
        <v>0</v>
      </c>
      <c r="AV114" s="917">
        <f t="shared" si="73"/>
        <v>0</v>
      </c>
      <c r="AW114" s="917">
        <f t="shared" si="74"/>
        <v>0</v>
      </c>
      <c r="AX114" s="1338">
        <f t="shared" si="75"/>
        <v>24.351704138682994</v>
      </c>
      <c r="AY114" s="917">
        <f t="shared" si="76"/>
        <v>3.5207012002428577</v>
      </c>
      <c r="AZ114" s="917">
        <f t="shared" si="77"/>
        <v>5.1173210208121995</v>
      </c>
      <c r="BA114" s="917">
        <f t="shared" si="78"/>
        <v>4.4985314042194311</v>
      </c>
      <c r="BB114" s="917">
        <f t="shared" si="79"/>
        <v>0.97030937114969695</v>
      </c>
      <c r="BC114" s="673">
        <f t="shared" si="55"/>
        <v>70.576800652986194</v>
      </c>
      <c r="BD114" s="922">
        <f t="shared" si="56"/>
        <v>0</v>
      </c>
      <c r="BE114" s="840">
        <f t="shared" si="57"/>
        <v>0.14277330911442879</v>
      </c>
      <c r="BF114" s="535">
        <f t="shared" si="58"/>
        <v>0.23124410795484196</v>
      </c>
      <c r="BG114" s="535">
        <f t="shared" si="59"/>
        <v>8.1064610179297253E-2</v>
      </c>
      <c r="BH114" s="535">
        <f t="shared" si="60"/>
        <v>0</v>
      </c>
      <c r="BI114" s="535">
        <f t="shared" si="61"/>
        <v>0</v>
      </c>
      <c r="BJ114" s="535">
        <f t="shared" si="62"/>
        <v>0</v>
      </c>
      <c r="BK114" s="535">
        <f t="shared" si="63"/>
        <v>0.54491797275143194</v>
      </c>
      <c r="BL114" s="1342">
        <f t="shared" si="64"/>
        <v>0.99999999999999989</v>
      </c>
      <c r="BM114" s="1237">
        <f t="shared" si="80"/>
        <v>0.19892488097366726</v>
      </c>
      <c r="BN114" s="713">
        <f t="shared" si="81"/>
        <v>0.26585903447659598</v>
      </c>
      <c r="BO114" s="713">
        <f t="shared" si="82"/>
        <v>8.9228108703258049E-2</v>
      </c>
      <c r="BP114" s="713">
        <f t="shared" si="83"/>
        <v>0</v>
      </c>
      <c r="BQ114" s="713">
        <f t="shared" si="84"/>
        <v>0</v>
      </c>
      <c r="BR114" s="713">
        <f t="shared" si="85"/>
        <v>0</v>
      </c>
      <c r="BS114" s="713">
        <f t="shared" si="86"/>
        <v>0.4459879758464787</v>
      </c>
      <c r="BT114" s="658">
        <f t="shared" si="87"/>
        <v>1</v>
      </c>
      <c r="BV114" s="671">
        <f t="shared" si="28"/>
        <v>69.832371220942605</v>
      </c>
      <c r="BW114" s="713">
        <f t="shared" si="66"/>
        <v>0.51615109550716909</v>
      </c>
      <c r="BX114" s="696">
        <f t="shared" si="29"/>
        <v>34.222489887502142</v>
      </c>
      <c r="BY114" s="671">
        <f t="shared" si="30"/>
        <v>70.625686243527866</v>
      </c>
      <c r="BZ114" s="713">
        <f t="shared" si="67"/>
        <v>0.4497280493346551</v>
      </c>
      <c r="CA114" s="696">
        <f t="shared" si="31"/>
        <v>48.694518386230293</v>
      </c>
      <c r="CB114" s="713">
        <f t="shared" si="32"/>
        <v>0.50815416696735982</v>
      </c>
      <c r="CC114" s="713">
        <f t="shared" si="33"/>
        <v>0.57515760849439213</v>
      </c>
      <c r="CD114" s="713">
        <f t="shared" si="34"/>
        <v>0.50815416696735982</v>
      </c>
      <c r="CE114" s="1001">
        <f t="shared" si="35"/>
        <v>0.85</v>
      </c>
    </row>
    <row r="115" spans="1:83" s="1" customFormat="1">
      <c r="A115" s="157">
        <f>'Input data'!A135</f>
        <v>2037</v>
      </c>
      <c r="B115" s="829">
        <f>'Input data'!B135</f>
        <v>69.83</v>
      </c>
      <c r="C115" s="662">
        <f>'Input data'!C135</f>
        <v>4457.0000000000018</v>
      </c>
      <c r="D115" s="830">
        <f>'Input data'!D135</f>
        <v>30865182.748957112</v>
      </c>
      <c r="E115" s="804">
        <f t="shared" si="36"/>
        <v>0.88764848484848458</v>
      </c>
      <c r="F115" s="498">
        <f t="shared" si="37"/>
        <v>0.33666060606060599</v>
      </c>
      <c r="G115" s="850">
        <f>B115*F115*'Input data'!$C$9</f>
        <v>719.54173754516603</v>
      </c>
      <c r="H115" s="809">
        <f>'Input data'!I135</f>
        <v>424.26313389388866</v>
      </c>
      <c r="I115" s="815">
        <f>'Input data'!K135</f>
        <v>29626.294639810243</v>
      </c>
      <c r="J115" s="815">
        <f>J95*(1-$C$5)</f>
        <v>69.007016810748766</v>
      </c>
      <c r="K115" s="674">
        <f t="shared" si="13"/>
        <v>128.15588836281916</v>
      </c>
      <c r="L115" s="498">
        <f t="shared" si="91"/>
        <v>0.57999999999999996</v>
      </c>
      <c r="M115" s="498">
        <f t="shared" si="92"/>
        <v>0.437</v>
      </c>
      <c r="N115" s="498">
        <f t="shared" si="93"/>
        <v>0.71200000000000008</v>
      </c>
      <c r="O115" s="498">
        <f t="shared" si="94"/>
        <v>0.8</v>
      </c>
      <c r="P115" s="498">
        <f>P114</f>
        <v>0.23600000000000002</v>
      </c>
      <c r="Q115" s="654">
        <f t="shared" si="43"/>
        <v>21.956594277323916</v>
      </c>
      <c r="R115" s="673">
        <f t="shared" si="14"/>
        <v>8.498893173320921</v>
      </c>
      <c r="S115" s="673">
        <f t="shared" si="15"/>
        <v>35.157920176424213</v>
      </c>
      <c r="T115" s="673">
        <f t="shared" si="16"/>
        <v>50.006188746360976</v>
      </c>
      <c r="U115" s="673">
        <f t="shared" si="17"/>
        <v>0.67710709475193609</v>
      </c>
      <c r="V115" s="1422">
        <f t="shared" si="18"/>
        <v>116.29670346818196</v>
      </c>
      <c r="W115" s="805">
        <f t="shared" si="88"/>
        <v>0.5</v>
      </c>
      <c r="X115" s="671">
        <f t="shared" si="19"/>
        <v>53.669159952994768</v>
      </c>
      <c r="Y115" s="671">
        <f t="shared" si="20"/>
        <v>53.669159952994768</v>
      </c>
      <c r="Z115" s="672">
        <f t="shared" si="21"/>
        <v>143.49374522057315</v>
      </c>
      <c r="AA115" s="673">
        <f t="shared" si="22"/>
        <v>74.486728409824394</v>
      </c>
      <c r="AB115" s="893">
        <f t="shared" si="23"/>
        <v>0.51909390402575539</v>
      </c>
      <c r="AC115" s="135" t="str">
        <f t="shared" si="44"/>
        <v>Policies met</v>
      </c>
      <c r="AD115" s="1353">
        <f t="shared" si="45"/>
        <v>0.51909390402575539</v>
      </c>
      <c r="AE115" s="135" t="str">
        <f t="shared" si="46"/>
        <v>No</v>
      </c>
      <c r="AF115" s="1420">
        <f t="shared" si="47"/>
        <v>204.03072738670821</v>
      </c>
      <c r="AG115" s="118">
        <f t="shared" si="48"/>
        <v>69.007016810748752</v>
      </c>
      <c r="AH115" s="118">
        <f t="shared" si="24"/>
        <v>55.927793639557777</v>
      </c>
      <c r="AI115" s="118">
        <f t="shared" si="25"/>
        <v>54.312655238923362</v>
      </c>
      <c r="AJ115" s="118">
        <f t="shared" si="26"/>
        <v>24.783261697478338</v>
      </c>
      <c r="AK115" s="118">
        <f t="shared" si="49"/>
        <v>204.03072738670824</v>
      </c>
      <c r="AL115" s="910">
        <f t="shared" si="27"/>
        <v>0</v>
      </c>
      <c r="AM115" s="805">
        <f t="shared" si="50"/>
        <v>0.33821874623794668</v>
      </c>
      <c r="AN115" s="510">
        <f t="shared" si="51"/>
        <v>0.274114562820508</v>
      </c>
      <c r="AO115" s="510">
        <f t="shared" si="52"/>
        <v>0.26619841008546835</v>
      </c>
      <c r="AP115" s="510">
        <f t="shared" si="53"/>
        <v>0.1214682808560769</v>
      </c>
      <c r="AQ115" s="510">
        <f t="shared" si="54"/>
        <v>0.99999999999999989</v>
      </c>
      <c r="AR115" s="916">
        <f t="shared" si="69"/>
        <v>9.85236014218561</v>
      </c>
      <c r="AS115" s="917">
        <f t="shared" si="70"/>
        <v>15.957466045026369</v>
      </c>
      <c r="AT115" s="917">
        <f t="shared" si="71"/>
        <v>5.5940269173995576</v>
      </c>
      <c r="AU115" s="917">
        <f t="shared" si="72"/>
        <v>0</v>
      </c>
      <c r="AV115" s="917">
        <f t="shared" si="73"/>
        <v>0</v>
      </c>
      <c r="AW115" s="917">
        <f t="shared" si="74"/>
        <v>0</v>
      </c>
      <c r="AX115" s="1338">
        <f t="shared" si="75"/>
        <v>23.810068483139368</v>
      </c>
      <c r="AY115" s="917">
        <f t="shared" si="76"/>
        <v>3.4423930337298794</v>
      </c>
      <c r="AZ115" s="917">
        <f t="shared" si="77"/>
        <v>5.0035005050096988</v>
      </c>
      <c r="BA115" s="917">
        <f t="shared" si="78"/>
        <v>4.3984741354454782</v>
      </c>
      <c r="BB115" s="917">
        <f t="shared" si="79"/>
        <v>0.94872754881275667</v>
      </c>
      <c r="BC115" s="673">
        <f t="shared" si="55"/>
        <v>69.007016810748709</v>
      </c>
      <c r="BD115" s="922">
        <f t="shared" si="56"/>
        <v>0</v>
      </c>
      <c r="BE115" s="840">
        <f t="shared" si="57"/>
        <v>0.14277330911442879</v>
      </c>
      <c r="BF115" s="535">
        <f t="shared" si="58"/>
        <v>0.23124410795484196</v>
      </c>
      <c r="BG115" s="535">
        <f t="shared" si="59"/>
        <v>8.1064610179297267E-2</v>
      </c>
      <c r="BH115" s="535">
        <f t="shared" si="60"/>
        <v>0</v>
      </c>
      <c r="BI115" s="535">
        <f t="shared" si="61"/>
        <v>0</v>
      </c>
      <c r="BJ115" s="535">
        <f t="shared" si="62"/>
        <v>0</v>
      </c>
      <c r="BK115" s="535">
        <f t="shared" si="63"/>
        <v>0.54491797275143194</v>
      </c>
      <c r="BL115" s="1342">
        <f t="shared" si="64"/>
        <v>1</v>
      </c>
      <c r="BM115" s="1237">
        <f t="shared" si="80"/>
        <v>0.19892488097366726</v>
      </c>
      <c r="BN115" s="713">
        <f t="shared" si="81"/>
        <v>0.26585903447659598</v>
      </c>
      <c r="BO115" s="713">
        <f t="shared" si="82"/>
        <v>8.9228108703258049E-2</v>
      </c>
      <c r="BP115" s="713">
        <f t="shared" si="83"/>
        <v>0</v>
      </c>
      <c r="BQ115" s="713">
        <f t="shared" si="84"/>
        <v>0</v>
      </c>
      <c r="BR115" s="713">
        <f t="shared" si="85"/>
        <v>0</v>
      </c>
      <c r="BS115" s="713">
        <f t="shared" si="86"/>
        <v>0.4459879758464787</v>
      </c>
      <c r="BT115" s="658">
        <f t="shared" si="87"/>
        <v>1</v>
      </c>
      <c r="BV115" s="671">
        <f t="shared" si="28"/>
        <v>70.008588881467503</v>
      </c>
      <c r="BW115" s="713">
        <f t="shared" si="66"/>
        <v>0.53037873809503877</v>
      </c>
      <c r="BX115" s="696">
        <f t="shared" si="29"/>
        <v>30.865182748957114</v>
      </c>
      <c r="BY115" s="671">
        <f t="shared" si="30"/>
        <v>70.633499650421825</v>
      </c>
      <c r="BZ115" s="713">
        <f t="shared" si="67"/>
        <v>0.44770064969808981</v>
      </c>
      <c r="CA115" s="696">
        <f t="shared" si="31"/>
        <v>48.694518386230293</v>
      </c>
      <c r="CB115" s="713">
        <f t="shared" si="32"/>
        <v>0.51909390402575539</v>
      </c>
      <c r="CC115" s="713">
        <f t="shared" si="33"/>
        <v>0.51447916454170328</v>
      </c>
      <c r="CD115" s="713">
        <f t="shared" si="34"/>
        <v>0.51909390402575539</v>
      </c>
      <c r="CE115" s="1001">
        <f t="shared" si="35"/>
        <v>0.85</v>
      </c>
    </row>
    <row r="116" spans="1:83">
      <c r="A116" s="127">
        <f>'Input data'!A136</f>
        <v>2038</v>
      </c>
      <c r="B116" s="828">
        <f>'Input data'!B136</f>
        <v>70.341999999999999</v>
      </c>
      <c r="C116" s="238">
        <f>'Input data'!C136</f>
        <v>4590.03</v>
      </c>
      <c r="D116" s="239">
        <f>'Input data'!D136</f>
        <v>27507875.610412091</v>
      </c>
      <c r="E116" s="805">
        <f t="shared" si="36"/>
        <v>0.89629090909090881</v>
      </c>
      <c r="F116" s="510">
        <f t="shared" si="37"/>
        <v>0.33901363636363629</v>
      </c>
      <c r="G116" s="672">
        <f>B116*F116*'Input data'!$C$9</f>
        <v>729.88346869644954</v>
      </c>
      <c r="H116" s="654">
        <f>'Input data'!I136</f>
        <v>424.26313389388866</v>
      </c>
      <c r="I116" s="673">
        <f>'Input data'!K136</f>
        <v>29843.517364363917</v>
      </c>
      <c r="J116" s="673">
        <f t="shared" ref="J116:J124" si="95">($J$125-$J$115)/($A$125-$A$115)+J115</f>
        <v>66.049573233145253</v>
      </c>
      <c r="K116" s="674">
        <f t="shared" si="13"/>
        <v>131.11333194042265</v>
      </c>
      <c r="L116" s="510">
        <f t="shared" si="91"/>
        <v>0.57999999999999996</v>
      </c>
      <c r="M116" s="510">
        <f t="shared" si="92"/>
        <v>0.437</v>
      </c>
      <c r="N116" s="510">
        <f t="shared" si="93"/>
        <v>0.71200000000000008</v>
      </c>
      <c r="O116" s="510">
        <f t="shared" si="94"/>
        <v>0.8</v>
      </c>
      <c r="P116" s="510">
        <f t="shared" si="94"/>
        <v>0.23600000000000002</v>
      </c>
      <c r="Q116" s="654">
        <f t="shared" si="43"/>
        <v>21.956594277323916</v>
      </c>
      <c r="R116" s="673">
        <f t="shared" si="14"/>
        <v>8.498893173320921</v>
      </c>
      <c r="S116" s="673">
        <f t="shared" si="15"/>
        <v>35.157920176424213</v>
      </c>
      <c r="T116" s="673">
        <f t="shared" si="16"/>
        <v>50.006188746360976</v>
      </c>
      <c r="U116" s="673">
        <f t="shared" si="17"/>
        <v>0.67710709475193609</v>
      </c>
      <c r="V116" s="1422">
        <f t="shared" si="18"/>
        <v>116.29670346818196</v>
      </c>
      <c r="W116" s="805">
        <f t="shared" si="88"/>
        <v>0.5</v>
      </c>
      <c r="X116" s="671">
        <f t="shared" si="19"/>
        <v>53.669159952994768</v>
      </c>
      <c r="Y116" s="671">
        <f t="shared" si="20"/>
        <v>53.669159952994768</v>
      </c>
      <c r="Z116" s="672">
        <f t="shared" si="21"/>
        <v>143.49374522057315</v>
      </c>
      <c r="AA116" s="673">
        <f t="shared" si="22"/>
        <v>77.444171987427893</v>
      </c>
      <c r="AB116" s="893">
        <f t="shared" si="23"/>
        <v>0.53970416528179432</v>
      </c>
      <c r="AC116" s="135" t="str">
        <f t="shared" si="44"/>
        <v>Policies met</v>
      </c>
      <c r="AD116" s="1353">
        <f t="shared" si="45"/>
        <v>0.53970416528179432</v>
      </c>
      <c r="AE116" s="135" t="str">
        <f t="shared" si="46"/>
        <v>No</v>
      </c>
      <c r="AF116" s="1420">
        <f t="shared" si="47"/>
        <v>195.28655335584935</v>
      </c>
      <c r="AG116" s="118">
        <f t="shared" si="48"/>
        <v>66.049573233145253</v>
      </c>
      <c r="AH116" s="118">
        <f t="shared" si="24"/>
        <v>53.53088819786246</v>
      </c>
      <c r="AI116" s="118">
        <f t="shared" si="25"/>
        <v>51.984970014398094</v>
      </c>
      <c r="AJ116" s="118">
        <f t="shared" si="26"/>
        <v>23.721121910443557</v>
      </c>
      <c r="AK116" s="118">
        <f t="shared" si="49"/>
        <v>195.28655335584938</v>
      </c>
      <c r="AL116" s="910">
        <f t="shared" si="27"/>
        <v>0</v>
      </c>
      <c r="AM116" s="805">
        <f t="shared" si="50"/>
        <v>0.33821874623794668</v>
      </c>
      <c r="AN116" s="510">
        <f t="shared" si="51"/>
        <v>0.274114562820508</v>
      </c>
      <c r="AO116" s="510">
        <f t="shared" si="52"/>
        <v>0.26619841008546841</v>
      </c>
      <c r="AP116" s="510">
        <f t="shared" si="53"/>
        <v>0.12146828085607689</v>
      </c>
      <c r="AQ116" s="510">
        <f t="shared" si="54"/>
        <v>0.99999999999999989</v>
      </c>
      <c r="AR116" s="916">
        <f t="shared" si="69"/>
        <v>9.430116136091943</v>
      </c>
      <c r="AS116" s="917">
        <f t="shared" si="70"/>
        <v>15.273574643096671</v>
      </c>
      <c r="AT116" s="917">
        <f t="shared" si="71"/>
        <v>5.3542829066538635</v>
      </c>
      <c r="AU116" s="917">
        <f t="shared" si="72"/>
        <v>0</v>
      </c>
      <c r="AV116" s="917">
        <f t="shared" si="73"/>
        <v>0</v>
      </c>
      <c r="AW116" s="917">
        <f t="shared" si="74"/>
        <v>0</v>
      </c>
      <c r="AX116" s="1338">
        <f t="shared" si="75"/>
        <v>22.789636976719112</v>
      </c>
      <c r="AY116" s="917">
        <f t="shared" si="76"/>
        <v>3.294861903712885</v>
      </c>
      <c r="AZ116" s="917">
        <f t="shared" si="77"/>
        <v>4.7890647690807127</v>
      </c>
      <c r="BA116" s="917">
        <f t="shared" si="78"/>
        <v>4.2099681010692445</v>
      </c>
      <c r="BB116" s="917">
        <f t="shared" si="79"/>
        <v>0.90806779672078164</v>
      </c>
      <c r="BC116" s="673">
        <f t="shared" si="55"/>
        <v>66.049573233145225</v>
      </c>
      <c r="BD116" s="922">
        <f t="shared" si="56"/>
        <v>0</v>
      </c>
      <c r="BE116" s="840">
        <f t="shared" si="57"/>
        <v>0.14277330911442876</v>
      </c>
      <c r="BF116" s="535">
        <f t="shared" si="58"/>
        <v>0.2312441079548419</v>
      </c>
      <c r="BG116" s="535">
        <f t="shared" si="59"/>
        <v>8.1064610179297253E-2</v>
      </c>
      <c r="BH116" s="535">
        <f t="shared" si="60"/>
        <v>0</v>
      </c>
      <c r="BI116" s="535">
        <f t="shared" si="61"/>
        <v>0</v>
      </c>
      <c r="BJ116" s="535">
        <f t="shared" si="62"/>
        <v>0</v>
      </c>
      <c r="BK116" s="535">
        <f t="shared" si="63"/>
        <v>0.54491797275143183</v>
      </c>
      <c r="BL116" s="1342">
        <f t="shared" si="64"/>
        <v>0.99999999999999978</v>
      </c>
      <c r="BM116" s="1237">
        <f t="shared" si="80"/>
        <v>0.19892488097366726</v>
      </c>
      <c r="BN116" s="713">
        <f t="shared" si="81"/>
        <v>0.26585903447659598</v>
      </c>
      <c r="BO116" s="713">
        <f t="shared" si="82"/>
        <v>8.9228108703258049E-2</v>
      </c>
      <c r="BP116" s="713">
        <f t="shared" si="83"/>
        <v>0</v>
      </c>
      <c r="BQ116" s="713">
        <f t="shared" si="84"/>
        <v>0</v>
      </c>
      <c r="BR116" s="713">
        <f t="shared" si="85"/>
        <v>0</v>
      </c>
      <c r="BS116" s="713">
        <f t="shared" si="86"/>
        <v>0.4459879758464787</v>
      </c>
      <c r="BT116" s="658">
        <f t="shared" si="87"/>
        <v>1</v>
      </c>
      <c r="BV116" s="671">
        <f t="shared" si="28"/>
        <v>69.867874586687819</v>
      </c>
      <c r="BW116" s="713">
        <f t="shared" si="66"/>
        <v>0.54172635302405558</v>
      </c>
      <c r="BX116" s="696">
        <f t="shared" si="29"/>
        <v>27.507875610412093</v>
      </c>
      <c r="BY116" s="671">
        <f t="shared" si="30"/>
        <v>70.352452673506306</v>
      </c>
      <c r="BZ116" s="713">
        <f t="shared" si="67"/>
        <v>0.44262019563431099</v>
      </c>
      <c r="CA116" s="696">
        <f t="shared" si="31"/>
        <v>48.694518386230293</v>
      </c>
      <c r="CB116" s="713">
        <f t="shared" si="32"/>
        <v>0.53970416528179432</v>
      </c>
      <c r="CC116" s="713">
        <f t="shared" si="33"/>
        <v>0.45796927400312193</v>
      </c>
      <c r="CD116" s="713">
        <f t="shared" si="34"/>
        <v>0.53970416528179432</v>
      </c>
      <c r="CE116" s="1001">
        <f t="shared" si="35"/>
        <v>0.85</v>
      </c>
    </row>
    <row r="117" spans="1:83">
      <c r="A117" s="127">
        <f>'Input data'!A137</f>
        <v>2039</v>
      </c>
      <c r="B117" s="828">
        <f>'Input data'!B137</f>
        <v>70.856999999999999</v>
      </c>
      <c r="C117" s="238">
        <f>'Input data'!C137</f>
        <v>4728.5300000000007</v>
      </c>
      <c r="D117" s="239">
        <f>'Input data'!D137</f>
        <v>24152264.081533</v>
      </c>
      <c r="E117" s="805">
        <f t="shared" si="36"/>
        <v>0.90493333333333303</v>
      </c>
      <c r="F117" s="510">
        <f t="shared" si="37"/>
        <v>0.3413666666666666</v>
      </c>
      <c r="G117" s="672">
        <f>B117*F117*'Input data'!$C$9</f>
        <v>740.33029234961748</v>
      </c>
      <c r="H117" s="654">
        <f>'Input data'!I137</f>
        <v>424.26313389388866</v>
      </c>
      <c r="I117" s="673">
        <f>'Input data'!K137</f>
        <v>30062.01287831927</v>
      </c>
      <c r="J117" s="673">
        <f t="shared" si="95"/>
        <v>63.092129655541733</v>
      </c>
      <c r="K117" s="674">
        <f t="shared" si="13"/>
        <v>134.07077551802618</v>
      </c>
      <c r="L117" s="510">
        <f t="shared" si="91"/>
        <v>0.57999999999999996</v>
      </c>
      <c r="M117" s="510">
        <f t="shared" si="92"/>
        <v>0.437</v>
      </c>
      <c r="N117" s="510">
        <f t="shared" si="93"/>
        <v>0.71200000000000008</v>
      </c>
      <c r="O117" s="510">
        <f t="shared" si="94"/>
        <v>0.8</v>
      </c>
      <c r="P117" s="510">
        <f t="shared" si="94"/>
        <v>0.23600000000000002</v>
      </c>
      <c r="Q117" s="654">
        <f t="shared" si="43"/>
        <v>21.956594277323916</v>
      </c>
      <c r="R117" s="673">
        <f t="shared" si="14"/>
        <v>8.498893173320921</v>
      </c>
      <c r="S117" s="673">
        <f t="shared" si="15"/>
        <v>35.157920176424213</v>
      </c>
      <c r="T117" s="673">
        <f t="shared" si="16"/>
        <v>50.006188746360976</v>
      </c>
      <c r="U117" s="673">
        <f t="shared" si="17"/>
        <v>0.67710709475193609</v>
      </c>
      <c r="V117" s="1422">
        <f t="shared" si="18"/>
        <v>116.29670346818196</v>
      </c>
      <c r="W117" s="805">
        <f t="shared" si="88"/>
        <v>0.5</v>
      </c>
      <c r="X117" s="671">
        <f t="shared" si="19"/>
        <v>53.669159952994768</v>
      </c>
      <c r="Y117" s="671">
        <f t="shared" si="20"/>
        <v>53.669159952994768</v>
      </c>
      <c r="Z117" s="672">
        <f t="shared" si="21"/>
        <v>143.49374522057315</v>
      </c>
      <c r="AA117" s="673">
        <f t="shared" si="22"/>
        <v>80.40161556503142</v>
      </c>
      <c r="AB117" s="893">
        <f t="shared" si="23"/>
        <v>0.56031442653783348</v>
      </c>
      <c r="AC117" s="135" t="str">
        <f t="shared" si="44"/>
        <v>Policies met</v>
      </c>
      <c r="AD117" s="1353">
        <f t="shared" si="45"/>
        <v>0.56031442653783348</v>
      </c>
      <c r="AE117" s="135" t="str">
        <f t="shared" si="46"/>
        <v>No</v>
      </c>
      <c r="AF117" s="1420">
        <f t="shared" si="47"/>
        <v>186.54237932499038</v>
      </c>
      <c r="AG117" s="118">
        <f t="shared" si="48"/>
        <v>63.092129655541726</v>
      </c>
      <c r="AH117" s="118">
        <f t="shared" si="24"/>
        <v>51.133982756167114</v>
      </c>
      <c r="AI117" s="118">
        <f t="shared" si="25"/>
        <v>49.65728478987279</v>
      </c>
      <c r="AJ117" s="118">
        <f t="shared" si="26"/>
        <v>22.658982123408766</v>
      </c>
      <c r="AK117" s="118">
        <f t="shared" si="49"/>
        <v>186.54237932499041</v>
      </c>
      <c r="AL117" s="910">
        <f t="shared" si="27"/>
        <v>0</v>
      </c>
      <c r="AM117" s="805">
        <f t="shared" si="50"/>
        <v>0.33821874623794668</v>
      </c>
      <c r="AN117" s="510">
        <f t="shared" si="51"/>
        <v>0.274114562820508</v>
      </c>
      <c r="AO117" s="510">
        <f t="shared" si="52"/>
        <v>0.26619841008546835</v>
      </c>
      <c r="AP117" s="510">
        <f t="shared" si="53"/>
        <v>0.12146828085607689</v>
      </c>
      <c r="AQ117" s="510">
        <f t="shared" si="54"/>
        <v>0.99999999999999989</v>
      </c>
      <c r="AR117" s="916">
        <f t="shared" si="69"/>
        <v>9.0078721299982725</v>
      </c>
      <c r="AS117" s="917">
        <f t="shared" si="70"/>
        <v>14.589683241166966</v>
      </c>
      <c r="AT117" s="917">
        <f t="shared" si="71"/>
        <v>5.1145388959081668</v>
      </c>
      <c r="AU117" s="917">
        <f t="shared" si="72"/>
        <v>0</v>
      </c>
      <c r="AV117" s="917">
        <f t="shared" si="73"/>
        <v>0</v>
      </c>
      <c r="AW117" s="917">
        <f t="shared" si="74"/>
        <v>0</v>
      </c>
      <c r="AX117" s="1338">
        <f t="shared" si="75"/>
        <v>21.769205470298854</v>
      </c>
      <c r="AY117" s="917">
        <f t="shared" si="76"/>
        <v>3.1473307736958898</v>
      </c>
      <c r="AZ117" s="917">
        <f t="shared" si="77"/>
        <v>4.5746290331517248</v>
      </c>
      <c r="BA117" s="917">
        <f t="shared" si="78"/>
        <v>4.021462066693009</v>
      </c>
      <c r="BB117" s="917">
        <f t="shared" si="79"/>
        <v>0.86740804462880616</v>
      </c>
      <c r="BC117" s="673">
        <f t="shared" si="55"/>
        <v>63.092129655541683</v>
      </c>
      <c r="BD117" s="922">
        <f t="shared" si="56"/>
        <v>0</v>
      </c>
      <c r="BE117" s="840">
        <f t="shared" si="57"/>
        <v>0.14277330911442879</v>
      </c>
      <c r="BF117" s="535">
        <f t="shared" si="58"/>
        <v>0.23124410795484196</v>
      </c>
      <c r="BG117" s="535">
        <f t="shared" si="59"/>
        <v>8.1064610179297253E-2</v>
      </c>
      <c r="BH117" s="535">
        <f t="shared" si="60"/>
        <v>0</v>
      </c>
      <c r="BI117" s="535">
        <f t="shared" si="61"/>
        <v>0</v>
      </c>
      <c r="BJ117" s="535">
        <f t="shared" si="62"/>
        <v>0</v>
      </c>
      <c r="BK117" s="535">
        <f t="shared" si="63"/>
        <v>0.54491797275143206</v>
      </c>
      <c r="BL117" s="1342">
        <f t="shared" si="64"/>
        <v>1</v>
      </c>
      <c r="BM117" s="1237">
        <f t="shared" si="80"/>
        <v>0.19892488097366726</v>
      </c>
      <c r="BN117" s="713">
        <f t="shared" si="81"/>
        <v>0.26585903447659598</v>
      </c>
      <c r="BO117" s="713">
        <f t="shared" si="82"/>
        <v>8.9228108703258049E-2</v>
      </c>
      <c r="BP117" s="713">
        <f t="shared" si="83"/>
        <v>0</v>
      </c>
      <c r="BQ117" s="713">
        <f t="shared" si="84"/>
        <v>0</v>
      </c>
      <c r="BR117" s="713">
        <f t="shared" si="85"/>
        <v>0</v>
      </c>
      <c r="BS117" s="713">
        <f t="shared" si="86"/>
        <v>0.4459879758464787</v>
      </c>
      <c r="BT117" s="658">
        <f t="shared" si="87"/>
        <v>1</v>
      </c>
      <c r="BV117" s="671">
        <f t="shared" si="28"/>
        <v>69.740482867890861</v>
      </c>
      <c r="BW117" s="713">
        <f t="shared" si="66"/>
        <v>0.55318668023921835</v>
      </c>
      <c r="BX117" s="696">
        <f t="shared" si="29"/>
        <v>24.152264081533001</v>
      </c>
      <c r="BY117" s="671">
        <f t="shared" si="30"/>
        <v>70.072450955254197</v>
      </c>
      <c r="BZ117" s="713">
        <f t="shared" si="67"/>
        <v>0.43745858606897259</v>
      </c>
      <c r="CA117" s="696">
        <f t="shared" si="31"/>
        <v>48.694518386230293</v>
      </c>
      <c r="CB117" s="713">
        <f t="shared" si="32"/>
        <v>0.56031442653783348</v>
      </c>
      <c r="CC117" s="713">
        <f t="shared" si="33"/>
        <v>0.40496338404203602</v>
      </c>
      <c r="CD117" s="713">
        <f t="shared" si="34"/>
        <v>0.56031442653783348</v>
      </c>
      <c r="CE117" s="1001">
        <f t="shared" si="35"/>
        <v>0.85</v>
      </c>
    </row>
    <row r="118" spans="1:83">
      <c r="A118" s="127">
        <f>'Input data'!A138</f>
        <v>2040</v>
      </c>
      <c r="B118" s="828">
        <f>'Input data'!B138</f>
        <v>71.375</v>
      </c>
      <c r="C118" s="238">
        <f>'Input data'!C138</f>
        <v>4875.51</v>
      </c>
      <c r="D118" s="239">
        <f>'Input data'!D138</f>
        <v>20794956.942987975</v>
      </c>
      <c r="E118" s="805">
        <f t="shared" si="36"/>
        <v>0.91357575757575726</v>
      </c>
      <c r="F118" s="510">
        <f t="shared" si="37"/>
        <v>0.3437196969696969</v>
      </c>
      <c r="G118" s="672">
        <f>B118*F118*'Input data'!$C$9</f>
        <v>750.88285667877574</v>
      </c>
      <c r="H118" s="654">
        <f>'Input data'!I138</f>
        <v>424.26313389388866</v>
      </c>
      <c r="I118" s="673">
        <f>'Input data'!K138</f>
        <v>30281.781181676302</v>
      </c>
      <c r="J118" s="673">
        <f t="shared" si="95"/>
        <v>60.134686077938213</v>
      </c>
      <c r="K118" s="674">
        <f t="shared" si="13"/>
        <v>137.02821909562971</v>
      </c>
      <c r="L118" s="510">
        <f t="shared" si="91"/>
        <v>0.57999999999999996</v>
      </c>
      <c r="M118" s="510">
        <f t="shared" si="92"/>
        <v>0.437</v>
      </c>
      <c r="N118" s="510">
        <f t="shared" si="93"/>
        <v>0.71200000000000008</v>
      </c>
      <c r="O118" s="510">
        <f t="shared" si="94"/>
        <v>0.8</v>
      </c>
      <c r="P118" s="510">
        <f t="shared" si="94"/>
        <v>0.23600000000000002</v>
      </c>
      <c r="Q118" s="654">
        <f t="shared" si="43"/>
        <v>21.956594277323916</v>
      </c>
      <c r="R118" s="673">
        <f t="shared" si="14"/>
        <v>8.498893173320921</v>
      </c>
      <c r="S118" s="673">
        <f t="shared" si="15"/>
        <v>35.157920176424213</v>
      </c>
      <c r="T118" s="673">
        <f t="shared" si="16"/>
        <v>50.006188746360976</v>
      </c>
      <c r="U118" s="673">
        <f t="shared" si="17"/>
        <v>0.67710709475193609</v>
      </c>
      <c r="V118" s="1422">
        <f t="shared" si="18"/>
        <v>116.29670346818196</v>
      </c>
      <c r="W118" s="805">
        <f t="shared" si="88"/>
        <v>0.5</v>
      </c>
      <c r="X118" s="671">
        <f t="shared" si="19"/>
        <v>53.669159952994768</v>
      </c>
      <c r="Y118" s="671">
        <f t="shared" si="20"/>
        <v>53.669159952994768</v>
      </c>
      <c r="Z118" s="672">
        <f t="shared" si="21"/>
        <v>143.49374522057315</v>
      </c>
      <c r="AA118" s="673">
        <f t="shared" si="22"/>
        <v>83.359059142634948</v>
      </c>
      <c r="AB118" s="893">
        <f t="shared" si="23"/>
        <v>0.58092468779387252</v>
      </c>
      <c r="AC118" s="135" t="str">
        <f t="shared" si="44"/>
        <v>Policies met</v>
      </c>
      <c r="AD118" s="1353">
        <f t="shared" si="45"/>
        <v>0.58092468779387252</v>
      </c>
      <c r="AE118" s="135" t="str">
        <f t="shared" si="46"/>
        <v>No</v>
      </c>
      <c r="AF118" s="1420">
        <f t="shared" si="47"/>
        <v>177.79820529413146</v>
      </c>
      <c r="AG118" s="118">
        <f t="shared" si="48"/>
        <v>60.134686077938198</v>
      </c>
      <c r="AH118" s="118">
        <f t="shared" si="24"/>
        <v>48.737077314471783</v>
      </c>
      <c r="AI118" s="118">
        <f t="shared" si="25"/>
        <v>47.329599565347507</v>
      </c>
      <c r="AJ118" s="118">
        <f t="shared" si="26"/>
        <v>21.596842336373982</v>
      </c>
      <c r="AK118" s="118">
        <f t="shared" si="49"/>
        <v>177.79820529413146</v>
      </c>
      <c r="AL118" s="910">
        <f t="shared" si="27"/>
        <v>0</v>
      </c>
      <c r="AM118" s="805">
        <f t="shared" si="50"/>
        <v>0.33821874623794668</v>
      </c>
      <c r="AN118" s="510">
        <f t="shared" si="51"/>
        <v>0.27411456282050806</v>
      </c>
      <c r="AO118" s="510">
        <f t="shared" si="52"/>
        <v>0.26619841008546841</v>
      </c>
      <c r="AP118" s="510">
        <f t="shared" si="53"/>
        <v>0.12146828085607692</v>
      </c>
      <c r="AQ118" s="510">
        <f t="shared" si="54"/>
        <v>1</v>
      </c>
      <c r="AR118" s="916">
        <f t="shared" si="69"/>
        <v>8.5856281239046037</v>
      </c>
      <c r="AS118" s="917">
        <f t="shared" si="70"/>
        <v>13.905791839237265</v>
      </c>
      <c r="AT118" s="917">
        <f t="shared" si="71"/>
        <v>4.8747948851624718</v>
      </c>
      <c r="AU118" s="917">
        <f t="shared" si="72"/>
        <v>0</v>
      </c>
      <c r="AV118" s="917">
        <f t="shared" si="73"/>
        <v>0</v>
      </c>
      <c r="AW118" s="917">
        <f t="shared" si="74"/>
        <v>0</v>
      </c>
      <c r="AX118" s="1338">
        <f t="shared" si="75"/>
        <v>20.748773963878595</v>
      </c>
      <c r="AY118" s="917">
        <f t="shared" si="76"/>
        <v>2.999799643678895</v>
      </c>
      <c r="AZ118" s="917">
        <f t="shared" si="77"/>
        <v>4.3601932972227377</v>
      </c>
      <c r="BA118" s="917">
        <f t="shared" si="78"/>
        <v>3.8329560323167744</v>
      </c>
      <c r="BB118" s="917">
        <f t="shared" si="79"/>
        <v>0.82674829253683091</v>
      </c>
      <c r="BC118" s="673">
        <f t="shared" si="55"/>
        <v>60.134686077938177</v>
      </c>
      <c r="BD118" s="922">
        <f t="shared" si="56"/>
        <v>0</v>
      </c>
      <c r="BE118" s="840">
        <f t="shared" si="57"/>
        <v>0.14277330911442876</v>
      </c>
      <c r="BF118" s="535">
        <f t="shared" si="58"/>
        <v>0.23124410795484193</v>
      </c>
      <c r="BG118" s="535">
        <f t="shared" si="59"/>
        <v>8.1064610179297253E-2</v>
      </c>
      <c r="BH118" s="535">
        <f t="shared" si="60"/>
        <v>0</v>
      </c>
      <c r="BI118" s="535">
        <f t="shared" si="61"/>
        <v>0</v>
      </c>
      <c r="BJ118" s="535">
        <f t="shared" si="62"/>
        <v>0</v>
      </c>
      <c r="BK118" s="535">
        <f t="shared" si="63"/>
        <v>0.54491797275143194</v>
      </c>
      <c r="BL118" s="1342">
        <f t="shared" si="64"/>
        <v>0.99999999999999989</v>
      </c>
      <c r="BM118" s="1237">
        <f t="shared" si="80"/>
        <v>0.19892488097366726</v>
      </c>
      <c r="BN118" s="713">
        <f t="shared" si="81"/>
        <v>0.26585903447659598</v>
      </c>
      <c r="BO118" s="713">
        <f t="shared" si="82"/>
        <v>8.9228108703258049E-2</v>
      </c>
      <c r="BP118" s="713">
        <f t="shared" si="83"/>
        <v>0</v>
      </c>
      <c r="BQ118" s="713">
        <f t="shared" si="84"/>
        <v>0</v>
      </c>
      <c r="BR118" s="713">
        <f t="shared" si="85"/>
        <v>0</v>
      </c>
      <c r="BS118" s="713">
        <f t="shared" si="86"/>
        <v>0.4459879758464787</v>
      </c>
      <c r="BT118" s="658">
        <f t="shared" si="87"/>
        <v>1</v>
      </c>
      <c r="BV118" s="671">
        <f t="shared" si="28"/>
        <v>69.661606635709248</v>
      </c>
      <c r="BW118" s="713">
        <f t="shared" si="66"/>
        <v>0.56475457421010911</v>
      </c>
      <c r="BX118" s="696">
        <f t="shared" si="29"/>
        <v>20.794956942987973</v>
      </c>
      <c r="BY118" s="671">
        <f t="shared" si="30"/>
        <v>69.798610202826168</v>
      </c>
      <c r="BZ118" s="713">
        <f t="shared" si="67"/>
        <v>0.43222298183341767</v>
      </c>
      <c r="CA118" s="696">
        <f t="shared" si="31"/>
        <v>48.694518386230293</v>
      </c>
      <c r="CB118" s="713">
        <f t="shared" si="32"/>
        <v>0.58092468779387252</v>
      </c>
      <c r="CC118" s="713">
        <f t="shared" si="33"/>
        <v>0.35504992436548627</v>
      </c>
      <c r="CD118" s="713">
        <f t="shared" si="34"/>
        <v>0.58092468779387252</v>
      </c>
      <c r="CE118" s="1001">
        <f t="shared" si="35"/>
        <v>0.85</v>
      </c>
    </row>
    <row r="119" spans="1:83">
      <c r="A119" s="127">
        <f>'Input data'!A139</f>
        <v>2041</v>
      </c>
      <c r="B119" s="828">
        <f>'Input data'!B139</f>
        <v>71.819000000000003</v>
      </c>
      <c r="C119" s="238">
        <f>'Input data'!C139</f>
        <v>5028.54</v>
      </c>
      <c r="D119" s="239">
        <f>'Input data'!D139</f>
        <v>19523249.693539102</v>
      </c>
      <c r="E119" s="805">
        <f t="shared" si="36"/>
        <v>0.92221818181818149</v>
      </c>
      <c r="F119" s="510">
        <f t="shared" si="37"/>
        <v>0.3460727272727272</v>
      </c>
      <c r="G119" s="672">
        <f>B119*F119*'Input data'!$C$9</f>
        <v>760.7262051045102</v>
      </c>
      <c r="H119" s="654">
        <f>'Input data'!I139</f>
        <v>424.26313389388866</v>
      </c>
      <c r="I119" s="673">
        <f>'Input data'!K139</f>
        <v>30470.15401312519</v>
      </c>
      <c r="J119" s="673">
        <f t="shared" si="95"/>
        <v>57.177242500334692</v>
      </c>
      <c r="K119" s="674">
        <f t="shared" si="13"/>
        <v>139.98566267323321</v>
      </c>
      <c r="L119" s="510">
        <f t="shared" si="91"/>
        <v>0.57999999999999996</v>
      </c>
      <c r="M119" s="510">
        <f t="shared" si="92"/>
        <v>0.437</v>
      </c>
      <c r="N119" s="510">
        <f t="shared" si="93"/>
        <v>0.71200000000000008</v>
      </c>
      <c r="O119" s="510">
        <f t="shared" si="94"/>
        <v>0.8</v>
      </c>
      <c r="P119" s="510">
        <f t="shared" si="94"/>
        <v>0.23600000000000002</v>
      </c>
      <c r="Q119" s="654">
        <f t="shared" si="43"/>
        <v>21.956594277323916</v>
      </c>
      <c r="R119" s="673">
        <f t="shared" si="14"/>
        <v>8.498893173320921</v>
      </c>
      <c r="S119" s="673">
        <f t="shared" si="15"/>
        <v>35.157920176424213</v>
      </c>
      <c r="T119" s="673">
        <f t="shared" si="16"/>
        <v>50.006188746360976</v>
      </c>
      <c r="U119" s="673">
        <f t="shared" si="17"/>
        <v>0.67710709475193609</v>
      </c>
      <c r="V119" s="1422">
        <f t="shared" si="18"/>
        <v>116.29670346818196</v>
      </c>
      <c r="W119" s="805">
        <f t="shared" si="88"/>
        <v>0.5</v>
      </c>
      <c r="X119" s="671">
        <f t="shared" si="19"/>
        <v>53.669159952994768</v>
      </c>
      <c r="Y119" s="671">
        <f t="shared" si="20"/>
        <v>53.669159952994768</v>
      </c>
      <c r="Z119" s="672">
        <f t="shared" si="21"/>
        <v>143.49374522057315</v>
      </c>
      <c r="AA119" s="673">
        <f t="shared" si="22"/>
        <v>86.316502720238446</v>
      </c>
      <c r="AB119" s="893">
        <f t="shared" si="23"/>
        <v>0.60153494904991145</v>
      </c>
      <c r="AC119" s="135" t="str">
        <f t="shared" si="44"/>
        <v>Policies met</v>
      </c>
      <c r="AD119" s="1353">
        <f t="shared" si="45"/>
        <v>0.60153494904991145</v>
      </c>
      <c r="AE119" s="135" t="str">
        <f t="shared" si="46"/>
        <v>No</v>
      </c>
      <c r="AF119" s="1420">
        <f t="shared" si="47"/>
        <v>169.05403126327258</v>
      </c>
      <c r="AG119" s="118">
        <f t="shared" si="48"/>
        <v>57.1772425003347</v>
      </c>
      <c r="AH119" s="118">
        <f t="shared" si="24"/>
        <v>46.340171872776466</v>
      </c>
      <c r="AI119" s="118">
        <f t="shared" si="25"/>
        <v>45.001914340822232</v>
      </c>
      <c r="AJ119" s="118">
        <f t="shared" si="26"/>
        <v>20.534702549339201</v>
      </c>
      <c r="AK119" s="118">
        <f t="shared" si="49"/>
        <v>169.05403126327258</v>
      </c>
      <c r="AL119" s="910">
        <f t="shared" si="27"/>
        <v>0</v>
      </c>
      <c r="AM119" s="805">
        <f t="shared" si="50"/>
        <v>0.33821874623794673</v>
      </c>
      <c r="AN119" s="510">
        <f t="shared" si="51"/>
        <v>0.27411456282050806</v>
      </c>
      <c r="AO119" s="510">
        <f t="shared" si="52"/>
        <v>0.26619841008546841</v>
      </c>
      <c r="AP119" s="510">
        <f t="shared" si="53"/>
        <v>0.12146828085607692</v>
      </c>
      <c r="AQ119" s="510">
        <f t="shared" si="54"/>
        <v>1.0000000000000002</v>
      </c>
      <c r="AR119" s="916">
        <f t="shared" si="69"/>
        <v>8.1633841178109368</v>
      </c>
      <c r="AS119" s="917">
        <f t="shared" si="70"/>
        <v>13.221900437307568</v>
      </c>
      <c r="AT119" s="917">
        <f t="shared" si="71"/>
        <v>4.6350508744167778</v>
      </c>
      <c r="AU119" s="917">
        <f t="shared" si="72"/>
        <v>0</v>
      </c>
      <c r="AV119" s="917">
        <f t="shared" si="73"/>
        <v>0</v>
      </c>
      <c r="AW119" s="917">
        <f t="shared" si="74"/>
        <v>0</v>
      </c>
      <c r="AX119" s="1338">
        <f t="shared" si="75"/>
        <v>19.728342457458343</v>
      </c>
      <c r="AY119" s="917">
        <f t="shared" si="76"/>
        <v>2.852268513661901</v>
      </c>
      <c r="AZ119" s="917">
        <f t="shared" si="77"/>
        <v>4.1457575612937516</v>
      </c>
      <c r="BA119" s="917">
        <f t="shared" si="78"/>
        <v>3.6444499979405407</v>
      </c>
      <c r="BB119" s="917">
        <f t="shared" si="79"/>
        <v>0.78608854044485588</v>
      </c>
      <c r="BC119" s="673">
        <f t="shared" si="55"/>
        <v>57.177242500334664</v>
      </c>
      <c r="BD119" s="922">
        <f t="shared" si="56"/>
        <v>0</v>
      </c>
      <c r="BE119" s="840">
        <f t="shared" si="57"/>
        <v>0.14277330911442879</v>
      </c>
      <c r="BF119" s="535">
        <f t="shared" si="58"/>
        <v>0.23124410795484199</v>
      </c>
      <c r="BG119" s="535">
        <f t="shared" si="59"/>
        <v>8.1064610179297267E-2</v>
      </c>
      <c r="BH119" s="535">
        <f t="shared" si="60"/>
        <v>0</v>
      </c>
      <c r="BI119" s="535">
        <f t="shared" si="61"/>
        <v>0</v>
      </c>
      <c r="BJ119" s="535">
        <f t="shared" si="62"/>
        <v>0</v>
      </c>
      <c r="BK119" s="535">
        <f t="shared" si="63"/>
        <v>0.54491797275143217</v>
      </c>
      <c r="BL119" s="1342">
        <f t="shared" si="64"/>
        <v>1.0000000000000002</v>
      </c>
      <c r="BM119" s="1237">
        <f t="shared" si="80"/>
        <v>0.19892488097366726</v>
      </c>
      <c r="BN119" s="713">
        <f t="shared" si="81"/>
        <v>0.26585903447659598</v>
      </c>
      <c r="BO119" s="713">
        <f t="shared" si="82"/>
        <v>8.9228108703258049E-2</v>
      </c>
      <c r="BP119" s="713">
        <f t="shared" si="83"/>
        <v>0</v>
      </c>
      <c r="BQ119" s="713">
        <f t="shared" si="84"/>
        <v>0</v>
      </c>
      <c r="BR119" s="713">
        <f t="shared" si="85"/>
        <v>0</v>
      </c>
      <c r="BS119" s="713">
        <f t="shared" si="86"/>
        <v>0.4459879758464787</v>
      </c>
      <c r="BT119" s="658">
        <f t="shared" si="87"/>
        <v>1</v>
      </c>
      <c r="BV119" s="671">
        <f t="shared" si="28"/>
        <v>67.874480314224073</v>
      </c>
      <c r="BW119" s="713">
        <f t="shared" si="66"/>
        <v>0.5661633859114642</v>
      </c>
      <c r="BX119" s="696">
        <f t="shared" si="29"/>
        <v>19.523249693539103</v>
      </c>
      <c r="BY119" s="671">
        <f t="shared" si="30"/>
        <v>69.513641068718314</v>
      </c>
      <c r="BZ119" s="713">
        <f t="shared" si="67"/>
        <v>0.42677042425305711</v>
      </c>
      <c r="CA119" s="696">
        <f t="shared" si="31"/>
        <v>48.694518386230293</v>
      </c>
      <c r="CB119" s="713">
        <f t="shared" si="32"/>
        <v>0.60153494904991145</v>
      </c>
      <c r="CC119" s="713">
        <f t="shared" si="33"/>
        <v>0.37409581493084543</v>
      </c>
      <c r="CD119" s="713">
        <f t="shared" si="34"/>
        <v>0.60153494904991145</v>
      </c>
      <c r="CE119" s="1001">
        <f t="shared" si="35"/>
        <v>0.85</v>
      </c>
    </row>
    <row r="120" spans="1:83">
      <c r="A120" s="127">
        <f>'Input data'!A140</f>
        <v>2042</v>
      </c>
      <c r="B120" s="828">
        <f>'Input data'!B140</f>
        <v>72.265000000000001</v>
      </c>
      <c r="C120" s="238">
        <f>'Input data'!C140</f>
        <v>5188.1000000000004</v>
      </c>
      <c r="D120" s="239">
        <f>'Input data'!D140</f>
        <v>18251542.444090229</v>
      </c>
      <c r="E120" s="805">
        <f t="shared" si="36"/>
        <v>0.93086060606060572</v>
      </c>
      <c r="F120" s="510">
        <f t="shared" si="37"/>
        <v>0.3484257575757575</v>
      </c>
      <c r="G120" s="672">
        <f>B120*F120*'Input data'!$C$9</f>
        <v>770.65483528643074</v>
      </c>
      <c r="H120" s="654">
        <f>'Input data'!I140</f>
        <v>424.26313389388866</v>
      </c>
      <c r="I120" s="673">
        <f>'Input data'!K140</f>
        <v>30659.375370841866</v>
      </c>
      <c r="J120" s="673">
        <f t="shared" si="95"/>
        <v>54.219798922731172</v>
      </c>
      <c r="K120" s="674">
        <f t="shared" si="13"/>
        <v>142.94310625083673</v>
      </c>
      <c r="L120" s="510">
        <f t="shared" si="91"/>
        <v>0.57999999999999996</v>
      </c>
      <c r="M120" s="510">
        <f t="shared" si="92"/>
        <v>0.437</v>
      </c>
      <c r="N120" s="510">
        <f t="shared" si="93"/>
        <v>0.71200000000000008</v>
      </c>
      <c r="O120" s="510">
        <f t="shared" si="94"/>
        <v>0.8</v>
      </c>
      <c r="P120" s="510">
        <f t="shared" si="94"/>
        <v>0.23600000000000002</v>
      </c>
      <c r="Q120" s="654">
        <f t="shared" si="43"/>
        <v>21.956594277323916</v>
      </c>
      <c r="R120" s="673">
        <f t="shared" si="14"/>
        <v>8.498893173320921</v>
      </c>
      <c r="S120" s="673">
        <f t="shared" si="15"/>
        <v>35.157920176424213</v>
      </c>
      <c r="T120" s="673">
        <f t="shared" si="16"/>
        <v>50.006188746360976</v>
      </c>
      <c r="U120" s="673">
        <f t="shared" si="17"/>
        <v>0.67710709475193609</v>
      </c>
      <c r="V120" s="1422">
        <f t="shared" si="18"/>
        <v>116.29670346818196</v>
      </c>
      <c r="W120" s="805">
        <f t="shared" si="88"/>
        <v>0.5</v>
      </c>
      <c r="X120" s="671">
        <f t="shared" si="19"/>
        <v>53.669159952994768</v>
      </c>
      <c r="Y120" s="671">
        <f t="shared" si="20"/>
        <v>53.669159952994768</v>
      </c>
      <c r="Z120" s="672">
        <f t="shared" si="21"/>
        <v>143.49374522057315</v>
      </c>
      <c r="AA120" s="673">
        <f t="shared" si="22"/>
        <v>89.273946297841974</v>
      </c>
      <c r="AB120" s="893">
        <f t="shared" si="23"/>
        <v>0.6221452103059506</v>
      </c>
      <c r="AC120" s="135" t="str">
        <f t="shared" si="44"/>
        <v>Policies met</v>
      </c>
      <c r="AD120" s="1353">
        <f t="shared" si="45"/>
        <v>0.6221452103059506</v>
      </c>
      <c r="AE120" s="135" t="str">
        <f t="shared" si="46"/>
        <v>No</v>
      </c>
      <c r="AF120" s="1420">
        <f t="shared" si="47"/>
        <v>160.30985723241363</v>
      </c>
      <c r="AG120" s="118">
        <f t="shared" si="48"/>
        <v>54.219798922731172</v>
      </c>
      <c r="AH120" s="118">
        <f t="shared" si="24"/>
        <v>43.943266431081121</v>
      </c>
      <c r="AI120" s="118">
        <f t="shared" si="25"/>
        <v>42.674229116296935</v>
      </c>
      <c r="AJ120" s="118">
        <f t="shared" si="26"/>
        <v>19.47256276230441</v>
      </c>
      <c r="AK120" s="118">
        <f t="shared" si="49"/>
        <v>160.30985723241366</v>
      </c>
      <c r="AL120" s="910">
        <f t="shared" si="27"/>
        <v>0</v>
      </c>
      <c r="AM120" s="805">
        <f t="shared" si="50"/>
        <v>0.33821874623794662</v>
      </c>
      <c r="AN120" s="510">
        <f t="shared" si="51"/>
        <v>0.274114562820508</v>
      </c>
      <c r="AO120" s="510">
        <f t="shared" si="52"/>
        <v>0.26619841008546835</v>
      </c>
      <c r="AP120" s="510">
        <f t="shared" si="53"/>
        <v>0.12146828085607687</v>
      </c>
      <c r="AQ120" s="510">
        <f t="shared" si="54"/>
        <v>0.99999999999999989</v>
      </c>
      <c r="AR120" s="916">
        <f t="shared" si="69"/>
        <v>7.7411401117172653</v>
      </c>
      <c r="AS120" s="917">
        <f t="shared" si="70"/>
        <v>12.538009035377863</v>
      </c>
      <c r="AT120" s="917">
        <f t="shared" si="71"/>
        <v>4.3953068636710819</v>
      </c>
      <c r="AU120" s="917">
        <f t="shared" si="72"/>
        <v>0</v>
      </c>
      <c r="AV120" s="917">
        <f t="shared" si="73"/>
        <v>0</v>
      </c>
      <c r="AW120" s="917">
        <f t="shared" si="74"/>
        <v>0</v>
      </c>
      <c r="AX120" s="1338">
        <f t="shared" si="75"/>
        <v>18.707910951038077</v>
      </c>
      <c r="AY120" s="917">
        <f t="shared" si="76"/>
        <v>2.7047373836449053</v>
      </c>
      <c r="AZ120" s="917">
        <f t="shared" si="77"/>
        <v>3.9313218253647637</v>
      </c>
      <c r="BA120" s="917">
        <f t="shared" si="78"/>
        <v>3.4559439635643048</v>
      </c>
      <c r="BB120" s="917">
        <f t="shared" si="79"/>
        <v>0.7454287883528804</v>
      </c>
      <c r="BC120" s="673">
        <f t="shared" si="55"/>
        <v>54.219798922731137</v>
      </c>
      <c r="BD120" s="922">
        <f t="shared" si="56"/>
        <v>0</v>
      </c>
      <c r="BE120" s="840">
        <f t="shared" si="57"/>
        <v>0.14277330911442879</v>
      </c>
      <c r="BF120" s="535">
        <f t="shared" si="58"/>
        <v>0.23124410795484196</v>
      </c>
      <c r="BG120" s="535">
        <f t="shared" si="59"/>
        <v>8.1064610179297281E-2</v>
      </c>
      <c r="BH120" s="535">
        <f t="shared" si="60"/>
        <v>0</v>
      </c>
      <c r="BI120" s="535">
        <f t="shared" si="61"/>
        <v>0</v>
      </c>
      <c r="BJ120" s="535">
        <f t="shared" si="62"/>
        <v>0</v>
      </c>
      <c r="BK120" s="535">
        <f t="shared" si="63"/>
        <v>0.54491797275143206</v>
      </c>
      <c r="BL120" s="1342">
        <f t="shared" si="64"/>
        <v>1</v>
      </c>
      <c r="BM120" s="1237">
        <f t="shared" si="80"/>
        <v>0.19892488097366726</v>
      </c>
      <c r="BN120" s="713">
        <f t="shared" si="81"/>
        <v>0.26585903447659598</v>
      </c>
      <c r="BO120" s="713">
        <f t="shared" si="82"/>
        <v>8.9228108703258049E-2</v>
      </c>
      <c r="BP120" s="713">
        <f t="shared" si="83"/>
        <v>0</v>
      </c>
      <c r="BQ120" s="713">
        <f t="shared" si="84"/>
        <v>0</v>
      </c>
      <c r="BR120" s="713">
        <f t="shared" si="85"/>
        <v>0</v>
      </c>
      <c r="BS120" s="713">
        <f t="shared" si="86"/>
        <v>0.4459879758464787</v>
      </c>
      <c r="BT120" s="658">
        <f t="shared" si="87"/>
        <v>1</v>
      </c>
      <c r="BV120" s="671">
        <f t="shared" si="28"/>
        <v>66.137217106494901</v>
      </c>
      <c r="BW120" s="713">
        <f t="shared" si="66"/>
        <v>0.56753797761961333</v>
      </c>
      <c r="BX120" s="696">
        <f t="shared" si="29"/>
        <v>18.25154244409023</v>
      </c>
      <c r="BY120" s="671">
        <f t="shared" si="30"/>
        <v>69.232496652326034</v>
      </c>
      <c r="BZ120" s="713">
        <f t="shared" si="67"/>
        <v>0.42125241001352964</v>
      </c>
      <c r="CA120" s="696">
        <f t="shared" si="31"/>
        <v>48.694518386230293</v>
      </c>
      <c r="CB120" s="713">
        <f t="shared" si="32"/>
        <v>0.6221452103059506</v>
      </c>
      <c r="CC120" s="713">
        <f t="shared" si="33"/>
        <v>0.39182184297682582</v>
      </c>
      <c r="CD120" s="713">
        <f t="shared" si="34"/>
        <v>0.6221452103059506</v>
      </c>
      <c r="CE120" s="1001">
        <f t="shared" si="35"/>
        <v>0.85</v>
      </c>
    </row>
    <row r="121" spans="1:83">
      <c r="A121" s="127">
        <f>'Input data'!A141</f>
        <v>2043</v>
      </c>
      <c r="B121" s="828">
        <f>'Input data'!B141</f>
        <v>72.713999999999999</v>
      </c>
      <c r="C121" s="238">
        <f>'Input data'!C141</f>
        <v>5353.7899999999991</v>
      </c>
      <c r="D121" s="239">
        <f>'Input data'!D141</f>
        <v>16979835.194641355</v>
      </c>
      <c r="E121" s="805">
        <f t="shared" si="36"/>
        <v>0.93950303030302995</v>
      </c>
      <c r="F121" s="510">
        <f t="shared" si="37"/>
        <v>0.3507787878787878</v>
      </c>
      <c r="G121" s="672">
        <f>B121*F121*'Input data'!$C$9</f>
        <v>780.67991564882448</v>
      </c>
      <c r="H121" s="654">
        <f>'Input data'!I141</f>
        <v>424.26313389388866</v>
      </c>
      <c r="I121" s="673">
        <f>'Input data'!K141</f>
        <v>30849.869517960218</v>
      </c>
      <c r="J121" s="673">
        <f t="shared" si="95"/>
        <v>51.262355345127652</v>
      </c>
      <c r="K121" s="674">
        <f t="shared" si="13"/>
        <v>145.90054982844026</v>
      </c>
      <c r="L121" s="510">
        <f t="shared" si="91"/>
        <v>0.57999999999999996</v>
      </c>
      <c r="M121" s="510">
        <f t="shared" si="92"/>
        <v>0.437</v>
      </c>
      <c r="N121" s="510">
        <f t="shared" si="93"/>
        <v>0.71200000000000008</v>
      </c>
      <c r="O121" s="510">
        <f t="shared" si="94"/>
        <v>0.8</v>
      </c>
      <c r="P121" s="510">
        <f t="shared" si="94"/>
        <v>0.23600000000000002</v>
      </c>
      <c r="Q121" s="654">
        <f t="shared" si="43"/>
        <v>21.956594277323916</v>
      </c>
      <c r="R121" s="673">
        <f t="shared" si="14"/>
        <v>8.498893173320921</v>
      </c>
      <c r="S121" s="673">
        <f t="shared" si="15"/>
        <v>35.157920176424213</v>
      </c>
      <c r="T121" s="673">
        <f t="shared" si="16"/>
        <v>50.006188746360976</v>
      </c>
      <c r="U121" s="673">
        <f t="shared" si="17"/>
        <v>0.67710709475193609</v>
      </c>
      <c r="V121" s="1422">
        <f t="shared" si="18"/>
        <v>116.29670346818196</v>
      </c>
      <c r="W121" s="805">
        <f t="shared" si="88"/>
        <v>0.5</v>
      </c>
      <c r="X121" s="671">
        <f t="shared" si="19"/>
        <v>53.669159952994768</v>
      </c>
      <c r="Y121" s="671">
        <f t="shared" si="20"/>
        <v>53.669159952994768</v>
      </c>
      <c r="Z121" s="672">
        <f t="shared" si="21"/>
        <v>143.49374522057315</v>
      </c>
      <c r="AA121" s="673">
        <f t="shared" si="22"/>
        <v>92.231389875445501</v>
      </c>
      <c r="AB121" s="893">
        <f t="shared" si="23"/>
        <v>0.64275547156198976</v>
      </c>
      <c r="AC121" s="135" t="str">
        <f t="shared" si="44"/>
        <v>Policies met</v>
      </c>
      <c r="AD121" s="1353">
        <f t="shared" si="45"/>
        <v>0.64275547156198976</v>
      </c>
      <c r="AE121" s="135" t="str">
        <f t="shared" si="46"/>
        <v>No</v>
      </c>
      <c r="AF121" s="1420">
        <f t="shared" si="47"/>
        <v>151.56568320155466</v>
      </c>
      <c r="AG121" s="118">
        <f t="shared" si="48"/>
        <v>51.262355345127645</v>
      </c>
      <c r="AH121" s="118">
        <f t="shared" si="24"/>
        <v>41.546360989385775</v>
      </c>
      <c r="AI121" s="118">
        <f t="shared" si="25"/>
        <v>40.346543891771638</v>
      </c>
      <c r="AJ121" s="118">
        <f t="shared" si="26"/>
        <v>18.410422975269618</v>
      </c>
      <c r="AK121" s="118">
        <f t="shared" si="49"/>
        <v>151.56568320155469</v>
      </c>
      <c r="AL121" s="910">
        <f t="shared" si="27"/>
        <v>0</v>
      </c>
      <c r="AM121" s="805">
        <f t="shared" si="50"/>
        <v>0.33821874623794668</v>
      </c>
      <c r="AN121" s="510">
        <f t="shared" si="51"/>
        <v>0.274114562820508</v>
      </c>
      <c r="AO121" s="510">
        <f t="shared" si="52"/>
        <v>0.26619841008546835</v>
      </c>
      <c r="AP121" s="510">
        <f t="shared" si="53"/>
        <v>0.12146828085607687</v>
      </c>
      <c r="AQ121" s="510">
        <f t="shared" si="54"/>
        <v>0.99999999999999989</v>
      </c>
      <c r="AR121" s="916">
        <f t="shared" si="69"/>
        <v>7.3188961056235948</v>
      </c>
      <c r="AS121" s="917">
        <f t="shared" si="70"/>
        <v>11.854117633448158</v>
      </c>
      <c r="AT121" s="917">
        <f t="shared" si="71"/>
        <v>4.1555628529253852</v>
      </c>
      <c r="AU121" s="917">
        <f t="shared" si="72"/>
        <v>0</v>
      </c>
      <c r="AV121" s="917">
        <f t="shared" si="73"/>
        <v>0</v>
      </c>
      <c r="AW121" s="917">
        <f t="shared" si="74"/>
        <v>0</v>
      </c>
      <c r="AX121" s="1338">
        <f t="shared" si="75"/>
        <v>17.687479444617814</v>
      </c>
      <c r="AY121" s="917">
        <f t="shared" si="76"/>
        <v>2.5572062536279101</v>
      </c>
      <c r="AZ121" s="917">
        <f t="shared" si="77"/>
        <v>3.7168860894357758</v>
      </c>
      <c r="BA121" s="917">
        <f t="shared" si="78"/>
        <v>3.2674379291880693</v>
      </c>
      <c r="BB121" s="917">
        <f t="shared" si="79"/>
        <v>0.70476903626090492</v>
      </c>
      <c r="BC121" s="673">
        <f t="shared" si="55"/>
        <v>51.262355345127617</v>
      </c>
      <c r="BD121" s="922">
        <f t="shared" si="56"/>
        <v>0</v>
      </c>
      <c r="BE121" s="840">
        <f t="shared" si="57"/>
        <v>0.14277330911442876</v>
      </c>
      <c r="BF121" s="535">
        <f t="shared" si="58"/>
        <v>0.23124410795484193</v>
      </c>
      <c r="BG121" s="535">
        <f t="shared" si="59"/>
        <v>8.1064610179297253E-2</v>
      </c>
      <c r="BH121" s="535">
        <f t="shared" si="60"/>
        <v>0</v>
      </c>
      <c r="BI121" s="535">
        <f t="shared" si="61"/>
        <v>0</v>
      </c>
      <c r="BJ121" s="535">
        <f t="shared" si="62"/>
        <v>0</v>
      </c>
      <c r="BK121" s="535">
        <f t="shared" si="63"/>
        <v>0.54491797275143206</v>
      </c>
      <c r="BL121" s="1342">
        <f t="shared" si="64"/>
        <v>1</v>
      </c>
      <c r="BM121" s="1237">
        <f t="shared" si="80"/>
        <v>0.19892488097366726</v>
      </c>
      <c r="BN121" s="713">
        <f t="shared" si="81"/>
        <v>0.26585903447659598</v>
      </c>
      <c r="BO121" s="713">
        <f t="shared" si="82"/>
        <v>8.9228108703258049E-2</v>
      </c>
      <c r="BP121" s="713">
        <f t="shared" si="83"/>
        <v>0</v>
      </c>
      <c r="BQ121" s="713">
        <f t="shared" si="84"/>
        <v>0</v>
      </c>
      <c r="BR121" s="713">
        <f t="shared" si="85"/>
        <v>0</v>
      </c>
      <c r="BS121" s="713">
        <f t="shared" si="86"/>
        <v>0.4459879758464787</v>
      </c>
      <c r="BT121" s="658">
        <f t="shared" si="87"/>
        <v>1</v>
      </c>
      <c r="BV121" s="671">
        <f t="shared" si="28"/>
        <v>64.439900444487918</v>
      </c>
      <c r="BW121" s="713">
        <f t="shared" si="66"/>
        <v>0.56887874777242942</v>
      </c>
      <c r="BX121" s="696">
        <f t="shared" si="29"/>
        <v>16.979835194641357</v>
      </c>
      <c r="BY121" s="671">
        <f t="shared" si="30"/>
        <v>68.954585767945915</v>
      </c>
      <c r="BZ121" s="713">
        <f t="shared" si="67"/>
        <v>0.41567051776289005</v>
      </c>
      <c r="CA121" s="696">
        <f t="shared" si="31"/>
        <v>48.694518386230293</v>
      </c>
      <c r="CB121" s="713">
        <f t="shared" si="32"/>
        <v>0.64275547156198976</v>
      </c>
      <c r="CC121" s="713">
        <f t="shared" si="33"/>
        <v>0.40839954988623911</v>
      </c>
      <c r="CD121" s="713">
        <f t="shared" si="34"/>
        <v>0.64275547156198976</v>
      </c>
      <c r="CE121" s="1001">
        <f t="shared" si="35"/>
        <v>0.85</v>
      </c>
    </row>
    <row r="122" spans="1:83">
      <c r="A122" s="127">
        <f>'Input data'!A142</f>
        <v>2044</v>
      </c>
      <c r="B122" s="828">
        <f>'Input data'!B142</f>
        <v>73.165000000000006</v>
      </c>
      <c r="C122" s="238">
        <f>'Input data'!C142</f>
        <v>5526.5000000000018</v>
      </c>
      <c r="D122" s="239">
        <f>'Input data'!D142</f>
        <v>15708127.94519248</v>
      </c>
      <c r="E122" s="805">
        <f t="shared" si="36"/>
        <v>0.94814545454545418</v>
      </c>
      <c r="F122" s="510">
        <f t="shared" si="37"/>
        <v>0.3531318181818181</v>
      </c>
      <c r="G122" s="672">
        <f>B122*F122*'Input data'!$C$9</f>
        <v>790.79128603823585</v>
      </c>
      <c r="H122" s="654">
        <f>'Input data'!I142</f>
        <v>424.26313389388866</v>
      </c>
      <c r="I122" s="673">
        <f>'Input data'!K142</f>
        <v>31041.212191346367</v>
      </c>
      <c r="J122" s="673">
        <f t="shared" si="95"/>
        <v>48.304911767524132</v>
      </c>
      <c r="K122" s="674">
        <f t="shared" si="13"/>
        <v>148.85799340604376</v>
      </c>
      <c r="L122" s="510">
        <f t="shared" si="91"/>
        <v>0.57999999999999996</v>
      </c>
      <c r="M122" s="510">
        <f t="shared" si="92"/>
        <v>0.437</v>
      </c>
      <c r="N122" s="510">
        <f t="shared" si="93"/>
        <v>0.71200000000000008</v>
      </c>
      <c r="O122" s="510">
        <f t="shared" si="94"/>
        <v>0.8</v>
      </c>
      <c r="P122" s="510">
        <f t="shared" si="94"/>
        <v>0.23600000000000002</v>
      </c>
      <c r="Q122" s="654">
        <f t="shared" si="43"/>
        <v>21.956594277323916</v>
      </c>
      <c r="R122" s="673">
        <f t="shared" si="14"/>
        <v>8.498893173320921</v>
      </c>
      <c r="S122" s="673">
        <f t="shared" si="15"/>
        <v>35.157920176424213</v>
      </c>
      <c r="T122" s="673">
        <f t="shared" si="16"/>
        <v>50.006188746360976</v>
      </c>
      <c r="U122" s="673">
        <f t="shared" si="17"/>
        <v>0.67710709475193609</v>
      </c>
      <c r="V122" s="1422">
        <f t="shared" si="18"/>
        <v>116.29670346818196</v>
      </c>
      <c r="W122" s="805">
        <f t="shared" si="88"/>
        <v>0.5</v>
      </c>
      <c r="X122" s="671">
        <f t="shared" si="19"/>
        <v>53.669159952994768</v>
      </c>
      <c r="Y122" s="671">
        <f t="shared" si="20"/>
        <v>53.669159952994768</v>
      </c>
      <c r="Z122" s="672">
        <f t="shared" si="21"/>
        <v>143.49374522057315</v>
      </c>
      <c r="AA122" s="673">
        <f t="shared" si="22"/>
        <v>95.188833453049</v>
      </c>
      <c r="AB122" s="893">
        <f t="shared" si="23"/>
        <v>0.66336573281802869</v>
      </c>
      <c r="AC122" s="135" t="str">
        <f t="shared" si="44"/>
        <v>Policies met</v>
      </c>
      <c r="AD122" s="1353">
        <f t="shared" si="45"/>
        <v>0.66336573281802869</v>
      </c>
      <c r="AE122" s="135" t="str">
        <f t="shared" si="46"/>
        <v>No</v>
      </c>
      <c r="AF122" s="1420">
        <f t="shared" si="47"/>
        <v>142.82150917069578</v>
      </c>
      <c r="AG122" s="118">
        <f t="shared" si="48"/>
        <v>48.304911767524146</v>
      </c>
      <c r="AH122" s="118">
        <f t="shared" si="24"/>
        <v>39.149455547690458</v>
      </c>
      <c r="AI122" s="118">
        <f t="shared" si="25"/>
        <v>38.018858667246363</v>
      </c>
      <c r="AJ122" s="118">
        <f t="shared" si="26"/>
        <v>17.348283188234841</v>
      </c>
      <c r="AK122" s="118">
        <f t="shared" si="49"/>
        <v>142.8215091706958</v>
      </c>
      <c r="AL122" s="910">
        <f t="shared" si="27"/>
        <v>0</v>
      </c>
      <c r="AM122" s="805">
        <f t="shared" si="50"/>
        <v>0.33821874623794673</v>
      </c>
      <c r="AN122" s="510">
        <f t="shared" si="51"/>
        <v>0.274114562820508</v>
      </c>
      <c r="AO122" s="510">
        <f t="shared" si="52"/>
        <v>0.26619841008546835</v>
      </c>
      <c r="AP122" s="510">
        <f t="shared" si="53"/>
        <v>0.1214682808560769</v>
      </c>
      <c r="AQ122" s="510">
        <f t="shared" si="54"/>
        <v>0.99999999999999989</v>
      </c>
      <c r="AR122" s="916">
        <f t="shared" si="69"/>
        <v>6.8966520995299279</v>
      </c>
      <c r="AS122" s="917">
        <f t="shared" si="70"/>
        <v>11.170226231518461</v>
      </c>
      <c r="AT122" s="917">
        <f t="shared" si="71"/>
        <v>3.9158188421796911</v>
      </c>
      <c r="AU122" s="917">
        <f t="shared" si="72"/>
        <v>0</v>
      </c>
      <c r="AV122" s="917">
        <f t="shared" si="73"/>
        <v>0</v>
      </c>
      <c r="AW122" s="917">
        <f t="shared" si="74"/>
        <v>0</v>
      </c>
      <c r="AX122" s="1338">
        <f t="shared" si="75"/>
        <v>16.667047938197559</v>
      </c>
      <c r="AY122" s="917">
        <f t="shared" si="76"/>
        <v>2.4096751236109162</v>
      </c>
      <c r="AZ122" s="917">
        <f t="shared" si="77"/>
        <v>3.5024503535067901</v>
      </c>
      <c r="BA122" s="917">
        <f t="shared" si="78"/>
        <v>3.0789318948118356</v>
      </c>
      <c r="BB122" s="917">
        <f t="shared" si="79"/>
        <v>0.66410928416892989</v>
      </c>
      <c r="BC122" s="673">
        <f t="shared" si="55"/>
        <v>48.304911767524118</v>
      </c>
      <c r="BD122" s="922">
        <f t="shared" si="56"/>
        <v>0</v>
      </c>
      <c r="BE122" s="840">
        <f t="shared" si="57"/>
        <v>0.14277330911442876</v>
      </c>
      <c r="BF122" s="535">
        <f t="shared" si="58"/>
        <v>0.23124410795484193</v>
      </c>
      <c r="BG122" s="535">
        <f t="shared" si="59"/>
        <v>8.1064610179297253E-2</v>
      </c>
      <c r="BH122" s="535">
        <f t="shared" si="60"/>
        <v>0</v>
      </c>
      <c r="BI122" s="535">
        <f t="shared" si="61"/>
        <v>0</v>
      </c>
      <c r="BJ122" s="535">
        <f t="shared" si="62"/>
        <v>0</v>
      </c>
      <c r="BK122" s="535">
        <f t="shared" si="63"/>
        <v>0.54491797275143194</v>
      </c>
      <c r="BL122" s="1342">
        <f t="shared" si="64"/>
        <v>0.99999999999999989</v>
      </c>
      <c r="BM122" s="1237">
        <f t="shared" si="80"/>
        <v>0.19892488097366726</v>
      </c>
      <c r="BN122" s="713">
        <f t="shared" si="81"/>
        <v>0.26585903447659598</v>
      </c>
      <c r="BO122" s="713">
        <f t="shared" si="82"/>
        <v>8.9228108703258049E-2</v>
      </c>
      <c r="BP122" s="713">
        <f t="shared" si="83"/>
        <v>0</v>
      </c>
      <c r="BQ122" s="713">
        <f t="shared" si="84"/>
        <v>0</v>
      </c>
      <c r="BR122" s="713">
        <f t="shared" si="85"/>
        <v>0</v>
      </c>
      <c r="BS122" s="713">
        <f t="shared" si="86"/>
        <v>0.4459879758464787</v>
      </c>
      <c r="BT122" s="658">
        <f t="shared" si="87"/>
        <v>1</v>
      </c>
      <c r="BV122" s="671">
        <f t="shared" si="28"/>
        <v>62.786946288520319</v>
      </c>
      <c r="BW122" s="713">
        <f t="shared" si="66"/>
        <v>0.57017463307146632</v>
      </c>
      <c r="BX122" s="696">
        <f t="shared" si="29"/>
        <v>15.70812794519248</v>
      </c>
      <c r="BY122" s="671">
        <f t="shared" si="30"/>
        <v>68.681222783614487</v>
      </c>
      <c r="BZ122" s="713">
        <f t="shared" si="67"/>
        <v>0.41002640777845273</v>
      </c>
      <c r="CA122" s="696">
        <f t="shared" si="31"/>
        <v>48.694518386230293</v>
      </c>
      <c r="CB122" s="713">
        <f t="shared" si="32"/>
        <v>0.66336573281802869</v>
      </c>
      <c r="CC122" s="713">
        <f t="shared" si="33"/>
        <v>0.42389690497160221</v>
      </c>
      <c r="CD122" s="713">
        <f t="shared" si="34"/>
        <v>0.66336573281802869</v>
      </c>
      <c r="CE122" s="1001">
        <f t="shared" si="35"/>
        <v>0.85</v>
      </c>
    </row>
    <row r="123" spans="1:83">
      <c r="A123" s="127">
        <f>'Input data'!A143</f>
        <v>2045</v>
      </c>
      <c r="B123" s="828">
        <f>'Input data'!B143</f>
        <v>73.62</v>
      </c>
      <c r="C123" s="238">
        <f>'Input data'!C143</f>
        <v>5709.93</v>
      </c>
      <c r="D123" s="239">
        <f>'Input data'!D143</f>
        <v>14436420.695743607</v>
      </c>
      <c r="E123" s="805">
        <f t="shared" si="36"/>
        <v>0.95678787878787841</v>
      </c>
      <c r="F123" s="510">
        <f t="shared" si="37"/>
        <v>0.3554848484848484</v>
      </c>
      <c r="G123" s="672">
        <f>B123*F123*'Input data'!$C$9</f>
        <v>801.01113926454832</v>
      </c>
      <c r="H123" s="654">
        <f>'Input data'!I143</f>
        <v>424.26313389388866</v>
      </c>
      <c r="I123" s="673">
        <f>'Input data'!K143</f>
        <v>31234.251917268084</v>
      </c>
      <c r="J123" s="673">
        <f t="shared" si="95"/>
        <v>45.347468189920612</v>
      </c>
      <c r="K123" s="674">
        <f t="shared" si="13"/>
        <v>151.81543698364729</v>
      </c>
      <c r="L123" s="510">
        <f t="shared" si="91"/>
        <v>0.57999999999999996</v>
      </c>
      <c r="M123" s="510">
        <f t="shared" si="92"/>
        <v>0.437</v>
      </c>
      <c r="N123" s="510">
        <f t="shared" si="93"/>
        <v>0.71200000000000008</v>
      </c>
      <c r="O123" s="510">
        <f t="shared" si="94"/>
        <v>0.8</v>
      </c>
      <c r="P123" s="510">
        <f t="shared" si="94"/>
        <v>0.23600000000000002</v>
      </c>
      <c r="Q123" s="654">
        <f t="shared" si="43"/>
        <v>21.956594277323916</v>
      </c>
      <c r="R123" s="673">
        <f t="shared" si="14"/>
        <v>8.498893173320921</v>
      </c>
      <c r="S123" s="673">
        <f t="shared" si="15"/>
        <v>35.157920176424213</v>
      </c>
      <c r="T123" s="673">
        <f t="shared" si="16"/>
        <v>50.006188746360976</v>
      </c>
      <c r="U123" s="673">
        <f t="shared" si="17"/>
        <v>0.67710709475193609</v>
      </c>
      <c r="V123" s="1422">
        <f t="shared" si="18"/>
        <v>116.29670346818196</v>
      </c>
      <c r="W123" s="805">
        <f t="shared" si="88"/>
        <v>0.5</v>
      </c>
      <c r="X123" s="671">
        <f t="shared" si="19"/>
        <v>53.669159952994768</v>
      </c>
      <c r="Y123" s="671">
        <f t="shared" si="20"/>
        <v>53.669159952994768</v>
      </c>
      <c r="Z123" s="672">
        <f t="shared" si="21"/>
        <v>143.49374522057315</v>
      </c>
      <c r="AA123" s="673">
        <f t="shared" si="22"/>
        <v>98.146277030652527</v>
      </c>
      <c r="AB123" s="893">
        <f t="shared" si="23"/>
        <v>0.68397599407406773</v>
      </c>
      <c r="AC123" s="135" t="str">
        <f t="shared" si="44"/>
        <v>Policies met</v>
      </c>
      <c r="AD123" s="1353">
        <f t="shared" si="45"/>
        <v>0.68397599407406773</v>
      </c>
      <c r="AE123" s="135" t="str">
        <f t="shared" si="46"/>
        <v>No</v>
      </c>
      <c r="AF123" s="1420">
        <f t="shared" si="47"/>
        <v>134.07733513983686</v>
      </c>
      <c r="AG123" s="118">
        <f t="shared" si="48"/>
        <v>45.347468189920619</v>
      </c>
      <c r="AH123" s="118">
        <f t="shared" si="24"/>
        <v>36.752550105995127</v>
      </c>
      <c r="AI123" s="118">
        <f t="shared" si="25"/>
        <v>35.69117344272108</v>
      </c>
      <c r="AJ123" s="118">
        <f t="shared" si="26"/>
        <v>16.286143401200054</v>
      </c>
      <c r="AK123" s="118">
        <f t="shared" si="49"/>
        <v>134.07733513983689</v>
      </c>
      <c r="AL123" s="910">
        <f t="shared" si="27"/>
        <v>0</v>
      </c>
      <c r="AM123" s="805">
        <f t="shared" si="50"/>
        <v>0.33821874623794662</v>
      </c>
      <c r="AN123" s="510">
        <f t="shared" si="51"/>
        <v>0.274114562820508</v>
      </c>
      <c r="AO123" s="510">
        <f t="shared" si="52"/>
        <v>0.26619841008546835</v>
      </c>
      <c r="AP123" s="510">
        <f t="shared" si="53"/>
        <v>0.12146828085607689</v>
      </c>
      <c r="AQ123" s="510">
        <f t="shared" si="54"/>
        <v>0.99999999999999989</v>
      </c>
      <c r="AR123" s="916">
        <f t="shared" si="69"/>
        <v>6.47440809343626</v>
      </c>
      <c r="AS123" s="917">
        <f t="shared" si="70"/>
        <v>10.48633482958876</v>
      </c>
      <c r="AT123" s="917">
        <f t="shared" si="71"/>
        <v>3.6760748314339962</v>
      </c>
      <c r="AU123" s="917">
        <f t="shared" si="72"/>
        <v>0</v>
      </c>
      <c r="AV123" s="917">
        <f t="shared" si="73"/>
        <v>0</v>
      </c>
      <c r="AW123" s="917">
        <f t="shared" si="74"/>
        <v>0</v>
      </c>
      <c r="AX123" s="1338">
        <f t="shared" si="75"/>
        <v>15.646616431777302</v>
      </c>
      <c r="AY123" s="917">
        <f t="shared" si="76"/>
        <v>2.2621439935939214</v>
      </c>
      <c r="AZ123" s="917">
        <f t="shared" si="77"/>
        <v>3.2880146175778031</v>
      </c>
      <c r="BA123" s="917">
        <f t="shared" si="78"/>
        <v>2.890425860435601</v>
      </c>
      <c r="BB123" s="917">
        <f t="shared" si="79"/>
        <v>0.62344953207695453</v>
      </c>
      <c r="BC123" s="673">
        <f t="shared" si="55"/>
        <v>45.347468189920598</v>
      </c>
      <c r="BD123" s="922">
        <f t="shared" si="56"/>
        <v>0</v>
      </c>
      <c r="BE123" s="840">
        <f t="shared" si="57"/>
        <v>0.14277330911442879</v>
      </c>
      <c r="BF123" s="535">
        <f t="shared" si="58"/>
        <v>0.23124410795484193</v>
      </c>
      <c r="BG123" s="535">
        <f t="shared" si="59"/>
        <v>8.1064610179297267E-2</v>
      </c>
      <c r="BH123" s="535">
        <f t="shared" si="60"/>
        <v>0</v>
      </c>
      <c r="BI123" s="535">
        <f t="shared" si="61"/>
        <v>0</v>
      </c>
      <c r="BJ123" s="535">
        <f t="shared" si="62"/>
        <v>0</v>
      </c>
      <c r="BK123" s="535">
        <f t="shared" si="63"/>
        <v>0.54491797275143206</v>
      </c>
      <c r="BL123" s="1342">
        <f t="shared" si="64"/>
        <v>1</v>
      </c>
      <c r="BM123" s="1237">
        <f t="shared" si="80"/>
        <v>0.19892488097366726</v>
      </c>
      <c r="BN123" s="713">
        <f t="shared" si="81"/>
        <v>0.26585903447659598</v>
      </c>
      <c r="BO123" s="713">
        <f t="shared" si="82"/>
        <v>8.9228108703258049E-2</v>
      </c>
      <c r="BP123" s="713">
        <f t="shared" si="83"/>
        <v>0</v>
      </c>
      <c r="BQ123" s="713">
        <f t="shared" si="84"/>
        <v>0</v>
      </c>
      <c r="BR123" s="713">
        <f t="shared" si="85"/>
        <v>0</v>
      </c>
      <c r="BS123" s="713">
        <f t="shared" si="86"/>
        <v>0.4459879758464787</v>
      </c>
      <c r="BT123" s="658">
        <f t="shared" si="87"/>
        <v>1</v>
      </c>
      <c r="BV123" s="671">
        <f t="shared" si="28"/>
        <v>61.208653095587522</v>
      </c>
      <c r="BW123" s="713">
        <f t="shared" si="66"/>
        <v>0.57140223208186791</v>
      </c>
      <c r="BX123" s="696">
        <f t="shared" si="29"/>
        <v>14.436420695743607</v>
      </c>
      <c r="BY123" s="671">
        <f t="shared" si="30"/>
        <v>68.419008537625501</v>
      </c>
      <c r="BZ123" s="713">
        <f t="shared" si="67"/>
        <v>0.40433530283652841</v>
      </c>
      <c r="CA123" s="696">
        <f t="shared" si="31"/>
        <v>48.694518386230293</v>
      </c>
      <c r="CB123" s="713">
        <f t="shared" si="32"/>
        <v>0.68397599407406773</v>
      </c>
      <c r="CC123" s="713">
        <f t="shared" si="33"/>
        <v>0.43826081112557785</v>
      </c>
      <c r="CD123" s="713">
        <f t="shared" si="34"/>
        <v>0.68397599407406773</v>
      </c>
      <c r="CE123" s="1001">
        <f t="shared" si="35"/>
        <v>0.85</v>
      </c>
    </row>
    <row r="124" spans="1:83">
      <c r="A124" s="127">
        <f>'Input data'!A144</f>
        <v>2046</v>
      </c>
      <c r="B124" s="828">
        <f>'Input data'!B144</f>
        <v>73.995000000000005</v>
      </c>
      <c r="C124" s="238">
        <f>'Input data'!C144</f>
        <v>5902.43</v>
      </c>
      <c r="D124" s="239">
        <f>'Input data'!D144</f>
        <v>13163017.836628802</v>
      </c>
      <c r="E124" s="805">
        <f t="shared" si="36"/>
        <v>0.96543030303030264</v>
      </c>
      <c r="F124" s="510">
        <f t="shared" si="37"/>
        <v>0.3578378787878787</v>
      </c>
      <c r="G124" s="672">
        <f>B124*F124*'Input data'!$C$9</f>
        <v>810.42034079476002</v>
      </c>
      <c r="H124" s="654">
        <f>'Input data'!I144</f>
        <v>424.26313389388866</v>
      </c>
      <c r="I124" s="673">
        <f>'Input data'!K144</f>
        <v>31393.350592478295</v>
      </c>
      <c r="J124" s="673">
        <f t="shared" si="95"/>
        <v>42.390024612317092</v>
      </c>
      <c r="K124" s="674">
        <f t="shared" si="13"/>
        <v>154.77288056125082</v>
      </c>
      <c r="L124" s="510">
        <f t="shared" si="91"/>
        <v>0.57999999999999996</v>
      </c>
      <c r="M124" s="510">
        <f t="shared" si="92"/>
        <v>0.437</v>
      </c>
      <c r="N124" s="510">
        <f t="shared" si="93"/>
        <v>0.71200000000000008</v>
      </c>
      <c r="O124" s="510">
        <f t="shared" si="94"/>
        <v>0.8</v>
      </c>
      <c r="P124" s="510">
        <f t="shared" si="94"/>
        <v>0.23600000000000002</v>
      </c>
      <c r="Q124" s="654">
        <f t="shared" si="43"/>
        <v>21.956594277323916</v>
      </c>
      <c r="R124" s="673">
        <f t="shared" si="14"/>
        <v>8.498893173320921</v>
      </c>
      <c r="S124" s="673">
        <f t="shared" si="15"/>
        <v>35.157920176424213</v>
      </c>
      <c r="T124" s="673">
        <f t="shared" si="16"/>
        <v>50.006188746360976</v>
      </c>
      <c r="U124" s="673">
        <f t="shared" si="17"/>
        <v>0.67710709475193609</v>
      </c>
      <c r="V124" s="1422">
        <f t="shared" si="18"/>
        <v>116.29670346818196</v>
      </c>
      <c r="W124" s="805">
        <f t="shared" si="88"/>
        <v>0.5</v>
      </c>
      <c r="X124" s="671">
        <f t="shared" si="19"/>
        <v>53.669159952994768</v>
      </c>
      <c r="Y124" s="671">
        <f t="shared" si="20"/>
        <v>53.669159952994768</v>
      </c>
      <c r="Z124" s="672">
        <f t="shared" si="21"/>
        <v>143.49374522057315</v>
      </c>
      <c r="AA124" s="673">
        <f t="shared" si="22"/>
        <v>101.10372060825605</v>
      </c>
      <c r="AB124" s="893">
        <f t="shared" si="23"/>
        <v>0.70458625533010688</v>
      </c>
      <c r="AC124" s="135" t="str">
        <f t="shared" si="44"/>
        <v>Policies met</v>
      </c>
      <c r="AD124" s="1353">
        <f t="shared" si="45"/>
        <v>0.70458625533010688</v>
      </c>
      <c r="AE124" s="135" t="str">
        <f t="shared" si="46"/>
        <v>No</v>
      </c>
      <c r="AF124" s="1420">
        <f t="shared" si="47"/>
        <v>125.3331611089779</v>
      </c>
      <c r="AG124" s="118">
        <f t="shared" si="48"/>
        <v>42.390024612317092</v>
      </c>
      <c r="AH124" s="118">
        <f t="shared" si="24"/>
        <v>34.355644664299781</v>
      </c>
      <c r="AI124" s="118">
        <f t="shared" si="25"/>
        <v>33.363488218195783</v>
      </c>
      <c r="AJ124" s="118">
        <f t="shared" si="26"/>
        <v>15.224003614165264</v>
      </c>
      <c r="AK124" s="118">
        <f t="shared" si="49"/>
        <v>125.33316110897792</v>
      </c>
      <c r="AL124" s="910">
        <f t="shared" si="27"/>
        <v>0</v>
      </c>
      <c r="AM124" s="805">
        <f t="shared" si="50"/>
        <v>0.33821874623794668</v>
      </c>
      <c r="AN124" s="510">
        <f t="shared" si="51"/>
        <v>0.274114562820508</v>
      </c>
      <c r="AO124" s="510">
        <f t="shared" si="52"/>
        <v>0.26619841008546841</v>
      </c>
      <c r="AP124" s="510">
        <f t="shared" si="53"/>
        <v>0.1214682808560769</v>
      </c>
      <c r="AQ124" s="510">
        <f t="shared" si="54"/>
        <v>0.99999999999999989</v>
      </c>
      <c r="AR124" s="916">
        <f t="shared" si="69"/>
        <v>6.0521640873425886</v>
      </c>
      <c r="AS124" s="917">
        <f t="shared" si="70"/>
        <v>9.8024434276590551</v>
      </c>
      <c r="AT124" s="917">
        <f t="shared" si="71"/>
        <v>3.4363308206882999</v>
      </c>
      <c r="AU124" s="917">
        <f t="shared" si="72"/>
        <v>0</v>
      </c>
      <c r="AV124" s="917">
        <f t="shared" si="73"/>
        <v>0</v>
      </c>
      <c r="AW124" s="917">
        <f t="shared" si="74"/>
        <v>0</v>
      </c>
      <c r="AX124" s="1338">
        <f t="shared" si="75"/>
        <v>14.626184925357041</v>
      </c>
      <c r="AY124" s="917">
        <f t="shared" si="76"/>
        <v>2.1146128635769257</v>
      </c>
      <c r="AZ124" s="917">
        <f t="shared" si="77"/>
        <v>3.0735788816488148</v>
      </c>
      <c r="BA124" s="917">
        <f t="shared" si="78"/>
        <v>2.7019198260593651</v>
      </c>
      <c r="BB124" s="917">
        <f t="shared" si="79"/>
        <v>0.58278977998497905</v>
      </c>
      <c r="BC124" s="673">
        <f t="shared" si="55"/>
        <v>42.390024612317063</v>
      </c>
      <c r="BD124" s="922">
        <f t="shared" si="56"/>
        <v>0</v>
      </c>
      <c r="BE124" s="840">
        <f t="shared" si="57"/>
        <v>0.14277330911442879</v>
      </c>
      <c r="BF124" s="535">
        <f t="shared" si="58"/>
        <v>0.23124410795484196</v>
      </c>
      <c r="BG124" s="535">
        <f t="shared" si="59"/>
        <v>8.1064610179297281E-2</v>
      </c>
      <c r="BH124" s="535">
        <f t="shared" si="60"/>
        <v>0</v>
      </c>
      <c r="BI124" s="535">
        <f t="shared" si="61"/>
        <v>0</v>
      </c>
      <c r="BJ124" s="535">
        <f t="shared" si="62"/>
        <v>0</v>
      </c>
      <c r="BK124" s="535">
        <f t="shared" si="63"/>
        <v>0.54491797275143217</v>
      </c>
      <c r="BL124" s="1342">
        <f t="shared" si="64"/>
        <v>1.0000000000000002</v>
      </c>
      <c r="BM124" s="1237">
        <f t="shared" si="80"/>
        <v>0.19892488097366726</v>
      </c>
      <c r="BN124" s="713">
        <f t="shared" si="81"/>
        <v>0.26585903447659598</v>
      </c>
      <c r="BO124" s="713">
        <f t="shared" si="82"/>
        <v>8.9228108703258049E-2</v>
      </c>
      <c r="BP124" s="713">
        <f t="shared" si="83"/>
        <v>0</v>
      </c>
      <c r="BQ124" s="713">
        <f t="shared" si="84"/>
        <v>0</v>
      </c>
      <c r="BR124" s="713">
        <f t="shared" si="85"/>
        <v>0</v>
      </c>
      <c r="BS124" s="713">
        <f t="shared" si="86"/>
        <v>0.4459879758464787</v>
      </c>
      <c r="BT124" s="658">
        <f t="shared" si="87"/>
        <v>1</v>
      </c>
      <c r="BV124" s="671">
        <f t="shared" si="28"/>
        <v>59.669400932992886</v>
      </c>
      <c r="BW124" s="713">
        <f t="shared" si="66"/>
        <v>0.57244700888563183</v>
      </c>
      <c r="BX124" s="696">
        <f t="shared" si="29"/>
        <v>13.163017836628802</v>
      </c>
      <c r="BY124" s="671">
        <f t="shared" si="30"/>
        <v>68.154462683194851</v>
      </c>
      <c r="BZ124" s="713">
        <f t="shared" si="67"/>
        <v>0.39848047650501972</v>
      </c>
      <c r="CA124" s="696">
        <f t="shared" si="31"/>
        <v>48.694518386230293</v>
      </c>
      <c r="CB124" s="713">
        <f t="shared" si="32"/>
        <v>0.70458625533010688</v>
      </c>
      <c r="CC124" s="713">
        <f t="shared" si="33"/>
        <v>0.45170833870949617</v>
      </c>
      <c r="CD124" s="713">
        <f t="shared" si="34"/>
        <v>0.70458625533010688</v>
      </c>
      <c r="CE124" s="1001">
        <f t="shared" si="35"/>
        <v>0.85</v>
      </c>
    </row>
    <row r="125" spans="1:83" s="1" customFormat="1">
      <c r="A125" s="157">
        <f>'Input data'!A145</f>
        <v>2047</v>
      </c>
      <c r="B125" s="829">
        <f>'Input data'!B145</f>
        <v>74.373000000000005</v>
      </c>
      <c r="C125" s="662">
        <f>'Input data'!C145</f>
        <v>6104.119999999999</v>
      </c>
      <c r="D125" s="830">
        <f>'Input data'!D145</f>
        <v>11891310.587179929</v>
      </c>
      <c r="E125" s="804">
        <f t="shared" si="36"/>
        <v>0.97407272727272687</v>
      </c>
      <c r="F125" s="498">
        <f t="shared" si="37"/>
        <v>0.36019090909090901</v>
      </c>
      <c r="G125" s="850">
        <f>B125*F125*'Input data'!$C$9</f>
        <v>819.91662999058281</v>
      </c>
      <c r="H125" s="809">
        <f>'Input data'!I145</f>
        <v>424.26313389388866</v>
      </c>
      <c r="I125" s="815">
        <f>'Input data'!K145</f>
        <v>31553.722057090185</v>
      </c>
      <c r="J125" s="815">
        <f>J95*(1-$C$6)</f>
        <v>39.432581034713571</v>
      </c>
      <c r="K125" s="674">
        <f t="shared" si="13"/>
        <v>157.73032413885434</v>
      </c>
      <c r="L125" s="498">
        <f t="shared" si="91"/>
        <v>0.57999999999999996</v>
      </c>
      <c r="M125" s="498">
        <f t="shared" si="92"/>
        <v>0.437</v>
      </c>
      <c r="N125" s="498">
        <f t="shared" si="93"/>
        <v>0.71200000000000008</v>
      </c>
      <c r="O125" s="498">
        <f t="shared" si="94"/>
        <v>0.8</v>
      </c>
      <c r="P125" s="498">
        <f t="shared" si="94"/>
        <v>0.23600000000000002</v>
      </c>
      <c r="Q125" s="654">
        <f t="shared" si="43"/>
        <v>21.956594277323916</v>
      </c>
      <c r="R125" s="673">
        <f t="shared" si="14"/>
        <v>8.498893173320921</v>
      </c>
      <c r="S125" s="673">
        <f t="shared" si="15"/>
        <v>35.157920176424213</v>
      </c>
      <c r="T125" s="673">
        <f t="shared" si="16"/>
        <v>50.006188746360976</v>
      </c>
      <c r="U125" s="673">
        <f t="shared" si="17"/>
        <v>0.67710709475193609</v>
      </c>
      <c r="V125" s="1422">
        <f t="shared" si="18"/>
        <v>116.29670346818196</v>
      </c>
      <c r="W125" s="805">
        <f t="shared" si="88"/>
        <v>0.5</v>
      </c>
      <c r="X125" s="671">
        <f t="shared" si="19"/>
        <v>53.669159952994768</v>
      </c>
      <c r="Y125" s="671">
        <f t="shared" si="20"/>
        <v>53.669159952994768</v>
      </c>
      <c r="Z125" s="672">
        <f t="shared" si="21"/>
        <v>143.49374522057315</v>
      </c>
      <c r="AA125" s="673">
        <f t="shared" si="22"/>
        <v>104.06116418585958</v>
      </c>
      <c r="AB125" s="893">
        <f t="shared" si="23"/>
        <v>0.72519651658614603</v>
      </c>
      <c r="AC125" s="135" t="str">
        <f t="shared" si="44"/>
        <v>Policies met</v>
      </c>
      <c r="AD125" s="1353">
        <f t="shared" si="45"/>
        <v>0.72519651658614603</v>
      </c>
      <c r="AE125" s="135" t="str">
        <f t="shared" si="46"/>
        <v>No</v>
      </c>
      <c r="AF125" s="1420">
        <f t="shared" si="47"/>
        <v>116.58898707811893</v>
      </c>
      <c r="AG125" s="118">
        <f t="shared" si="48"/>
        <v>39.432581034713564</v>
      </c>
      <c r="AH125" s="118">
        <f t="shared" si="24"/>
        <v>31.958739222604436</v>
      </c>
      <c r="AI125" s="118">
        <f t="shared" si="25"/>
        <v>31.035802993670483</v>
      </c>
      <c r="AJ125" s="118">
        <f t="shared" si="26"/>
        <v>14.161863827130473</v>
      </c>
      <c r="AK125" s="118">
        <f t="shared" si="49"/>
        <v>116.58898707811896</v>
      </c>
      <c r="AL125" s="910">
        <f t="shared" si="27"/>
        <v>0</v>
      </c>
      <c r="AM125" s="805">
        <f t="shared" si="50"/>
        <v>0.33821874623794668</v>
      </c>
      <c r="AN125" s="510">
        <f t="shared" si="51"/>
        <v>0.274114562820508</v>
      </c>
      <c r="AO125" s="510">
        <f t="shared" si="52"/>
        <v>0.26619841008546835</v>
      </c>
      <c r="AP125" s="510">
        <f t="shared" si="53"/>
        <v>0.12146828085607689</v>
      </c>
      <c r="AQ125" s="510">
        <f t="shared" si="54"/>
        <v>0.99999999999999989</v>
      </c>
      <c r="AR125" s="916">
        <f t="shared" si="69"/>
        <v>5.6299200812489172</v>
      </c>
      <c r="AS125" s="917">
        <f t="shared" si="70"/>
        <v>9.1185520257293504</v>
      </c>
      <c r="AT125" s="917">
        <f t="shared" si="71"/>
        <v>3.1965868099426031</v>
      </c>
      <c r="AU125" s="917">
        <f t="shared" si="72"/>
        <v>0</v>
      </c>
      <c r="AV125" s="917">
        <f t="shared" si="73"/>
        <v>0</v>
      </c>
      <c r="AW125" s="917">
        <f t="shared" si="74"/>
        <v>0</v>
      </c>
      <c r="AX125" s="1338">
        <f t="shared" si="75"/>
        <v>13.605753418936775</v>
      </c>
      <c r="AY125" s="917">
        <f t="shared" si="76"/>
        <v>1.9670817335599302</v>
      </c>
      <c r="AZ125" s="917">
        <f t="shared" si="77"/>
        <v>2.8591431457198269</v>
      </c>
      <c r="BA125" s="917">
        <f t="shared" si="78"/>
        <v>2.5134137916831296</v>
      </c>
      <c r="BB125" s="917">
        <f t="shared" si="79"/>
        <v>0.54213002789300357</v>
      </c>
      <c r="BC125" s="673">
        <f t="shared" si="55"/>
        <v>39.432581034713536</v>
      </c>
      <c r="BD125" s="922">
        <f t="shared" si="56"/>
        <v>0</v>
      </c>
      <c r="BE125" s="840">
        <f t="shared" si="57"/>
        <v>0.14277330911442876</v>
      </c>
      <c r="BF125" s="535">
        <f t="shared" si="58"/>
        <v>0.23124410795484196</v>
      </c>
      <c r="BG125" s="535">
        <f t="shared" si="59"/>
        <v>8.1064610179297267E-2</v>
      </c>
      <c r="BH125" s="535">
        <f t="shared" si="60"/>
        <v>0</v>
      </c>
      <c r="BI125" s="535">
        <f t="shared" si="61"/>
        <v>0</v>
      </c>
      <c r="BJ125" s="535">
        <f t="shared" si="62"/>
        <v>0</v>
      </c>
      <c r="BK125" s="535">
        <f t="shared" si="63"/>
        <v>0.54491797275143194</v>
      </c>
      <c r="BL125" s="1342">
        <f t="shared" si="64"/>
        <v>1</v>
      </c>
      <c r="BM125" s="1237">
        <f t="shared" si="80"/>
        <v>0.19892488097366726</v>
      </c>
      <c r="BN125" s="713">
        <f t="shared" si="81"/>
        <v>0.26585903447659598</v>
      </c>
      <c r="BO125" s="713">
        <f t="shared" si="82"/>
        <v>8.9228108703258049E-2</v>
      </c>
      <c r="BP125" s="713">
        <f t="shared" si="83"/>
        <v>0</v>
      </c>
      <c r="BQ125" s="713">
        <f t="shared" si="84"/>
        <v>0</v>
      </c>
      <c r="BR125" s="713">
        <f t="shared" si="85"/>
        <v>0</v>
      </c>
      <c r="BS125" s="713">
        <f t="shared" si="86"/>
        <v>0.4459879758464787</v>
      </c>
      <c r="BT125" s="658">
        <f t="shared" si="87"/>
        <v>1</v>
      </c>
      <c r="BV125" s="671">
        <f t="shared" si="28"/>
        <v>58.174407752329486</v>
      </c>
      <c r="BW125" s="713">
        <f t="shared" si="66"/>
        <v>0.57342372303964817</v>
      </c>
      <c r="BX125" s="696">
        <f t="shared" si="29"/>
        <v>11.891310587179929</v>
      </c>
      <c r="BY125" s="671">
        <f t="shared" si="30"/>
        <v>67.899567793920085</v>
      </c>
      <c r="BZ125" s="713">
        <f t="shared" si="67"/>
        <v>0.39259172370221129</v>
      </c>
      <c r="CA125" s="696">
        <f t="shared" si="31"/>
        <v>48.694518386230293</v>
      </c>
      <c r="CB125" s="713">
        <f t="shared" si="32"/>
        <v>0.72519651658614603</v>
      </c>
      <c r="CC125" s="713">
        <f t="shared" si="33"/>
        <v>0.4644184394750186</v>
      </c>
      <c r="CD125" s="713">
        <f t="shared" si="34"/>
        <v>0.72519651658614603</v>
      </c>
      <c r="CE125" s="1001">
        <f t="shared" si="35"/>
        <v>0.85</v>
      </c>
    </row>
    <row r="126" spans="1:83">
      <c r="A126" s="127">
        <f>'Input data'!A146</f>
        <v>2048</v>
      </c>
      <c r="B126" s="828">
        <f>'Input data'!B146</f>
        <v>74.753</v>
      </c>
      <c r="C126" s="238">
        <f>'Input data'!C146</f>
        <v>6308.13</v>
      </c>
      <c r="D126" s="239">
        <f>'Input data'!D146</f>
        <v>10619603.337731058</v>
      </c>
      <c r="E126" s="805">
        <f t="shared" si="36"/>
        <v>0.9827151515151511</v>
      </c>
      <c r="F126" s="510">
        <f t="shared" si="37"/>
        <v>0.36254393939393931</v>
      </c>
      <c r="G126" s="672">
        <f>B126*F126*'Input data'!$C$9</f>
        <v>829.48955862118044</v>
      </c>
      <c r="H126" s="654">
        <f>'Input data'!I146</f>
        <v>424.26313389388866</v>
      </c>
      <c r="I126" s="673">
        <f>'Input data'!K146</f>
        <v>31714.94204796986</v>
      </c>
      <c r="J126" s="673">
        <f>J125</f>
        <v>39.432581034713571</v>
      </c>
      <c r="K126" s="674">
        <f t="shared" si="13"/>
        <v>157.73032413885434</v>
      </c>
      <c r="L126" s="510">
        <f t="shared" si="91"/>
        <v>0.57999999999999996</v>
      </c>
      <c r="M126" s="510">
        <f t="shared" si="92"/>
        <v>0.437</v>
      </c>
      <c r="N126" s="510">
        <f t="shared" si="93"/>
        <v>0.71200000000000008</v>
      </c>
      <c r="O126" s="510">
        <f t="shared" si="94"/>
        <v>0.8</v>
      </c>
      <c r="P126" s="510">
        <f t="shared" si="94"/>
        <v>0.23600000000000002</v>
      </c>
      <c r="Q126" s="654">
        <f t="shared" si="43"/>
        <v>21.956594277323916</v>
      </c>
      <c r="R126" s="673">
        <f t="shared" si="14"/>
        <v>8.498893173320921</v>
      </c>
      <c r="S126" s="673">
        <f t="shared" si="15"/>
        <v>35.157920176424213</v>
      </c>
      <c r="T126" s="673">
        <f t="shared" si="16"/>
        <v>50.006188746360976</v>
      </c>
      <c r="U126" s="673">
        <f t="shared" si="17"/>
        <v>0.67710709475193609</v>
      </c>
      <c r="V126" s="1422">
        <f t="shared" si="18"/>
        <v>116.29670346818196</v>
      </c>
      <c r="W126" s="805">
        <f t="shared" si="88"/>
        <v>0.5</v>
      </c>
      <c r="X126" s="671">
        <f t="shared" si="19"/>
        <v>53.669159952994768</v>
      </c>
      <c r="Y126" s="671">
        <f t="shared" si="20"/>
        <v>53.669159952994768</v>
      </c>
      <c r="Z126" s="672">
        <f t="shared" si="21"/>
        <v>143.49374522057315</v>
      </c>
      <c r="AA126" s="673">
        <f t="shared" si="22"/>
        <v>104.06116418585958</v>
      </c>
      <c r="AB126" s="893">
        <f t="shared" si="23"/>
        <v>0.72519651658614603</v>
      </c>
      <c r="AC126" s="135" t="str">
        <f t="shared" si="44"/>
        <v>Policies met</v>
      </c>
      <c r="AD126" s="1353">
        <f t="shared" si="45"/>
        <v>0.72519651658614603</v>
      </c>
      <c r="AE126" s="135" t="str">
        <f t="shared" si="46"/>
        <v>No</v>
      </c>
      <c r="AF126" s="1420">
        <f t="shared" si="47"/>
        <v>116.58898707811893</v>
      </c>
      <c r="AG126" s="118">
        <f t="shared" si="48"/>
        <v>39.432581034713564</v>
      </c>
      <c r="AH126" s="118">
        <f t="shared" si="24"/>
        <v>31.958739222604436</v>
      </c>
      <c r="AI126" s="118">
        <f t="shared" si="25"/>
        <v>31.035802993670483</v>
      </c>
      <c r="AJ126" s="118">
        <f t="shared" si="26"/>
        <v>14.161863827130473</v>
      </c>
      <c r="AK126" s="118">
        <f t="shared" si="49"/>
        <v>116.58898707811896</v>
      </c>
      <c r="AL126" s="910">
        <f t="shared" si="27"/>
        <v>0</v>
      </c>
      <c r="AM126" s="805">
        <f t="shared" si="50"/>
        <v>0.33821874623794668</v>
      </c>
      <c r="AN126" s="510">
        <f t="shared" si="51"/>
        <v>0.274114562820508</v>
      </c>
      <c r="AO126" s="510">
        <f t="shared" si="52"/>
        <v>0.26619841008546835</v>
      </c>
      <c r="AP126" s="510">
        <f t="shared" si="53"/>
        <v>0.12146828085607689</v>
      </c>
      <c r="AQ126" s="510">
        <f t="shared" si="54"/>
        <v>0.99999999999999989</v>
      </c>
      <c r="AR126" s="916">
        <f t="shared" si="69"/>
        <v>5.6299200812489172</v>
      </c>
      <c r="AS126" s="917">
        <f t="shared" si="70"/>
        <v>9.1185520257293504</v>
      </c>
      <c r="AT126" s="917">
        <f t="shared" si="71"/>
        <v>3.1965868099426031</v>
      </c>
      <c r="AU126" s="917">
        <f t="shared" si="72"/>
        <v>0</v>
      </c>
      <c r="AV126" s="917">
        <f t="shared" si="73"/>
        <v>0</v>
      </c>
      <c r="AW126" s="917">
        <f t="shared" si="74"/>
        <v>0</v>
      </c>
      <c r="AX126" s="1338">
        <f t="shared" si="75"/>
        <v>13.605753418936775</v>
      </c>
      <c r="AY126" s="917">
        <f t="shared" si="76"/>
        <v>1.9670817335599302</v>
      </c>
      <c r="AZ126" s="917">
        <f t="shared" si="77"/>
        <v>2.8591431457198269</v>
      </c>
      <c r="BA126" s="917">
        <f t="shared" si="78"/>
        <v>2.5134137916831296</v>
      </c>
      <c r="BB126" s="917">
        <f t="shared" si="79"/>
        <v>0.54213002789300357</v>
      </c>
      <c r="BC126" s="673">
        <f t="shared" si="55"/>
        <v>39.432581034713536</v>
      </c>
      <c r="BD126" s="922">
        <f t="shared" si="56"/>
        <v>0</v>
      </c>
      <c r="BE126" s="840">
        <f t="shared" si="57"/>
        <v>0.14277330911442876</v>
      </c>
      <c r="BF126" s="535">
        <f t="shared" si="58"/>
        <v>0.23124410795484196</v>
      </c>
      <c r="BG126" s="535">
        <f t="shared" si="59"/>
        <v>8.1064610179297267E-2</v>
      </c>
      <c r="BH126" s="535">
        <f t="shared" si="60"/>
        <v>0</v>
      </c>
      <c r="BI126" s="535">
        <f t="shared" si="61"/>
        <v>0</v>
      </c>
      <c r="BJ126" s="535">
        <f t="shared" si="62"/>
        <v>0</v>
      </c>
      <c r="BK126" s="535">
        <f t="shared" si="63"/>
        <v>0.54491797275143194</v>
      </c>
      <c r="BL126" s="1342">
        <f t="shared" si="64"/>
        <v>1</v>
      </c>
      <c r="BM126" s="1237">
        <f t="shared" si="80"/>
        <v>0.19892488097366726</v>
      </c>
      <c r="BN126" s="713">
        <f t="shared" si="81"/>
        <v>0.26585903447659598</v>
      </c>
      <c r="BO126" s="713">
        <f t="shared" si="82"/>
        <v>8.9228108703258049E-2</v>
      </c>
      <c r="BP126" s="713">
        <f t="shared" si="83"/>
        <v>0</v>
      </c>
      <c r="BQ126" s="713">
        <f t="shared" si="84"/>
        <v>0</v>
      </c>
      <c r="BR126" s="713">
        <f t="shared" si="85"/>
        <v>0</v>
      </c>
      <c r="BS126" s="713">
        <f t="shared" si="86"/>
        <v>0.4459879758464787</v>
      </c>
      <c r="BT126" s="658">
        <f t="shared" si="87"/>
        <v>1</v>
      </c>
      <c r="BV126" s="671">
        <f t="shared" si="28"/>
        <v>57.315807417388541</v>
      </c>
      <c r="BW126" s="713">
        <f t="shared" si="66"/>
        <v>0.58281745239792693</v>
      </c>
      <c r="BX126" s="696">
        <f t="shared" si="29"/>
        <v>10.619603337731057</v>
      </c>
      <c r="BY126" s="671">
        <f t="shared" si="30"/>
        <v>68.295934900819148</v>
      </c>
      <c r="BZ126" s="713">
        <f t="shared" si="67"/>
        <v>0.39373005338696981</v>
      </c>
      <c r="CA126" s="696">
        <f t="shared" si="31"/>
        <v>48.694518386230293</v>
      </c>
      <c r="CB126" s="713">
        <f t="shared" si="32"/>
        <v>0.72519651658614603</v>
      </c>
      <c r="CC126" s="713">
        <f t="shared" si="33"/>
        <v>0.47665779765892713</v>
      </c>
      <c r="CD126" s="713">
        <f t="shared" si="34"/>
        <v>0.72519651658614603</v>
      </c>
      <c r="CE126" s="1001">
        <f t="shared" si="35"/>
        <v>0.85</v>
      </c>
    </row>
    <row r="127" spans="1:83">
      <c r="A127" s="127">
        <f>'Input data'!A147</f>
        <v>2049</v>
      </c>
      <c r="B127" s="828">
        <f>'Input data'!B147</f>
        <v>75.134</v>
      </c>
      <c r="C127" s="238">
        <f>'Input data'!C147</f>
        <v>6522.2000000000007</v>
      </c>
      <c r="D127" s="239">
        <f>'Input data'!D147</f>
        <v>9347896.0882821828</v>
      </c>
      <c r="E127" s="805">
        <f t="shared" si="36"/>
        <v>0.99135757575757533</v>
      </c>
      <c r="F127" s="510">
        <f t="shared" si="37"/>
        <v>0.36489696969696961</v>
      </c>
      <c r="G127" s="672">
        <f>B127*F127*'Input data'!$C$9</f>
        <v>839.12839037833646</v>
      </c>
      <c r="H127" s="654">
        <f>'Input data'!I147</f>
        <v>424.26313389388866</v>
      </c>
      <c r="I127" s="673">
        <f>'Input data'!K147</f>
        <v>31876.586301983432</v>
      </c>
      <c r="J127" s="673">
        <f t="shared" ref="J127:J128" si="96">J126</f>
        <v>39.432581034713571</v>
      </c>
      <c r="K127" s="674">
        <f t="shared" si="13"/>
        <v>157.73032413885434</v>
      </c>
      <c r="L127" s="510">
        <f t="shared" si="91"/>
        <v>0.57999999999999996</v>
      </c>
      <c r="M127" s="510">
        <f t="shared" si="92"/>
        <v>0.437</v>
      </c>
      <c r="N127" s="510">
        <f t="shared" si="93"/>
        <v>0.71200000000000008</v>
      </c>
      <c r="O127" s="510">
        <f t="shared" si="94"/>
        <v>0.8</v>
      </c>
      <c r="P127" s="510">
        <f t="shared" si="94"/>
        <v>0.23600000000000002</v>
      </c>
      <c r="Q127" s="654">
        <f t="shared" si="43"/>
        <v>21.956594277323916</v>
      </c>
      <c r="R127" s="673">
        <f t="shared" si="14"/>
        <v>8.498893173320921</v>
      </c>
      <c r="S127" s="673">
        <f t="shared" si="15"/>
        <v>35.157920176424213</v>
      </c>
      <c r="T127" s="673">
        <f t="shared" si="16"/>
        <v>50.006188746360976</v>
      </c>
      <c r="U127" s="673">
        <f t="shared" si="17"/>
        <v>0.67710709475193609</v>
      </c>
      <c r="V127" s="1422">
        <f t="shared" si="18"/>
        <v>116.29670346818196</v>
      </c>
      <c r="W127" s="805">
        <f t="shared" si="88"/>
        <v>0.5</v>
      </c>
      <c r="X127" s="671">
        <f t="shared" si="19"/>
        <v>53.669159952994768</v>
      </c>
      <c r="Y127" s="671">
        <f t="shared" si="20"/>
        <v>53.669159952994768</v>
      </c>
      <c r="Z127" s="672">
        <f t="shared" si="21"/>
        <v>143.49374522057315</v>
      </c>
      <c r="AA127" s="673">
        <f t="shared" si="22"/>
        <v>104.06116418585958</v>
      </c>
      <c r="AB127" s="893">
        <f t="shared" si="23"/>
        <v>0.72519651658614603</v>
      </c>
      <c r="AC127" s="135" t="str">
        <f t="shared" si="44"/>
        <v>Policies met</v>
      </c>
      <c r="AD127" s="1353">
        <f t="shared" si="45"/>
        <v>0.72519651658614603</v>
      </c>
      <c r="AE127" s="135" t="str">
        <f t="shared" si="46"/>
        <v>No</v>
      </c>
      <c r="AF127" s="1420">
        <f t="shared" si="47"/>
        <v>116.58898707811893</v>
      </c>
      <c r="AG127" s="118">
        <f t="shared" si="48"/>
        <v>39.432581034713564</v>
      </c>
      <c r="AH127" s="118">
        <f t="shared" si="24"/>
        <v>31.958739222604436</v>
      </c>
      <c r="AI127" s="118">
        <f t="shared" si="25"/>
        <v>31.035802993670483</v>
      </c>
      <c r="AJ127" s="118">
        <f t="shared" si="26"/>
        <v>14.161863827130473</v>
      </c>
      <c r="AK127" s="118">
        <f t="shared" si="49"/>
        <v>116.58898707811896</v>
      </c>
      <c r="AL127" s="910">
        <f t="shared" si="27"/>
        <v>0</v>
      </c>
      <c r="AM127" s="805">
        <f t="shared" si="50"/>
        <v>0.33821874623794668</v>
      </c>
      <c r="AN127" s="510">
        <f t="shared" si="51"/>
        <v>0.274114562820508</v>
      </c>
      <c r="AO127" s="510">
        <f t="shared" si="52"/>
        <v>0.26619841008546835</v>
      </c>
      <c r="AP127" s="510">
        <f t="shared" si="53"/>
        <v>0.12146828085607689</v>
      </c>
      <c r="AQ127" s="510">
        <f t="shared" si="54"/>
        <v>0.99999999999999989</v>
      </c>
      <c r="AR127" s="916">
        <f t="shared" si="69"/>
        <v>5.6299200812489172</v>
      </c>
      <c r="AS127" s="917">
        <f t="shared" si="70"/>
        <v>9.1185520257293504</v>
      </c>
      <c r="AT127" s="917">
        <f t="shared" si="71"/>
        <v>3.1965868099426031</v>
      </c>
      <c r="AU127" s="917">
        <f t="shared" si="72"/>
        <v>0</v>
      </c>
      <c r="AV127" s="917">
        <f t="shared" si="73"/>
        <v>0</v>
      </c>
      <c r="AW127" s="917">
        <f t="shared" si="74"/>
        <v>0</v>
      </c>
      <c r="AX127" s="1338">
        <f t="shared" si="75"/>
        <v>13.605753418936775</v>
      </c>
      <c r="AY127" s="917">
        <f t="shared" si="76"/>
        <v>1.9670817335599302</v>
      </c>
      <c r="AZ127" s="917">
        <f t="shared" si="77"/>
        <v>2.8591431457198269</v>
      </c>
      <c r="BA127" s="917">
        <f t="shared" si="78"/>
        <v>2.5134137916831296</v>
      </c>
      <c r="BB127" s="917">
        <f t="shared" si="79"/>
        <v>0.54213002789300357</v>
      </c>
      <c r="BC127" s="673">
        <f t="shared" si="55"/>
        <v>39.432581034713536</v>
      </c>
      <c r="BD127" s="922">
        <f t="shared" si="56"/>
        <v>0</v>
      </c>
      <c r="BE127" s="840">
        <f t="shared" si="57"/>
        <v>0.14277330911442876</v>
      </c>
      <c r="BF127" s="535">
        <f t="shared" si="58"/>
        <v>0.23124410795484196</v>
      </c>
      <c r="BG127" s="535">
        <f t="shared" si="59"/>
        <v>8.1064610179297267E-2</v>
      </c>
      <c r="BH127" s="535">
        <f t="shared" si="60"/>
        <v>0</v>
      </c>
      <c r="BI127" s="535">
        <f t="shared" si="61"/>
        <v>0</v>
      </c>
      <c r="BJ127" s="535">
        <f t="shared" si="62"/>
        <v>0</v>
      </c>
      <c r="BK127" s="535">
        <f t="shared" si="63"/>
        <v>0.54491797275143194</v>
      </c>
      <c r="BL127" s="1342">
        <f t="shared" si="64"/>
        <v>1</v>
      </c>
      <c r="BM127" s="1237">
        <f t="shared" si="80"/>
        <v>0.19892488097366726</v>
      </c>
      <c r="BN127" s="713">
        <f t="shared" si="81"/>
        <v>0.26585903447659598</v>
      </c>
      <c r="BO127" s="713">
        <f t="shared" si="82"/>
        <v>8.9228108703258049E-2</v>
      </c>
      <c r="BP127" s="713">
        <f t="shared" si="83"/>
        <v>0</v>
      </c>
      <c r="BQ127" s="713">
        <f t="shared" si="84"/>
        <v>0</v>
      </c>
      <c r="BR127" s="713">
        <f t="shared" si="85"/>
        <v>0</v>
      </c>
      <c r="BS127" s="713">
        <f t="shared" si="86"/>
        <v>0.4459879758464787</v>
      </c>
      <c r="BT127" s="658">
        <f t="shared" si="87"/>
        <v>1</v>
      </c>
      <c r="BV127" s="671">
        <f t="shared" si="28"/>
        <v>56.509297168709736</v>
      </c>
      <c r="BW127" s="713">
        <f t="shared" si="66"/>
        <v>0.59255998640258345</v>
      </c>
      <c r="BX127" s="696">
        <f t="shared" si="29"/>
        <v>9.347896088282182</v>
      </c>
      <c r="BY127" s="671">
        <f t="shared" si="30"/>
        <v>68.709779298217967</v>
      </c>
      <c r="BZ127" s="713">
        <f t="shared" si="67"/>
        <v>0.39489018524102854</v>
      </c>
      <c r="CA127" s="696">
        <f t="shared" si="31"/>
        <v>48.694518386230293</v>
      </c>
      <c r="CB127" s="713">
        <f t="shared" si="32"/>
        <v>0.72519651658614603</v>
      </c>
      <c r="CC127" s="713">
        <f t="shared" si="33"/>
        <v>0.48822717207635696</v>
      </c>
      <c r="CD127" s="713">
        <f t="shared" si="34"/>
        <v>0.72519651658614603</v>
      </c>
      <c r="CE127" s="1001">
        <f t="shared" si="35"/>
        <v>0.85</v>
      </c>
    </row>
    <row r="128" spans="1:83" ht="15.75" thickBot="1">
      <c r="A128" s="172">
        <f>'Input data'!A148</f>
        <v>2050</v>
      </c>
      <c r="B128" s="831">
        <f>'Input data'!B148</f>
        <v>75.518000000000001</v>
      </c>
      <c r="C128" s="241">
        <f>'Input data'!C148</f>
        <v>6747.1300000000019</v>
      </c>
      <c r="D128" s="242">
        <f>'Input data'!D148</f>
        <v>8077884.4484992418</v>
      </c>
      <c r="E128" s="806">
        <f>C51</f>
        <v>1</v>
      </c>
      <c r="F128" s="807">
        <f>D51</f>
        <v>0.36725000000000002</v>
      </c>
      <c r="G128" s="834">
        <f>B128*F128*'Input data'!$C$9</f>
        <v>848.8558222073508</v>
      </c>
      <c r="H128" s="810">
        <f>'Input data'!I148</f>
        <v>424.26313389388866</v>
      </c>
      <c r="I128" s="814">
        <f>'Input data'!K148</f>
        <v>32039.503345398683</v>
      </c>
      <c r="J128" s="814">
        <f t="shared" si="96"/>
        <v>39.432581034713571</v>
      </c>
      <c r="K128" s="825">
        <f t="shared" si="13"/>
        <v>157.73032413885434</v>
      </c>
      <c r="L128" s="807">
        <f t="shared" si="91"/>
        <v>0.57999999999999996</v>
      </c>
      <c r="M128" s="807">
        <f t="shared" si="92"/>
        <v>0.437</v>
      </c>
      <c r="N128" s="807">
        <f t="shared" si="93"/>
        <v>0.71200000000000008</v>
      </c>
      <c r="O128" s="807">
        <f t="shared" si="94"/>
        <v>0.8</v>
      </c>
      <c r="P128" s="807">
        <f t="shared" si="94"/>
        <v>0.23600000000000002</v>
      </c>
      <c r="Q128" s="810">
        <f t="shared" si="43"/>
        <v>21.956594277323916</v>
      </c>
      <c r="R128" s="814">
        <f t="shared" si="14"/>
        <v>8.498893173320921</v>
      </c>
      <c r="S128" s="814">
        <f t="shared" si="15"/>
        <v>35.157920176424213</v>
      </c>
      <c r="T128" s="814">
        <f t="shared" si="16"/>
        <v>50.006188746360976</v>
      </c>
      <c r="U128" s="814">
        <f t="shared" si="17"/>
        <v>0.67710709475193609</v>
      </c>
      <c r="V128" s="1423">
        <f t="shared" si="18"/>
        <v>116.29670346818196</v>
      </c>
      <c r="W128" s="806">
        <f t="shared" si="88"/>
        <v>0.5</v>
      </c>
      <c r="X128" s="837">
        <f t="shared" si="19"/>
        <v>53.669159952994768</v>
      </c>
      <c r="Y128" s="837">
        <f t="shared" si="20"/>
        <v>53.669159952994768</v>
      </c>
      <c r="Z128" s="834">
        <f t="shared" si="21"/>
        <v>143.49374522057315</v>
      </c>
      <c r="AA128" s="814">
        <f t="shared" si="22"/>
        <v>104.06116418585958</v>
      </c>
      <c r="AB128" s="894">
        <f t="shared" si="23"/>
        <v>0.72519651658614603</v>
      </c>
      <c r="AC128" s="1390" t="str">
        <f t="shared" si="44"/>
        <v>Policies met</v>
      </c>
      <c r="AD128" s="1362">
        <f t="shared" si="45"/>
        <v>0.72519651658614603</v>
      </c>
      <c r="AE128" s="1390" t="str">
        <f t="shared" si="46"/>
        <v>No</v>
      </c>
      <c r="AF128" s="1421">
        <f t="shared" si="47"/>
        <v>116.58898707811893</v>
      </c>
      <c r="AG128" s="121">
        <f t="shared" si="48"/>
        <v>39.432581034713564</v>
      </c>
      <c r="AH128" s="121">
        <f t="shared" si="24"/>
        <v>31.958739222604436</v>
      </c>
      <c r="AI128" s="121">
        <f t="shared" si="25"/>
        <v>31.035802993670483</v>
      </c>
      <c r="AJ128" s="121">
        <f t="shared" si="26"/>
        <v>14.161863827130473</v>
      </c>
      <c r="AK128" s="121">
        <f t="shared" si="49"/>
        <v>116.58898707811896</v>
      </c>
      <c r="AL128" s="911">
        <f t="shared" si="27"/>
        <v>0</v>
      </c>
      <c r="AM128" s="806">
        <f t="shared" si="50"/>
        <v>0.33821874623794668</v>
      </c>
      <c r="AN128" s="807">
        <f t="shared" si="51"/>
        <v>0.274114562820508</v>
      </c>
      <c r="AO128" s="807">
        <f t="shared" si="52"/>
        <v>0.26619841008546835</v>
      </c>
      <c r="AP128" s="807">
        <f t="shared" si="53"/>
        <v>0.12146828085607689</v>
      </c>
      <c r="AQ128" s="807">
        <f t="shared" si="54"/>
        <v>0.99999999999999989</v>
      </c>
      <c r="AR128" s="918">
        <f t="shared" si="69"/>
        <v>5.6299200812489172</v>
      </c>
      <c r="AS128" s="919">
        <f t="shared" si="70"/>
        <v>9.1185520257293504</v>
      </c>
      <c r="AT128" s="919">
        <f t="shared" si="71"/>
        <v>3.1965868099426031</v>
      </c>
      <c r="AU128" s="919">
        <f t="shared" si="72"/>
        <v>0</v>
      </c>
      <c r="AV128" s="919">
        <f t="shared" si="73"/>
        <v>0</v>
      </c>
      <c r="AW128" s="919">
        <f t="shared" si="74"/>
        <v>0</v>
      </c>
      <c r="AX128" s="1494">
        <f t="shared" si="75"/>
        <v>13.605753418936775</v>
      </c>
      <c r="AY128" s="919">
        <f t="shared" si="76"/>
        <v>1.9670817335599302</v>
      </c>
      <c r="AZ128" s="919">
        <f t="shared" si="77"/>
        <v>2.8591431457198269</v>
      </c>
      <c r="BA128" s="919">
        <f t="shared" si="78"/>
        <v>2.5134137916831296</v>
      </c>
      <c r="BB128" s="919">
        <f t="shared" si="79"/>
        <v>0.54213002789300357</v>
      </c>
      <c r="BC128" s="814">
        <f t="shared" si="55"/>
        <v>39.432581034713536</v>
      </c>
      <c r="BD128" s="923">
        <f t="shared" si="56"/>
        <v>0</v>
      </c>
      <c r="BE128" s="848">
        <f t="shared" si="57"/>
        <v>0.14277330911442876</v>
      </c>
      <c r="BF128" s="859">
        <f t="shared" si="58"/>
        <v>0.23124410795484196</v>
      </c>
      <c r="BG128" s="859">
        <f t="shared" si="59"/>
        <v>8.1064610179297267E-2</v>
      </c>
      <c r="BH128" s="859">
        <f t="shared" si="60"/>
        <v>0</v>
      </c>
      <c r="BI128" s="859">
        <f t="shared" si="61"/>
        <v>0</v>
      </c>
      <c r="BJ128" s="859">
        <f t="shared" si="62"/>
        <v>0</v>
      </c>
      <c r="BK128" s="859">
        <f t="shared" si="63"/>
        <v>0.54491797275143194</v>
      </c>
      <c r="BL128" s="1347">
        <f t="shared" si="64"/>
        <v>1</v>
      </c>
      <c r="BM128" s="1241">
        <f t="shared" si="80"/>
        <v>0.19892488097366726</v>
      </c>
      <c r="BN128" s="1012">
        <f t="shared" si="81"/>
        <v>0.26585903447659598</v>
      </c>
      <c r="BO128" s="1012">
        <f t="shared" si="82"/>
        <v>8.9228108703258049E-2</v>
      </c>
      <c r="BP128" s="1012">
        <f t="shared" si="83"/>
        <v>0</v>
      </c>
      <c r="BQ128" s="1012">
        <f t="shared" si="84"/>
        <v>0</v>
      </c>
      <c r="BR128" s="1012">
        <f t="shared" si="85"/>
        <v>0</v>
      </c>
      <c r="BS128" s="1012">
        <f t="shared" si="86"/>
        <v>0.4459879758464787</v>
      </c>
      <c r="BT128" s="808">
        <f t="shared" si="87"/>
        <v>1</v>
      </c>
      <c r="BV128" s="837">
        <f t="shared" si="28"/>
        <v>55.754194702816761</v>
      </c>
      <c r="BW128" s="1012">
        <f t="shared" si="66"/>
        <v>0.60263741810996574</v>
      </c>
      <c r="BX128" s="849">
        <f t="shared" si="29"/>
        <v>8.0778844484992423</v>
      </c>
      <c r="BY128" s="837">
        <f t="shared" si="30"/>
        <v>69.142714736775588</v>
      </c>
      <c r="BZ128" s="1012">
        <f t="shared" si="67"/>
        <v>0.39607596563955194</v>
      </c>
      <c r="CA128" s="849">
        <f t="shared" si="31"/>
        <v>48.694518386230293</v>
      </c>
      <c r="CB128" s="1012">
        <f t="shared" si="32"/>
        <v>0.72519651658614603</v>
      </c>
      <c r="CC128" s="1012">
        <f t="shared" si="33"/>
        <v>0.49923160924652876</v>
      </c>
      <c r="CD128" s="1012">
        <f t="shared" si="34"/>
        <v>0.72519651658614603</v>
      </c>
      <c r="CE128" s="1004">
        <f t="shared" si="35"/>
        <v>0.85</v>
      </c>
    </row>
    <row r="129" spans="1:45">
      <c r="AL129" s="673"/>
      <c r="AM129" s="672"/>
      <c r="AN129" s="779"/>
      <c r="AO129" s="779"/>
      <c r="AP129" s="779"/>
      <c r="AS129" s="114"/>
    </row>
    <row r="130" spans="1:45" ht="23.25">
      <c r="A130" s="865" t="s">
        <v>739</v>
      </c>
      <c r="H130">
        <f>LN(6/20)/(2017-2030)</f>
        <v>9.2613292640456618E-2</v>
      </c>
      <c r="AL130" s="673"/>
      <c r="AM130" s="672"/>
      <c r="AO130" s="779"/>
      <c r="AS130" s="114"/>
    </row>
    <row r="131" spans="1:45" ht="15.75" thickBot="1">
      <c r="AL131" s="673"/>
      <c r="AM131" s="672"/>
    </row>
    <row r="132" spans="1:45" ht="21.6" customHeight="1" thickBot="1">
      <c r="A132" s="1593" t="s">
        <v>688</v>
      </c>
      <c r="B132" s="1594"/>
      <c r="C132" s="1594"/>
      <c r="D132" s="1595"/>
      <c r="E132" s="1621" t="s">
        <v>690</v>
      </c>
      <c r="F132" s="1622"/>
      <c r="G132" s="1622"/>
      <c r="H132" s="1622"/>
      <c r="I132" s="1623"/>
      <c r="J132" s="1624" t="s">
        <v>691</v>
      </c>
      <c r="K132" s="1625"/>
      <c r="L132" s="1626"/>
      <c r="M132" s="1627" t="s">
        <v>698</v>
      </c>
      <c r="N132" s="1629" t="s">
        <v>696</v>
      </c>
      <c r="O132" s="1630"/>
      <c r="P132" s="1602" t="s">
        <v>675</v>
      </c>
      <c r="Q132" s="1604" t="s">
        <v>681</v>
      </c>
      <c r="R132" s="1604" t="s">
        <v>661</v>
      </c>
      <c r="S132" s="1604" t="s">
        <v>729</v>
      </c>
      <c r="T132" s="1606" t="s">
        <v>731</v>
      </c>
      <c r="U132" s="1604" t="s">
        <v>730</v>
      </c>
      <c r="V132" s="1606" t="s">
        <v>733</v>
      </c>
      <c r="W132" s="1609" t="s">
        <v>699</v>
      </c>
      <c r="X132" s="1389" t="s">
        <v>672</v>
      </c>
      <c r="Y132" s="1369"/>
      <c r="Z132" s="1369"/>
      <c r="AA132" s="1369"/>
      <c r="AB132" s="1369"/>
      <c r="AC132" s="1369"/>
      <c r="AD132" s="1369"/>
      <c r="AE132" s="1369"/>
      <c r="AF132" s="1369"/>
      <c r="AG132" s="1369"/>
      <c r="AH132" s="1369"/>
      <c r="AI132" s="1369"/>
      <c r="AJ132" s="1370"/>
      <c r="AL132" s="673"/>
      <c r="AM132" s="672"/>
    </row>
    <row r="133" spans="1:45" ht="58.9" customHeight="1">
      <c r="A133" s="1619" t="s">
        <v>217</v>
      </c>
      <c r="B133" s="884" t="s">
        <v>218</v>
      </c>
      <c r="C133" s="884" t="s">
        <v>464</v>
      </c>
      <c r="D133" s="644" t="s">
        <v>724</v>
      </c>
      <c r="E133" s="886" t="s">
        <v>551</v>
      </c>
      <c r="F133" s="885" t="s">
        <v>555</v>
      </c>
      <c r="G133" s="885" t="s">
        <v>677</v>
      </c>
      <c r="H133" s="887" t="s">
        <v>680</v>
      </c>
      <c r="I133" s="887" t="s">
        <v>721</v>
      </c>
      <c r="J133" s="634" t="s">
        <v>367</v>
      </c>
      <c r="K133" s="1400" t="s">
        <v>367</v>
      </c>
      <c r="L133" s="888" t="s">
        <v>693</v>
      </c>
      <c r="M133" s="1628"/>
      <c r="N133" s="639" t="s">
        <v>694</v>
      </c>
      <c r="O133" s="712" t="s">
        <v>695</v>
      </c>
      <c r="P133" s="1603"/>
      <c r="Q133" s="1605"/>
      <c r="R133" s="1605"/>
      <c r="S133" s="1605"/>
      <c r="T133" s="1607"/>
      <c r="U133" s="1605"/>
      <c r="V133" s="1607"/>
      <c r="W133" s="1610"/>
      <c r="X133" s="900" t="s">
        <v>549</v>
      </c>
      <c r="Y133" s="901" t="s">
        <v>565</v>
      </c>
      <c r="Z133" s="901" t="s">
        <v>428</v>
      </c>
      <c r="AA133" s="901" t="s">
        <v>429</v>
      </c>
      <c r="AB133" s="901" t="s">
        <v>553</v>
      </c>
      <c r="AC133" s="901" t="s">
        <v>225</v>
      </c>
      <c r="AD133" s="905" t="s">
        <v>709</v>
      </c>
      <c r="AE133" s="1360" t="s">
        <v>549</v>
      </c>
      <c r="AF133" s="901" t="s">
        <v>565</v>
      </c>
      <c r="AG133" s="901" t="s">
        <v>428</v>
      </c>
      <c r="AH133" s="901" t="s">
        <v>429</v>
      </c>
      <c r="AI133" s="901" t="s">
        <v>553</v>
      </c>
      <c r="AJ133" s="902" t="s">
        <v>225</v>
      </c>
      <c r="AL133" s="673"/>
      <c r="AM133" s="672"/>
    </row>
    <row r="134" spans="1:45" ht="61.15" customHeight="1" thickBot="1">
      <c r="A134" s="1631"/>
      <c r="B134" s="567" t="s">
        <v>232</v>
      </c>
      <c r="C134" s="568" t="s">
        <v>558</v>
      </c>
      <c r="D134" s="605" t="s">
        <v>556</v>
      </c>
      <c r="E134" s="1356" t="s">
        <v>689</v>
      </c>
      <c r="F134" s="1357" t="s">
        <v>689</v>
      </c>
      <c r="G134" s="1357" t="str">
        <f>F134</f>
        <v>Gg/GDP ZAR billion</v>
      </c>
      <c r="H134" s="1358" t="str">
        <f>G134</f>
        <v>Gg/GDP ZAR billion</v>
      </c>
      <c r="I134" s="1358" t="s">
        <v>692</v>
      </c>
      <c r="J134" s="889" t="s">
        <v>229</v>
      </c>
      <c r="K134" s="1412" t="s">
        <v>692</v>
      </c>
      <c r="L134" s="1412" t="s">
        <v>692</v>
      </c>
      <c r="M134" s="1413" t="s">
        <v>692</v>
      </c>
      <c r="N134" s="868" t="s">
        <v>229</v>
      </c>
      <c r="O134" s="707" t="s">
        <v>670</v>
      </c>
      <c r="P134" s="1415" t="s">
        <v>692</v>
      </c>
      <c r="Q134" s="1416" t="s">
        <v>692</v>
      </c>
      <c r="R134" s="1416" t="s">
        <v>692</v>
      </c>
      <c r="S134" s="1417" t="s">
        <v>28</v>
      </c>
      <c r="T134" s="1608"/>
      <c r="U134" s="1411" t="s">
        <v>28</v>
      </c>
      <c r="V134" s="1608"/>
      <c r="W134" s="1366" t="s">
        <v>692</v>
      </c>
      <c r="X134" s="192" t="s">
        <v>228</v>
      </c>
      <c r="Y134" s="1367" t="s">
        <v>228</v>
      </c>
      <c r="Z134" s="1367" t="s">
        <v>228</v>
      </c>
      <c r="AA134" s="1367" t="s">
        <v>228</v>
      </c>
      <c r="AB134" s="1367" t="s">
        <v>228</v>
      </c>
      <c r="AC134" s="1367" t="s">
        <v>228</v>
      </c>
      <c r="AD134" s="1368" t="s">
        <v>669</v>
      </c>
      <c r="AE134" s="1361" t="s">
        <v>229</v>
      </c>
      <c r="AF134" s="903" t="s">
        <v>229</v>
      </c>
      <c r="AG134" s="903" t="s">
        <v>229</v>
      </c>
      <c r="AH134" s="903" t="s">
        <v>229</v>
      </c>
      <c r="AI134" s="903" t="s">
        <v>229</v>
      </c>
      <c r="AJ134" s="906" t="s">
        <v>229</v>
      </c>
      <c r="AL134" s="673"/>
      <c r="AM134" s="672"/>
    </row>
    <row r="135" spans="1:45" ht="15" customHeight="1">
      <c r="A135" s="934">
        <f>'Input data'!A115</f>
        <v>2017</v>
      </c>
      <c r="B135" s="935">
        <f>'Input data'!B115</f>
        <v>56.521999999999998</v>
      </c>
      <c r="C135" s="936">
        <f>'Input data'!C115</f>
        <v>3120.54</v>
      </c>
      <c r="D135" s="937">
        <f>'Input data'!D115</f>
        <v>49995051</v>
      </c>
      <c r="E135" s="812">
        <f>'Input data'!J115</f>
        <v>11.504772374209397</v>
      </c>
      <c r="F135" s="813">
        <f>'Input data'!L115/C95</f>
        <v>27.526054267727826</v>
      </c>
      <c r="G135" s="851">
        <f>F135*B11</f>
        <v>23.573842715560573</v>
      </c>
      <c r="H135" s="696">
        <f t="shared" ref="H135:H168" si="97">E135*$B$12+I135*$E$80-G135</f>
        <v>0</v>
      </c>
      <c r="I135" s="1351">
        <f t="shared" ref="I135:I168" si="98">D135/1000/C135</f>
        <v>16.021281893518431</v>
      </c>
      <c r="J135" s="805">
        <f>H17</f>
        <v>6.154773859516615E-2</v>
      </c>
      <c r="K135" s="696">
        <f>(I135)*J135</f>
        <v>0.98607366994174095</v>
      </c>
      <c r="L135" s="673">
        <f t="shared" ref="L135:L168" si="99">(E135)*$C$12*$G$12</f>
        <v>0.96248877021284696</v>
      </c>
      <c r="M135" s="802">
        <f>L135+K135</f>
        <v>1.9485624401545878</v>
      </c>
      <c r="N135" s="805">
        <v>0</v>
      </c>
      <c r="O135" s="1407">
        <f t="shared" ref="O135:O168" si="100">N135*E135*($C$84)*$B$12</f>
        <v>0</v>
      </c>
      <c r="P135" s="1418">
        <f>O135+(K135-I135*$J$135)</f>
        <v>0</v>
      </c>
      <c r="Q135" s="851">
        <f t="shared" ref="Q135:Q168" si="101">E135*$B$12+I135*(1-$H$80)-P135</f>
        <v>23.573842715560573</v>
      </c>
      <c r="R135" s="813">
        <f t="shared" ref="R135:R168" si="102">Q135-G135</f>
        <v>0</v>
      </c>
      <c r="S135" s="1419">
        <f>R135/(Q135-(I135-K135))</f>
        <v>0</v>
      </c>
      <c r="T135" s="135" t="str">
        <f>IF(AND(S135&gt;=0,S135&lt;=0.85),"Policies met","Policies not met")</f>
        <v>Policies met</v>
      </c>
      <c r="U135" s="1353">
        <f>IF(S135&lt;=0,0,IF(S135&gt;=0.85,0.85,S135))</f>
        <v>0</v>
      </c>
      <c r="V135" s="135" t="str">
        <f>IF(AND(S135&gt;=0,S135&lt;=0.85),"No","Yes")</f>
        <v>No</v>
      </c>
      <c r="W135" s="1354">
        <f>($E$135)*(1-U135)+I135</f>
        <v>27.526054267727829</v>
      </c>
      <c r="X135" s="696">
        <f>Q135-U135*(Q135-(I135-K135))</f>
        <v>23.573842715560573</v>
      </c>
      <c r="Y135" s="118">
        <f>(L135)*(1-U135)+K135</f>
        <v>1.9485624401545878</v>
      </c>
      <c r="Z135" s="673">
        <f>($C$12*$H$12*$E$135+O135)*(1-U135)</f>
        <v>1.9789482589551808</v>
      </c>
      <c r="AA135" s="673">
        <f>$F$135*$D$11*(1-U135)</f>
        <v>0</v>
      </c>
      <c r="AB135" s="673">
        <f>$E$135*$E$12*(1-U135)</f>
        <v>2.4700853057483641E-2</v>
      </c>
      <c r="AC135" s="673">
        <f>SUM(X135:AB135)</f>
        <v>27.526054267727829</v>
      </c>
      <c r="AD135" s="674"/>
      <c r="AE135" s="891">
        <f>X135/AC135</f>
        <v>0.85641924869700925</v>
      </c>
      <c r="AF135" s="803">
        <f>Y135/AC135</f>
        <v>7.0789747822270571E-2</v>
      </c>
      <c r="AG135" s="803">
        <f>Z135/AC135</f>
        <v>7.1893640828694608E-2</v>
      </c>
      <c r="AH135" s="803">
        <f>AB135/AC135</f>
        <v>8.9736265202541149E-4</v>
      </c>
      <c r="AI135" s="803">
        <f>AB135/AC135</f>
        <v>8.9736265202541149E-4</v>
      </c>
      <c r="AJ135" s="907">
        <f>SUM(AE135:AI135)</f>
        <v>1.0008973626520252</v>
      </c>
      <c r="AL135" s="673"/>
      <c r="AM135" s="672"/>
    </row>
    <row r="136" spans="1:45">
      <c r="A136" s="127">
        <f>'Input data'!A116</f>
        <v>2018</v>
      </c>
      <c r="B136" s="828">
        <f>'Input data'!B116</f>
        <v>57.436</v>
      </c>
      <c r="C136" s="238">
        <f>'Input data'!C116</f>
        <v>3152.24</v>
      </c>
      <c r="D136" s="239">
        <f>'Input data'!D116</f>
        <v>48694518.38623029</v>
      </c>
      <c r="E136" s="654">
        <f>'Input data'!J116</f>
        <v>11.504772374209397</v>
      </c>
      <c r="F136" s="673">
        <f>'Input data'!L116/C96</f>
        <v>26.95236468514711</v>
      </c>
      <c r="G136" s="696">
        <f>$G$135*(1+((($G$148/$G$135)^(1/($A$148-$A$135)))-1))^(A136-$A$135)</f>
        <v>22.34983020519125</v>
      </c>
      <c r="H136" s="696">
        <f t="shared" si="97"/>
        <v>0.68563222425205339</v>
      </c>
      <c r="I136" s="1351">
        <f t="shared" si="98"/>
        <v>15.447592310937711</v>
      </c>
      <c r="J136" s="805">
        <f t="shared" ref="J136:J146" si="103">$J$135*(1+((($J$148/$J$135)^(1/($A$148-$A$135)))-1))^(A136-$A$135)</f>
        <v>6.7388021833337503E-2</v>
      </c>
      <c r="K136" s="696">
        <f>(I136)*J136</f>
        <v>1.040982687921967</v>
      </c>
      <c r="L136" s="673">
        <f t="shared" si="99"/>
        <v>0.96248877021284696</v>
      </c>
      <c r="M136" s="802">
        <f t="shared" ref="M136:M168" si="104">L136+K136</f>
        <v>2.0034714581348139</v>
      </c>
      <c r="N136" s="805">
        <f>($N$140-$N$135)/($A$100-$A$95)+N135</f>
        <v>0.05</v>
      </c>
      <c r="O136" s="1407">
        <f t="shared" si="100"/>
        <v>0.10361992776035385</v>
      </c>
      <c r="P136" s="861">
        <f t="shared" ref="P136:P168" si="105">O136+(K136-I136*$J$135)</f>
        <v>0.19383824220402807</v>
      </c>
      <c r="Q136" s="696">
        <f t="shared" si="101"/>
        <v>22.841624187239276</v>
      </c>
      <c r="R136" s="673">
        <f t="shared" si="102"/>
        <v>0.49179398204802638</v>
      </c>
      <c r="S136" s="1353">
        <f>R136/(Q136-(I136-K136))</f>
        <v>5.8303868748956621E-2</v>
      </c>
      <c r="T136" s="135" t="str">
        <f t="shared" ref="T136:T168" si="106">IF(AND(S136&gt;=0,S136&lt;=0.85),"Policies met","Policies not met")</f>
        <v>Policies met</v>
      </c>
      <c r="U136" s="1353">
        <f t="shared" ref="U136:U168" si="107">IF(S136&lt;=0,0,IF(S136&gt;=0.85,0.85,S136))</f>
        <v>5.8303868748956621E-2</v>
      </c>
      <c r="V136" s="135" t="str">
        <f t="shared" ref="V136:V168" si="108">IF(AND(S136&gt;=0,S136&lt;=0.85),"No","Yes")</f>
        <v>No</v>
      </c>
      <c r="W136" s="1354">
        <f t="shared" ref="W136:W168" si="109">($E$135)*(1-U136)+I136</f>
        <v>26.281591946654579</v>
      </c>
      <c r="X136" s="696">
        <f t="shared" ref="X136:X168" si="110">Q136-U136*(Q136-(I136-K136))</f>
        <v>22.34983020519125</v>
      </c>
      <c r="Y136" s="118">
        <f t="shared" ref="Y136:Y168" si="111">(L136)*(1-U136)+K136</f>
        <v>1.9473546392039793</v>
      </c>
      <c r="Z136" s="673">
        <f t="shared" ref="Z136:Z168" si="112">($C$12*$H$12*$E$135+O136)*(1-U136)</f>
        <v>1.9611464044965197</v>
      </c>
      <c r="AA136" s="673">
        <f t="shared" ref="AA136:AA168" si="113">$F$135*$D$11*(1-U136)</f>
        <v>0</v>
      </c>
      <c r="AB136" s="673">
        <f t="shared" ref="AB136:AB168" si="114">$E$135*$E$12*(1-U136)</f>
        <v>2.3260697762832849E-2</v>
      </c>
      <c r="AC136" s="673">
        <f t="shared" ref="AC136:AC168" si="115">SUM(X136:AB136)</f>
        <v>26.281591946654583</v>
      </c>
      <c r="AD136" s="847">
        <f t="shared" ref="AD136:AD153" si="116">AC136-W136</f>
        <v>0</v>
      </c>
      <c r="AE136" s="805">
        <f t="shared" ref="AE136:AE168" si="117">X136/AC136</f>
        <v>0.85039864596315629</v>
      </c>
      <c r="AF136" s="510">
        <f t="shared" ref="AF136:AF168" si="118">Y136/AC136</f>
        <v>7.4095764181890081E-2</v>
      </c>
      <c r="AG136" s="510">
        <f t="shared" ref="AG136:AG168" si="119">Z136/AC136</f>
        <v>7.4620533203513056E-2</v>
      </c>
      <c r="AH136" s="510">
        <f t="shared" ref="AH136:AH168" si="120">AB136/AC136</f>
        <v>8.8505665144054306E-4</v>
      </c>
      <c r="AI136" s="510">
        <f t="shared" ref="AI136:AI167" si="121">AB136/AC136</f>
        <v>8.8505665144054306E-4</v>
      </c>
      <c r="AJ136" s="658">
        <f t="shared" ref="AJ136:AJ168" si="122">SUM(AE136:AI136)</f>
        <v>1.0008850566514405</v>
      </c>
      <c r="AL136" s="673"/>
      <c r="AM136" s="672"/>
    </row>
    <row r="137" spans="1:45">
      <c r="A137" s="127">
        <f>'Input data'!A117</f>
        <v>2019</v>
      </c>
      <c r="B137" s="828">
        <f>'Input data'!B117</f>
        <v>58.365000000000002</v>
      </c>
      <c r="C137" s="238">
        <f>'Input data'!C117</f>
        <v>3179.2899999999995</v>
      </c>
      <c r="D137" s="239">
        <f>'Input data'!D117</f>
        <v>47939972.084890619</v>
      </c>
      <c r="E137" s="654">
        <f>'Input data'!J117</f>
        <v>11.504772374209397</v>
      </c>
      <c r="F137" s="673">
        <f>'Input data'!L117/C97</f>
        <v>26.583601950904391</v>
      </c>
      <c r="G137" s="696">
        <f t="shared" ref="G137:G147" si="123">$G$135*(1+((($G$148/$G$135)^(1/($A$148-$A$135)))-1))^(A137-$A$135)</f>
        <v>21.189371466840253</v>
      </c>
      <c r="H137" s="696">
        <f t="shared" si="97"/>
        <v>1.5000247407311456</v>
      </c>
      <c r="I137" s="1351">
        <f t="shared" si="98"/>
        <v>15.078829576694995</v>
      </c>
      <c r="J137" s="805">
        <f t="shared" si="103"/>
        <v>7.3782491286642105E-2</v>
      </c>
      <c r="K137" s="696">
        <f t="shared" ref="K137:K168" si="124">(I137)*J137</f>
        <v>1.1125536118552597</v>
      </c>
      <c r="L137" s="673">
        <f t="shared" si="99"/>
        <v>0.96248877021284696</v>
      </c>
      <c r="M137" s="802">
        <f t="shared" si="104"/>
        <v>2.0750423820681068</v>
      </c>
      <c r="N137" s="805">
        <f>($N$140-$N$135)/($A$100-$A$95)+N136</f>
        <v>0.1</v>
      </c>
      <c r="O137" s="1407">
        <f t="shared" si="100"/>
        <v>0.2072398555207077</v>
      </c>
      <c r="P137" s="861">
        <f t="shared" si="105"/>
        <v>0.39172560626848396</v>
      </c>
      <c r="Q137" s="696">
        <f t="shared" si="101"/>
        <v>22.297670601302915</v>
      </c>
      <c r="R137" s="673">
        <f t="shared" si="102"/>
        <v>1.108299134462662</v>
      </c>
      <c r="S137" s="1353">
        <f t="shared" ref="S137:S168" si="125">R137/(Q137-(I137-K137))</f>
        <v>0.1330268439826485</v>
      </c>
      <c r="T137" s="135" t="str">
        <f t="shared" si="106"/>
        <v>Policies met</v>
      </c>
      <c r="U137" s="1353">
        <f t="shared" si="107"/>
        <v>0.1330268439826485</v>
      </c>
      <c r="V137" s="135" t="str">
        <f t="shared" si="108"/>
        <v>No</v>
      </c>
      <c r="W137" s="1354">
        <f t="shared" si="109"/>
        <v>25.053158391224553</v>
      </c>
      <c r="X137" s="696">
        <f t="shared" si="110"/>
        <v>21.189371466840253</v>
      </c>
      <c r="Y137" s="118">
        <f t="shared" si="111"/>
        <v>1.947005538597951</v>
      </c>
      <c r="Z137" s="673">
        <f t="shared" si="112"/>
        <v>1.8953664092547837</v>
      </c>
      <c r="AA137" s="673">
        <f t="shared" si="113"/>
        <v>0</v>
      </c>
      <c r="AB137" s="673">
        <f t="shared" si="114"/>
        <v>2.1414976531567438E-2</v>
      </c>
      <c r="AC137" s="673">
        <f t="shared" si="115"/>
        <v>25.053158391224557</v>
      </c>
      <c r="AD137" s="847">
        <f t="shared" si="116"/>
        <v>0</v>
      </c>
      <c r="AE137" s="805">
        <f t="shared" si="117"/>
        <v>0.84577645404829738</v>
      </c>
      <c r="AF137" s="510">
        <f t="shared" si="118"/>
        <v>7.7714973425463768E-2</v>
      </c>
      <c r="AG137" s="510">
        <f t="shared" si="119"/>
        <v>7.5653791017370464E-2</v>
      </c>
      <c r="AH137" s="510">
        <f t="shared" si="120"/>
        <v>8.5478150886830002E-4</v>
      </c>
      <c r="AI137" s="510">
        <f t="shared" si="121"/>
        <v>8.5478150886830002E-4</v>
      </c>
      <c r="AJ137" s="658">
        <f t="shared" si="122"/>
        <v>1.0008547815088682</v>
      </c>
    </row>
    <row r="138" spans="1:45">
      <c r="A138" s="127">
        <f>'Input data'!A118</f>
        <v>2020</v>
      </c>
      <c r="B138" s="828">
        <f>'Input data'!B118</f>
        <v>59.308999999999997</v>
      </c>
      <c r="C138" s="238">
        <f>'Input data'!C118</f>
        <v>2948.9199999999987</v>
      </c>
      <c r="D138" s="239">
        <f>'Input data'!D118</f>
        <v>45386383.927997284</v>
      </c>
      <c r="E138" s="654">
        <f>'Input data'!J118</f>
        <v>11.504772374209397</v>
      </c>
      <c r="F138" s="673">
        <f>'Input data'!L118/C98</f>
        <v>26.895621881146617</v>
      </c>
      <c r="G138" s="696">
        <f t="shared" si="123"/>
        <v>20.08916663069127</v>
      </c>
      <c r="H138" s="696">
        <f t="shared" si="97"/>
        <v>2.8930453860193204</v>
      </c>
      <c r="I138" s="1351">
        <f t="shared" si="98"/>
        <v>15.390849506937219</v>
      </c>
      <c r="J138" s="805">
        <f t="shared" si="103"/>
        <v>8.0783733850016193E-2</v>
      </c>
      <c r="K138" s="696">
        <f t="shared" si="124"/>
        <v>1.2433302902940693</v>
      </c>
      <c r="L138" s="673">
        <f t="shared" si="99"/>
        <v>0.96248877021284696</v>
      </c>
      <c r="M138" s="802">
        <f t="shared" si="104"/>
        <v>2.2058190605069163</v>
      </c>
      <c r="N138" s="805">
        <f>($N$140-$N$135)/($A$100-$A$95)+N137</f>
        <v>0.15000000000000002</v>
      </c>
      <c r="O138" s="1407">
        <f t="shared" si="100"/>
        <v>0.31085978328106162</v>
      </c>
      <c r="P138" s="861">
        <f t="shared" si="105"/>
        <v>0.60691809136461705</v>
      </c>
      <c r="Q138" s="696">
        <f t="shared" si="101"/>
        <v>22.375293925345975</v>
      </c>
      <c r="R138" s="673">
        <f t="shared" si="102"/>
        <v>2.2861272946547047</v>
      </c>
      <c r="S138" s="1353">
        <f t="shared" si="125"/>
        <v>0.27785487274421622</v>
      </c>
      <c r="T138" s="135" t="str">
        <f t="shared" si="106"/>
        <v>Policies met</v>
      </c>
      <c r="U138" s="1353">
        <f t="shared" si="107"/>
        <v>0.27785487274421622</v>
      </c>
      <c r="V138" s="135" t="str">
        <f t="shared" si="108"/>
        <v>No</v>
      </c>
      <c r="W138" s="1354">
        <f t="shared" si="109"/>
        <v>23.698964817159489</v>
      </c>
      <c r="X138" s="696">
        <f t="shared" si="110"/>
        <v>20.08916663069127</v>
      </c>
      <c r="Y138" s="118">
        <f t="shared" si="111"/>
        <v>1.9383868657416885</v>
      </c>
      <c r="Z138" s="673">
        <f t="shared" si="112"/>
        <v>1.6535737200520082</v>
      </c>
      <c r="AA138" s="673">
        <f t="shared" si="113"/>
        <v>0</v>
      </c>
      <c r="AB138" s="673">
        <f t="shared" si="114"/>
        <v>1.783760067452294E-2</v>
      </c>
      <c r="AC138" s="673">
        <f t="shared" si="115"/>
        <v>23.698964817159489</v>
      </c>
      <c r="AD138" s="847">
        <f t="shared" si="116"/>
        <v>0</v>
      </c>
      <c r="AE138" s="805">
        <f t="shared" si="117"/>
        <v>0.84768118716077823</v>
      </c>
      <c r="AF138" s="510">
        <f t="shared" si="118"/>
        <v>8.1792047909965193E-2</v>
      </c>
      <c r="AG138" s="510">
        <f t="shared" si="119"/>
        <v>6.9774090674826456E-2</v>
      </c>
      <c r="AH138" s="510">
        <f t="shared" si="120"/>
        <v>7.5267425443019495E-4</v>
      </c>
      <c r="AI138" s="510">
        <f t="shared" si="121"/>
        <v>7.5267425443019495E-4</v>
      </c>
      <c r="AJ138" s="658">
        <f t="shared" si="122"/>
        <v>1.0007526742544302</v>
      </c>
    </row>
    <row r="139" spans="1:45">
      <c r="A139" s="127">
        <f>'Input data'!A119</f>
        <v>2021</v>
      </c>
      <c r="B139" s="828">
        <f>'Input data'!B119</f>
        <v>59.991999999999997</v>
      </c>
      <c r="C139" s="238">
        <f>'Input data'!C119</f>
        <v>3014.38</v>
      </c>
      <c r="D139" s="239">
        <f>'Input data'!D119</f>
        <v>45579683.429913521</v>
      </c>
      <c r="E139" s="654">
        <f>'Input data'!J119</f>
        <v>11.504772374209397</v>
      </c>
      <c r="F139" s="673">
        <f>'Input data'!L119/C99</f>
        <v>26.625521393879616</v>
      </c>
      <c r="G139" s="696">
        <f t="shared" si="123"/>
        <v>19.046087164371208</v>
      </c>
      <c r="H139" s="696">
        <f t="shared" si="97"/>
        <v>3.6826484392571217</v>
      </c>
      <c r="I139" s="1351">
        <f t="shared" si="98"/>
        <v>15.120749019670221</v>
      </c>
      <c r="J139" s="805">
        <f t="shared" si="103"/>
        <v>8.8449326404511766E-2</v>
      </c>
      <c r="K139" s="696">
        <f t="shared" si="124"/>
        <v>1.3374200655215127</v>
      </c>
      <c r="L139" s="673">
        <f t="shared" si="99"/>
        <v>0.96248877021284696</v>
      </c>
      <c r="M139" s="802">
        <f t="shared" si="104"/>
        <v>2.2999088357343598</v>
      </c>
      <c r="N139" s="805">
        <f>($N$140-$N$135)/($A$100-$A$95)+N138</f>
        <v>0.2</v>
      </c>
      <c r="O139" s="1407">
        <f t="shared" si="100"/>
        <v>0.4144797110414154</v>
      </c>
      <c r="P139" s="861">
        <f t="shared" si="105"/>
        <v>0.8212518685371506</v>
      </c>
      <c r="Q139" s="696">
        <f t="shared" si="101"/>
        <v>21.90748373509118</v>
      </c>
      <c r="R139" s="673">
        <f t="shared" si="102"/>
        <v>2.8613965707199718</v>
      </c>
      <c r="S139" s="1353">
        <f t="shared" si="125"/>
        <v>0.35220852480952181</v>
      </c>
      <c r="T139" s="135" t="str">
        <f t="shared" si="106"/>
        <v>Policies met</v>
      </c>
      <c r="U139" s="1353">
        <f t="shared" si="107"/>
        <v>0.35220852480952181</v>
      </c>
      <c r="V139" s="135" t="str">
        <f t="shared" si="108"/>
        <v>No</v>
      </c>
      <c r="W139" s="1354">
        <f t="shared" si="109"/>
        <v>22.573442487689988</v>
      </c>
      <c r="X139" s="696">
        <f t="shared" si="110"/>
        <v>19.046087164371208</v>
      </c>
      <c r="Y139" s="118">
        <f t="shared" si="111"/>
        <v>1.960912085831962</v>
      </c>
      <c r="Z139" s="673">
        <f t="shared" si="112"/>
        <v>1.5504422354462468</v>
      </c>
      <c r="AA139" s="673">
        <f t="shared" si="113"/>
        <v>0</v>
      </c>
      <c r="AB139" s="673">
        <f t="shared" si="114"/>
        <v>1.6001002040570561E-2</v>
      </c>
      <c r="AC139" s="673">
        <f t="shared" si="115"/>
        <v>22.573442487689988</v>
      </c>
      <c r="AD139" s="847">
        <f t="shared" si="116"/>
        <v>0</v>
      </c>
      <c r="AE139" s="805">
        <f t="shared" si="117"/>
        <v>0.84373870643600957</v>
      </c>
      <c r="AF139" s="510">
        <f t="shared" si="118"/>
        <v>8.6868101172486625E-2</v>
      </c>
      <c r="AG139" s="510">
        <f t="shared" si="119"/>
        <v>6.8684350483615958E-2</v>
      </c>
      <c r="AH139" s="510">
        <f t="shared" si="120"/>
        <v>7.0884190788783824E-4</v>
      </c>
      <c r="AI139" s="510">
        <f t="shared" si="121"/>
        <v>7.0884190788783824E-4</v>
      </c>
      <c r="AJ139" s="658">
        <f t="shared" si="122"/>
        <v>1.0007088419078878</v>
      </c>
    </row>
    <row r="140" spans="1:45">
      <c r="A140" s="127">
        <f>'Input data'!A120</f>
        <v>2022</v>
      </c>
      <c r="B140" s="829">
        <f>'Input data'!B120</f>
        <v>60.682000000000002</v>
      </c>
      <c r="C140" s="238">
        <f>'Input data'!C120</f>
        <v>3077.2</v>
      </c>
      <c r="D140" s="830">
        <f>'Input data'!D120</f>
        <v>45460990.75329829</v>
      </c>
      <c r="E140" s="809">
        <f>'Input data'!J120</f>
        <v>11.504772374209397</v>
      </c>
      <c r="F140" s="673">
        <f>'Input data'!L120/C100</f>
        <v>26.278264754717096</v>
      </c>
      <c r="G140" s="696">
        <f t="shared" si="123"/>
        <v>18.05716697668425</v>
      </c>
      <c r="H140" s="696">
        <f t="shared" si="97"/>
        <v>4.3456848486341642</v>
      </c>
      <c r="I140" s="1351">
        <f t="shared" si="98"/>
        <v>14.773492380507699</v>
      </c>
      <c r="J140" s="805">
        <f t="shared" si="103"/>
        <v>9.6842309318564565E-2</v>
      </c>
      <c r="K140" s="696">
        <f t="shared" si="124"/>
        <v>1.4306991188285834</v>
      </c>
      <c r="L140" s="673">
        <f t="shared" si="99"/>
        <v>0.96248877021284696</v>
      </c>
      <c r="M140" s="802">
        <f t="shared" si="104"/>
        <v>2.3931878890414304</v>
      </c>
      <c r="N140" s="804">
        <f>$C$26</f>
        <v>0.25</v>
      </c>
      <c r="O140" s="1407">
        <f t="shared" si="100"/>
        <v>0.51809963880176924</v>
      </c>
      <c r="P140" s="861">
        <f t="shared" si="105"/>
        <v>1.0395237104571859</v>
      </c>
      <c r="Q140" s="696">
        <f t="shared" si="101"/>
        <v>21.363328114861229</v>
      </c>
      <c r="R140" s="673">
        <f t="shared" si="102"/>
        <v>3.3061611381769787</v>
      </c>
      <c r="S140" s="1353">
        <f t="shared" si="125"/>
        <v>0.41221205302353037</v>
      </c>
      <c r="T140" s="135" t="str">
        <f t="shared" si="106"/>
        <v>Policies met</v>
      </c>
      <c r="U140" s="1353">
        <f t="shared" si="107"/>
        <v>0.41221205302353037</v>
      </c>
      <c r="V140" s="135" t="str">
        <f t="shared" si="108"/>
        <v>No</v>
      </c>
      <c r="W140" s="1354">
        <f t="shared" si="109"/>
        <v>21.535858914775844</v>
      </c>
      <c r="X140" s="696">
        <f t="shared" si="110"/>
        <v>18.05716697668425</v>
      </c>
      <c r="Y140" s="118">
        <f t="shared" si="111"/>
        <v>1.9964384170598997</v>
      </c>
      <c r="Z140" s="673">
        <f t="shared" si="112"/>
        <v>1.467734657324467</v>
      </c>
      <c r="AA140" s="673">
        <f t="shared" si="113"/>
        <v>0</v>
      </c>
      <c r="AB140" s="673">
        <f t="shared" si="114"/>
        <v>1.4518863707225762E-2</v>
      </c>
      <c r="AC140" s="673">
        <f t="shared" si="115"/>
        <v>21.535858914775844</v>
      </c>
      <c r="AD140" s="847">
        <f t="shared" si="116"/>
        <v>0</v>
      </c>
      <c r="AE140" s="805">
        <f t="shared" si="117"/>
        <v>0.83846978419305818</v>
      </c>
      <c r="AF140" s="510">
        <f t="shared" si="118"/>
        <v>9.270298551640932E-2</v>
      </c>
      <c r="AG140" s="510">
        <f t="shared" si="119"/>
        <v>6.8153058725577365E-2</v>
      </c>
      <c r="AH140" s="510">
        <f t="shared" si="120"/>
        <v>6.7417156495505777E-4</v>
      </c>
      <c r="AI140" s="510">
        <f t="shared" si="121"/>
        <v>6.7417156495505777E-4</v>
      </c>
      <c r="AJ140" s="658">
        <f t="shared" si="122"/>
        <v>1.000674171564955</v>
      </c>
    </row>
    <row r="141" spans="1:45">
      <c r="A141" s="127">
        <f>'Input data'!A121</f>
        <v>2023</v>
      </c>
      <c r="B141" s="828">
        <f>'Input data'!B121</f>
        <v>61.381</v>
      </c>
      <c r="C141" s="238">
        <f>'Input data'!C121</f>
        <v>3140.61</v>
      </c>
      <c r="D141" s="239">
        <f>'Input data'!D121</f>
        <v>45566118.552586071</v>
      </c>
      <c r="E141" s="654">
        <f>'Input data'!J121</f>
        <v>11.504772374209397</v>
      </c>
      <c r="F141" s="673">
        <f>'Input data'!L121/C101</f>
        <v>26.013456531932281</v>
      </c>
      <c r="G141" s="696">
        <f t="shared" si="123"/>
        <v>17.119593983262174</v>
      </c>
      <c r="H141" s="696">
        <f t="shared" si="97"/>
        <v>5.0347479665452362</v>
      </c>
      <c r="I141" s="1351">
        <f t="shared" si="98"/>
        <v>14.508684157722884</v>
      </c>
      <c r="J141" s="805">
        <f t="shared" si="103"/>
        <v>0.10603170487993842</v>
      </c>
      <c r="K141" s="696">
        <f t="shared" si="124"/>
        <v>1.5383805168079108</v>
      </c>
      <c r="L141" s="673">
        <f t="shared" si="99"/>
        <v>0.96248877021284696</v>
      </c>
      <c r="M141" s="802">
        <f t="shared" si="104"/>
        <v>2.5008692870207576</v>
      </c>
      <c r="N141" s="805">
        <f>($N$145-$N$140)/($A$105-$A$100)+N140</f>
        <v>0.3</v>
      </c>
      <c r="O141" s="1407">
        <f t="shared" si="100"/>
        <v>0.62171956656212313</v>
      </c>
      <c r="P141" s="861">
        <f t="shared" si="105"/>
        <v>1.2671233834706774</v>
      </c>
      <c r="Q141" s="696">
        <f t="shared" si="101"/>
        <v>20.887218566336731</v>
      </c>
      <c r="R141" s="673">
        <f t="shared" si="102"/>
        <v>3.7676245830745572</v>
      </c>
      <c r="S141" s="1353">
        <f t="shared" si="125"/>
        <v>0.47589555004266321</v>
      </c>
      <c r="T141" s="135" t="str">
        <f t="shared" si="106"/>
        <v>Policies met</v>
      </c>
      <c r="U141" s="1353">
        <f t="shared" si="107"/>
        <v>0.47589555004266321</v>
      </c>
      <c r="V141" s="135" t="str">
        <f t="shared" si="108"/>
        <v>No</v>
      </c>
      <c r="W141" s="1354">
        <f t="shared" si="109"/>
        <v>20.538386554792265</v>
      </c>
      <c r="X141" s="696">
        <f t="shared" si="110"/>
        <v>17.119593983262174</v>
      </c>
      <c r="Y141" s="118">
        <f t="shared" si="111"/>
        <v>2.0428251643104285</v>
      </c>
      <c r="Z141" s="673">
        <f t="shared" si="112"/>
        <v>1.3630215802144898</v>
      </c>
      <c r="AA141" s="673">
        <f t="shared" si="113"/>
        <v>0</v>
      </c>
      <c r="AB141" s="673">
        <f t="shared" si="114"/>
        <v>1.2945827005169466E-2</v>
      </c>
      <c r="AC141" s="673">
        <f t="shared" si="115"/>
        <v>20.538386554792261</v>
      </c>
      <c r="AD141" s="847">
        <f t="shared" si="116"/>
        <v>0</v>
      </c>
      <c r="AE141" s="805">
        <f t="shared" si="117"/>
        <v>0.83354132699716021</v>
      </c>
      <c r="AF141" s="510">
        <f t="shared" si="118"/>
        <v>9.9463760644517243E-2</v>
      </c>
      <c r="AG141" s="510">
        <f t="shared" si="119"/>
        <v>6.6364588892035115E-2</v>
      </c>
      <c r="AH141" s="510">
        <f t="shared" si="120"/>
        <v>6.3032346628751079E-4</v>
      </c>
      <c r="AI141" s="510">
        <f t="shared" si="121"/>
        <v>6.3032346628751079E-4</v>
      </c>
      <c r="AJ141" s="658">
        <f t="shared" si="122"/>
        <v>1.0006303234662874</v>
      </c>
    </row>
    <row r="142" spans="1:45">
      <c r="A142" s="127">
        <f>'Input data'!A122</f>
        <v>2024</v>
      </c>
      <c r="B142" s="828">
        <f>'Input data'!B122</f>
        <v>62.088000000000001</v>
      </c>
      <c r="C142" s="238">
        <f>'Input data'!C122</f>
        <v>3201.77</v>
      </c>
      <c r="D142" s="239">
        <f>'Input data'!D122</f>
        <v>45550858.065592684</v>
      </c>
      <c r="E142" s="654">
        <f>'Input data'!J122</f>
        <v>11.504772374209397</v>
      </c>
      <c r="F142" s="673">
        <f>'Input data'!L122/C102</f>
        <v>25.731546335359852</v>
      </c>
      <c r="G142" s="696">
        <f t="shared" si="123"/>
        <v>16.230702110147039</v>
      </c>
      <c r="H142" s="696">
        <f t="shared" si="97"/>
        <v>5.6590805781738958</v>
      </c>
      <c r="I142" s="1351">
        <f t="shared" si="98"/>
        <v>14.226773961150453</v>
      </c>
      <c r="J142" s="805">
        <f t="shared" si="103"/>
        <v>0.11609308492183117</v>
      </c>
      <c r="K142" s="696">
        <f t="shared" si="124"/>
        <v>1.6516300776355359</v>
      </c>
      <c r="L142" s="673">
        <f t="shared" si="99"/>
        <v>0.96248877021284696</v>
      </c>
      <c r="M142" s="802">
        <f t="shared" si="104"/>
        <v>2.614118847848383</v>
      </c>
      <c r="N142" s="805">
        <f>($N$145-$N$140)/($A$105-$A$100)+N141</f>
        <v>0.35</v>
      </c>
      <c r="O142" s="1407">
        <f t="shared" si="100"/>
        <v>0.72533949432247702</v>
      </c>
      <c r="P142" s="861">
        <f t="shared" si="105"/>
        <v>1.5013438071446084</v>
      </c>
      <c r="Q142" s="696">
        <f t="shared" si="101"/>
        <v>20.388438881176327</v>
      </c>
      <c r="R142" s="673">
        <f t="shared" si="102"/>
        <v>4.1577367710292883</v>
      </c>
      <c r="S142" s="1353">
        <f t="shared" si="125"/>
        <v>0.53213615667573488</v>
      </c>
      <c r="T142" s="135" t="str">
        <f t="shared" si="106"/>
        <v>Policies met</v>
      </c>
      <c r="U142" s="1353">
        <f t="shared" si="107"/>
        <v>0.53213615667573488</v>
      </c>
      <c r="V142" s="135" t="str">
        <f t="shared" si="108"/>
        <v>No</v>
      </c>
      <c r="W142" s="1354">
        <f t="shared" si="109"/>
        <v>19.609440980718894</v>
      </c>
      <c r="X142" s="696">
        <f t="shared" si="110"/>
        <v>16.230702110147039</v>
      </c>
      <c r="Y142" s="118">
        <f t="shared" si="111"/>
        <v>2.101943772823764</v>
      </c>
      <c r="Z142" s="673">
        <f t="shared" si="112"/>
        <v>1.2652384617032271</v>
      </c>
      <c r="AA142" s="673">
        <f t="shared" si="113"/>
        <v>0</v>
      </c>
      <c r="AB142" s="673">
        <f t="shared" si="114"/>
        <v>1.1556636044862222E-2</v>
      </c>
      <c r="AC142" s="673">
        <f t="shared" si="115"/>
        <v>19.60944098071889</v>
      </c>
      <c r="AD142" s="847">
        <f t="shared" si="116"/>
        <v>0</v>
      </c>
      <c r="AE142" s="805">
        <f t="shared" si="117"/>
        <v>0.82769835846447548</v>
      </c>
      <c r="AF142" s="510">
        <f t="shared" si="118"/>
        <v>0.10719039746673624</v>
      </c>
      <c r="AG142" s="510">
        <f t="shared" si="119"/>
        <v>6.452190365586051E-2</v>
      </c>
      <c r="AH142" s="510">
        <f t="shared" si="120"/>
        <v>5.893404129279034E-4</v>
      </c>
      <c r="AI142" s="510">
        <f t="shared" si="121"/>
        <v>5.893404129279034E-4</v>
      </c>
      <c r="AJ142" s="658">
        <f t="shared" si="122"/>
        <v>1.0005893404129278</v>
      </c>
    </row>
    <row r="143" spans="1:45">
      <c r="A143" s="127">
        <f>'Input data'!A123</f>
        <v>2025</v>
      </c>
      <c r="B143" s="828">
        <f>'Input data'!B123</f>
        <v>62.802999999999997</v>
      </c>
      <c r="C143" s="238">
        <f>'Input data'!C123</f>
        <v>3265.54</v>
      </c>
      <c r="D143" s="239">
        <f>'Input data'!D123</f>
        <v>46410532.166220129</v>
      </c>
      <c r="E143" s="654">
        <f>'Input data'!J123</f>
        <v>11.504772374209397</v>
      </c>
      <c r="F143" s="673">
        <f>'Input data'!L123/C103</f>
        <v>25.716979900750225</v>
      </c>
      <c r="G143" s="696">
        <f t="shared" si="123"/>
        <v>15.387963712567748</v>
      </c>
      <c r="H143" s="696">
        <f t="shared" si="97"/>
        <v>6.4881490722531776</v>
      </c>
      <c r="I143" s="1351">
        <f t="shared" si="98"/>
        <v>14.212207526540826</v>
      </c>
      <c r="J143" s="805">
        <f t="shared" si="103"/>
        <v>0.12710919231119061</v>
      </c>
      <c r="K143" s="696">
        <f t="shared" si="124"/>
        <v>1.8065022196576286</v>
      </c>
      <c r="L143" s="673">
        <f t="shared" si="99"/>
        <v>0.96248877021284696</v>
      </c>
      <c r="M143" s="802">
        <f t="shared" si="104"/>
        <v>2.7689909898704754</v>
      </c>
      <c r="N143" s="805">
        <f>($N$145-$N$140)/($A$105-$A$100)+N142</f>
        <v>0.39999999999999997</v>
      </c>
      <c r="O143" s="1407">
        <f t="shared" si="100"/>
        <v>0.82895942208283069</v>
      </c>
      <c r="P143" s="861">
        <f t="shared" si="105"/>
        <v>1.7607324080366715</v>
      </c>
      <c r="Q143" s="696">
        <f t="shared" si="101"/>
        <v>20.115380376784255</v>
      </c>
      <c r="R143" s="673">
        <f t="shared" si="102"/>
        <v>4.7274166642165074</v>
      </c>
      <c r="S143" s="1353">
        <f t="shared" si="125"/>
        <v>0.61317975418608361</v>
      </c>
      <c r="T143" s="135" t="str">
        <f t="shared" si="106"/>
        <v>Policies met</v>
      </c>
      <c r="U143" s="1353">
        <f t="shared" si="107"/>
        <v>0.61317975418608361</v>
      </c>
      <c r="V143" s="135" t="str">
        <f t="shared" si="108"/>
        <v>No</v>
      </c>
      <c r="W143" s="1354">
        <f t="shared" si="109"/>
        <v>18.662486404365659</v>
      </c>
      <c r="X143" s="696">
        <f t="shared" si="110"/>
        <v>15.387963712567748</v>
      </c>
      <c r="Y143" s="118">
        <f t="shared" si="111"/>
        <v>2.1788123623444959</v>
      </c>
      <c r="Z143" s="673">
        <f t="shared" si="112"/>
        <v>1.0861555394019076</v>
      </c>
      <c r="AA143" s="673">
        <f t="shared" si="113"/>
        <v>0</v>
      </c>
      <c r="AB143" s="673">
        <f t="shared" si="114"/>
        <v>9.5547900515092505E-3</v>
      </c>
      <c r="AC143" s="673">
        <f t="shared" si="115"/>
        <v>18.662486404365662</v>
      </c>
      <c r="AD143" s="847">
        <f t="shared" si="116"/>
        <v>0</v>
      </c>
      <c r="AE143" s="805">
        <f t="shared" si="117"/>
        <v>0.82453984850422102</v>
      </c>
      <c r="AF143" s="510">
        <f t="shared" si="118"/>
        <v>0.11674823574605861</v>
      </c>
      <c r="AG143" s="510">
        <f t="shared" si="119"/>
        <v>5.8199937343173434E-2</v>
      </c>
      <c r="AH143" s="510">
        <f t="shared" si="120"/>
        <v>5.119784065468428E-4</v>
      </c>
      <c r="AI143" s="510">
        <f t="shared" si="121"/>
        <v>5.119784065468428E-4</v>
      </c>
      <c r="AJ143" s="658">
        <f t="shared" si="122"/>
        <v>1.0005119784065468</v>
      </c>
    </row>
    <row r="144" spans="1:45">
      <c r="A144" s="127">
        <f>'Input data'!A124</f>
        <v>2026</v>
      </c>
      <c r="B144" s="828">
        <f>'Input data'!B124</f>
        <v>63.420999999999999</v>
      </c>
      <c r="C144" s="238">
        <f>'Input data'!C124</f>
        <v>3341.28</v>
      </c>
      <c r="D144" s="239">
        <f>'Input data'!D124</f>
        <v>46524138.013837561</v>
      </c>
      <c r="E144" s="654">
        <f>'Input data'!J124</f>
        <v>11.504772374209397</v>
      </c>
      <c r="F144" s="673">
        <f>'Input data'!L124/C104</f>
        <v>25.42881885155866</v>
      </c>
      <c r="G144" s="696">
        <f t="shared" si="123"/>
        <v>14.588982387352599</v>
      </c>
      <c r="H144" s="696">
        <f t="shared" si="97"/>
        <v>7.016705009205717</v>
      </c>
      <c r="I144" s="1351">
        <f t="shared" si="98"/>
        <v>13.924046477349266</v>
      </c>
      <c r="J144" s="805">
        <f t="shared" si="103"/>
        <v>0.13917062141024203</v>
      </c>
      <c r="K144" s="696">
        <f t="shared" si="124"/>
        <v>1.9378182007977889</v>
      </c>
      <c r="L144" s="673">
        <f t="shared" si="99"/>
        <v>0.96248877021284696</v>
      </c>
      <c r="M144" s="802">
        <f t="shared" si="104"/>
        <v>2.9003069710106359</v>
      </c>
      <c r="N144" s="805">
        <f>($N$145-$N$140)/($A$105-$A$100)+N143</f>
        <v>0.44999999999999996</v>
      </c>
      <c r="O144" s="1407">
        <f t="shared" si="100"/>
        <v>0.93257934984318458</v>
      </c>
      <c r="P144" s="861">
        <f t="shared" si="105"/>
        <v>2.0134039778661368</v>
      </c>
      <c r="Q144" s="696">
        <f t="shared" si="101"/>
        <v>19.59228341869218</v>
      </c>
      <c r="R144" s="696">
        <f t="shared" si="102"/>
        <v>5.0033010313395803</v>
      </c>
      <c r="S144" s="1353">
        <f t="shared" si="125"/>
        <v>0.65780499060797182</v>
      </c>
      <c r="T144" s="135" t="str">
        <f t="shared" si="106"/>
        <v>Policies met</v>
      </c>
      <c r="U144" s="1353">
        <f t="shared" si="107"/>
        <v>0.65780499060797182</v>
      </c>
      <c r="V144" s="135" t="str">
        <f t="shared" si="108"/>
        <v>No</v>
      </c>
      <c r="W144" s="1354">
        <f t="shared" si="109"/>
        <v>17.860922167994996</v>
      </c>
      <c r="X144" s="696">
        <f t="shared" si="110"/>
        <v>14.588982387352599</v>
      </c>
      <c r="Y144" s="118">
        <f t="shared" si="111"/>
        <v>2.2671770545604959</v>
      </c>
      <c r="Z144" s="673">
        <f t="shared" si="112"/>
        <v>0.99631021743790604</v>
      </c>
      <c r="AA144" s="673">
        <f t="shared" si="113"/>
        <v>0</v>
      </c>
      <c r="AB144" s="673">
        <f t="shared" si="114"/>
        <v>8.4525086439967232E-3</v>
      </c>
      <c r="AC144" s="673">
        <f t="shared" si="115"/>
        <v>17.860922167995</v>
      </c>
      <c r="AD144" s="847">
        <f t="shared" si="116"/>
        <v>0</v>
      </c>
      <c r="AE144" s="805">
        <f t="shared" si="117"/>
        <v>0.81681014284327425</v>
      </c>
      <c r="AF144" s="510">
        <f t="shared" si="118"/>
        <v>0.12693505034264424</v>
      </c>
      <c r="AG144" s="510">
        <f t="shared" si="119"/>
        <v>5.5781566487266544E-2</v>
      </c>
      <c r="AH144" s="510">
        <f t="shared" si="120"/>
        <v>4.7324032681485956E-4</v>
      </c>
      <c r="AI144" s="510">
        <f t="shared" si="121"/>
        <v>4.7324032681485956E-4</v>
      </c>
      <c r="AJ144" s="658">
        <f t="shared" si="122"/>
        <v>1.0004732403268146</v>
      </c>
    </row>
    <row r="145" spans="1:36">
      <c r="A145" s="127">
        <f>'Input data'!A125</f>
        <v>2027</v>
      </c>
      <c r="B145" s="829">
        <f>'Input data'!B125</f>
        <v>64.046000000000006</v>
      </c>
      <c r="C145" s="238">
        <f>'Input data'!C125</f>
        <v>3416.2799999999997</v>
      </c>
      <c r="D145" s="830">
        <f>'Input data'!D125</f>
        <v>46636048.251789063</v>
      </c>
      <c r="E145" s="809">
        <f>'Input data'!J125</f>
        <v>11.504772374209397</v>
      </c>
      <c r="F145" s="673">
        <f>'Input data'!L125/C105</f>
        <v>25.155892379533629</v>
      </c>
      <c r="G145" s="696">
        <f t="shared" si="123"/>
        <v>13.831486158539203</v>
      </c>
      <c r="H145" s="696">
        <f t="shared" si="97"/>
        <v>7.5180727731499744</v>
      </c>
      <c r="I145" s="1351">
        <f t="shared" si="98"/>
        <v>13.651120005324232</v>
      </c>
      <c r="J145" s="805">
        <f t="shared" si="103"/>
        <v>0.15237656310721223</v>
      </c>
      <c r="K145" s="696">
        <f t="shared" si="124"/>
        <v>2.0801107489754154</v>
      </c>
      <c r="L145" s="673">
        <f t="shared" si="99"/>
        <v>0.96248877021284696</v>
      </c>
      <c r="M145" s="802">
        <f t="shared" si="104"/>
        <v>3.0425995191882622</v>
      </c>
      <c r="N145" s="804">
        <f>$C$27</f>
        <v>0.5</v>
      </c>
      <c r="O145" s="1407">
        <f t="shared" si="100"/>
        <v>1.0361992776035385</v>
      </c>
      <c r="P145" s="861">
        <f t="shared" si="105"/>
        <v>2.2761144609600148</v>
      </c>
      <c r="Q145" s="696">
        <f t="shared" si="101"/>
        <v>19.073444470729164</v>
      </c>
      <c r="R145" s="696">
        <f t="shared" si="102"/>
        <v>5.2419583121899613</v>
      </c>
      <c r="S145" s="1353">
        <f t="shared" si="125"/>
        <v>0.69870091009148583</v>
      </c>
      <c r="T145" s="135" t="str">
        <f t="shared" si="106"/>
        <v>Policies met</v>
      </c>
      <c r="U145" s="1353">
        <f t="shared" si="107"/>
        <v>0.69870091009148583</v>
      </c>
      <c r="V145" s="135" t="str">
        <f t="shared" si="108"/>
        <v>No</v>
      </c>
      <c r="W145" s="1354">
        <f t="shared" si="109"/>
        <v>17.11749745127814</v>
      </c>
      <c r="X145" s="696">
        <f t="shared" si="110"/>
        <v>13.831486158539203</v>
      </c>
      <c r="Y145" s="118">
        <f t="shared" si="111"/>
        <v>2.370107739487711</v>
      </c>
      <c r="Z145" s="673">
        <f t="shared" si="112"/>
        <v>0.90846120870504055</v>
      </c>
      <c r="AA145" s="673">
        <f t="shared" si="113"/>
        <v>0</v>
      </c>
      <c r="AB145" s="673">
        <f t="shared" si="114"/>
        <v>7.4423445461837606E-3</v>
      </c>
      <c r="AC145" s="673">
        <f t="shared" si="115"/>
        <v>17.11749745127814</v>
      </c>
      <c r="AD145" s="847">
        <f t="shared" si="116"/>
        <v>0</v>
      </c>
      <c r="AE145" s="805">
        <f t="shared" si="117"/>
        <v>0.80803202675554797</v>
      </c>
      <c r="AF145" s="510">
        <f t="shared" si="118"/>
        <v>0.13846111245138454</v>
      </c>
      <c r="AG145" s="510">
        <f t="shared" si="119"/>
        <v>5.3072080851234882E-2</v>
      </c>
      <c r="AH145" s="510">
        <f t="shared" si="120"/>
        <v>4.347799418324465E-4</v>
      </c>
      <c r="AI145" s="510">
        <f t="shared" si="121"/>
        <v>4.347799418324465E-4</v>
      </c>
      <c r="AJ145" s="510">
        <f t="shared" si="122"/>
        <v>1.0004347799418323</v>
      </c>
    </row>
    <row r="146" spans="1:36">
      <c r="A146" s="127">
        <f>'Input data'!A126</f>
        <v>2028</v>
      </c>
      <c r="B146" s="828">
        <f>'Input data'!B126</f>
        <v>64.676000000000002</v>
      </c>
      <c r="C146" s="238">
        <f>'Input data'!C126</f>
        <v>3494.8800000000006</v>
      </c>
      <c r="D146" s="239">
        <f>'Input data'!D126</f>
        <v>46747958.489740558</v>
      </c>
      <c r="E146" s="654">
        <f>'Input data'!J126</f>
        <v>11.504772374209397</v>
      </c>
      <c r="F146" s="673">
        <f>'Input data'!L126/C106</f>
        <v>24.880899305531948</v>
      </c>
      <c r="G146" s="696">
        <f t="shared" si="123"/>
        <v>13.113321016804502</v>
      </c>
      <c r="H146" s="696">
        <f t="shared" si="97"/>
        <v>7.978170042717128</v>
      </c>
      <c r="I146" s="1351">
        <f t="shared" si="98"/>
        <v>13.376126931322549</v>
      </c>
      <c r="J146" s="805">
        <f t="shared" si="103"/>
        <v>0.16683562054324133</v>
      </c>
      <c r="K146" s="696">
        <f t="shared" si="124"/>
        <v>2.2316144370523601</v>
      </c>
      <c r="L146" s="673">
        <f t="shared" si="99"/>
        <v>0.96248877021284696</v>
      </c>
      <c r="M146" s="802">
        <f t="shared" si="104"/>
        <v>3.1941032072652069</v>
      </c>
      <c r="N146" s="805">
        <f>N145</f>
        <v>0.5</v>
      </c>
      <c r="O146" s="1407">
        <f t="shared" si="100"/>
        <v>1.0361992776035385</v>
      </c>
      <c r="P146" s="861">
        <f t="shared" si="105"/>
        <v>2.4445433508710961</v>
      </c>
      <c r="Q146" s="696">
        <f t="shared" si="101"/>
        <v>18.646947708650533</v>
      </c>
      <c r="R146" s="696">
        <f t="shared" si="102"/>
        <v>5.5336266918460311</v>
      </c>
      <c r="S146" s="1353">
        <f t="shared" si="125"/>
        <v>0.73757740436590691</v>
      </c>
      <c r="T146" s="135" t="str">
        <f t="shared" si="106"/>
        <v>Policies met</v>
      </c>
      <c r="U146" s="1353">
        <f t="shared" si="107"/>
        <v>0.73757740436590691</v>
      </c>
      <c r="V146" s="135" t="str">
        <f t="shared" si="108"/>
        <v>No</v>
      </c>
      <c r="W146" s="1354">
        <f t="shared" si="109"/>
        <v>16.395239159941987</v>
      </c>
      <c r="X146" s="696">
        <f t="shared" si="110"/>
        <v>13.113321016804502</v>
      </c>
      <c r="Y146" s="118">
        <f t="shared" si="111"/>
        <v>2.4841932384002816</v>
      </c>
      <c r="Z146" s="673">
        <f t="shared" si="112"/>
        <v>0.79124284276348067</v>
      </c>
      <c r="AA146" s="673">
        <f t="shared" si="113"/>
        <v>0</v>
      </c>
      <c r="AB146" s="673">
        <f t="shared" si="114"/>
        <v>6.4820619737211817E-3</v>
      </c>
      <c r="AC146" s="673">
        <f t="shared" si="115"/>
        <v>16.395239159941983</v>
      </c>
      <c r="AD146" s="847">
        <f t="shared" si="116"/>
        <v>0</v>
      </c>
      <c r="AE146" s="805">
        <f t="shared" si="117"/>
        <v>0.79982493020558687</v>
      </c>
      <c r="AF146" s="510">
        <f t="shared" si="118"/>
        <v>0.15151918274360032</v>
      </c>
      <c r="AG146" s="510">
        <f t="shared" si="119"/>
        <v>4.8260524597695503E-2</v>
      </c>
      <c r="AH146" s="510">
        <f t="shared" si="120"/>
        <v>3.9536245311740358E-4</v>
      </c>
      <c r="AI146" s="510">
        <f t="shared" si="121"/>
        <v>3.9536245311740358E-4</v>
      </c>
      <c r="AJ146" s="510">
        <f t="shared" si="122"/>
        <v>1.0003953624531174</v>
      </c>
    </row>
    <row r="147" spans="1:36">
      <c r="A147" s="127">
        <f>'Input data'!A127</f>
        <v>2029</v>
      </c>
      <c r="B147" s="828">
        <f>'Input data'!B127</f>
        <v>65.313000000000002</v>
      </c>
      <c r="C147" s="238">
        <f>'Input data'!C127</f>
        <v>3576.08</v>
      </c>
      <c r="D147" s="239">
        <f>'Input data'!D127</f>
        <v>46861564.337357998</v>
      </c>
      <c r="E147" s="654">
        <f>'Input data'!J127</f>
        <v>11.504772374209397</v>
      </c>
      <c r="F147" s="673">
        <f>'Input data'!L127/C107</f>
        <v>24.608943516174339</v>
      </c>
      <c r="G147" s="696">
        <f t="shared" si="123"/>
        <v>12.432444794343629</v>
      </c>
      <c r="H147" s="696">
        <f t="shared" si="97"/>
        <v>8.403828739653223</v>
      </c>
      <c r="I147" s="1351">
        <f t="shared" si="98"/>
        <v>13.104171141964944</v>
      </c>
      <c r="J147" s="805">
        <f>$J$135*(1+((($J$148/$J$135)^(1/($A$148-$A$135)))-1))^(A147-$A$135)</f>
        <v>0.18266670224386344</v>
      </c>
      <c r="K147" s="696">
        <f t="shared" si="124"/>
        <v>2.3936957281419384</v>
      </c>
      <c r="L147" s="673">
        <f t="shared" si="99"/>
        <v>0.96248877021284696</v>
      </c>
      <c r="M147" s="802">
        <f t="shared" si="104"/>
        <v>3.3561844983547853</v>
      </c>
      <c r="N147" s="805">
        <f t="shared" ref="N147:N168" si="126">N146</f>
        <v>0.5</v>
      </c>
      <c r="O147" s="1407">
        <f t="shared" si="100"/>
        <v>1.0361992776035385</v>
      </c>
      <c r="P147" s="861">
        <f t="shared" si="105"/>
        <v>2.6233629057934986</v>
      </c>
      <c r="Q147" s="696">
        <f t="shared" si="101"/>
        <v>18.212910628203353</v>
      </c>
      <c r="R147" s="696">
        <f t="shared" si="102"/>
        <v>5.7804658338597239</v>
      </c>
      <c r="S147" s="1353">
        <f t="shared" si="125"/>
        <v>0.77047860710346061</v>
      </c>
      <c r="T147" s="135" t="str">
        <f t="shared" si="106"/>
        <v>Policies met</v>
      </c>
      <c r="U147" s="1353">
        <f t="shared" si="107"/>
        <v>0.77047860710346061</v>
      </c>
      <c r="V147" s="135" t="str">
        <f t="shared" si="108"/>
        <v>No</v>
      </c>
      <c r="W147" s="1354">
        <f t="shared" si="109"/>
        <v>15.744762522251111</v>
      </c>
      <c r="X147" s="696">
        <f t="shared" si="110"/>
        <v>12.432444794343629</v>
      </c>
      <c r="Y147" s="118">
        <f t="shared" si="111"/>
        <v>2.6146074913284685</v>
      </c>
      <c r="Z147" s="673">
        <f t="shared" si="112"/>
        <v>0.69204086237952667</v>
      </c>
      <c r="AA147" s="673">
        <f t="shared" si="113"/>
        <v>0</v>
      </c>
      <c r="AB147" s="673">
        <f t="shared" si="114"/>
        <v>5.6693741994863888E-3</v>
      </c>
      <c r="AC147" s="673">
        <f t="shared" si="115"/>
        <v>15.744762522251111</v>
      </c>
      <c r="AD147" s="847">
        <f t="shared" si="116"/>
        <v>0</v>
      </c>
      <c r="AE147" s="805">
        <f t="shared" si="117"/>
        <v>0.78962415449414458</v>
      </c>
      <c r="AF147" s="510">
        <f t="shared" si="118"/>
        <v>0.16606204683198006</v>
      </c>
      <c r="AG147" s="510">
        <f t="shared" si="119"/>
        <v>4.3953718666858745E-2</v>
      </c>
      <c r="AH147" s="510">
        <f t="shared" si="120"/>
        <v>3.6008000701656873E-4</v>
      </c>
      <c r="AI147" s="510">
        <f t="shared" si="121"/>
        <v>3.6008000701656873E-4</v>
      </c>
      <c r="AJ147" s="510">
        <f t="shared" si="122"/>
        <v>1.0003600800070165</v>
      </c>
    </row>
    <row r="148" spans="1:36" s="1479" customFormat="1">
      <c r="A148" s="1232">
        <f>'Input data'!A128</f>
        <v>2030</v>
      </c>
      <c r="B148" s="829">
        <f>'Input data'!B128</f>
        <v>65.956000000000003</v>
      </c>
      <c r="C148" s="662">
        <f>'Input data'!C128</f>
        <v>3660.12</v>
      </c>
      <c r="D148" s="830">
        <f>'Input data'!D128</f>
        <v>46973474.5753095</v>
      </c>
      <c r="E148" s="978">
        <f>'Input data'!J128</f>
        <v>11.504772374209397</v>
      </c>
      <c r="F148" s="511">
        <f>'Input data'!L128/C108</f>
        <v>24.338634262701987</v>
      </c>
      <c r="G148" s="863">
        <f>G135*(1-$C$4)</f>
        <v>11.786921357780287</v>
      </c>
      <c r="H148" s="863">
        <f t="shared" si="97"/>
        <v>8.7956798460167818</v>
      </c>
      <c r="I148" s="119">
        <f t="shared" si="98"/>
        <v>12.83386188849259</v>
      </c>
      <c r="J148" s="804">
        <v>0.2</v>
      </c>
      <c r="K148" s="1485">
        <f t="shared" si="124"/>
        <v>2.5667723776985181</v>
      </c>
      <c r="L148" s="511">
        <f t="shared" si="99"/>
        <v>0.96248877021284696</v>
      </c>
      <c r="M148" s="119">
        <f t="shared" si="104"/>
        <v>3.5292611479113649</v>
      </c>
      <c r="N148" s="804">
        <f t="shared" si="126"/>
        <v>0.5</v>
      </c>
      <c r="O148" s="1477">
        <f t="shared" si="100"/>
        <v>1.0361992776035385</v>
      </c>
      <c r="P148" s="1478">
        <f t="shared" si="105"/>
        <v>2.8130764786226492</v>
      </c>
      <c r="Q148" s="863">
        <f t="shared" si="101"/>
        <v>17.769524725174421</v>
      </c>
      <c r="R148" s="863">
        <f t="shared" si="102"/>
        <v>5.9826033673941339</v>
      </c>
      <c r="S148" s="1353">
        <f t="shared" si="125"/>
        <v>0.79742153000227645</v>
      </c>
      <c r="T148" s="135" t="str">
        <f t="shared" si="106"/>
        <v>Policies met</v>
      </c>
      <c r="U148" s="1353">
        <f t="shared" si="107"/>
        <v>0.79742153000227645</v>
      </c>
      <c r="V148" s="135" t="str">
        <f t="shared" si="108"/>
        <v>No</v>
      </c>
      <c r="W148" s="1354">
        <f t="shared" si="109"/>
        <v>15.164481073732007</v>
      </c>
      <c r="X148" s="696">
        <f t="shared" si="110"/>
        <v>11.786921357780287</v>
      </c>
      <c r="Y148" s="118">
        <f t="shared" si="111"/>
        <v>2.761751880158227</v>
      </c>
      <c r="Z148" s="673">
        <f t="shared" si="112"/>
        <v>0.61080397477347059</v>
      </c>
      <c r="AA148" s="673">
        <f t="shared" si="113"/>
        <v>0</v>
      </c>
      <c r="AB148" s="673">
        <f t="shared" si="114"/>
        <v>5.0038610200236278E-3</v>
      </c>
      <c r="AC148" s="673">
        <f t="shared" si="115"/>
        <v>15.164481073732007</v>
      </c>
      <c r="AD148" s="847">
        <f t="shared" si="116"/>
        <v>0</v>
      </c>
      <c r="AE148" s="804">
        <f t="shared" si="117"/>
        <v>0.77727165871819071</v>
      </c>
      <c r="AF148" s="498">
        <f t="shared" si="118"/>
        <v>0.18211977493526949</v>
      </c>
      <c r="AG148" s="498">
        <f t="shared" si="119"/>
        <v>4.0278593893430907E-2</v>
      </c>
      <c r="AH148" s="498">
        <f t="shared" si="120"/>
        <v>3.2997245310895221E-4</v>
      </c>
      <c r="AI148" s="498">
        <f t="shared" si="121"/>
        <v>3.2997245310895221E-4</v>
      </c>
      <c r="AJ148" s="498">
        <f t="shared" si="122"/>
        <v>1.000329972453109</v>
      </c>
    </row>
    <row r="149" spans="1:36">
      <c r="A149" s="127">
        <f>'Input data'!A129</f>
        <v>2031</v>
      </c>
      <c r="B149" s="828">
        <f>'Input data'!B129</f>
        <v>66.519000000000005</v>
      </c>
      <c r="C149" s="238">
        <f>'Input data'!C129</f>
        <v>3761.03</v>
      </c>
      <c r="D149" s="239">
        <f>'Input data'!D129</f>
        <v>45096434.675122961</v>
      </c>
      <c r="E149" s="654">
        <f>'Input data'!J129</f>
        <v>11.504772374209397</v>
      </c>
      <c r="F149" s="673">
        <f>'Input data'!L129/C109</f>
        <v>23.495220383165176</v>
      </c>
      <c r="G149" s="696">
        <f>$G$148*(1+((($G$158/$G$148)^(1/($A$158-$A$148)))-1))^(A149-$A$148)</f>
        <v>11.373920541494833</v>
      </c>
      <c r="H149" s="696">
        <f t="shared" si="97"/>
        <v>8.4171769997506942</v>
      </c>
      <c r="I149" s="1351">
        <f t="shared" si="98"/>
        <v>11.990448008955781</v>
      </c>
      <c r="J149" s="805">
        <f t="shared" ref="J149:J168" si="127">J148</f>
        <v>0.2</v>
      </c>
      <c r="K149" s="696">
        <f t="shared" si="124"/>
        <v>2.3980896017911562</v>
      </c>
      <c r="L149" s="673">
        <f t="shared" si="99"/>
        <v>0.96248877021284696</v>
      </c>
      <c r="M149" s="802">
        <f t="shared" si="104"/>
        <v>3.360578372004003</v>
      </c>
      <c r="N149" s="805">
        <f t="shared" si="126"/>
        <v>0.5</v>
      </c>
      <c r="O149" s="1407">
        <f t="shared" si="100"/>
        <v>1.0361992776035385</v>
      </c>
      <c r="P149" s="861">
        <f t="shared" si="105"/>
        <v>2.6963039197005538</v>
      </c>
      <c r="Q149" s="696">
        <f t="shared" si="101"/>
        <v>17.094793621544973</v>
      </c>
      <c r="R149" s="696">
        <f t="shared" si="102"/>
        <v>5.7208730800501399</v>
      </c>
      <c r="S149" s="1353">
        <f t="shared" si="125"/>
        <v>0.76253548568931517</v>
      </c>
      <c r="T149" s="135" t="str">
        <f t="shared" si="106"/>
        <v>Policies met</v>
      </c>
      <c r="U149" s="1353">
        <f t="shared" si="107"/>
        <v>0.76253548568931517</v>
      </c>
      <c r="V149" s="135" t="str">
        <f t="shared" si="108"/>
        <v>No</v>
      </c>
      <c r="W149" s="1354">
        <f t="shared" si="109"/>
        <v>14.7224231930524</v>
      </c>
      <c r="X149" s="696">
        <f t="shared" si="110"/>
        <v>11.373920541494833</v>
      </c>
      <c r="Y149" s="118">
        <f t="shared" si="111"/>
        <v>2.6266465301392383</v>
      </c>
      <c r="Z149" s="673">
        <f t="shared" si="112"/>
        <v>0.71599054534397399</v>
      </c>
      <c r="AA149" s="673">
        <f t="shared" si="113"/>
        <v>0</v>
      </c>
      <c r="AB149" s="673">
        <f t="shared" si="114"/>
        <v>5.8655760743549475E-3</v>
      </c>
      <c r="AC149" s="673">
        <f t="shared" si="115"/>
        <v>14.7224231930524</v>
      </c>
      <c r="AD149" s="847">
        <f t="shared" si="116"/>
        <v>0</v>
      </c>
      <c r="AE149" s="805">
        <f t="shared" si="117"/>
        <v>0.77255764165658913</v>
      </c>
      <c r="AF149" s="510">
        <f t="shared" si="118"/>
        <v>0.17841129110992873</v>
      </c>
      <c r="AG149" s="510">
        <f t="shared" si="119"/>
        <v>4.8632656184061755E-2</v>
      </c>
      <c r="AH149" s="510">
        <f t="shared" si="120"/>
        <v>3.9841104942037994E-4</v>
      </c>
      <c r="AI149" s="510">
        <f t="shared" si="121"/>
        <v>3.9841104942037994E-4</v>
      </c>
      <c r="AJ149" s="510">
        <f t="shared" si="122"/>
        <v>1.0003984110494204</v>
      </c>
    </row>
    <row r="150" spans="1:36">
      <c r="A150" s="127">
        <f>'Input data'!A130</f>
        <v>2032</v>
      </c>
      <c r="B150" s="828">
        <f>'Input data'!B130</f>
        <v>67.087000000000003</v>
      </c>
      <c r="C150" s="238">
        <f>'Input data'!C130</f>
        <v>3857.2</v>
      </c>
      <c r="D150" s="239">
        <f>'Input data'!D130</f>
        <v>43216003.555604555</v>
      </c>
      <c r="E150" s="654">
        <f>'Input data'!J130</f>
        <v>11.504772374209397</v>
      </c>
      <c r="F150" s="673">
        <f>'Input data'!L130/C110</f>
        <v>22.708755459246355</v>
      </c>
      <c r="G150" s="696">
        <f t="shared" ref="G150:G157" si="128">$G$148*(1+((($G$158/$G$148)^(1/($A$158-$A$148)))-1))^(A150-$A$148)</f>
        <v>10.975390821526645</v>
      </c>
      <c r="H150" s="696">
        <f t="shared" si="97"/>
        <v>8.07764693335168</v>
      </c>
      <c r="I150" s="1351">
        <f t="shared" si="98"/>
        <v>11.203983085036958</v>
      </c>
      <c r="J150" s="805">
        <f t="shared" si="127"/>
        <v>0.2</v>
      </c>
      <c r="K150" s="696">
        <f t="shared" si="124"/>
        <v>2.2407966170073919</v>
      </c>
      <c r="L150" s="673">
        <f t="shared" si="99"/>
        <v>0.96248877021284696</v>
      </c>
      <c r="M150" s="802">
        <f t="shared" si="104"/>
        <v>3.2032853872202387</v>
      </c>
      <c r="N150" s="805">
        <f t="shared" si="126"/>
        <v>0.5</v>
      </c>
      <c r="O150" s="1407">
        <f t="shared" si="100"/>
        <v>1.0361992776035385</v>
      </c>
      <c r="P150" s="861">
        <f t="shared" si="105"/>
        <v>2.5874160724684128</v>
      </c>
      <c r="Q150" s="696">
        <f t="shared" si="101"/>
        <v>16.46562168240991</v>
      </c>
      <c r="R150" s="696">
        <f t="shared" si="102"/>
        <v>5.4902308608832655</v>
      </c>
      <c r="S150" s="1353">
        <f t="shared" si="125"/>
        <v>0.73179317168375246</v>
      </c>
      <c r="T150" s="135" t="str">
        <f t="shared" si="106"/>
        <v>Policies met</v>
      </c>
      <c r="U150" s="1353">
        <f t="shared" si="107"/>
        <v>0.73179317168375246</v>
      </c>
      <c r="V150" s="135" t="str">
        <f t="shared" si="108"/>
        <v>No</v>
      </c>
      <c r="W150" s="1354">
        <f t="shared" si="109"/>
        <v>14.289641594024046</v>
      </c>
      <c r="X150" s="696">
        <f t="shared" si="110"/>
        <v>10.975390821526645</v>
      </c>
      <c r="Y150" s="118">
        <f t="shared" si="111"/>
        <v>2.4989426773561849</v>
      </c>
      <c r="Z150" s="673">
        <f t="shared" si="112"/>
        <v>0.808683157685961</v>
      </c>
      <c r="AA150" s="673">
        <f t="shared" si="113"/>
        <v>0</v>
      </c>
      <c r="AB150" s="673">
        <f t="shared" si="114"/>
        <v>6.6249374552533732E-3</v>
      </c>
      <c r="AC150" s="673">
        <f t="shared" si="115"/>
        <v>14.289641594024044</v>
      </c>
      <c r="AD150" s="847">
        <f t="shared" si="116"/>
        <v>0</v>
      </c>
      <c r="AE150" s="805">
        <f t="shared" si="117"/>
        <v>0.76806620721100349</v>
      </c>
      <c r="AF150" s="510">
        <f t="shared" si="118"/>
        <v>0.17487791145169432</v>
      </c>
      <c r="AG150" s="510">
        <f t="shared" si="119"/>
        <v>5.6592263169438335E-2</v>
      </c>
      <c r="AH150" s="510">
        <f t="shared" si="120"/>
        <v>4.6361816786391163E-4</v>
      </c>
      <c r="AI150" s="510">
        <f t="shared" si="121"/>
        <v>4.6361816786391163E-4</v>
      </c>
      <c r="AJ150" s="510">
        <f t="shared" si="122"/>
        <v>1.0004636181678639</v>
      </c>
    </row>
    <row r="151" spans="1:36">
      <c r="A151" s="127">
        <f>'Input data'!A131</f>
        <v>2033</v>
      </c>
      <c r="B151" s="828">
        <f>'Input data'!B131</f>
        <v>67.659000000000006</v>
      </c>
      <c r="C151" s="238">
        <f>'Input data'!C131</f>
        <v>3964.01</v>
      </c>
      <c r="D151" s="239">
        <f>'Input data'!D131</f>
        <v>41337268.045752093</v>
      </c>
      <c r="E151" s="654">
        <f>'Input data'!J131</f>
        <v>11.504772374209397</v>
      </c>
      <c r="F151" s="673">
        <f>'Input data'!L131/C111</f>
        <v>21.932916613439893</v>
      </c>
      <c r="G151" s="696">
        <f t="shared" si="128"/>
        <v>10.590825146508346</v>
      </c>
      <c r="H151" s="696">
        <f t="shared" si="97"/>
        <v>7.7341248890371883</v>
      </c>
      <c r="I151" s="1351">
        <f t="shared" si="98"/>
        <v>10.428144239230498</v>
      </c>
      <c r="J151" s="805">
        <f t="shared" si="127"/>
        <v>0.2</v>
      </c>
      <c r="K151" s="696">
        <f t="shared" si="124"/>
        <v>2.0856288478460998</v>
      </c>
      <c r="L151" s="673">
        <f t="shared" si="99"/>
        <v>0.96248877021284696</v>
      </c>
      <c r="M151" s="802">
        <f t="shared" si="104"/>
        <v>3.0481176180589467</v>
      </c>
      <c r="N151" s="805">
        <f t="shared" si="126"/>
        <v>0.5</v>
      </c>
      <c r="O151" s="1407">
        <f t="shared" si="100"/>
        <v>1.0361992776035385</v>
      </c>
      <c r="P151" s="861">
        <f t="shared" si="105"/>
        <v>2.4799994297807917</v>
      </c>
      <c r="Q151" s="696">
        <f t="shared" si="101"/>
        <v>15.844950605764742</v>
      </c>
      <c r="R151" s="696">
        <f t="shared" si="102"/>
        <v>5.2541254592563966</v>
      </c>
      <c r="S151" s="1353">
        <f t="shared" si="125"/>
        <v>0.70032266978933944</v>
      </c>
      <c r="T151" s="135" t="str">
        <f t="shared" si="106"/>
        <v>Policies met</v>
      </c>
      <c r="U151" s="1353">
        <f t="shared" si="107"/>
        <v>0.70032266978933944</v>
      </c>
      <c r="V151" s="135" t="str">
        <f t="shared" si="108"/>
        <v>No</v>
      </c>
      <c r="W151" s="1354">
        <f t="shared" si="109"/>
        <v>13.875863709014933</v>
      </c>
      <c r="X151" s="696">
        <f t="shared" si="110"/>
        <v>10.590825146508346</v>
      </c>
      <c r="Y151" s="118">
        <f t="shared" si="111"/>
        <v>2.3740649128612277</v>
      </c>
      <c r="Z151" s="673">
        <f t="shared" si="112"/>
        <v>0.90357136394716697</v>
      </c>
      <c r="AA151" s="673">
        <f t="shared" si="113"/>
        <v>0</v>
      </c>
      <c r="AB151" s="673">
        <f t="shared" si="114"/>
        <v>7.4022856981925296E-3</v>
      </c>
      <c r="AC151" s="673">
        <f t="shared" si="115"/>
        <v>13.875863709014933</v>
      </c>
      <c r="AD151" s="847">
        <f t="shared" si="116"/>
        <v>0</v>
      </c>
      <c r="AE151" s="805">
        <f t="shared" si="117"/>
        <v>0.76325520116111056</v>
      </c>
      <c r="AF151" s="510">
        <f t="shared" si="118"/>
        <v>0.17109312707639487</v>
      </c>
      <c r="AG151" s="510">
        <f t="shared" si="119"/>
        <v>6.5118206901969691E-2</v>
      </c>
      <c r="AH151" s="510">
        <f t="shared" si="120"/>
        <v>5.3346486052492572E-4</v>
      </c>
      <c r="AI151" s="510">
        <f t="shared" si="121"/>
        <v>5.3346486052492572E-4</v>
      </c>
      <c r="AJ151" s="510">
        <f t="shared" si="122"/>
        <v>1.0005334648605249</v>
      </c>
    </row>
    <row r="152" spans="1:36">
      <c r="A152" s="127">
        <f>'Input data'!A132</f>
        <v>2034</v>
      </c>
      <c r="B152" s="828">
        <f>'Input data'!B132</f>
        <v>68.236999999999995</v>
      </c>
      <c r="C152" s="238">
        <f>'Input data'!C132</f>
        <v>4078.22</v>
      </c>
      <c r="D152" s="239">
        <f>'Input data'!D132</f>
        <v>39458532.535899624</v>
      </c>
      <c r="E152" s="654">
        <f>'Input data'!J132</f>
        <v>11.504772374209397</v>
      </c>
      <c r="F152" s="673">
        <f>'Input data'!L132/C112</f>
        <v>21.180202472610077</v>
      </c>
      <c r="G152" s="696">
        <f t="shared" si="128"/>
        <v>10.219734231597197</v>
      </c>
      <c r="H152" s="696">
        <f t="shared" si="97"/>
        <v>7.3988295162952014</v>
      </c>
      <c r="I152" s="1351">
        <f t="shared" si="98"/>
        <v>9.6754300984006818</v>
      </c>
      <c r="J152" s="805">
        <f t="shared" si="127"/>
        <v>0.2</v>
      </c>
      <c r="K152" s="696">
        <f t="shared" si="124"/>
        <v>1.9350860196801365</v>
      </c>
      <c r="L152" s="673">
        <f t="shared" si="99"/>
        <v>0.96248877021284696</v>
      </c>
      <c r="M152" s="802">
        <f t="shared" si="104"/>
        <v>2.8975747898929836</v>
      </c>
      <c r="N152" s="805">
        <f t="shared" si="126"/>
        <v>0.5</v>
      </c>
      <c r="O152" s="1407">
        <f t="shared" si="100"/>
        <v>1.0361992776035385</v>
      </c>
      <c r="P152" s="861">
        <f t="shared" si="105"/>
        <v>2.375784454791507</v>
      </c>
      <c r="Q152" s="696">
        <f t="shared" si="101"/>
        <v>15.242779293100892</v>
      </c>
      <c r="R152" s="696">
        <f t="shared" si="102"/>
        <v>5.0230450615036943</v>
      </c>
      <c r="S152" s="1353">
        <f t="shared" si="125"/>
        <v>0.66952195093610889</v>
      </c>
      <c r="T152" s="135" t="str">
        <f t="shared" si="106"/>
        <v>Policies met</v>
      </c>
      <c r="U152" s="1353">
        <f t="shared" si="107"/>
        <v>0.66952195093610889</v>
      </c>
      <c r="V152" s="135" t="str">
        <f t="shared" si="108"/>
        <v>No</v>
      </c>
      <c r="W152" s="1354">
        <f t="shared" si="109"/>
        <v>13.477504827553554</v>
      </c>
      <c r="X152" s="696">
        <f t="shared" si="110"/>
        <v>10.219734231597197</v>
      </c>
      <c r="Y152" s="118">
        <f t="shared" si="111"/>
        <v>2.2531674307059819</v>
      </c>
      <c r="Z152" s="673">
        <f t="shared" si="112"/>
        <v>0.99644007552172276</v>
      </c>
      <c r="AA152" s="673">
        <f t="shared" si="113"/>
        <v>0</v>
      </c>
      <c r="AB152" s="673">
        <f t="shared" si="114"/>
        <v>8.1630897286510441E-3</v>
      </c>
      <c r="AC152" s="673">
        <f t="shared" si="115"/>
        <v>13.477504827553553</v>
      </c>
      <c r="AD152" s="847">
        <f t="shared" si="116"/>
        <v>0</v>
      </c>
      <c r="AE152" s="805">
        <f t="shared" si="117"/>
        <v>0.75828088079804401</v>
      </c>
      <c r="AF152" s="510">
        <f t="shared" si="118"/>
        <v>0.16717986448794162</v>
      </c>
      <c r="AG152" s="510">
        <f t="shared" si="119"/>
        <v>7.3933572146425069E-2</v>
      </c>
      <c r="AH152" s="510">
        <f t="shared" si="120"/>
        <v>6.0568256758939071E-4</v>
      </c>
      <c r="AI152" s="510">
        <f t="shared" si="121"/>
        <v>6.0568256758939071E-4</v>
      </c>
      <c r="AJ152" s="510">
        <f t="shared" si="122"/>
        <v>1.0006056825675893</v>
      </c>
    </row>
    <row r="153" spans="1:36">
      <c r="A153" s="127">
        <f>'Input data'!A133</f>
        <v>2035</v>
      </c>
      <c r="B153" s="828">
        <f>'Input data'!B133</f>
        <v>68.819000000000003</v>
      </c>
      <c r="C153" s="238">
        <f>'Input data'!C133</f>
        <v>4200.2899999999991</v>
      </c>
      <c r="D153" s="239">
        <f>'Input data'!D133</f>
        <v>37579797.026047163</v>
      </c>
      <c r="E153" s="654">
        <f>'Input data'!J133</f>
        <v>11.504772374209397</v>
      </c>
      <c r="F153" s="673">
        <f>'Input data'!L133/C113</f>
        <v>20.451725328897567</v>
      </c>
      <c r="G153" s="696">
        <f t="shared" si="128"/>
        <v>9.8616459359555186</v>
      </c>
      <c r="H153" s="696">
        <f t="shared" si="97"/>
        <v>7.0732767890381396</v>
      </c>
      <c r="I153" s="1351">
        <f t="shared" si="98"/>
        <v>8.9469529546881699</v>
      </c>
      <c r="J153" s="805">
        <f t="shared" si="127"/>
        <v>0.2</v>
      </c>
      <c r="K153" s="696">
        <f t="shared" si="124"/>
        <v>1.789390590937634</v>
      </c>
      <c r="L153" s="673">
        <f t="shared" si="99"/>
        <v>0.96248877021284696</v>
      </c>
      <c r="M153" s="802">
        <f t="shared" si="104"/>
        <v>2.7518793611504808</v>
      </c>
      <c r="N153" s="805">
        <f t="shared" si="126"/>
        <v>0.5</v>
      </c>
      <c r="O153" s="1407">
        <f t="shared" si="100"/>
        <v>1.0361992776035385</v>
      </c>
      <c r="P153" s="861">
        <f t="shared" si="105"/>
        <v>2.2749251468627758</v>
      </c>
      <c r="Q153" s="696">
        <f t="shared" si="101"/>
        <v>14.659997578130882</v>
      </c>
      <c r="R153" s="696">
        <f t="shared" si="102"/>
        <v>4.7983516421753638</v>
      </c>
      <c r="S153" s="1353">
        <f t="shared" si="125"/>
        <v>0.63957255278633918</v>
      </c>
      <c r="T153" s="135" t="str">
        <f t="shared" si="106"/>
        <v>Policies met</v>
      </c>
      <c r="U153" s="1353">
        <f t="shared" si="107"/>
        <v>0.63957255278633918</v>
      </c>
      <c r="V153" s="135" t="str">
        <f t="shared" si="108"/>
        <v>No</v>
      </c>
      <c r="W153" s="1354">
        <f t="shared" si="109"/>
        <v>13.093588692298709</v>
      </c>
      <c r="X153" s="696">
        <f t="shared" si="110"/>
        <v>9.8616459359555186</v>
      </c>
      <c r="Y153" s="118">
        <f t="shared" si="111"/>
        <v>2.1362979613572661</v>
      </c>
      <c r="Z153" s="673">
        <f t="shared" si="112"/>
        <v>1.0867419295744172</v>
      </c>
      <c r="AA153" s="673">
        <f t="shared" si="113"/>
        <v>0</v>
      </c>
      <c r="AB153" s="673">
        <f t="shared" si="114"/>
        <v>8.9028654115085783E-3</v>
      </c>
      <c r="AC153" s="673">
        <f t="shared" si="115"/>
        <v>13.093588692298711</v>
      </c>
      <c r="AD153" s="847">
        <f t="shared" si="116"/>
        <v>0</v>
      </c>
      <c r="AE153" s="805">
        <f t="shared" si="117"/>
        <v>0.75316600877770568</v>
      </c>
      <c r="AF153" s="510">
        <f t="shared" si="118"/>
        <v>0.16315603090646782</v>
      </c>
      <c r="AG153" s="510">
        <f t="shared" si="119"/>
        <v>8.299801949740554E-2</v>
      </c>
      <c r="AH153" s="510">
        <f t="shared" si="120"/>
        <v>6.7994081842092681E-4</v>
      </c>
      <c r="AI153" s="510">
        <f t="shared" si="121"/>
        <v>6.7994081842092681E-4</v>
      </c>
      <c r="AJ153" s="510">
        <f t="shared" si="122"/>
        <v>1.0006799408184208</v>
      </c>
    </row>
    <row r="154" spans="1:36">
      <c r="A154" s="127">
        <f>'Input data'!A134</f>
        <v>2036</v>
      </c>
      <c r="B154" s="828">
        <f>'Input data'!B134</f>
        <v>69.322999999999993</v>
      </c>
      <c r="C154" s="238">
        <f>'Input data'!C134</f>
        <v>4325.9699999999993</v>
      </c>
      <c r="D154" s="239">
        <f>'Input data'!D134</f>
        <v>34222489.887502141</v>
      </c>
      <c r="E154" s="654">
        <f>'Input data'!J134</f>
        <v>11.504772374209397</v>
      </c>
      <c r="F154" s="673">
        <f>'Input data'!L134/C114</f>
        <v>19.415712553522276</v>
      </c>
      <c r="G154" s="696">
        <f t="shared" si="128"/>
        <v>9.5161046620435386</v>
      </c>
      <c r="H154" s="696">
        <f t="shared" si="97"/>
        <v>6.4465695310548803</v>
      </c>
      <c r="I154" s="1351">
        <f t="shared" si="98"/>
        <v>7.9109401793128811</v>
      </c>
      <c r="J154" s="805">
        <f t="shared" si="127"/>
        <v>0.2</v>
      </c>
      <c r="K154" s="696">
        <f t="shared" si="124"/>
        <v>1.5821880358625764</v>
      </c>
      <c r="L154" s="673">
        <f t="shared" si="99"/>
        <v>0.96248877021284696</v>
      </c>
      <c r="M154" s="802">
        <f t="shared" si="104"/>
        <v>2.5446768060754232</v>
      </c>
      <c r="N154" s="805">
        <f t="shared" si="126"/>
        <v>0.5</v>
      </c>
      <c r="O154" s="1407">
        <f t="shared" si="100"/>
        <v>1.0361992776035385</v>
      </c>
      <c r="P154" s="861">
        <f t="shared" si="105"/>
        <v>2.1314868352677685</v>
      </c>
      <c r="Q154" s="696">
        <f t="shared" si="101"/>
        <v>13.83118735783065</v>
      </c>
      <c r="R154" s="696">
        <f t="shared" si="102"/>
        <v>4.3150826957871118</v>
      </c>
      <c r="S154" s="1353">
        <f t="shared" si="125"/>
        <v>0.57515760849439213</v>
      </c>
      <c r="T154" s="135" t="str">
        <f t="shared" si="106"/>
        <v>Policies met</v>
      </c>
      <c r="U154" s="1353">
        <f t="shared" si="107"/>
        <v>0.57515760849439213</v>
      </c>
      <c r="V154" s="135" t="str">
        <f t="shared" si="108"/>
        <v>No</v>
      </c>
      <c r="W154" s="1354">
        <f t="shared" si="109"/>
        <v>12.798655188499652</v>
      </c>
      <c r="X154" s="696">
        <f t="shared" si="110"/>
        <v>9.5161046620435386</v>
      </c>
      <c r="Y154" s="118">
        <f t="shared" si="111"/>
        <v>1.9910940667970938</v>
      </c>
      <c r="Z154" s="673">
        <f t="shared" si="112"/>
        <v>1.2809624901738483</v>
      </c>
      <c r="AA154" s="673">
        <f t="shared" si="113"/>
        <v>0</v>
      </c>
      <c r="AB154" s="673">
        <f t="shared" si="114"/>
        <v>1.0493969485169957E-2</v>
      </c>
      <c r="AC154" s="673">
        <f t="shared" si="115"/>
        <v>12.798655188499652</v>
      </c>
      <c r="AD154" s="847">
        <f>AC154-W154</f>
        <v>0</v>
      </c>
      <c r="AE154" s="805">
        <f t="shared" si="117"/>
        <v>0.74352379385877365</v>
      </c>
      <c r="AF154" s="510">
        <f t="shared" si="118"/>
        <v>0.155570568741176</v>
      </c>
      <c r="AG154" s="510">
        <f t="shared" si="119"/>
        <v>0.10008570988965067</v>
      </c>
      <c r="AH154" s="510">
        <f t="shared" si="120"/>
        <v>8.1992751039964022E-4</v>
      </c>
      <c r="AI154" s="510">
        <f t="shared" si="121"/>
        <v>8.1992751039964022E-4</v>
      </c>
      <c r="AJ154" s="510">
        <f t="shared" si="122"/>
        <v>1.0008199275103997</v>
      </c>
    </row>
    <row r="155" spans="1:36">
      <c r="A155" s="127">
        <f>'Input data'!A135</f>
        <v>2037</v>
      </c>
      <c r="B155" s="829">
        <f>'Input data'!B135</f>
        <v>69.83</v>
      </c>
      <c r="C155" s="662">
        <f>'Input data'!C135</f>
        <v>4457.0000000000018</v>
      </c>
      <c r="D155" s="830">
        <f>'Input data'!D135</f>
        <v>30865182.748957112</v>
      </c>
      <c r="E155" s="809">
        <f>'Input data'!J135</f>
        <v>11.504772374209397</v>
      </c>
      <c r="F155" s="673">
        <f>'Input data'!L135/C115</f>
        <v>18.429875077587699</v>
      </c>
      <c r="G155" s="696">
        <f t="shared" si="128"/>
        <v>9.1826707759603341</v>
      </c>
      <c r="H155" s="696">
        <f t="shared" si="97"/>
        <v>5.8548420084696478</v>
      </c>
      <c r="I155" s="1351">
        <f t="shared" si="98"/>
        <v>6.9251027033783039</v>
      </c>
      <c r="J155" s="805">
        <f t="shared" si="127"/>
        <v>0.2</v>
      </c>
      <c r="K155" s="696">
        <f t="shared" si="124"/>
        <v>1.3850205406756608</v>
      </c>
      <c r="L155" s="673">
        <f t="shared" si="99"/>
        <v>0.96248877021284696</v>
      </c>
      <c r="M155" s="802">
        <f t="shared" si="104"/>
        <v>2.3475093108885079</v>
      </c>
      <c r="N155" s="805">
        <f t="shared" si="126"/>
        <v>0.5</v>
      </c>
      <c r="O155" s="1407">
        <f t="shared" si="100"/>
        <v>1.0361992776035385</v>
      </c>
      <c r="P155" s="861">
        <f t="shared" si="105"/>
        <v>1.9949954073469931</v>
      </c>
      <c r="Q155" s="696">
        <f t="shared" si="101"/>
        <v>13.042517377082989</v>
      </c>
      <c r="R155" s="696">
        <f t="shared" si="102"/>
        <v>3.8598466011226549</v>
      </c>
      <c r="S155" s="1353">
        <f t="shared" si="125"/>
        <v>0.51447916454170328</v>
      </c>
      <c r="T155" s="135" t="str">
        <f t="shared" si="106"/>
        <v>Policies met</v>
      </c>
      <c r="U155" s="1353">
        <f t="shared" si="107"/>
        <v>0.51447916454170328</v>
      </c>
      <c r="V155" s="135" t="str">
        <f t="shared" si="108"/>
        <v>No</v>
      </c>
      <c r="W155" s="1354">
        <f t="shared" si="109"/>
        <v>12.510909398261983</v>
      </c>
      <c r="X155" s="696">
        <f t="shared" si="110"/>
        <v>9.1826707759603341</v>
      </c>
      <c r="Y155" s="118">
        <f t="shared" si="111"/>
        <v>1.852328892508631</v>
      </c>
      <c r="Z155" s="673">
        <f t="shared" si="112"/>
        <v>1.4639169509800145</v>
      </c>
      <c r="AA155" s="673">
        <f t="shared" si="113"/>
        <v>0</v>
      </c>
      <c r="AB155" s="673">
        <f t="shared" si="114"/>
        <v>1.199277881300208E-2</v>
      </c>
      <c r="AC155" s="673">
        <f t="shared" si="115"/>
        <v>12.510909398261981</v>
      </c>
      <c r="AD155" s="847">
        <f t="shared" ref="AD155:AD168" si="129">AC155-W155</f>
        <v>0</v>
      </c>
      <c r="AE155" s="805">
        <f t="shared" si="117"/>
        <v>0.73397308570038822</v>
      </c>
      <c r="AF155" s="510">
        <f t="shared" si="118"/>
        <v>0.14805709429611544</v>
      </c>
      <c r="AG155" s="510">
        <f t="shared" si="119"/>
        <v>0.11701123430590762</v>
      </c>
      <c r="AH155" s="510">
        <f t="shared" si="120"/>
        <v>9.5858569758870758E-4</v>
      </c>
      <c r="AI155" s="510">
        <f t="shared" si="121"/>
        <v>9.5858569758870758E-4</v>
      </c>
      <c r="AJ155" s="658">
        <f t="shared" si="122"/>
        <v>1.0009585856975887</v>
      </c>
    </row>
    <row r="156" spans="1:36">
      <c r="A156" s="127">
        <f>'Input data'!A136</f>
        <v>2038</v>
      </c>
      <c r="B156" s="828">
        <f>'Input data'!B136</f>
        <v>70.341999999999999</v>
      </c>
      <c r="C156" s="238">
        <f>'Input data'!C136</f>
        <v>4590.03</v>
      </c>
      <c r="D156" s="239">
        <f>'Input data'!D136</f>
        <v>27507875.610412091</v>
      </c>
      <c r="E156" s="654">
        <f>'Input data'!J136</f>
        <v>11.504772374209397</v>
      </c>
      <c r="F156" s="673">
        <f>'Input data'!L136/C116</f>
        <v>17.497734426834782</v>
      </c>
      <c r="G156" s="696">
        <f t="shared" si="128"/>
        <v>8.86092004809543</v>
      </c>
      <c r="H156" s="696">
        <f t="shared" si="97"/>
        <v>5.3018232346881007</v>
      </c>
      <c r="I156" s="1351">
        <f t="shared" si="98"/>
        <v>5.9929620526253844</v>
      </c>
      <c r="J156" s="805">
        <f t="shared" si="127"/>
        <v>0.2</v>
      </c>
      <c r="K156" s="696">
        <f t="shared" si="124"/>
        <v>1.1985924105250769</v>
      </c>
      <c r="L156" s="673">
        <f t="shared" si="99"/>
        <v>0.96248877021284696</v>
      </c>
      <c r="M156" s="802">
        <f t="shared" si="104"/>
        <v>2.161081180737924</v>
      </c>
      <c r="N156" s="805">
        <f t="shared" si="126"/>
        <v>0.5</v>
      </c>
      <c r="O156" s="1407">
        <f t="shared" si="100"/>
        <v>1.0361992776035385</v>
      </c>
      <c r="P156" s="861">
        <f t="shared" si="105"/>
        <v>1.8659384263028778</v>
      </c>
      <c r="Q156" s="696">
        <f t="shared" si="101"/>
        <v>12.296804856480653</v>
      </c>
      <c r="R156" s="673">
        <f t="shared" si="102"/>
        <v>3.4358848083852234</v>
      </c>
      <c r="S156" s="1353">
        <f t="shared" si="125"/>
        <v>0.45796927400312193</v>
      </c>
      <c r="T156" s="135" t="str">
        <f t="shared" si="106"/>
        <v>Policies met</v>
      </c>
      <c r="U156" s="1353">
        <f t="shared" si="107"/>
        <v>0.45796927400312193</v>
      </c>
      <c r="V156" s="135" t="str">
        <f t="shared" si="108"/>
        <v>No</v>
      </c>
      <c r="W156" s="1354">
        <f t="shared" si="109"/>
        <v>12.22890217504693</v>
      </c>
      <c r="X156" s="696">
        <f t="shared" si="110"/>
        <v>8.86092004809543</v>
      </c>
      <c r="Y156" s="118">
        <f t="shared" si="111"/>
        <v>1.7202908974073887</v>
      </c>
      <c r="Z156" s="673">
        <f t="shared" si="112"/>
        <v>1.6343026082286209</v>
      </c>
      <c r="AA156" s="673">
        <f t="shared" si="113"/>
        <v>0</v>
      </c>
      <c r="AB156" s="673">
        <f t="shared" si="114"/>
        <v>1.3388621315490063E-2</v>
      </c>
      <c r="AC156" s="673">
        <f t="shared" si="115"/>
        <v>12.22890217504693</v>
      </c>
      <c r="AD156" s="847">
        <f t="shared" si="129"/>
        <v>0</v>
      </c>
      <c r="AE156" s="805">
        <f t="shared" si="117"/>
        <v>0.72458834989915399</v>
      </c>
      <c r="AF156" s="510">
        <f t="shared" si="118"/>
        <v>0.14067418912857457</v>
      </c>
      <c r="AG156" s="510">
        <f t="shared" si="119"/>
        <v>0.13364262669165961</v>
      </c>
      <c r="AH156" s="510">
        <f t="shared" si="120"/>
        <v>1.0948342806118394E-3</v>
      </c>
      <c r="AI156" s="510">
        <f t="shared" si="121"/>
        <v>1.0948342806118394E-3</v>
      </c>
      <c r="AJ156" s="658">
        <f t="shared" si="122"/>
        <v>1.0010948342806119</v>
      </c>
    </row>
    <row r="157" spans="1:36">
      <c r="A157" s="127">
        <f>'Input data'!A137</f>
        <v>2039</v>
      </c>
      <c r="B157" s="828">
        <f>'Input data'!B137</f>
        <v>70.856999999999999</v>
      </c>
      <c r="C157" s="238">
        <f>'Input data'!C137</f>
        <v>4728.5300000000007</v>
      </c>
      <c r="D157" s="239">
        <f>'Input data'!D137</f>
        <v>24152264.081533</v>
      </c>
      <c r="E157" s="654">
        <f>'Input data'!J137</f>
        <v>11.504772374209397</v>
      </c>
      <c r="F157" s="673">
        <f>'Input data'!L137/C117</f>
        <v>16.612546689172611</v>
      </c>
      <c r="G157" s="696">
        <f t="shared" si="128"/>
        <v>8.5504431133793126</v>
      </c>
      <c r="H157" s="696">
        <f t="shared" si="97"/>
        <v>4.7815937352273252</v>
      </c>
      <c r="I157" s="1351">
        <f t="shared" si="98"/>
        <v>5.107774314963212</v>
      </c>
      <c r="J157" s="805">
        <f t="shared" si="127"/>
        <v>0.2</v>
      </c>
      <c r="K157" s="696">
        <f t="shared" si="124"/>
        <v>1.0215548629926425</v>
      </c>
      <c r="L157" s="673">
        <f t="shared" si="99"/>
        <v>0.96248877021284696</v>
      </c>
      <c r="M157" s="802">
        <f t="shared" si="104"/>
        <v>1.9840436332054896</v>
      </c>
      <c r="N157" s="805">
        <f t="shared" si="126"/>
        <v>0.5</v>
      </c>
      <c r="O157" s="1407">
        <f t="shared" si="100"/>
        <v>1.0361992776035385</v>
      </c>
      <c r="P157" s="861">
        <f t="shared" si="105"/>
        <v>1.7433821822557214</v>
      </c>
      <c r="Q157" s="696">
        <f t="shared" si="101"/>
        <v>11.588654666350916</v>
      </c>
      <c r="R157" s="673">
        <f t="shared" si="102"/>
        <v>3.0382115529716032</v>
      </c>
      <c r="S157" s="1353">
        <f t="shared" si="125"/>
        <v>0.40496338404203602</v>
      </c>
      <c r="T157" s="135" t="str">
        <f t="shared" si="106"/>
        <v>Policies met</v>
      </c>
      <c r="U157" s="1353">
        <f t="shared" si="107"/>
        <v>0.40496338404203602</v>
      </c>
      <c r="V157" s="135" t="str">
        <f t="shared" si="108"/>
        <v>No</v>
      </c>
      <c r="W157" s="1354">
        <f t="shared" si="109"/>
        <v>11.953535135879441</v>
      </c>
      <c r="X157" s="696">
        <f t="shared" si="110"/>
        <v>8.5504431133793126</v>
      </c>
      <c r="Y157" s="118">
        <f t="shared" si="111"/>
        <v>1.5942709237176373</v>
      </c>
      <c r="Z157" s="673">
        <f t="shared" si="112"/>
        <v>1.7941231867678917</v>
      </c>
      <c r="AA157" s="673">
        <f t="shared" si="113"/>
        <v>0</v>
      </c>
      <c r="AB157" s="673">
        <f t="shared" si="114"/>
        <v>1.4697912014599994E-2</v>
      </c>
      <c r="AC157" s="673">
        <f t="shared" si="115"/>
        <v>11.953535135879441</v>
      </c>
      <c r="AD157" s="847">
        <f t="shared" si="129"/>
        <v>0</v>
      </c>
      <c r="AE157" s="805">
        <f t="shared" si="117"/>
        <v>0.7153066449534673</v>
      </c>
      <c r="AF157" s="510">
        <f t="shared" si="118"/>
        <v>0.13337233760515851</v>
      </c>
      <c r="AG157" s="510">
        <f t="shared" si="119"/>
        <v>0.15009143039055409</v>
      </c>
      <c r="AH157" s="510">
        <f t="shared" si="120"/>
        <v>1.2295870508200622E-3</v>
      </c>
      <c r="AI157" s="510">
        <f t="shared" si="121"/>
        <v>1.2295870508200622E-3</v>
      </c>
      <c r="AJ157" s="658">
        <f t="shared" si="122"/>
        <v>1.0012295870508201</v>
      </c>
    </row>
    <row r="158" spans="1:36" s="1" customFormat="1">
      <c r="A158" s="157">
        <f>'Input data'!A138</f>
        <v>2040</v>
      </c>
      <c r="B158" s="829">
        <f>'Input data'!B138</f>
        <v>71.375</v>
      </c>
      <c r="C158" s="662">
        <f>'Input data'!C138</f>
        <v>4875.51</v>
      </c>
      <c r="D158" s="830">
        <f>'Input data'!D138</f>
        <v>20794956.942987975</v>
      </c>
      <c r="E158" s="809">
        <f>'Input data'!J138</f>
        <v>11.504772374209397</v>
      </c>
      <c r="F158" s="815">
        <f>'Input data'!L138/C118</f>
        <v>15.769958363570094</v>
      </c>
      <c r="G158" s="863">
        <f>G135*(1-$C$5)</f>
        <v>8.2508449504462007</v>
      </c>
      <c r="H158" s="863">
        <f t="shared" si="97"/>
        <v>4.2904629785654436</v>
      </c>
      <c r="I158" s="1476">
        <f t="shared" si="98"/>
        <v>4.2651859893606971</v>
      </c>
      <c r="J158" s="804">
        <f t="shared" si="127"/>
        <v>0.2</v>
      </c>
      <c r="K158" s="863">
        <f t="shared" si="124"/>
        <v>0.8530371978721395</v>
      </c>
      <c r="L158" s="815">
        <f t="shared" si="99"/>
        <v>0.96248877021284696</v>
      </c>
      <c r="M158" s="1165">
        <f t="shared" si="104"/>
        <v>1.8155259680849865</v>
      </c>
      <c r="N158" s="804">
        <f t="shared" si="126"/>
        <v>0.5</v>
      </c>
      <c r="O158" s="1477">
        <f t="shared" si="100"/>
        <v>1.0361992776035385</v>
      </c>
      <c r="P158" s="1478">
        <f t="shared" si="105"/>
        <v>1.6267239231427406</v>
      </c>
      <c r="Q158" s="863">
        <f t="shared" si="101"/>
        <v>10.914584005868903</v>
      </c>
      <c r="R158" s="815">
        <f t="shared" si="102"/>
        <v>2.6637390554227025</v>
      </c>
      <c r="S158" s="1353">
        <f t="shared" si="125"/>
        <v>0.35504992436548627</v>
      </c>
      <c r="T158" s="135" t="str">
        <f t="shared" si="106"/>
        <v>Policies met</v>
      </c>
      <c r="U158" s="1353">
        <f t="shared" si="107"/>
        <v>0.35504992436548627</v>
      </c>
      <c r="V158" s="135" t="str">
        <f t="shared" si="108"/>
        <v>No</v>
      </c>
      <c r="W158" s="1354">
        <f t="shared" si="109"/>
        <v>11.685189802264912</v>
      </c>
      <c r="X158" s="696">
        <f t="shared" si="110"/>
        <v>8.2508449504462007</v>
      </c>
      <c r="Y158" s="118">
        <f t="shared" si="111"/>
        <v>1.4737944030182852</v>
      </c>
      <c r="Z158" s="673">
        <f t="shared" si="112"/>
        <v>1.9446196317527635</v>
      </c>
      <c r="AA158" s="673">
        <f t="shared" si="113"/>
        <v>0</v>
      </c>
      <c r="AB158" s="673">
        <f t="shared" si="114"/>
        <v>1.5930817047661083E-2</v>
      </c>
      <c r="AC158" s="673">
        <f t="shared" si="115"/>
        <v>11.68518980226491</v>
      </c>
      <c r="AD158" s="847">
        <f t="shared" si="129"/>
        <v>0</v>
      </c>
      <c r="AE158" s="804">
        <f t="shared" si="117"/>
        <v>0.70609421755793478</v>
      </c>
      <c r="AF158" s="498">
        <f t="shared" si="118"/>
        <v>0.12612498623964358</v>
      </c>
      <c r="AG158" s="498">
        <f t="shared" si="119"/>
        <v>0.16641746216016473</v>
      </c>
      <c r="AH158" s="498">
        <f t="shared" si="120"/>
        <v>1.3633340422569136E-3</v>
      </c>
      <c r="AI158" s="498">
        <f t="shared" si="121"/>
        <v>1.3633340422569136E-3</v>
      </c>
      <c r="AJ158" s="1480">
        <f t="shared" si="122"/>
        <v>1.001363334042257</v>
      </c>
    </row>
    <row r="159" spans="1:36">
      <c r="A159" s="127">
        <f>'Input data'!A139</f>
        <v>2041</v>
      </c>
      <c r="B159" s="828">
        <f>'Input data'!B139</f>
        <v>71.819000000000003</v>
      </c>
      <c r="C159" s="238">
        <f>'Input data'!C139</f>
        <v>5028.54</v>
      </c>
      <c r="D159" s="239">
        <f>'Input data'!D139</f>
        <v>19523249.693539102</v>
      </c>
      <c r="E159" s="654">
        <f>'Input data'!J139</f>
        <v>11.504772374209397</v>
      </c>
      <c r="F159" s="673">
        <f>'Input data'!L139/C119</f>
        <v>15.387261067456164</v>
      </c>
      <c r="G159" s="696">
        <f>$G$158*(1+((($G$168/$G$158)^(1/($A$168-$A$158)))-1))^(A159-$A$158)</f>
        <v>7.8017965534882725</v>
      </c>
      <c r="H159" s="696">
        <f t="shared" si="97"/>
        <v>4.3803682325517395</v>
      </c>
      <c r="I159" s="1351">
        <f t="shared" si="98"/>
        <v>3.8824886932467679</v>
      </c>
      <c r="J159" s="805">
        <f t="shared" si="127"/>
        <v>0.2</v>
      </c>
      <c r="K159" s="696">
        <f t="shared" si="124"/>
        <v>0.77649773864935367</v>
      </c>
      <c r="L159" s="673">
        <f t="shared" si="99"/>
        <v>0.96248877021284696</v>
      </c>
      <c r="M159" s="802">
        <f t="shared" si="104"/>
        <v>1.7389865088622005</v>
      </c>
      <c r="N159" s="805">
        <f t="shared" si="126"/>
        <v>0.5</v>
      </c>
      <c r="O159" s="1407">
        <f t="shared" si="100"/>
        <v>1.0361992776035385</v>
      </c>
      <c r="P159" s="861">
        <f t="shared" si="105"/>
        <v>1.5737386170622518</v>
      </c>
      <c r="Q159" s="696">
        <f t="shared" si="101"/>
        <v>10.608426168977759</v>
      </c>
      <c r="R159" s="673">
        <f t="shared" si="102"/>
        <v>2.806629615489487</v>
      </c>
      <c r="S159" s="1353">
        <f t="shared" si="125"/>
        <v>0.37409581493084543</v>
      </c>
      <c r="T159" s="135" t="str">
        <f t="shared" si="106"/>
        <v>Policies met</v>
      </c>
      <c r="U159" s="1353">
        <f t="shared" si="107"/>
        <v>0.37409581493084543</v>
      </c>
      <c r="V159" s="135" t="str">
        <f t="shared" si="108"/>
        <v>No</v>
      </c>
      <c r="W159" s="1354">
        <f t="shared" si="109"/>
        <v>11.083373870532423</v>
      </c>
      <c r="X159" s="696">
        <f t="shared" si="110"/>
        <v>7.8017965534882725</v>
      </c>
      <c r="Y159" s="118">
        <f t="shared" si="111"/>
        <v>1.3789234880076384</v>
      </c>
      <c r="Z159" s="673">
        <f t="shared" si="112"/>
        <v>1.8871934617330539</v>
      </c>
      <c r="AA159" s="673">
        <f t="shared" si="113"/>
        <v>0</v>
      </c>
      <c r="AB159" s="673">
        <f t="shared" si="114"/>
        <v>1.5460367303457234E-2</v>
      </c>
      <c r="AC159" s="673">
        <f t="shared" si="115"/>
        <v>11.083373870532423</v>
      </c>
      <c r="AD159" s="847">
        <f t="shared" si="129"/>
        <v>0</v>
      </c>
      <c r="AE159" s="805">
        <f t="shared" si="117"/>
        <v>0.70391891897024761</v>
      </c>
      <c r="AF159" s="510">
        <f t="shared" si="118"/>
        <v>0.12441369425187475</v>
      </c>
      <c r="AG159" s="510">
        <f t="shared" si="119"/>
        <v>0.17027247152156177</v>
      </c>
      <c r="AH159" s="510">
        <f t="shared" si="120"/>
        <v>1.3949152563157692E-3</v>
      </c>
      <c r="AI159" s="510">
        <f t="shared" si="121"/>
        <v>1.3949152563157692E-3</v>
      </c>
      <c r="AJ159" s="658">
        <f t="shared" si="122"/>
        <v>1.0013949152563157</v>
      </c>
    </row>
    <row r="160" spans="1:36">
      <c r="A160" s="127">
        <f>'Input data'!A140</f>
        <v>2042</v>
      </c>
      <c r="B160" s="828">
        <f>'Input data'!B140</f>
        <v>72.265000000000001</v>
      </c>
      <c r="C160" s="238">
        <f>'Input data'!C140</f>
        <v>5188.1000000000004</v>
      </c>
      <c r="D160" s="239">
        <f>'Input data'!D140</f>
        <v>18251542.444090229</v>
      </c>
      <c r="E160" s="654">
        <f>'Input data'!J140</f>
        <v>11.504772374209397</v>
      </c>
      <c r="F160" s="673">
        <f>'Input data'!L140/C120</f>
        <v>15.02273510509165</v>
      </c>
      <c r="G160" s="696">
        <f t="shared" ref="G160:G167" si="130">$G$158*(1+((($G$168/$G$158)^(1/($A$168-$A$158)))-1))^(A160-$A$158)</f>
        <v>7.3771874065734053</v>
      </c>
      <c r="H160" s="696">
        <f t="shared" si="97"/>
        <v>4.4628871657448563</v>
      </c>
      <c r="I160" s="1351">
        <f t="shared" si="98"/>
        <v>3.517962730882255</v>
      </c>
      <c r="J160" s="805">
        <f t="shared" si="127"/>
        <v>0.2</v>
      </c>
      <c r="K160" s="696">
        <f t="shared" si="124"/>
        <v>0.70359254617645106</v>
      </c>
      <c r="L160" s="673">
        <f t="shared" si="99"/>
        <v>0.96248877021284696</v>
      </c>
      <c r="M160" s="802">
        <f t="shared" si="104"/>
        <v>1.666081316389298</v>
      </c>
      <c r="N160" s="805">
        <f t="shared" si="126"/>
        <v>0.5</v>
      </c>
      <c r="O160" s="1407">
        <f t="shared" si="100"/>
        <v>1.0361992776035385</v>
      </c>
      <c r="P160" s="861">
        <f t="shared" si="105"/>
        <v>1.5232691732321118</v>
      </c>
      <c r="Q160" s="696">
        <f t="shared" si="101"/>
        <v>10.316805399086149</v>
      </c>
      <c r="R160" s="673">
        <f t="shared" si="102"/>
        <v>2.9396179925127441</v>
      </c>
      <c r="S160" s="1353">
        <f t="shared" si="125"/>
        <v>0.39182184297682582</v>
      </c>
      <c r="T160" s="135" t="str">
        <f t="shared" si="106"/>
        <v>Policies met</v>
      </c>
      <c r="U160" s="1353">
        <f t="shared" si="107"/>
        <v>0.39182184297682582</v>
      </c>
      <c r="V160" s="135" t="str">
        <f t="shared" si="108"/>
        <v>No</v>
      </c>
      <c r="W160" s="1354">
        <f t="shared" si="109"/>
        <v>10.514913990400053</v>
      </c>
      <c r="X160" s="696">
        <f t="shared" si="110"/>
        <v>7.3771874065734053</v>
      </c>
      <c r="Y160" s="118">
        <f t="shared" si="111"/>
        <v>1.2889571926000016</v>
      </c>
      <c r="Z160" s="673">
        <f t="shared" si="112"/>
        <v>1.8337468719372452</v>
      </c>
      <c r="AA160" s="673">
        <f t="shared" si="113"/>
        <v>0</v>
      </c>
      <c r="AB160" s="673">
        <f t="shared" si="114"/>
        <v>1.5022519289400637E-2</v>
      </c>
      <c r="AC160" s="673">
        <f t="shared" si="115"/>
        <v>10.514913990400053</v>
      </c>
      <c r="AD160" s="847">
        <f t="shared" si="129"/>
        <v>0</v>
      </c>
      <c r="AE160" s="805">
        <f t="shared" si="117"/>
        <v>0.70159274848169539</v>
      </c>
      <c r="AF160" s="510">
        <f t="shared" si="118"/>
        <v>0.12258371240856547</v>
      </c>
      <c r="AG160" s="510">
        <f t="shared" si="119"/>
        <v>0.17439485226521362</v>
      </c>
      <c r="AH160" s="510">
        <f t="shared" si="120"/>
        <v>1.4286868445254003E-3</v>
      </c>
      <c r="AI160" s="510">
        <f t="shared" si="121"/>
        <v>1.4286868445254003E-3</v>
      </c>
      <c r="AJ160" s="658">
        <f t="shared" si="122"/>
        <v>1.0014286868445252</v>
      </c>
    </row>
    <row r="161" spans="1:39">
      <c r="A161" s="127">
        <f>'Input data'!A141</f>
        <v>2043</v>
      </c>
      <c r="B161" s="828">
        <f>'Input data'!B141</f>
        <v>72.713999999999999</v>
      </c>
      <c r="C161" s="238">
        <f>'Input data'!C141</f>
        <v>5353.7899999999991</v>
      </c>
      <c r="D161" s="239">
        <f>'Input data'!D141</f>
        <v>16979835.194641355</v>
      </c>
      <c r="E161" s="654">
        <f>'Input data'!J141</f>
        <v>11.504772374209397</v>
      </c>
      <c r="F161" s="673">
        <f>'Input data'!L141/C121</f>
        <v>14.676326580601758</v>
      </c>
      <c r="G161" s="696">
        <f t="shared" si="130"/>
        <v>6.9756874148906327</v>
      </c>
      <c r="H161" s="696">
        <f t="shared" si="97"/>
        <v>4.5392992942501778</v>
      </c>
      <c r="I161" s="1351">
        <f t="shared" si="98"/>
        <v>3.1715542063923614</v>
      </c>
      <c r="J161" s="805">
        <f t="shared" si="127"/>
        <v>0.2</v>
      </c>
      <c r="K161" s="696">
        <f t="shared" si="124"/>
        <v>0.63431084127847237</v>
      </c>
      <c r="L161" s="673">
        <f t="shared" si="99"/>
        <v>0.96248877021284696</v>
      </c>
      <c r="M161" s="802">
        <f t="shared" si="104"/>
        <v>1.5967996114913192</v>
      </c>
      <c r="N161" s="805">
        <f t="shared" si="126"/>
        <v>0.5</v>
      </c>
      <c r="O161" s="1407">
        <f t="shared" si="100"/>
        <v>1.0361992776035385</v>
      </c>
      <c r="P161" s="861">
        <f t="shared" si="105"/>
        <v>1.4753081296465742</v>
      </c>
      <c r="Q161" s="696">
        <f t="shared" si="101"/>
        <v>10.039678579494236</v>
      </c>
      <c r="R161" s="673">
        <f t="shared" si="102"/>
        <v>3.0639911646036033</v>
      </c>
      <c r="S161" s="1353">
        <f t="shared" si="125"/>
        <v>0.40839954988623911</v>
      </c>
      <c r="T161" s="135" t="str">
        <f t="shared" si="106"/>
        <v>Policies met</v>
      </c>
      <c r="U161" s="1353">
        <f t="shared" si="107"/>
        <v>0.40839954988623911</v>
      </c>
      <c r="V161" s="135" t="str">
        <f t="shared" si="108"/>
        <v>No</v>
      </c>
      <c r="W161" s="1354">
        <f t="shared" si="109"/>
        <v>9.9777827214310015</v>
      </c>
      <c r="X161" s="696">
        <f t="shared" si="110"/>
        <v>6.9756874148906327</v>
      </c>
      <c r="Y161" s="118">
        <f t="shared" si="111"/>
        <v>1.2037196309658329</v>
      </c>
      <c r="Z161" s="673">
        <f t="shared" si="112"/>
        <v>1.7837626397875352</v>
      </c>
      <c r="AA161" s="673">
        <f t="shared" si="113"/>
        <v>0</v>
      </c>
      <c r="AB161" s="673">
        <f t="shared" si="114"/>
        <v>1.4613035787001188E-2</v>
      </c>
      <c r="AC161" s="673">
        <f t="shared" si="115"/>
        <v>9.9777827214310015</v>
      </c>
      <c r="AD161" s="847">
        <f t="shared" si="129"/>
        <v>0</v>
      </c>
      <c r="AE161" s="805">
        <f t="shared" si="117"/>
        <v>0.69912200031252913</v>
      </c>
      <c r="AF161" s="510">
        <f t="shared" si="118"/>
        <v>0.12063999232819503</v>
      </c>
      <c r="AG161" s="510">
        <f t="shared" si="119"/>
        <v>0.17877344993254274</v>
      </c>
      <c r="AH161" s="510">
        <f t="shared" si="120"/>
        <v>1.4645574267331213E-3</v>
      </c>
      <c r="AI161" s="510">
        <f t="shared" si="121"/>
        <v>1.4645574267331213E-3</v>
      </c>
      <c r="AJ161" s="658">
        <f t="shared" si="122"/>
        <v>1.0014645574267331</v>
      </c>
    </row>
    <row r="162" spans="1:39">
      <c r="A162" s="127">
        <f>'Input data'!A142</f>
        <v>2044</v>
      </c>
      <c r="B162" s="828">
        <f>'Input data'!B142</f>
        <v>73.165000000000006</v>
      </c>
      <c r="C162" s="238">
        <f>'Input data'!C142</f>
        <v>5526.5000000000018</v>
      </c>
      <c r="D162" s="239">
        <f>'Input data'!D142</f>
        <v>15708127.94519248</v>
      </c>
      <c r="E162" s="654">
        <f>'Input data'!J142</f>
        <v>11.504772374209397</v>
      </c>
      <c r="F162" s="673">
        <f>'Input data'!L142/C122</f>
        <v>14.347100781916351</v>
      </c>
      <c r="G162" s="696">
        <f t="shared" si="130"/>
        <v>6.5960388734201203</v>
      </c>
      <c r="H162" s="696">
        <f t="shared" si="97"/>
        <v>4.6099851404315544</v>
      </c>
      <c r="I162" s="1351">
        <f t="shared" si="98"/>
        <v>2.8423284077069528</v>
      </c>
      <c r="J162" s="805">
        <f t="shared" si="127"/>
        <v>0.2</v>
      </c>
      <c r="K162" s="696">
        <f t="shared" si="124"/>
        <v>0.56846568154139054</v>
      </c>
      <c r="L162" s="673">
        <f t="shared" si="99"/>
        <v>0.96248877021284696</v>
      </c>
      <c r="M162" s="802">
        <f t="shared" si="104"/>
        <v>1.5309544517542375</v>
      </c>
      <c r="N162" s="805">
        <f t="shared" si="126"/>
        <v>0.5</v>
      </c>
      <c r="O162" s="1407">
        <f t="shared" si="100"/>
        <v>1.0361992776035385</v>
      </c>
      <c r="P162" s="861">
        <f t="shared" si="105"/>
        <v>1.4297260733057666</v>
      </c>
      <c r="Q162" s="696">
        <f t="shared" si="101"/>
        <v>9.7762979405459074</v>
      </c>
      <c r="R162" s="673">
        <f t="shared" si="102"/>
        <v>3.1802590671257871</v>
      </c>
      <c r="S162" s="1353">
        <f t="shared" si="125"/>
        <v>0.42389690497160221</v>
      </c>
      <c r="T162" s="135" t="str">
        <f t="shared" si="106"/>
        <v>Policies met</v>
      </c>
      <c r="U162" s="1353">
        <f t="shared" si="107"/>
        <v>0.42389690497160221</v>
      </c>
      <c r="V162" s="135" t="str">
        <f t="shared" si="108"/>
        <v>No</v>
      </c>
      <c r="W162" s="1354">
        <f t="shared" si="109"/>
        <v>9.4702633800861946</v>
      </c>
      <c r="X162" s="696">
        <f t="shared" si="110"/>
        <v>6.5960388734201203</v>
      </c>
      <c r="Y162" s="118">
        <f t="shared" si="111"/>
        <v>1.1229584409910882</v>
      </c>
      <c r="Z162" s="673">
        <f t="shared" si="112"/>
        <v>1.7370358277787274</v>
      </c>
      <c r="AA162" s="673">
        <f t="shared" si="113"/>
        <v>0</v>
      </c>
      <c r="AB162" s="673">
        <f t="shared" si="114"/>
        <v>1.4230237896257989E-2</v>
      </c>
      <c r="AC162" s="673">
        <f t="shared" si="115"/>
        <v>9.4702633800861946</v>
      </c>
      <c r="AD162" s="847">
        <f t="shared" si="129"/>
        <v>0</v>
      </c>
      <c r="AE162" s="805">
        <f t="shared" si="117"/>
        <v>0.6965000453197624</v>
      </c>
      <c r="AF162" s="510">
        <f t="shared" si="118"/>
        <v>0.11857731891094116</v>
      </c>
      <c r="AG162" s="510">
        <f t="shared" si="119"/>
        <v>0.18342001252376125</v>
      </c>
      <c r="AH162" s="510">
        <f t="shared" si="120"/>
        <v>1.5026232455351703E-3</v>
      </c>
      <c r="AI162" s="510">
        <f t="shared" si="121"/>
        <v>1.5026232455351703E-3</v>
      </c>
      <c r="AJ162" s="658">
        <f t="shared" si="122"/>
        <v>1.0015026232455351</v>
      </c>
    </row>
    <row r="163" spans="1:39">
      <c r="A163" s="127">
        <f>'Input data'!A143</f>
        <v>2045</v>
      </c>
      <c r="B163" s="828">
        <f>'Input data'!B143</f>
        <v>73.62</v>
      </c>
      <c r="C163" s="238">
        <f>'Input data'!C143</f>
        <v>5709.93</v>
      </c>
      <c r="D163" s="239">
        <f>'Input data'!D143</f>
        <v>14436420.695743607</v>
      </c>
      <c r="E163" s="654">
        <f>'Input data'!J143</f>
        <v>11.504772374209397</v>
      </c>
      <c r="F163" s="673">
        <f>'Input data'!L143/C123</f>
        <v>14.033073193263855</v>
      </c>
      <c r="G163" s="696">
        <f t="shared" si="130"/>
        <v>6.237052527152481</v>
      </c>
      <c r="H163" s="696">
        <f t="shared" si="97"/>
        <v>4.6742715859847506</v>
      </c>
      <c r="I163" s="1351">
        <f t="shared" si="98"/>
        <v>2.5283008190544556</v>
      </c>
      <c r="J163" s="805">
        <f t="shared" si="127"/>
        <v>0.2</v>
      </c>
      <c r="K163" s="696">
        <f t="shared" si="124"/>
        <v>0.50566016381089118</v>
      </c>
      <c r="L163" s="673">
        <f t="shared" si="99"/>
        <v>0.96248877021284696</v>
      </c>
      <c r="M163" s="802">
        <f t="shared" si="104"/>
        <v>1.4681489340237381</v>
      </c>
      <c r="N163" s="805">
        <f t="shared" si="126"/>
        <v>0.5</v>
      </c>
      <c r="O163" s="1407">
        <f t="shared" si="100"/>
        <v>1.0361992776035385</v>
      </c>
      <c r="P163" s="861">
        <f t="shared" si="105"/>
        <v>1.3862482435133217</v>
      </c>
      <c r="Q163" s="696">
        <f t="shared" si="101"/>
        <v>9.52507586962391</v>
      </c>
      <c r="R163" s="673">
        <f t="shared" si="102"/>
        <v>3.2880233424714289</v>
      </c>
      <c r="S163" s="1353">
        <f t="shared" si="125"/>
        <v>0.43826081112557785</v>
      </c>
      <c r="T163" s="135" t="str">
        <f t="shared" si="106"/>
        <v>Policies met</v>
      </c>
      <c r="U163" s="1353">
        <f t="shared" si="107"/>
        <v>0.43826081112557785</v>
      </c>
      <c r="V163" s="135" t="str">
        <f t="shared" si="108"/>
        <v>No</v>
      </c>
      <c r="W163" s="1354">
        <f t="shared" si="109"/>
        <v>8.9909823207277011</v>
      </c>
      <c r="X163" s="696">
        <f t="shared" si="110"/>
        <v>6.237052527152481</v>
      </c>
      <c r="Y163" s="118">
        <f t="shared" si="111"/>
        <v>1.0463278248909957</v>
      </c>
      <c r="Z163" s="673">
        <f t="shared" si="112"/>
        <v>1.6937265315232068</v>
      </c>
      <c r="AA163" s="673">
        <f t="shared" si="113"/>
        <v>0</v>
      </c>
      <c r="AB163" s="673">
        <f t="shared" si="114"/>
        <v>1.387543716101715E-2</v>
      </c>
      <c r="AC163" s="673">
        <f t="shared" si="115"/>
        <v>8.9909823207277011</v>
      </c>
      <c r="AD163" s="847">
        <f t="shared" si="129"/>
        <v>0</v>
      </c>
      <c r="AE163" s="805">
        <f t="shared" si="117"/>
        <v>0.69370089993099604</v>
      </c>
      <c r="AF163" s="510">
        <f t="shared" si="118"/>
        <v>0.11637525106448095</v>
      </c>
      <c r="AG163" s="510">
        <f t="shared" si="119"/>
        <v>0.18838058747135009</v>
      </c>
      <c r="AH163" s="510">
        <f t="shared" si="120"/>
        <v>1.5432615331729533E-3</v>
      </c>
      <c r="AI163" s="510">
        <f t="shared" si="121"/>
        <v>1.5432615331729533E-3</v>
      </c>
      <c r="AJ163" s="658">
        <f t="shared" si="122"/>
        <v>1.001543261533173</v>
      </c>
    </row>
    <row r="164" spans="1:39">
      <c r="A164" s="127">
        <f>'Input data'!A144</f>
        <v>2046</v>
      </c>
      <c r="B164" s="828">
        <f>'Input data'!B144</f>
        <v>73.995000000000005</v>
      </c>
      <c r="C164" s="238">
        <f>'Input data'!C144</f>
        <v>5902.43</v>
      </c>
      <c r="D164" s="239">
        <f>'Input data'!D144</f>
        <v>13163017.836628802</v>
      </c>
      <c r="E164" s="654">
        <f>'Input data'!J144</f>
        <v>11.504772374209397</v>
      </c>
      <c r="F164" s="673">
        <f>'Input data'!L144/C124</f>
        <v>13.734873847099173</v>
      </c>
      <c r="G164" s="696">
        <f t="shared" si="130"/>
        <v>5.8976038457287983</v>
      </c>
      <c r="H164" s="696">
        <f t="shared" si="97"/>
        <v>4.7338744166507469</v>
      </c>
      <c r="I164" s="1351">
        <f t="shared" si="98"/>
        <v>2.2301014728897761</v>
      </c>
      <c r="J164" s="805">
        <f t="shared" si="127"/>
        <v>0.2</v>
      </c>
      <c r="K164" s="696">
        <f t="shared" si="124"/>
        <v>0.44602029457795522</v>
      </c>
      <c r="L164" s="673">
        <f t="shared" si="99"/>
        <v>0.96248877021284696</v>
      </c>
      <c r="M164" s="802">
        <f t="shared" si="104"/>
        <v>1.4085090647908021</v>
      </c>
      <c r="N164" s="805">
        <f t="shared" si="126"/>
        <v>0.5</v>
      </c>
      <c r="O164" s="1407">
        <f t="shared" si="100"/>
        <v>1.0361992776035385</v>
      </c>
      <c r="P164" s="861">
        <f t="shared" si="105"/>
        <v>1.3449618696873786</v>
      </c>
      <c r="Q164" s="696">
        <f t="shared" si="101"/>
        <v>9.2865163926921674</v>
      </c>
      <c r="R164" s="673">
        <f t="shared" si="102"/>
        <v>3.3889125469633692</v>
      </c>
      <c r="S164" s="1353">
        <f t="shared" si="125"/>
        <v>0.45170833870949617</v>
      </c>
      <c r="T164" s="135" t="str">
        <f t="shared" si="106"/>
        <v>Policies met</v>
      </c>
      <c r="U164" s="1353">
        <f t="shared" si="107"/>
        <v>0.45170833870949617</v>
      </c>
      <c r="V164" s="135" t="str">
        <f t="shared" si="108"/>
        <v>No</v>
      </c>
      <c r="W164" s="1354">
        <f t="shared" si="109"/>
        <v>8.538072230714139</v>
      </c>
      <c r="X164" s="696">
        <f t="shared" si="110"/>
        <v>5.8976038457287983</v>
      </c>
      <c r="Y164" s="118">
        <f t="shared" si="111"/>
        <v>0.97374486137141103</v>
      </c>
      <c r="Z164" s="673">
        <f t="shared" si="112"/>
        <v>1.6531802518557501</v>
      </c>
      <c r="AA164" s="673">
        <f t="shared" si="113"/>
        <v>0</v>
      </c>
      <c r="AB164" s="673">
        <f t="shared" si="114"/>
        <v>1.3543271758180325E-2</v>
      </c>
      <c r="AC164" s="673">
        <f t="shared" si="115"/>
        <v>8.538072230714139</v>
      </c>
      <c r="AD164" s="847">
        <f t="shared" si="129"/>
        <v>0</v>
      </c>
      <c r="AE164" s="805">
        <f t="shared" si="117"/>
        <v>0.69074185440985814</v>
      </c>
      <c r="AF164" s="510">
        <f t="shared" si="118"/>
        <v>0.11404739091671579</v>
      </c>
      <c r="AG164" s="510">
        <f t="shared" si="119"/>
        <v>0.19362453340564856</v>
      </c>
      <c r="AH164" s="510">
        <f t="shared" si="120"/>
        <v>1.5862212677776261E-3</v>
      </c>
      <c r="AI164" s="510">
        <f t="shared" si="121"/>
        <v>1.5862212677776261E-3</v>
      </c>
      <c r="AJ164" s="658">
        <f t="shared" si="122"/>
        <v>1.0015862212677775</v>
      </c>
    </row>
    <row r="165" spans="1:39">
      <c r="A165" s="127">
        <f>'Input data'!A145</f>
        <v>2047</v>
      </c>
      <c r="B165" s="829">
        <f>'Input data'!B145</f>
        <v>74.373000000000005</v>
      </c>
      <c r="C165" s="662">
        <f>'Input data'!C145</f>
        <v>6104.119999999999</v>
      </c>
      <c r="D165" s="830">
        <f>'Input data'!D145</f>
        <v>11891310.587179929</v>
      </c>
      <c r="E165" s="809">
        <f>'Input data'!J145</f>
        <v>11.504772374209397</v>
      </c>
      <c r="F165" s="673">
        <f>'Input data'!L145/C125</f>
        <v>13.452851800429709</v>
      </c>
      <c r="G165" s="696">
        <f t="shared" si="130"/>
        <v>5.5766295008316487</v>
      </c>
      <c r="H165" s="696">
        <f t="shared" si="97"/>
        <v>4.7901845340849185</v>
      </c>
      <c r="I165" s="1351">
        <f t="shared" si="98"/>
        <v>1.948079426220312</v>
      </c>
      <c r="J165" s="805">
        <f t="shared" si="127"/>
        <v>0.2</v>
      </c>
      <c r="K165" s="696">
        <f t="shared" si="124"/>
        <v>0.38961588524406243</v>
      </c>
      <c r="L165" s="673">
        <f t="shared" si="99"/>
        <v>0.96248877021284696</v>
      </c>
      <c r="M165" s="802">
        <f t="shared" si="104"/>
        <v>1.3521046554569094</v>
      </c>
      <c r="N165" s="805">
        <f t="shared" si="126"/>
        <v>0.5</v>
      </c>
      <c r="O165" s="1407">
        <f t="shared" si="100"/>
        <v>1.0361992776035385</v>
      </c>
      <c r="P165" s="861">
        <f t="shared" si="105"/>
        <v>1.3059152795599718</v>
      </c>
      <c r="Q165" s="696">
        <f t="shared" si="101"/>
        <v>9.0608987553565949</v>
      </c>
      <c r="R165" s="673">
        <f t="shared" si="102"/>
        <v>3.4842692545249463</v>
      </c>
      <c r="S165" s="1353">
        <f t="shared" si="125"/>
        <v>0.4644184394750186</v>
      </c>
      <c r="T165" s="135" t="str">
        <f t="shared" si="106"/>
        <v>Policies met</v>
      </c>
      <c r="U165" s="1353">
        <f t="shared" si="107"/>
        <v>0.4644184394750186</v>
      </c>
      <c r="V165" s="135" t="str">
        <f t="shared" si="108"/>
        <v>No</v>
      </c>
      <c r="W165" s="1354">
        <f t="shared" si="109"/>
        <v>8.1098233678840757</v>
      </c>
      <c r="X165" s="696">
        <f t="shared" si="110"/>
        <v>5.5766295008316487</v>
      </c>
      <c r="Y165" s="118">
        <f t="shared" si="111"/>
        <v>0.90510712278242922</v>
      </c>
      <c r="Z165" s="673">
        <f t="shared" si="112"/>
        <v>1.6148574228431722</v>
      </c>
      <c r="AA165" s="673">
        <f t="shared" si="113"/>
        <v>0</v>
      </c>
      <c r="AB165" s="673">
        <f t="shared" si="114"/>
        <v>1.3229321426825346E-2</v>
      </c>
      <c r="AC165" s="673">
        <f t="shared" si="115"/>
        <v>8.1098233678840757</v>
      </c>
      <c r="AD165" s="847">
        <f t="shared" si="129"/>
        <v>0</v>
      </c>
      <c r="AE165" s="805">
        <f t="shared" si="117"/>
        <v>0.68763883599682396</v>
      </c>
      <c r="AF165" s="510">
        <f t="shared" si="118"/>
        <v>0.11160626831488929</v>
      </c>
      <c r="AG165" s="510">
        <f t="shared" si="119"/>
        <v>0.19912362447229265</v>
      </c>
      <c r="AH165" s="510">
        <f t="shared" si="120"/>
        <v>1.6312712159940658E-3</v>
      </c>
      <c r="AI165" s="510">
        <f t="shared" si="121"/>
        <v>1.6312712159940658E-3</v>
      </c>
      <c r="AJ165" s="658">
        <f t="shared" si="122"/>
        <v>1.001631271215994</v>
      </c>
    </row>
    <row r="166" spans="1:39">
      <c r="A166" s="127">
        <f>'Input data'!A146</f>
        <v>2048</v>
      </c>
      <c r="B166" s="828">
        <f>'Input data'!B146</f>
        <v>74.753</v>
      </c>
      <c r="C166" s="238">
        <f>'Input data'!C146</f>
        <v>6308.13</v>
      </c>
      <c r="D166" s="239">
        <f>'Input data'!D146</f>
        <v>10619603.337731058</v>
      </c>
      <c r="E166" s="654">
        <f>'Input data'!J146</f>
        <v>11.504772374209397</v>
      </c>
      <c r="F166" s="673">
        <f>'Input data'!L146/C126</f>
        <v>13.188251208306198</v>
      </c>
      <c r="G166" s="696">
        <f t="shared" si="130"/>
        <v>5.2731240352924704</v>
      </c>
      <c r="H166" s="696">
        <f t="shared" si="97"/>
        <v>4.8453749755767301</v>
      </c>
      <c r="I166" s="1351">
        <f t="shared" si="98"/>
        <v>1.6834788340968017</v>
      </c>
      <c r="J166" s="805">
        <f t="shared" si="127"/>
        <v>0.2</v>
      </c>
      <c r="K166" s="696">
        <f t="shared" si="124"/>
        <v>0.33669576681936036</v>
      </c>
      <c r="L166" s="673">
        <f t="shared" si="99"/>
        <v>0.96248877021284696</v>
      </c>
      <c r="M166" s="802">
        <f t="shared" si="104"/>
        <v>1.2991845370322073</v>
      </c>
      <c r="N166" s="805">
        <f t="shared" si="126"/>
        <v>0.5</v>
      </c>
      <c r="O166" s="1407">
        <f t="shared" si="100"/>
        <v>1.0361992776035385</v>
      </c>
      <c r="P166" s="861">
        <f t="shared" si="105"/>
        <v>1.2692807292114139</v>
      </c>
      <c r="Q166" s="696">
        <f t="shared" si="101"/>
        <v>8.8492182816577873</v>
      </c>
      <c r="R166" s="673">
        <f t="shared" si="102"/>
        <v>3.5760942463653169</v>
      </c>
      <c r="S166" s="1353">
        <f t="shared" si="125"/>
        <v>0.47665779765892713</v>
      </c>
      <c r="T166" s="135" t="str">
        <f t="shared" si="106"/>
        <v>Policies met</v>
      </c>
      <c r="U166" s="1353">
        <f t="shared" si="107"/>
        <v>0.47665779765892713</v>
      </c>
      <c r="V166" s="135" t="str">
        <f t="shared" si="108"/>
        <v>No</v>
      </c>
      <c r="W166" s="1354">
        <f t="shared" si="109"/>
        <v>7.7044117458482813</v>
      </c>
      <c r="X166" s="696">
        <f t="shared" si="110"/>
        <v>5.2731240352924704</v>
      </c>
      <c r="Y166" s="118">
        <f t="shared" si="111"/>
        <v>0.84040675955110244</v>
      </c>
      <c r="Z166" s="673">
        <f t="shared" si="112"/>
        <v>1.5779539521659005</v>
      </c>
      <c r="AA166" s="673">
        <f t="shared" si="113"/>
        <v>0</v>
      </c>
      <c r="AB166" s="673">
        <f t="shared" si="114"/>
        <v>1.2926998838806712E-2</v>
      </c>
      <c r="AC166" s="673">
        <f t="shared" si="115"/>
        <v>7.7044117458482804</v>
      </c>
      <c r="AD166" s="847">
        <f t="shared" si="129"/>
        <v>0</v>
      </c>
      <c r="AE166" s="805">
        <f t="shared" si="117"/>
        <v>0.68442915685730688</v>
      </c>
      <c r="AF166" s="510">
        <f t="shared" si="118"/>
        <v>0.10908123647518932</v>
      </c>
      <c r="AG166" s="510">
        <f t="shared" si="119"/>
        <v>0.20481173699162969</v>
      </c>
      <c r="AH166" s="510">
        <f t="shared" si="120"/>
        <v>1.6778696758740544E-3</v>
      </c>
      <c r="AI166" s="510">
        <f t="shared" si="121"/>
        <v>1.6778696758740544E-3</v>
      </c>
      <c r="AJ166" s="658">
        <f t="shared" si="122"/>
        <v>1.0016778696758739</v>
      </c>
    </row>
    <row r="167" spans="1:39">
      <c r="A167" s="127">
        <f>'Input data'!A147</f>
        <v>2049</v>
      </c>
      <c r="B167" s="828">
        <f>'Input data'!B147</f>
        <v>75.134</v>
      </c>
      <c r="C167" s="238">
        <f>'Input data'!C147</f>
        <v>6522.2000000000007</v>
      </c>
      <c r="D167" s="239">
        <f>'Input data'!D147</f>
        <v>9347896.0882821828</v>
      </c>
      <c r="E167" s="654">
        <f>'Input data'!J147</f>
        <v>11.504772374209397</v>
      </c>
      <c r="F167" s="673">
        <f>'Input data'!L147/C127</f>
        <v>12.938015158589236</v>
      </c>
      <c r="G167" s="696">
        <f t="shared" si="130"/>
        <v>4.9861367134812236</v>
      </c>
      <c r="H167" s="696">
        <f t="shared" si="97"/>
        <v>4.8975277106460817</v>
      </c>
      <c r="I167" s="1351">
        <f t="shared" si="98"/>
        <v>1.4332427843798383</v>
      </c>
      <c r="J167" s="805">
        <f t="shared" si="127"/>
        <v>0.2</v>
      </c>
      <c r="K167" s="696">
        <f t="shared" si="124"/>
        <v>0.28664855687596769</v>
      </c>
      <c r="L167" s="673">
        <f t="shared" si="99"/>
        <v>0.96248877021284696</v>
      </c>
      <c r="M167" s="802">
        <f t="shared" si="104"/>
        <v>1.2491373270888146</v>
      </c>
      <c r="N167" s="805">
        <f t="shared" si="126"/>
        <v>0.5</v>
      </c>
      <c r="O167" s="1407">
        <f t="shared" si="100"/>
        <v>1.0361992776035385</v>
      </c>
      <c r="P167" s="861">
        <f t="shared" si="105"/>
        <v>1.2346349822430878</v>
      </c>
      <c r="Q167" s="696">
        <f t="shared" si="101"/>
        <v>8.6490294418842169</v>
      </c>
      <c r="R167" s="673">
        <f t="shared" si="102"/>
        <v>3.6628927284029933</v>
      </c>
      <c r="S167" s="1353">
        <f t="shared" si="125"/>
        <v>0.48822717207635696</v>
      </c>
      <c r="T167" s="135" t="str">
        <f t="shared" si="106"/>
        <v>Policies met</v>
      </c>
      <c r="U167" s="1353">
        <f t="shared" si="107"/>
        <v>0.48822717207635696</v>
      </c>
      <c r="V167" s="135" t="str">
        <f t="shared" si="108"/>
        <v>No</v>
      </c>
      <c r="W167" s="1354">
        <f t="shared" si="109"/>
        <v>7.3210726769467867</v>
      </c>
      <c r="X167" s="696">
        <f t="shared" si="110"/>
        <v>4.9861367134812236</v>
      </c>
      <c r="Y167" s="118">
        <f t="shared" si="111"/>
        <v>0.77922415665254585</v>
      </c>
      <c r="Z167" s="673">
        <f t="shared" si="112"/>
        <v>1.5430705813916616</v>
      </c>
      <c r="AA167" s="673">
        <f t="shared" si="113"/>
        <v>0</v>
      </c>
      <c r="AB167" s="673">
        <f t="shared" si="114"/>
        <v>1.264122542135477E-2</v>
      </c>
      <c r="AC167" s="673">
        <f t="shared" si="115"/>
        <v>7.3210726769467858</v>
      </c>
      <c r="AD167" s="847">
        <f t="shared" si="129"/>
        <v>0</v>
      </c>
      <c r="AE167" s="805">
        <f t="shared" si="117"/>
        <v>0.68106641383058431</v>
      </c>
      <c r="AF167" s="510">
        <f t="shared" si="118"/>
        <v>0.10643579035982431</v>
      </c>
      <c r="AG167" s="510">
        <f t="shared" si="119"/>
        <v>0.21077110547619793</v>
      </c>
      <c r="AH167" s="510">
        <f t="shared" si="120"/>
        <v>1.7266903333934291E-3</v>
      </c>
      <c r="AI167" s="510">
        <f t="shared" si="121"/>
        <v>1.7266903333934291E-3</v>
      </c>
      <c r="AJ167" s="658">
        <f t="shared" si="122"/>
        <v>1.0017266903333935</v>
      </c>
    </row>
    <row r="168" spans="1:39" ht="15.75" thickBot="1">
      <c r="A168" s="172">
        <f>'Input data'!A148</f>
        <v>2050</v>
      </c>
      <c r="B168" s="831">
        <f>'Input data'!B148</f>
        <v>75.518000000000001</v>
      </c>
      <c r="C168" s="241">
        <f>'Input data'!C148</f>
        <v>6747.1300000000019</v>
      </c>
      <c r="D168" s="242">
        <f>'Input data'!D148</f>
        <v>8077884.4484992418</v>
      </c>
      <c r="E168" s="810">
        <f>'Input data'!J148</f>
        <v>11.504772374209397</v>
      </c>
      <c r="F168" s="814">
        <f>'Input data'!L148/C128</f>
        <v>12.702005041802764</v>
      </c>
      <c r="G168" s="849">
        <f>G135*(1-$C$6)</f>
        <v>4.7147685431121138</v>
      </c>
      <c r="H168" s="849">
        <f t="shared" si="97"/>
        <v>4.9474116532025088</v>
      </c>
      <c r="I168" s="1352">
        <f t="shared" si="98"/>
        <v>1.1972326675933678</v>
      </c>
      <c r="J168" s="806">
        <f t="shared" si="127"/>
        <v>0.2</v>
      </c>
      <c r="K168" s="849">
        <f t="shared" si="124"/>
        <v>0.23944653351867357</v>
      </c>
      <c r="L168" s="814">
        <f t="shared" si="99"/>
        <v>0.96248877021284696</v>
      </c>
      <c r="M168" s="811">
        <f t="shared" si="104"/>
        <v>1.2019353037315206</v>
      </c>
      <c r="N168" s="806">
        <f t="shared" si="126"/>
        <v>0.5</v>
      </c>
      <c r="O168" s="1408">
        <f t="shared" si="100"/>
        <v>1.0361992776035385</v>
      </c>
      <c r="P168" s="862">
        <f t="shared" si="105"/>
        <v>1.201958847859582</v>
      </c>
      <c r="Q168" s="849">
        <f t="shared" si="101"/>
        <v>8.4602213484550397</v>
      </c>
      <c r="R168" s="814">
        <f t="shared" si="102"/>
        <v>3.7454528053429259</v>
      </c>
      <c r="S168" s="1362">
        <f t="shared" si="125"/>
        <v>0.49923160924652876</v>
      </c>
      <c r="T168" s="1390" t="str">
        <f t="shared" si="106"/>
        <v>Policies met</v>
      </c>
      <c r="U168" s="1362">
        <f t="shared" si="107"/>
        <v>0.49923160924652876</v>
      </c>
      <c r="V168" s="1390" t="str">
        <f t="shared" si="108"/>
        <v>No</v>
      </c>
      <c r="W168" s="1355">
        <f t="shared" si="109"/>
        <v>6.9584590154111998</v>
      </c>
      <c r="X168" s="849">
        <f t="shared" si="110"/>
        <v>4.7147685431121138</v>
      </c>
      <c r="Y168" s="121">
        <f t="shared" si="111"/>
        <v>0.72143048609644844</v>
      </c>
      <c r="Z168" s="814">
        <f t="shared" si="112"/>
        <v>1.5098905797668027</v>
      </c>
      <c r="AA168" s="814">
        <f t="shared" si="113"/>
        <v>0</v>
      </c>
      <c r="AB168" s="814">
        <f t="shared" si="114"/>
        <v>1.2369406435834042E-2</v>
      </c>
      <c r="AC168" s="814">
        <f t="shared" si="115"/>
        <v>6.9584590154111989</v>
      </c>
      <c r="AD168" s="860">
        <f t="shared" si="129"/>
        <v>0</v>
      </c>
      <c r="AE168" s="806">
        <f t="shared" si="117"/>
        <v>0.67755928901357509</v>
      </c>
      <c r="AF168" s="807">
        <f t="shared" si="118"/>
        <v>0.10367676011293094</v>
      </c>
      <c r="AG168" s="807">
        <f t="shared" si="119"/>
        <v>0.2169863437325395</v>
      </c>
      <c r="AH168" s="807">
        <f t="shared" si="120"/>
        <v>1.7776071409544821E-3</v>
      </c>
      <c r="AI168" s="807">
        <f>AB168/AC168</f>
        <v>1.7776071409544821E-3</v>
      </c>
      <c r="AJ168" s="808">
        <f t="shared" si="122"/>
        <v>1.0017776071409543</v>
      </c>
    </row>
    <row r="170" spans="1:39" ht="23.25">
      <c r="A170" s="865" t="s">
        <v>742</v>
      </c>
    </row>
    <row r="171" spans="1:39" ht="24" thickBot="1">
      <c r="A171" s="865"/>
    </row>
    <row r="172" spans="1:39" ht="21.6" customHeight="1" thickBot="1">
      <c r="A172" s="1593" t="s">
        <v>688</v>
      </c>
      <c r="B172" s="1594"/>
      <c r="C172" s="1594"/>
      <c r="D172" s="1595"/>
      <c r="E172" s="1621" t="s">
        <v>690</v>
      </c>
      <c r="F172" s="1622"/>
      <c r="G172" s="1622"/>
      <c r="H172" s="1622"/>
      <c r="I172" s="1623"/>
      <c r="J172" s="1624" t="s">
        <v>691</v>
      </c>
      <c r="K172" s="1625"/>
      <c r="L172" s="1626"/>
      <c r="M172" s="1627" t="s">
        <v>698</v>
      </c>
      <c r="N172" s="1629" t="s">
        <v>696</v>
      </c>
      <c r="O172" s="1630"/>
      <c r="P172" s="1602" t="s">
        <v>675</v>
      </c>
      <c r="Q172" s="1604" t="s">
        <v>681</v>
      </c>
      <c r="R172" s="1604" t="s">
        <v>661</v>
      </c>
      <c r="S172" s="1604" t="s">
        <v>729</v>
      </c>
      <c r="T172" s="1606" t="s">
        <v>731</v>
      </c>
      <c r="U172" s="1604" t="s">
        <v>730</v>
      </c>
      <c r="V172" s="1606" t="s">
        <v>733</v>
      </c>
      <c r="W172" s="1609" t="s">
        <v>732</v>
      </c>
      <c r="X172" s="1389" t="s">
        <v>672</v>
      </c>
      <c r="Y172" s="1369"/>
      <c r="Z172" s="1369"/>
      <c r="AA172" s="1369"/>
      <c r="AB172" s="1369"/>
      <c r="AC172" s="1369"/>
      <c r="AD172" s="1369"/>
      <c r="AE172" s="1369"/>
      <c r="AF172" s="1369"/>
      <c r="AG172" s="1369"/>
      <c r="AH172" s="1369"/>
      <c r="AI172" s="1369"/>
      <c r="AJ172" s="1370"/>
      <c r="AL172" s="673"/>
      <c r="AM172" s="672"/>
    </row>
    <row r="173" spans="1:39" ht="58.9" customHeight="1">
      <c r="A173" s="1619" t="s">
        <v>217</v>
      </c>
      <c r="B173" s="884" t="s">
        <v>218</v>
      </c>
      <c r="C173" s="884" t="s">
        <v>464</v>
      </c>
      <c r="D173" s="579" t="s">
        <v>725</v>
      </c>
      <c r="E173" s="886" t="s">
        <v>551</v>
      </c>
      <c r="F173" s="885" t="s">
        <v>555</v>
      </c>
      <c r="G173" s="885" t="s">
        <v>677</v>
      </c>
      <c r="H173" s="887" t="s">
        <v>680</v>
      </c>
      <c r="I173" s="887" t="s">
        <v>721</v>
      </c>
      <c r="J173" s="634" t="s">
        <v>367</v>
      </c>
      <c r="K173" s="1400" t="s">
        <v>367</v>
      </c>
      <c r="L173" s="888" t="s">
        <v>693</v>
      </c>
      <c r="M173" s="1628"/>
      <c r="N173" s="639" t="s">
        <v>694</v>
      </c>
      <c r="O173" s="712" t="s">
        <v>695</v>
      </c>
      <c r="P173" s="1603"/>
      <c r="Q173" s="1605"/>
      <c r="R173" s="1605"/>
      <c r="S173" s="1605"/>
      <c r="T173" s="1607"/>
      <c r="U173" s="1605"/>
      <c r="V173" s="1607"/>
      <c r="W173" s="1610"/>
      <c r="X173" s="900" t="s">
        <v>549</v>
      </c>
      <c r="Y173" s="901" t="s">
        <v>565</v>
      </c>
      <c r="Z173" s="901" t="s">
        <v>428</v>
      </c>
      <c r="AA173" s="901" t="s">
        <v>429</v>
      </c>
      <c r="AB173" s="901" t="s">
        <v>553</v>
      </c>
      <c r="AC173" s="901" t="s">
        <v>225</v>
      </c>
      <c r="AD173" s="905" t="s">
        <v>709</v>
      </c>
      <c r="AE173" s="1360" t="s">
        <v>549</v>
      </c>
      <c r="AF173" s="901" t="s">
        <v>565</v>
      </c>
      <c r="AG173" s="901" t="s">
        <v>428</v>
      </c>
      <c r="AH173" s="901" t="s">
        <v>429</v>
      </c>
      <c r="AI173" s="901" t="s">
        <v>553</v>
      </c>
      <c r="AJ173" s="902" t="s">
        <v>225</v>
      </c>
      <c r="AL173" s="673"/>
      <c r="AM173" s="672"/>
    </row>
    <row r="174" spans="1:39" ht="61.15" customHeight="1" thickBot="1">
      <c r="A174" s="1620"/>
      <c r="B174" s="1430" t="s">
        <v>232</v>
      </c>
      <c r="C174" s="1431" t="s">
        <v>558</v>
      </c>
      <c r="D174" s="1432" t="s">
        <v>556</v>
      </c>
      <c r="E174" s="1433" t="s">
        <v>689</v>
      </c>
      <c r="F174" s="1434" t="s">
        <v>689</v>
      </c>
      <c r="G174" s="1434" t="str">
        <f>F174</f>
        <v>Gg/GDP ZAR billion</v>
      </c>
      <c r="H174" s="1435" t="str">
        <f>G174</f>
        <v>Gg/GDP ZAR billion</v>
      </c>
      <c r="I174" s="1435" t="s">
        <v>692</v>
      </c>
      <c r="J174" s="889" t="s">
        <v>229</v>
      </c>
      <c r="K174" s="1412" t="s">
        <v>692</v>
      </c>
      <c r="L174" s="1412" t="s">
        <v>692</v>
      </c>
      <c r="M174" s="1413" t="s">
        <v>692</v>
      </c>
      <c r="N174" s="868" t="s">
        <v>229</v>
      </c>
      <c r="O174" s="707" t="s">
        <v>670</v>
      </c>
      <c r="P174" s="1415" t="s">
        <v>692</v>
      </c>
      <c r="Q174" s="1416" t="s">
        <v>692</v>
      </c>
      <c r="R174" s="1416" t="s">
        <v>692</v>
      </c>
      <c r="S174" s="1417" t="s">
        <v>28</v>
      </c>
      <c r="T174" s="1608"/>
      <c r="U174" s="1411" t="s">
        <v>28</v>
      </c>
      <c r="V174" s="1608"/>
      <c r="W174" s="1366" t="s">
        <v>692</v>
      </c>
      <c r="X174" s="192" t="s">
        <v>228</v>
      </c>
      <c r="Y174" s="1367" t="s">
        <v>228</v>
      </c>
      <c r="Z174" s="1367" t="s">
        <v>228</v>
      </c>
      <c r="AA174" s="1367" t="s">
        <v>228</v>
      </c>
      <c r="AB174" s="1367" t="s">
        <v>228</v>
      </c>
      <c r="AC174" s="1367" t="s">
        <v>228</v>
      </c>
      <c r="AD174" s="1368" t="s">
        <v>669</v>
      </c>
      <c r="AE174" s="1361" t="s">
        <v>229</v>
      </c>
      <c r="AF174" s="903" t="s">
        <v>229</v>
      </c>
      <c r="AG174" s="903" t="s">
        <v>229</v>
      </c>
      <c r="AH174" s="903" t="s">
        <v>229</v>
      </c>
      <c r="AI174" s="903" t="s">
        <v>229</v>
      </c>
      <c r="AJ174" s="906" t="s">
        <v>229</v>
      </c>
      <c r="AL174" s="673"/>
      <c r="AM174" s="672"/>
    </row>
    <row r="175" spans="1:39" ht="15" customHeight="1">
      <c r="A175" s="934">
        <f>'Input data'!A115</f>
        <v>2017</v>
      </c>
      <c r="B175" s="935">
        <f>'Input data'!B115</f>
        <v>56.521999999999998</v>
      </c>
      <c r="C175" s="936">
        <f>'Input data'!C115</f>
        <v>3120.54</v>
      </c>
      <c r="D175" s="116">
        <f>'Input data'!E115</f>
        <v>49995051</v>
      </c>
      <c r="E175" s="813">
        <f>'Input data'!J115</f>
        <v>11.504772374209397</v>
      </c>
      <c r="F175" s="813">
        <f>'Input data'!L115/C95</f>
        <v>27.526054267727826</v>
      </c>
      <c r="G175" s="851">
        <f>F135*B11</f>
        <v>23.573842715560573</v>
      </c>
      <c r="H175" s="851">
        <f t="shared" ref="H175:H208" si="131">E175*$B$12+I175*$E$80-G175</f>
        <v>0</v>
      </c>
      <c r="I175" s="1436">
        <f t="shared" ref="I175:I208" si="132">D175/1000/C175</f>
        <v>16.021281893518431</v>
      </c>
      <c r="J175" s="805">
        <f>H17</f>
        <v>6.154773859516615E-2</v>
      </c>
      <c r="K175" s="851">
        <f>(I175)*J175</f>
        <v>0.98607366994174095</v>
      </c>
      <c r="L175" s="813">
        <f t="shared" ref="L175:L208" si="133">(E175)*$C$12*$G$12</f>
        <v>0.96248877021284696</v>
      </c>
      <c r="M175" s="1437">
        <f>L175+K175</f>
        <v>1.9485624401545878</v>
      </c>
      <c r="N175" s="805">
        <v>0</v>
      </c>
      <c r="O175" s="1407">
        <f t="shared" ref="O175:O208" si="134">N175*E175*($C$84)*$B$12</f>
        <v>0</v>
      </c>
      <c r="P175" s="1418">
        <f>O175+(K175-I175*$J$135)</f>
        <v>0</v>
      </c>
      <c r="Q175" s="851">
        <f t="shared" ref="Q175:Q208" si="135">E175*$B$12+I175*(1-$H$80)-P175</f>
        <v>23.573842715560573</v>
      </c>
      <c r="R175" s="813">
        <f t="shared" ref="R175:R208" si="136">Q175-G175</f>
        <v>0</v>
      </c>
      <c r="S175" s="1419">
        <f>R175/(Q175-(I175-K175))</f>
        <v>0</v>
      </c>
      <c r="T175" s="135" t="str">
        <f>IF(AND(S175&gt;=0,S175&lt;=0.85),"Policies met","Policies not met")</f>
        <v>Policies met</v>
      </c>
      <c r="U175" s="1353">
        <f>IF(S175&lt;=0,0,IF(S175&gt;=0.85,0.85,S175))</f>
        <v>0</v>
      </c>
      <c r="V175" s="135" t="str">
        <f>IF(AND(S175&gt;=0,S175&lt;=0.85),"No","Yes")</f>
        <v>No</v>
      </c>
      <c r="W175" s="1354">
        <f>($E$135)*(1-U175)+I175</f>
        <v>27.526054267727829</v>
      </c>
      <c r="X175" s="696">
        <f>Q175-U175*(Q175-(I175-K175))</f>
        <v>23.573842715560573</v>
      </c>
      <c r="Y175" s="118">
        <f>(L175)*(1-U175)+K175</f>
        <v>1.9485624401545878</v>
      </c>
      <c r="Z175" s="673">
        <f>($C$12*$H$12*$E$135+O175)*(1-U175)</f>
        <v>1.9789482589551808</v>
      </c>
      <c r="AA175" s="673">
        <f>$F$135*$D$11*(1-U175)</f>
        <v>0</v>
      </c>
      <c r="AB175" s="673">
        <f>$E$135*$E$12*(1-U175)</f>
        <v>2.4700853057483641E-2</v>
      </c>
      <c r="AC175" s="673">
        <f>SUM(X175:AB175)</f>
        <v>27.526054267727829</v>
      </c>
      <c r="AD175" s="674">
        <f t="shared" ref="AD175:AD193" si="137">AC175-W175</f>
        <v>0</v>
      </c>
      <c r="AE175" s="891">
        <f>X175/AC175</f>
        <v>0.85641924869700925</v>
      </c>
      <c r="AF175" s="803">
        <f>Y175/AC175</f>
        <v>7.0789747822270571E-2</v>
      </c>
      <c r="AG175" s="803">
        <f>Z175/AC175</f>
        <v>7.1893640828694608E-2</v>
      </c>
      <c r="AH175" s="803">
        <f>AB175/AC175</f>
        <v>8.9736265202541149E-4</v>
      </c>
      <c r="AI175" s="803">
        <f>AB175/AC175</f>
        <v>8.9736265202541149E-4</v>
      </c>
      <c r="AJ175" s="907">
        <f>SUM(AE175:AI175)</f>
        <v>1.0008973626520252</v>
      </c>
      <c r="AL175" s="673"/>
      <c r="AM175" s="672"/>
    </row>
    <row r="176" spans="1:39">
      <c r="A176" s="127">
        <f>'Input data'!A116</f>
        <v>2018</v>
      </c>
      <c r="B176" s="828">
        <f>'Input data'!B116</f>
        <v>57.436</v>
      </c>
      <c r="C176" s="238">
        <f>'Input data'!C116</f>
        <v>3152.24</v>
      </c>
      <c r="D176" s="130">
        <f>'Input data'!E116</f>
        <v>48694518.38623029</v>
      </c>
      <c r="E176" s="673">
        <f>'Input data'!J116</f>
        <v>11.504772374209397</v>
      </c>
      <c r="F176" s="673">
        <f>'Input data'!L116/C96</f>
        <v>26.95236468514711</v>
      </c>
      <c r="G176" s="696">
        <f>$G$135*(1+((($G$148/$G$135)^(1/($A$148-$A$135)))-1))^(A176-$A$135)</f>
        <v>22.34983020519125</v>
      </c>
      <c r="H176" s="696">
        <f t="shared" si="131"/>
        <v>0.68563222425205339</v>
      </c>
      <c r="I176" s="1351">
        <f t="shared" si="132"/>
        <v>15.447592310937711</v>
      </c>
      <c r="J176" s="805">
        <f t="shared" ref="J176:J186" si="138">$J$135*(1+((($J$148/$J$135)^(1/($A$148-$A$135)))-1))^(A176-$A$135)</f>
        <v>6.7388021833337503E-2</v>
      </c>
      <c r="K176" s="696">
        <f>(I176)*J176</f>
        <v>1.040982687921967</v>
      </c>
      <c r="L176" s="673">
        <f t="shared" si="133"/>
        <v>0.96248877021284696</v>
      </c>
      <c r="M176" s="802">
        <f t="shared" ref="M176:M208" si="139">L176+K176</f>
        <v>2.0034714581348139</v>
      </c>
      <c r="N176" s="805">
        <f>($N$140-$N$135)/($A$100-$A$95)+N175</f>
        <v>0.05</v>
      </c>
      <c r="O176" s="1407">
        <f t="shared" si="134"/>
        <v>0.10361992776035385</v>
      </c>
      <c r="P176" s="861">
        <f t="shared" ref="P176:P208" si="140">O176+(K176-I176*$J$135)</f>
        <v>0.19383824220402807</v>
      </c>
      <c r="Q176" s="696">
        <f t="shared" si="135"/>
        <v>22.841624187239276</v>
      </c>
      <c r="R176" s="673">
        <f t="shared" si="136"/>
        <v>0.49179398204802638</v>
      </c>
      <c r="S176" s="1353">
        <f>R176/(Q176-(I176-K176))</f>
        <v>5.8303868748956621E-2</v>
      </c>
      <c r="T176" s="135" t="str">
        <f t="shared" ref="T176:T208" si="141">IF(AND(S176&gt;=0,S176&lt;=0.85),"Policies met","Policies not met")</f>
        <v>Policies met</v>
      </c>
      <c r="U176" s="1353">
        <f t="shared" ref="U176:U208" si="142">IF(S176&lt;=0,0,IF(S176&gt;=0.85,0.85,S176))</f>
        <v>5.8303868748956621E-2</v>
      </c>
      <c r="V176" s="135" t="str">
        <f t="shared" ref="V176:V208" si="143">IF(AND(S176&gt;=0,S176&lt;=0.85),"No","Yes")</f>
        <v>No</v>
      </c>
      <c r="W176" s="1354">
        <f t="shared" ref="W176:W208" si="144">($E$135)*(1-U176)+I176</f>
        <v>26.281591946654579</v>
      </c>
      <c r="X176" s="696">
        <f t="shared" ref="X176:X208" si="145">Q176-U176*(Q176-(I176-K176))</f>
        <v>22.34983020519125</v>
      </c>
      <c r="Y176" s="118">
        <f t="shared" ref="Y176:Y208" si="146">(L176)*(1-U176)+K176</f>
        <v>1.9473546392039793</v>
      </c>
      <c r="Z176" s="673">
        <f t="shared" ref="Z176:Z208" si="147">($C$12*$H$12*$E$135+O176)*(1-U176)</f>
        <v>1.9611464044965197</v>
      </c>
      <c r="AA176" s="673">
        <f t="shared" ref="AA176:AA208" si="148">$F$135*$D$11*(1-U176)</f>
        <v>0</v>
      </c>
      <c r="AB176" s="673">
        <f t="shared" ref="AB176:AB208" si="149">$E$135*$E$12*(1-U176)</f>
        <v>2.3260697762832849E-2</v>
      </c>
      <c r="AC176" s="673">
        <f t="shared" ref="AC176:AC208" si="150">SUM(X176:AB176)</f>
        <v>26.281591946654583</v>
      </c>
      <c r="AD176" s="847">
        <f t="shared" si="137"/>
        <v>0</v>
      </c>
      <c r="AE176" s="805">
        <f t="shared" ref="AE176:AE208" si="151">X176/AC176</f>
        <v>0.85039864596315629</v>
      </c>
      <c r="AF176" s="510">
        <f t="shared" ref="AF176:AF208" si="152">Y176/AC176</f>
        <v>7.4095764181890081E-2</v>
      </c>
      <c r="AG176" s="510">
        <f t="shared" ref="AG176:AG208" si="153">Z176/AC176</f>
        <v>7.4620533203513056E-2</v>
      </c>
      <c r="AH176" s="510">
        <f t="shared" ref="AH176:AH208" si="154">AB176/AC176</f>
        <v>8.8505665144054306E-4</v>
      </c>
      <c r="AI176" s="510">
        <f t="shared" ref="AI176:AI207" si="155">AB176/AC176</f>
        <v>8.8505665144054306E-4</v>
      </c>
      <c r="AJ176" s="658">
        <f t="shared" ref="AJ176:AJ208" si="156">SUM(AE176:AI176)</f>
        <v>1.0008850566514405</v>
      </c>
      <c r="AL176" s="673"/>
      <c r="AM176" s="672"/>
    </row>
    <row r="177" spans="1:36">
      <c r="A177" s="127">
        <f>'Input data'!A117</f>
        <v>2019</v>
      </c>
      <c r="B177" s="828">
        <f>'Input data'!B117</f>
        <v>58.365000000000002</v>
      </c>
      <c r="C177" s="238">
        <f>'Input data'!C117</f>
        <v>3179.2899999999995</v>
      </c>
      <c r="D177" s="130">
        <f>'Input data'!E117</f>
        <v>48694518.38623029</v>
      </c>
      <c r="E177" s="673">
        <f>'Input data'!J117</f>
        <v>11.504772374209397</v>
      </c>
      <c r="F177" s="673">
        <f>'Input data'!L117/C97</f>
        <v>26.583601950904391</v>
      </c>
      <c r="G177" s="696">
        <f t="shared" ref="G177:G187" si="157">$G$135*(1+((($G$148/$G$135)^(1/($A$148-$A$135)))-1))^(A177-$A$135)</f>
        <v>21.189371466840253</v>
      </c>
      <c r="H177" s="696">
        <f t="shared" si="131"/>
        <v>1.722749211549111</v>
      </c>
      <c r="I177" s="1351">
        <f t="shared" si="132"/>
        <v>15.316161276961301</v>
      </c>
      <c r="J177" s="805">
        <f t="shared" si="138"/>
        <v>7.3782491286642105E-2</v>
      </c>
      <c r="K177" s="696">
        <f t="shared" ref="K177:K208" si="158">(I177)*J177</f>
        <v>1.1300645359622024</v>
      </c>
      <c r="L177" s="673">
        <f t="shared" si="133"/>
        <v>0.96248877021284696</v>
      </c>
      <c r="M177" s="802">
        <f t="shared" si="139"/>
        <v>2.0925533061750494</v>
      </c>
      <c r="N177" s="805">
        <f>($N$140-$N$135)/($A$100-$A$95)+N176</f>
        <v>0.1</v>
      </c>
      <c r="O177" s="1407">
        <f t="shared" si="134"/>
        <v>0.2072398555207077</v>
      </c>
      <c r="P177" s="861">
        <f t="shared" si="140"/>
        <v>0.3946293009270897</v>
      </c>
      <c r="Q177" s="696">
        <f t="shared" si="135"/>
        <v>22.517491377462274</v>
      </c>
      <c r="R177" s="673">
        <f t="shared" si="136"/>
        <v>1.3281199106220214</v>
      </c>
      <c r="S177" s="1353">
        <f t="shared" ref="S177:S208" si="159">R177/(Q177-(I177-K177))</f>
        <v>0.15941147533803918</v>
      </c>
      <c r="T177" s="135" t="str">
        <f t="shared" si="141"/>
        <v>Policies met</v>
      </c>
      <c r="U177" s="1353">
        <f t="shared" si="142"/>
        <v>0.15941147533803918</v>
      </c>
      <c r="V177" s="135" t="str">
        <f t="shared" si="143"/>
        <v>No</v>
      </c>
      <c r="W177" s="1354">
        <f t="shared" si="144"/>
        <v>24.986940913569661</v>
      </c>
      <c r="X177" s="696">
        <f t="shared" si="145"/>
        <v>21.189371466840253</v>
      </c>
      <c r="Y177" s="118">
        <f t="shared" si="146"/>
        <v>1.9391215513191244</v>
      </c>
      <c r="Z177" s="673">
        <f t="shared" si="147"/>
        <v>1.837684641780801</v>
      </c>
      <c r="AA177" s="673">
        <f t="shared" si="148"/>
        <v>0</v>
      </c>
      <c r="AB177" s="673">
        <f t="shared" si="149"/>
        <v>2.0763253629482059E-2</v>
      </c>
      <c r="AC177" s="673">
        <f t="shared" si="150"/>
        <v>24.986940913569661</v>
      </c>
      <c r="AD177" s="847">
        <f t="shared" si="137"/>
        <v>0</v>
      </c>
      <c r="AE177" s="805">
        <f t="shared" si="151"/>
        <v>0.84801783220021698</v>
      </c>
      <c r="AF177" s="510">
        <f t="shared" si="152"/>
        <v>7.760540027795261E-2</v>
      </c>
      <c r="AG177" s="510">
        <f t="shared" si="153"/>
        <v>7.3545803311313288E-2</v>
      </c>
      <c r="AH177" s="510">
        <f t="shared" si="154"/>
        <v>8.3096421051710885E-4</v>
      </c>
      <c r="AI177" s="510">
        <f t="shared" si="155"/>
        <v>8.3096421051710885E-4</v>
      </c>
      <c r="AJ177" s="658">
        <f t="shared" si="156"/>
        <v>1.0008309642105171</v>
      </c>
    </row>
    <row r="178" spans="1:36">
      <c r="A178" s="127">
        <f>'Input data'!A118</f>
        <v>2020</v>
      </c>
      <c r="B178" s="828">
        <f>'Input data'!B118</f>
        <v>59.308999999999997</v>
      </c>
      <c r="C178" s="238">
        <f>'Input data'!C118</f>
        <v>2948.9199999999987</v>
      </c>
      <c r="D178" s="130">
        <f>'Input data'!E118</f>
        <v>48694518.38623029</v>
      </c>
      <c r="E178" s="673">
        <f>'Input data'!J118</f>
        <v>11.504772374209397</v>
      </c>
      <c r="F178" s="673">
        <f>'Input data'!L118/C98</f>
        <v>26.895621881146617</v>
      </c>
      <c r="G178" s="696">
        <f t="shared" si="157"/>
        <v>20.08916663069127</v>
      </c>
      <c r="H178" s="696">
        <f t="shared" si="131"/>
        <v>3.945812590066911</v>
      </c>
      <c r="I178" s="1351">
        <f t="shared" si="132"/>
        <v>16.512661715553595</v>
      </c>
      <c r="J178" s="805">
        <f t="shared" si="138"/>
        <v>8.0783733850016193E-2</v>
      </c>
      <c r="K178" s="696">
        <f t="shared" si="158"/>
        <v>1.3339544691846335</v>
      </c>
      <c r="L178" s="673">
        <f t="shared" si="133"/>
        <v>0.96248877021284696</v>
      </c>
      <c r="M178" s="802">
        <f t="shared" si="139"/>
        <v>2.2964432393974805</v>
      </c>
      <c r="N178" s="805">
        <f>($N$140-$N$135)/($A$100-$A$95)+N177</f>
        <v>0.15000000000000002</v>
      </c>
      <c r="O178" s="1407">
        <f t="shared" si="134"/>
        <v>0.31085978328106162</v>
      </c>
      <c r="P178" s="861">
        <f t="shared" si="140"/>
        <v>0.62849726568639452</v>
      </c>
      <c r="Q178" s="696">
        <f t="shared" si="135"/>
        <v>23.406481955071786</v>
      </c>
      <c r="R178" s="673">
        <f t="shared" si="136"/>
        <v>3.317315324380516</v>
      </c>
      <c r="S178" s="1353">
        <f t="shared" si="159"/>
        <v>0.40318499738108626</v>
      </c>
      <c r="T178" s="135" t="str">
        <f t="shared" si="141"/>
        <v>Policies met</v>
      </c>
      <c r="U178" s="1353">
        <f t="shared" si="142"/>
        <v>0.40318499738108626</v>
      </c>
      <c r="V178" s="135" t="str">
        <f t="shared" si="143"/>
        <v>No</v>
      </c>
      <c r="W178" s="1354">
        <f t="shared" si="144"/>
        <v>23.378882470197382</v>
      </c>
      <c r="X178" s="696">
        <f t="shared" si="145"/>
        <v>20.08916663069127</v>
      </c>
      <c r="Y178" s="118">
        <f t="shared" si="146"/>
        <v>1.9083822070998888</v>
      </c>
      <c r="Z178" s="673">
        <f t="shared" si="147"/>
        <v>1.3665917927240328</v>
      </c>
      <c r="AA178" s="673">
        <f t="shared" si="148"/>
        <v>0</v>
      </c>
      <c r="AB178" s="673">
        <f t="shared" si="149"/>
        <v>1.4741839682191503E-2</v>
      </c>
      <c r="AC178" s="673">
        <f t="shared" si="150"/>
        <v>23.378882470197382</v>
      </c>
      <c r="AD178" s="847">
        <f t="shared" si="137"/>
        <v>0</v>
      </c>
      <c r="AE178" s="805">
        <f t="shared" si="151"/>
        <v>0.85928686524260811</v>
      </c>
      <c r="AF178" s="510">
        <f t="shared" si="152"/>
        <v>8.1628461477259689E-2</v>
      </c>
      <c r="AG178" s="510">
        <f t="shared" si="153"/>
        <v>5.8454111075074623E-2</v>
      </c>
      <c r="AH178" s="510">
        <f t="shared" si="154"/>
        <v>6.3056220505765866E-4</v>
      </c>
      <c r="AI178" s="510">
        <f t="shared" si="155"/>
        <v>6.3056220505765866E-4</v>
      </c>
      <c r="AJ178" s="658">
        <f t="shared" si="156"/>
        <v>1.0006305622050577</v>
      </c>
    </row>
    <row r="179" spans="1:36">
      <c r="A179" s="127">
        <f>'Input data'!A119</f>
        <v>2021</v>
      </c>
      <c r="B179" s="828">
        <f>'Input data'!B119</f>
        <v>59.991999999999997</v>
      </c>
      <c r="C179" s="238">
        <f>'Input data'!C119</f>
        <v>3014.38</v>
      </c>
      <c r="D179" s="130">
        <f>'Input data'!E119</f>
        <v>48694518.38623029</v>
      </c>
      <c r="E179" s="673">
        <f>'Input data'!J119</f>
        <v>11.504772374209397</v>
      </c>
      <c r="F179" s="673">
        <f>'Input data'!L119/C99</f>
        <v>26.625521393879616</v>
      </c>
      <c r="G179" s="696">
        <f t="shared" si="157"/>
        <v>19.046087164371208</v>
      </c>
      <c r="H179" s="696">
        <f t="shared" si="131"/>
        <v>4.6523748535308016</v>
      </c>
      <c r="I179" s="1351">
        <f t="shared" si="132"/>
        <v>16.154074266094614</v>
      </c>
      <c r="J179" s="805">
        <f t="shared" si="138"/>
        <v>8.8449326404511766E-2</v>
      </c>
      <c r="K179" s="696">
        <f t="shared" si="158"/>
        <v>1.4288169875245265</v>
      </c>
      <c r="L179" s="673">
        <f t="shared" si="133"/>
        <v>0.96248877021284696</v>
      </c>
      <c r="M179" s="802">
        <f t="shared" si="139"/>
        <v>2.3913057577373733</v>
      </c>
      <c r="N179" s="805">
        <f>($N$140-$N$135)/($A$100-$A$95)+N178</f>
        <v>0.2</v>
      </c>
      <c r="O179" s="1407">
        <f t="shared" si="134"/>
        <v>0.4144797110414154</v>
      </c>
      <c r="P179" s="861">
        <f t="shared" si="140"/>
        <v>0.84904995838944997</v>
      </c>
      <c r="Q179" s="696">
        <f t="shared" si="135"/>
        <v>22.849412059512559</v>
      </c>
      <c r="R179" s="673">
        <f t="shared" si="136"/>
        <v>3.8033248951413512</v>
      </c>
      <c r="S179" s="1353">
        <f t="shared" si="159"/>
        <v>0.46815022580110577</v>
      </c>
      <c r="T179" s="135" t="str">
        <f t="shared" si="141"/>
        <v>Policies met</v>
      </c>
      <c r="U179" s="1353">
        <f t="shared" si="142"/>
        <v>0.46815022580110577</v>
      </c>
      <c r="V179" s="135" t="str">
        <f t="shared" si="143"/>
        <v>No</v>
      </c>
      <c r="W179" s="1354">
        <f t="shared" si="144"/>
        <v>22.272884855527558</v>
      </c>
      <c r="X179" s="696">
        <f t="shared" si="145"/>
        <v>19.046087164371208</v>
      </c>
      <c r="Y179" s="118">
        <f t="shared" si="146"/>
        <v>1.9407164226312004</v>
      </c>
      <c r="Z179" s="673">
        <f t="shared" si="147"/>
        <v>1.2729441254040075</v>
      </c>
      <c r="AA179" s="673">
        <f t="shared" si="148"/>
        <v>0</v>
      </c>
      <c r="AB179" s="673">
        <f t="shared" si="149"/>
        <v>1.313714312114274E-2</v>
      </c>
      <c r="AC179" s="673">
        <f t="shared" si="150"/>
        <v>22.272884855527558</v>
      </c>
      <c r="AD179" s="847">
        <f t="shared" si="137"/>
        <v>0</v>
      </c>
      <c r="AE179" s="805">
        <f t="shared" si="151"/>
        <v>0.8551243939845744</v>
      </c>
      <c r="AF179" s="510">
        <f t="shared" si="152"/>
        <v>8.7133590247496132E-2</v>
      </c>
      <c r="AG179" s="510">
        <f t="shared" si="153"/>
        <v>5.7152189025396746E-2</v>
      </c>
      <c r="AH179" s="510">
        <f t="shared" si="154"/>
        <v>5.8982674253274558E-4</v>
      </c>
      <c r="AI179" s="510">
        <f t="shared" si="155"/>
        <v>5.8982674253274558E-4</v>
      </c>
      <c r="AJ179" s="658">
        <f t="shared" si="156"/>
        <v>1.0005898267425328</v>
      </c>
    </row>
    <row r="180" spans="1:36">
      <c r="A180" s="127">
        <f>'Input data'!A120</f>
        <v>2022</v>
      </c>
      <c r="B180" s="829">
        <f>'Input data'!B120</f>
        <v>60.682000000000002</v>
      </c>
      <c r="C180" s="662">
        <f>'Input data'!C120</f>
        <v>3077.2</v>
      </c>
      <c r="D180" s="130">
        <f>'Input data'!E120</f>
        <v>48694518.38623029</v>
      </c>
      <c r="E180" s="673">
        <f>'Input data'!J120</f>
        <v>11.504772374209397</v>
      </c>
      <c r="F180" s="673">
        <f>'Input data'!L120/C100</f>
        <v>26.278264754717096</v>
      </c>
      <c r="G180" s="696">
        <f t="shared" si="157"/>
        <v>18.05716697668425</v>
      </c>
      <c r="H180" s="696">
        <f t="shared" si="131"/>
        <v>5.3318122759837223</v>
      </c>
      <c r="I180" s="1351">
        <f t="shared" si="132"/>
        <v>15.82429428903883</v>
      </c>
      <c r="J180" s="805">
        <f t="shared" si="138"/>
        <v>9.6842309318564565E-2</v>
      </c>
      <c r="K180" s="696">
        <f t="shared" si="158"/>
        <v>1.5324612022870931</v>
      </c>
      <c r="L180" s="673">
        <f t="shared" si="133"/>
        <v>0.96248877021284696</v>
      </c>
      <c r="M180" s="802">
        <f t="shared" si="139"/>
        <v>2.4949499724999402</v>
      </c>
      <c r="N180" s="804">
        <f>$C$26</f>
        <v>0.25</v>
      </c>
      <c r="O180" s="1407">
        <f t="shared" si="134"/>
        <v>0.51809963880176924</v>
      </c>
      <c r="P180" s="861">
        <f t="shared" si="140"/>
        <v>1.0766113127341199</v>
      </c>
      <c r="Q180" s="696">
        <f t="shared" si="135"/>
        <v>22.312367939933853</v>
      </c>
      <c r="R180" s="673">
        <f t="shared" si="136"/>
        <v>4.2552009632496031</v>
      </c>
      <c r="S180" s="1353">
        <f t="shared" si="159"/>
        <v>0.53053830463206186</v>
      </c>
      <c r="T180" s="135" t="str">
        <f t="shared" si="141"/>
        <v>Policies met</v>
      </c>
      <c r="U180" s="1353">
        <f t="shared" si="142"/>
        <v>0.53053830463206186</v>
      </c>
      <c r="V180" s="135" t="str">
        <f t="shared" si="143"/>
        <v>No</v>
      </c>
      <c r="W180" s="1354">
        <f t="shared" si="144"/>
        <v>21.225344232657392</v>
      </c>
      <c r="X180" s="696">
        <f t="shared" si="145"/>
        <v>18.05716697668425</v>
      </c>
      <c r="Y180" s="118">
        <f t="shared" si="146"/>
        <v>1.984312812123818</v>
      </c>
      <c r="Z180" s="673">
        <f t="shared" si="147"/>
        <v>1.1722683394959235</v>
      </c>
      <c r="AA180" s="673">
        <f t="shared" si="148"/>
        <v>0</v>
      </c>
      <c r="AB180" s="673">
        <f t="shared" si="149"/>
        <v>1.1596104353400588E-2</v>
      </c>
      <c r="AC180" s="673">
        <f t="shared" si="150"/>
        <v>21.225344232657392</v>
      </c>
      <c r="AD180" s="847">
        <f t="shared" si="137"/>
        <v>0</v>
      </c>
      <c r="AE180" s="805">
        <f t="shared" si="151"/>
        <v>0.85073611898842272</v>
      </c>
      <c r="AF180" s="510">
        <f t="shared" si="152"/>
        <v>9.3487897787341748E-2</v>
      </c>
      <c r="AG180" s="510">
        <f t="shared" si="153"/>
        <v>5.5229650301372599E-2</v>
      </c>
      <c r="AH180" s="510">
        <f t="shared" si="154"/>
        <v>5.4633292286297903E-4</v>
      </c>
      <c r="AI180" s="510">
        <f t="shared" si="155"/>
        <v>5.4633292286297903E-4</v>
      </c>
      <c r="AJ180" s="658">
        <f t="shared" si="156"/>
        <v>1.000546332922863</v>
      </c>
    </row>
    <row r="181" spans="1:36">
      <c r="A181" s="127">
        <f>'Input data'!A121</f>
        <v>2023</v>
      </c>
      <c r="B181" s="828">
        <f>'Input data'!B121</f>
        <v>61.381</v>
      </c>
      <c r="C181" s="238">
        <f>'Input data'!C121</f>
        <v>3140.61</v>
      </c>
      <c r="D181" s="130">
        <f>'Input data'!E121</f>
        <v>48694518.38623029</v>
      </c>
      <c r="E181" s="673">
        <f>'Input data'!J121</f>
        <v>11.504772374209397</v>
      </c>
      <c r="F181" s="673">
        <f>'Input data'!L121/C101</f>
        <v>26.013456531932281</v>
      </c>
      <c r="G181" s="696">
        <f t="shared" si="157"/>
        <v>17.119593983262174</v>
      </c>
      <c r="H181" s="696">
        <f t="shared" si="131"/>
        <v>5.9695516825309625</v>
      </c>
      <c r="I181" s="1351">
        <f t="shared" si="132"/>
        <v>15.504796324991096</v>
      </c>
      <c r="J181" s="805">
        <f t="shared" si="138"/>
        <v>0.10603170487993842</v>
      </c>
      <c r="K181" s="696">
        <f t="shared" si="158"/>
        <v>1.6439999881550096</v>
      </c>
      <c r="L181" s="673">
        <f t="shared" si="133"/>
        <v>0.96248877021284696</v>
      </c>
      <c r="M181" s="802">
        <f t="shared" si="139"/>
        <v>2.6064887583678567</v>
      </c>
      <c r="N181" s="805">
        <f>($N$145-$N$140)/($A$105-$A$100)+N180</f>
        <v>0.3</v>
      </c>
      <c r="O181" s="1407">
        <f t="shared" si="134"/>
        <v>0.62171956656212313</v>
      </c>
      <c r="P181" s="861">
        <f t="shared" si="140"/>
        <v>1.3114344035352881</v>
      </c>
      <c r="Q181" s="696">
        <f t="shared" si="135"/>
        <v>21.777711262257849</v>
      </c>
      <c r="R181" s="673">
        <f t="shared" si="136"/>
        <v>4.6581172789956753</v>
      </c>
      <c r="S181" s="1353">
        <f t="shared" si="159"/>
        <v>0.58837531069560167</v>
      </c>
      <c r="T181" s="135" t="str">
        <f t="shared" si="141"/>
        <v>Policies met</v>
      </c>
      <c r="U181" s="1353">
        <f t="shared" si="142"/>
        <v>0.58837531069560167</v>
      </c>
      <c r="V181" s="135" t="str">
        <f t="shared" si="143"/>
        <v>No</v>
      </c>
      <c r="W181" s="1354">
        <f t="shared" si="144"/>
        <v>20.240444679042863</v>
      </c>
      <c r="X181" s="696">
        <f t="shared" si="145"/>
        <v>17.119593983262174</v>
      </c>
      <c r="Y181" s="118">
        <f t="shared" si="146"/>
        <v>2.0401841291528453</v>
      </c>
      <c r="Z181" s="673">
        <f t="shared" si="147"/>
        <v>1.0704990856625054</v>
      </c>
      <c r="AA181" s="673">
        <f t="shared" si="148"/>
        <v>0</v>
      </c>
      <c r="AB181" s="673">
        <f t="shared" si="149"/>
        <v>1.0167480965340302E-2</v>
      </c>
      <c r="AC181" s="673">
        <f t="shared" si="150"/>
        <v>20.240444679042863</v>
      </c>
      <c r="AD181" s="847">
        <f t="shared" si="137"/>
        <v>0</v>
      </c>
      <c r="AE181" s="805">
        <f t="shared" si="151"/>
        <v>0.84581115952397801</v>
      </c>
      <c r="AF181" s="510">
        <f t="shared" si="152"/>
        <v>0.10079739657425957</v>
      </c>
      <c r="AG181" s="510">
        <f t="shared" si="153"/>
        <v>5.2889109040717357E-2</v>
      </c>
      <c r="AH181" s="510">
        <f t="shared" si="154"/>
        <v>5.0233486104521224E-4</v>
      </c>
      <c r="AI181" s="510">
        <f t="shared" si="155"/>
        <v>5.0233486104521224E-4</v>
      </c>
      <c r="AJ181" s="658">
        <f t="shared" si="156"/>
        <v>1.0005023348610451</v>
      </c>
    </row>
    <row r="182" spans="1:36">
      <c r="A182" s="127">
        <f>'Input data'!A122</f>
        <v>2024</v>
      </c>
      <c r="B182" s="828">
        <f>'Input data'!B122</f>
        <v>62.088000000000001</v>
      </c>
      <c r="C182" s="238">
        <f>'Input data'!C122</f>
        <v>3201.77</v>
      </c>
      <c r="D182" s="130">
        <f>'Input data'!E122</f>
        <v>48694518.38623029</v>
      </c>
      <c r="E182" s="673">
        <f>'Input data'!J122</f>
        <v>11.504772374209397</v>
      </c>
      <c r="F182" s="673">
        <f>'Input data'!L122/C102</f>
        <v>25.731546335359852</v>
      </c>
      <c r="G182" s="696">
        <f t="shared" si="157"/>
        <v>16.230702110147039</v>
      </c>
      <c r="H182" s="696">
        <f t="shared" si="131"/>
        <v>6.5805006480074546</v>
      </c>
      <c r="I182" s="1351">
        <f t="shared" si="132"/>
        <v>15.208624725145869</v>
      </c>
      <c r="J182" s="805">
        <f t="shared" si="138"/>
        <v>0.11609308492183117</v>
      </c>
      <c r="K182" s="696">
        <f t="shared" si="158"/>
        <v>1.7656161617606205</v>
      </c>
      <c r="L182" s="673">
        <f t="shared" si="133"/>
        <v>0.96248877021284696</v>
      </c>
      <c r="M182" s="802">
        <f t="shared" si="139"/>
        <v>2.7281049319734674</v>
      </c>
      <c r="N182" s="805">
        <f>($N$145-$N$140)/($A$105-$A$100)+N181</f>
        <v>0.35</v>
      </c>
      <c r="O182" s="1407">
        <f t="shared" si="134"/>
        <v>0.72533949432247702</v>
      </c>
      <c r="P182" s="861">
        <f t="shared" si="140"/>
        <v>1.554899197107839</v>
      </c>
      <c r="Q182" s="696">
        <f t="shared" si="135"/>
        <v>21.256303561046654</v>
      </c>
      <c r="R182" s="673">
        <f t="shared" si="136"/>
        <v>5.0256014508996145</v>
      </c>
      <c r="S182" s="1353">
        <f t="shared" si="159"/>
        <v>0.64321153270212195</v>
      </c>
      <c r="T182" s="135" t="str">
        <f t="shared" si="141"/>
        <v>Policies met</v>
      </c>
      <c r="U182" s="1353">
        <f t="shared" si="142"/>
        <v>0.64321153270212195</v>
      </c>
      <c r="V182" s="135" t="str">
        <f t="shared" si="143"/>
        <v>No</v>
      </c>
      <c r="W182" s="1354">
        <f t="shared" si="144"/>
        <v>19.313394827151008</v>
      </c>
      <c r="X182" s="696">
        <f t="shared" si="145"/>
        <v>16.230702110147039</v>
      </c>
      <c r="Y182" s="118">
        <f t="shared" si="146"/>
        <v>2.1090210548762816</v>
      </c>
      <c r="Z182" s="673">
        <f t="shared" si="147"/>
        <v>0.96485868262435781</v>
      </c>
      <c r="AA182" s="673">
        <f t="shared" si="148"/>
        <v>0</v>
      </c>
      <c r="AB182" s="673">
        <f t="shared" si="149"/>
        <v>8.8129795033296925E-3</v>
      </c>
      <c r="AC182" s="673">
        <f t="shared" si="150"/>
        <v>19.313394827151008</v>
      </c>
      <c r="AD182" s="847">
        <f t="shared" si="137"/>
        <v>0</v>
      </c>
      <c r="AE182" s="805">
        <f t="shared" si="151"/>
        <v>0.84038576622115746</v>
      </c>
      <c r="AF182" s="510">
        <f t="shared" si="152"/>
        <v>0.10919991403641756</v>
      </c>
      <c r="AG182" s="510">
        <f t="shared" si="153"/>
        <v>4.9958005377073719E-2</v>
      </c>
      <c r="AH182" s="510">
        <f t="shared" si="154"/>
        <v>4.5631436535125856E-4</v>
      </c>
      <c r="AI182" s="510">
        <f t="shared" si="155"/>
        <v>4.5631436535125856E-4</v>
      </c>
      <c r="AJ182" s="658">
        <f t="shared" si="156"/>
        <v>1.0004563143653513</v>
      </c>
    </row>
    <row r="183" spans="1:36">
      <c r="A183" s="127">
        <f>'Input data'!A123</f>
        <v>2025</v>
      </c>
      <c r="B183" s="828">
        <f>'Input data'!B123</f>
        <v>62.802999999999997</v>
      </c>
      <c r="C183" s="238">
        <f>'Input data'!C123</f>
        <v>3265.54</v>
      </c>
      <c r="D183" s="130">
        <f>'Input data'!E123</f>
        <v>48694518.38623029</v>
      </c>
      <c r="E183" s="673">
        <f>'Input data'!J123</f>
        <v>11.504772374209397</v>
      </c>
      <c r="F183" s="673">
        <f>'Input data'!L123/C103</f>
        <v>25.716979900750225</v>
      </c>
      <c r="G183" s="696">
        <f t="shared" si="157"/>
        <v>15.387963712567748</v>
      </c>
      <c r="H183" s="696">
        <f t="shared" si="131"/>
        <v>7.1445219947058209</v>
      </c>
      <c r="I183" s="1351">
        <f t="shared" si="132"/>
        <v>14.911628210412456</v>
      </c>
      <c r="J183" s="805">
        <f t="shared" si="138"/>
        <v>0.12710919231119061</v>
      </c>
      <c r="K183" s="696">
        <f t="shared" si="158"/>
        <v>1.8954050178702919</v>
      </c>
      <c r="L183" s="673">
        <f t="shared" si="133"/>
        <v>0.96248877021284696</v>
      </c>
      <c r="M183" s="802">
        <f t="shared" si="139"/>
        <v>2.857893788083139</v>
      </c>
      <c r="N183" s="805">
        <f>($N$145-$N$140)/($A$105-$A$100)+N182</f>
        <v>0.39999999999999997</v>
      </c>
      <c r="O183" s="1407">
        <f t="shared" si="134"/>
        <v>0.82895942208283069</v>
      </c>
      <c r="P183" s="861">
        <f t="shared" si="140"/>
        <v>1.8065874448303516</v>
      </c>
      <c r="Q183" s="696">
        <f t="shared" si="135"/>
        <v>20.725898262443216</v>
      </c>
      <c r="R183" s="673">
        <f t="shared" si="136"/>
        <v>5.3379345498754684</v>
      </c>
      <c r="S183" s="1353">
        <f t="shared" si="159"/>
        <v>0.69236829068387395</v>
      </c>
      <c r="T183" s="135" t="str">
        <f t="shared" si="141"/>
        <v>Policies met</v>
      </c>
      <c r="U183" s="1353">
        <f t="shared" si="142"/>
        <v>0.69236829068387395</v>
      </c>
      <c r="V183" s="135" t="str">
        <f t="shared" si="143"/>
        <v>No</v>
      </c>
      <c r="W183" s="1354">
        <f t="shared" si="144"/>
        <v>18.450861001183437</v>
      </c>
      <c r="X183" s="696">
        <f t="shared" si="145"/>
        <v>15.387963712567748</v>
      </c>
      <c r="Y183" s="118">
        <f t="shared" si="146"/>
        <v>2.191497083448446</v>
      </c>
      <c r="Z183" s="673">
        <f t="shared" si="147"/>
        <v>0.86380143951960309</v>
      </c>
      <c r="AA183" s="673">
        <f t="shared" si="148"/>
        <v>0</v>
      </c>
      <c r="AB183" s="673">
        <f t="shared" si="149"/>
        <v>7.5987656476401511E-3</v>
      </c>
      <c r="AC183" s="673">
        <f t="shared" si="150"/>
        <v>18.450861001183434</v>
      </c>
      <c r="AD183" s="847">
        <f t="shared" si="137"/>
        <v>0</v>
      </c>
      <c r="AE183" s="805">
        <f t="shared" si="151"/>
        <v>0.83399705366490851</v>
      </c>
      <c r="AF183" s="510">
        <f t="shared" si="152"/>
        <v>0.11877478689519605</v>
      </c>
      <c r="AG183" s="510">
        <f t="shared" si="153"/>
        <v>4.6816321442354321E-2</v>
      </c>
      <c r="AH183" s="510">
        <f t="shared" si="154"/>
        <v>4.118379975412946E-4</v>
      </c>
      <c r="AI183" s="510">
        <f t="shared" si="155"/>
        <v>4.118379975412946E-4</v>
      </c>
      <c r="AJ183" s="658">
        <f t="shared" si="156"/>
        <v>1.0004118379975415</v>
      </c>
    </row>
    <row r="184" spans="1:36">
      <c r="A184" s="127">
        <f>'Input data'!A124</f>
        <v>2026</v>
      </c>
      <c r="B184" s="828">
        <f>'Input data'!B124</f>
        <v>63.420999999999999</v>
      </c>
      <c r="C184" s="238">
        <f>'Input data'!C124</f>
        <v>3341.28</v>
      </c>
      <c r="D184" s="130">
        <f>'Input data'!E124</f>
        <v>48694518.38623029</v>
      </c>
      <c r="E184" s="673">
        <f>'Input data'!J124</f>
        <v>11.504772374209397</v>
      </c>
      <c r="F184" s="673">
        <f>'Input data'!L124/C104</f>
        <v>25.42881885155866</v>
      </c>
      <c r="G184" s="696">
        <f t="shared" si="157"/>
        <v>14.588982387352599</v>
      </c>
      <c r="H184" s="696">
        <f t="shared" si="131"/>
        <v>7.6262912661433635</v>
      </c>
      <c r="I184" s="1351">
        <f t="shared" si="132"/>
        <v>14.573612024801957</v>
      </c>
      <c r="J184" s="805">
        <f t="shared" si="138"/>
        <v>0.13917062141024203</v>
      </c>
      <c r="K184" s="696">
        <f t="shared" si="158"/>
        <v>2.028218641683464</v>
      </c>
      <c r="L184" s="673">
        <f t="shared" si="133"/>
        <v>0.96248877021284696</v>
      </c>
      <c r="M184" s="802">
        <f t="shared" si="139"/>
        <v>2.9907074118963108</v>
      </c>
      <c r="N184" s="805">
        <f>($N$145-$N$140)/($A$105-$A$100)+N183</f>
        <v>0.44999999999999996</v>
      </c>
      <c r="O184" s="1407">
        <f t="shared" si="134"/>
        <v>0.93257934984318458</v>
      </c>
      <c r="P184" s="861">
        <f t="shared" si="140"/>
        <v>2.0638251282367679</v>
      </c>
      <c r="Q184" s="696">
        <f t="shared" si="135"/>
        <v>20.151448525259195</v>
      </c>
      <c r="R184" s="673">
        <f t="shared" si="136"/>
        <v>5.5624661379065952</v>
      </c>
      <c r="S184" s="1353">
        <f t="shared" si="159"/>
        <v>0.73132077456133915</v>
      </c>
      <c r="T184" s="135" t="str">
        <f t="shared" si="141"/>
        <v>Policies met</v>
      </c>
      <c r="U184" s="1353">
        <f t="shared" si="142"/>
        <v>0.73132077456133915</v>
      </c>
      <c r="V184" s="135" t="str">
        <f t="shared" si="143"/>
        <v>No</v>
      </c>
      <c r="W184" s="1354">
        <f t="shared" si="144"/>
        <v>17.664705355152641</v>
      </c>
      <c r="X184" s="696">
        <f t="shared" si="145"/>
        <v>14.588982387352599</v>
      </c>
      <c r="Y184" s="118">
        <f t="shared" si="146"/>
        <v>2.2868193789576612</v>
      </c>
      <c r="Z184" s="673">
        <f t="shared" si="147"/>
        <v>0.78226698277522122</v>
      </c>
      <c r="AA184" s="673">
        <f t="shared" si="148"/>
        <v>0</v>
      </c>
      <c r="AB184" s="673">
        <f t="shared" si="149"/>
        <v>6.6366060671588824E-3</v>
      </c>
      <c r="AC184" s="673">
        <f t="shared" si="150"/>
        <v>17.664705355152641</v>
      </c>
      <c r="AD184" s="847">
        <f t="shared" si="137"/>
        <v>0</v>
      </c>
      <c r="AE184" s="805">
        <f t="shared" si="151"/>
        <v>0.82588314347949876</v>
      </c>
      <c r="AF184" s="510">
        <f t="shared" si="152"/>
        <v>0.12945697836339035</v>
      </c>
      <c r="AG184" s="510">
        <f t="shared" si="153"/>
        <v>4.4284179500737653E-2</v>
      </c>
      <c r="AH184" s="510">
        <f t="shared" si="154"/>
        <v>3.7569865637317531E-4</v>
      </c>
      <c r="AI184" s="510">
        <f t="shared" si="155"/>
        <v>3.7569865637317531E-4</v>
      </c>
      <c r="AJ184" s="658">
        <f t="shared" si="156"/>
        <v>1.0003756986563732</v>
      </c>
    </row>
    <row r="185" spans="1:36">
      <c r="A185" s="127">
        <f>'Input data'!A125</f>
        <v>2027</v>
      </c>
      <c r="B185" s="829">
        <f>'Input data'!B125</f>
        <v>64.046000000000006</v>
      </c>
      <c r="C185" s="662">
        <f>'Input data'!C125</f>
        <v>3416.2799999999997</v>
      </c>
      <c r="D185" s="130">
        <f>'Input data'!E125</f>
        <v>48694518.38623029</v>
      </c>
      <c r="E185" s="673">
        <f>'Input data'!J125</f>
        <v>11.504772374209397</v>
      </c>
      <c r="F185" s="673">
        <f>'Input data'!L125/C105</f>
        <v>25.155892379533629</v>
      </c>
      <c r="G185" s="696">
        <f t="shared" si="157"/>
        <v>13.831486158539203</v>
      </c>
      <c r="H185" s="696">
        <f t="shared" si="131"/>
        <v>8.0835346066942613</v>
      </c>
      <c r="I185" s="1351">
        <f t="shared" si="132"/>
        <v>14.253667259776801</v>
      </c>
      <c r="J185" s="805">
        <f t="shared" si="138"/>
        <v>0.15237656310721223</v>
      </c>
      <c r="K185" s="696">
        <f t="shared" si="158"/>
        <v>2.1719248287185846</v>
      </c>
      <c r="L185" s="673">
        <f t="shared" si="133"/>
        <v>0.96248877021284696</v>
      </c>
      <c r="M185" s="802">
        <f t="shared" si="139"/>
        <v>3.1344135989314315</v>
      </c>
      <c r="N185" s="804">
        <f>$C$27</f>
        <v>0.5</v>
      </c>
      <c r="O185" s="1407">
        <f t="shared" si="134"/>
        <v>1.0361992776035385</v>
      </c>
      <c r="P185" s="861">
        <f t="shared" si="140"/>
        <v>2.3308431197949027</v>
      </c>
      <c r="Q185" s="696">
        <f t="shared" si="135"/>
        <v>19.584177645438562</v>
      </c>
      <c r="R185" s="673">
        <f t="shared" si="136"/>
        <v>5.7526914868993586</v>
      </c>
      <c r="S185" s="1353">
        <f t="shared" si="159"/>
        <v>0.7667765628782568</v>
      </c>
      <c r="T185" s="135" t="str">
        <f t="shared" si="141"/>
        <v>Policies met</v>
      </c>
      <c r="U185" s="1353">
        <f t="shared" si="142"/>
        <v>0.7667765628782568</v>
      </c>
      <c r="V185" s="135" t="str">
        <f t="shared" si="143"/>
        <v>No</v>
      </c>
      <c r="W185" s="1354">
        <f t="shared" si="144"/>
        <v>16.936849816193195</v>
      </c>
      <c r="X185" s="696">
        <f t="shared" si="145"/>
        <v>13.831486158539203</v>
      </c>
      <c r="Y185" s="118">
        <f t="shared" si="146"/>
        <v>2.3963997678987043</v>
      </c>
      <c r="Z185" s="673">
        <f t="shared" si="147"/>
        <v>0.70320307190538134</v>
      </c>
      <c r="AA185" s="673">
        <f t="shared" si="148"/>
        <v>0</v>
      </c>
      <c r="AB185" s="673">
        <f t="shared" si="149"/>
        <v>5.7608178499054547E-3</v>
      </c>
      <c r="AC185" s="673">
        <f t="shared" si="150"/>
        <v>16.936849816193192</v>
      </c>
      <c r="AD185" s="847">
        <f t="shared" si="137"/>
        <v>0</v>
      </c>
      <c r="AE185" s="805">
        <f t="shared" si="151"/>
        <v>0.81665045794496127</v>
      </c>
      <c r="AF185" s="510">
        <f t="shared" si="152"/>
        <v>0.14149028856638529</v>
      </c>
      <c r="AG185" s="510">
        <f t="shared" si="153"/>
        <v>4.1519118344726318E-2</v>
      </c>
      <c r="AH185" s="510">
        <f t="shared" si="154"/>
        <v>3.4013514392727161E-4</v>
      </c>
      <c r="AI185" s="510">
        <f t="shared" si="155"/>
        <v>3.4013514392727161E-4</v>
      </c>
      <c r="AJ185" s="658">
        <f t="shared" si="156"/>
        <v>1.0003401351439272</v>
      </c>
    </row>
    <row r="186" spans="1:36">
      <c r="A186" s="127">
        <f>'Input data'!A126</f>
        <v>2028</v>
      </c>
      <c r="B186" s="828">
        <f>'Input data'!B126</f>
        <v>64.676000000000002</v>
      </c>
      <c r="C186" s="238">
        <f>'Input data'!C126</f>
        <v>3494.8800000000006</v>
      </c>
      <c r="D186" s="130">
        <f>'Input data'!E126</f>
        <v>48694518.38623029</v>
      </c>
      <c r="E186" s="673">
        <f>'Input data'!J126</f>
        <v>11.504772374209397</v>
      </c>
      <c r="F186" s="673">
        <f>'Input data'!L126/C106</f>
        <v>24.880899305531948</v>
      </c>
      <c r="G186" s="696">
        <f t="shared" si="157"/>
        <v>13.113321016804502</v>
      </c>
      <c r="H186" s="696">
        <f t="shared" si="131"/>
        <v>8.5008642516229393</v>
      </c>
      <c r="I186" s="1351">
        <f t="shared" si="132"/>
        <v>13.933101676232168</v>
      </c>
      <c r="J186" s="805">
        <f t="shared" si="138"/>
        <v>0.16683562054324133</v>
      </c>
      <c r="K186" s="696">
        <f t="shared" si="158"/>
        <v>2.3245376642462698</v>
      </c>
      <c r="L186" s="673">
        <f t="shared" si="133"/>
        <v>0.96248877021284696</v>
      </c>
      <c r="M186" s="802">
        <f t="shared" si="139"/>
        <v>3.2870264344591167</v>
      </c>
      <c r="N186" s="805">
        <f>N185</f>
        <v>0.5</v>
      </c>
      <c r="O186" s="1407">
        <f t="shared" si="134"/>
        <v>1.0361992776035385</v>
      </c>
      <c r="P186" s="861">
        <f t="shared" si="140"/>
        <v>2.5031860420611993</v>
      </c>
      <c r="Q186" s="696">
        <f t="shared" si="135"/>
        <v>19.110999226366243</v>
      </c>
      <c r="R186" s="673">
        <f t="shared" si="136"/>
        <v>5.9976782095617409</v>
      </c>
      <c r="S186" s="1353">
        <f t="shared" si="159"/>
        <v>0.79943085653917401</v>
      </c>
      <c r="T186" s="135" t="str">
        <f t="shared" si="141"/>
        <v>Policies met</v>
      </c>
      <c r="U186" s="1353">
        <f t="shared" si="142"/>
        <v>0.79943085653917401</v>
      </c>
      <c r="V186" s="135" t="str">
        <f t="shared" si="143"/>
        <v>No</v>
      </c>
      <c r="W186" s="1354">
        <f t="shared" si="144"/>
        <v>16.240604017039121</v>
      </c>
      <c r="X186" s="696">
        <f t="shared" si="145"/>
        <v>13.113321016804502</v>
      </c>
      <c r="Y186" s="118">
        <f t="shared" si="146"/>
        <v>2.5175832124785242</v>
      </c>
      <c r="Z186" s="673">
        <f t="shared" si="147"/>
        <v>0.60474555881560177</v>
      </c>
      <c r="AA186" s="673">
        <f t="shared" si="148"/>
        <v>0</v>
      </c>
      <c r="AB186" s="673">
        <f t="shared" si="149"/>
        <v>4.9542289404912185E-3</v>
      </c>
      <c r="AC186" s="673">
        <f t="shared" si="150"/>
        <v>16.240604017039118</v>
      </c>
      <c r="AD186" s="847">
        <f t="shared" si="137"/>
        <v>0</v>
      </c>
      <c r="AE186" s="805">
        <f t="shared" si="151"/>
        <v>0.80744047469210067</v>
      </c>
      <c r="AF186" s="510">
        <f t="shared" si="152"/>
        <v>0.15501783122334348</v>
      </c>
      <c r="AG186" s="510">
        <f t="shared" si="153"/>
        <v>3.7236642072001891E-2</v>
      </c>
      <c r="AH186" s="510">
        <f t="shared" si="154"/>
        <v>3.050520125540529E-4</v>
      </c>
      <c r="AI186" s="510">
        <f t="shared" si="155"/>
        <v>3.050520125540529E-4</v>
      </c>
      <c r="AJ186" s="658">
        <f t="shared" si="156"/>
        <v>1.000305052012554</v>
      </c>
    </row>
    <row r="187" spans="1:36">
      <c r="A187" s="127">
        <f>'Input data'!A127</f>
        <v>2029</v>
      </c>
      <c r="B187" s="828">
        <f>'Input data'!B127</f>
        <v>65.313000000000002</v>
      </c>
      <c r="C187" s="238">
        <f>'Input data'!C127</f>
        <v>3576.08</v>
      </c>
      <c r="D187" s="130">
        <f>'Input data'!E127</f>
        <v>48694518.38623029</v>
      </c>
      <c r="E187" s="673">
        <f>'Input data'!J127</f>
        <v>11.504772374209397</v>
      </c>
      <c r="F187" s="673">
        <f>'Input data'!L127/C107</f>
        <v>24.608943516174339</v>
      </c>
      <c r="G187" s="696">
        <f t="shared" si="157"/>
        <v>12.432444794343629</v>
      </c>
      <c r="H187" s="696">
        <f t="shared" si="131"/>
        <v>8.8848414329417782</v>
      </c>
      <c r="I187" s="1351">
        <f t="shared" si="132"/>
        <v>13.616730718057283</v>
      </c>
      <c r="J187" s="805">
        <f>$J$135*(1+((($J$148/$J$135)^(1/($A$148-$A$135)))-1))^(A187-$A$135)</f>
        <v>0.18266670224386344</v>
      </c>
      <c r="K187" s="696">
        <f t="shared" si="158"/>
        <v>2.4873232956102385</v>
      </c>
      <c r="L187" s="673">
        <f t="shared" si="133"/>
        <v>0.96248877021284696</v>
      </c>
      <c r="M187" s="802">
        <f t="shared" si="139"/>
        <v>3.4498120658230853</v>
      </c>
      <c r="N187" s="805">
        <f t="shared" ref="N187:N208" si="160">N186</f>
        <v>0.5</v>
      </c>
      <c r="O187" s="1407">
        <f t="shared" si="134"/>
        <v>1.0361992776035385</v>
      </c>
      <c r="P187" s="861">
        <f t="shared" si="140"/>
        <v>2.6854435904580178</v>
      </c>
      <c r="Q187" s="696">
        <f t="shared" si="135"/>
        <v>18.63184263682739</v>
      </c>
      <c r="R187" s="673">
        <f t="shared" si="136"/>
        <v>6.1993978424837604</v>
      </c>
      <c r="S187" s="1353">
        <f t="shared" si="159"/>
        <v>0.82631807744251118</v>
      </c>
      <c r="T187" s="135" t="str">
        <f t="shared" si="141"/>
        <v>Policies met</v>
      </c>
      <c r="U187" s="1353">
        <f t="shared" si="142"/>
        <v>0.82631807744251118</v>
      </c>
      <c r="V187" s="135" t="str">
        <f t="shared" si="143"/>
        <v>No</v>
      </c>
      <c r="W187" s="1354">
        <f t="shared" si="144"/>
        <v>15.614901702596256</v>
      </c>
      <c r="X187" s="696">
        <f t="shared" si="145"/>
        <v>12.432444794343629</v>
      </c>
      <c r="Y187" s="118">
        <f t="shared" si="146"/>
        <v>2.6544901956607987</v>
      </c>
      <c r="Z187" s="673">
        <f t="shared" si="147"/>
        <v>0.52367662094399459</v>
      </c>
      <c r="AA187" s="673">
        <f t="shared" si="148"/>
        <v>0</v>
      </c>
      <c r="AB187" s="673">
        <f t="shared" si="149"/>
        <v>4.2900916478337851E-3</v>
      </c>
      <c r="AC187" s="673">
        <f t="shared" si="150"/>
        <v>15.614901702596256</v>
      </c>
      <c r="AD187" s="847">
        <f t="shared" si="137"/>
        <v>0</v>
      </c>
      <c r="AE187" s="805">
        <f t="shared" si="151"/>
        <v>0.79619103796705382</v>
      </c>
      <c r="AF187" s="510">
        <f t="shared" si="152"/>
        <v>0.16999724021441917</v>
      </c>
      <c r="AG187" s="510">
        <f t="shared" si="153"/>
        <v>3.353697838885044E-2</v>
      </c>
      <c r="AH187" s="510">
        <f t="shared" si="154"/>
        <v>2.7474342967656856E-4</v>
      </c>
      <c r="AI187" s="510">
        <f t="shared" si="155"/>
        <v>2.7474342967656856E-4</v>
      </c>
      <c r="AJ187" s="658">
        <f t="shared" si="156"/>
        <v>1.0002747434296766</v>
      </c>
    </row>
    <row r="188" spans="1:36">
      <c r="A188" s="127">
        <f>'Input data'!A128</f>
        <v>2030</v>
      </c>
      <c r="B188" s="829">
        <f>'Input data'!B128</f>
        <v>65.956000000000003</v>
      </c>
      <c r="C188" s="662">
        <f>'Input data'!C128</f>
        <v>3660.12</v>
      </c>
      <c r="D188" s="130">
        <f>'Input data'!E128</f>
        <v>48694518.38623029</v>
      </c>
      <c r="E188" s="673">
        <f>'Input data'!J128</f>
        <v>11.504772374209397</v>
      </c>
      <c r="F188" s="673">
        <f>'Input data'!L128/C108</f>
        <v>24.338634262701987</v>
      </c>
      <c r="G188" s="863">
        <f>G175*(1-$C$4)</f>
        <v>11.786921357780287</v>
      </c>
      <c r="H188" s="696">
        <f t="shared" si="131"/>
        <v>9.2369543004978922</v>
      </c>
      <c r="I188" s="1351">
        <f t="shared" si="132"/>
        <v>13.304077021034908</v>
      </c>
      <c r="J188" s="804">
        <v>0.2</v>
      </c>
      <c r="K188" s="696">
        <f t="shared" si="158"/>
        <v>2.660815404206982</v>
      </c>
      <c r="L188" s="673">
        <f t="shared" si="133"/>
        <v>0.96248877021284696</v>
      </c>
      <c r="M188" s="802">
        <f t="shared" si="139"/>
        <v>3.6233041744198289</v>
      </c>
      <c r="N188" s="805">
        <f t="shared" si="160"/>
        <v>0.5</v>
      </c>
      <c r="O188" s="1407">
        <f t="shared" si="134"/>
        <v>1.0361992776035385</v>
      </c>
      <c r="P188" s="861">
        <f t="shared" si="140"/>
        <v>2.8781788270699069</v>
      </c>
      <c r="Q188" s="696">
        <f t="shared" si="135"/>
        <v>18.145696831208273</v>
      </c>
      <c r="R188" s="673">
        <f t="shared" si="136"/>
        <v>6.3587754734279862</v>
      </c>
      <c r="S188" s="1353">
        <f t="shared" si="159"/>
        <v>0.84756153058672967</v>
      </c>
      <c r="T188" s="135" t="str">
        <f t="shared" si="141"/>
        <v>Policies met</v>
      </c>
      <c r="U188" s="1353">
        <f t="shared" si="142"/>
        <v>0.84756153058672967</v>
      </c>
      <c r="V188" s="135" t="str">
        <f t="shared" si="143"/>
        <v>No</v>
      </c>
      <c r="W188" s="1354">
        <f t="shared" si="144"/>
        <v>15.057846912707465</v>
      </c>
      <c r="X188" s="696">
        <f t="shared" si="145"/>
        <v>11.786921357780287</v>
      </c>
      <c r="Y188" s="118">
        <f t="shared" si="146"/>
        <v>2.8075357191656893</v>
      </c>
      <c r="Z188" s="673">
        <f t="shared" si="147"/>
        <v>0.45962447552820368</v>
      </c>
      <c r="AA188" s="673">
        <f t="shared" si="148"/>
        <v>0</v>
      </c>
      <c r="AB188" s="673">
        <f t="shared" si="149"/>
        <v>3.765360233284905E-3</v>
      </c>
      <c r="AC188" s="673">
        <f t="shared" si="150"/>
        <v>15.057846912707463</v>
      </c>
      <c r="AD188" s="847">
        <f t="shared" si="137"/>
        <v>0</v>
      </c>
      <c r="AE188" s="805">
        <f t="shared" si="151"/>
        <v>0.78277601214242587</v>
      </c>
      <c r="AF188" s="510">
        <f t="shared" si="152"/>
        <v>0.18645001077786114</v>
      </c>
      <c r="AG188" s="510">
        <f t="shared" si="153"/>
        <v>3.0523917409488479E-2</v>
      </c>
      <c r="AH188" s="510">
        <f t="shared" si="154"/>
        <v>2.5005967022465086E-4</v>
      </c>
      <c r="AI188" s="510">
        <f t="shared" si="155"/>
        <v>2.5005967022465086E-4</v>
      </c>
      <c r="AJ188" s="658">
        <f t="shared" si="156"/>
        <v>1.0002500596702248</v>
      </c>
    </row>
    <row r="189" spans="1:36">
      <c r="A189" s="127">
        <f>'Input data'!A129</f>
        <v>2031</v>
      </c>
      <c r="B189" s="828">
        <f>'Input data'!B129</f>
        <v>66.519000000000005</v>
      </c>
      <c r="C189" s="238">
        <f>'Input data'!C129</f>
        <v>3761.03</v>
      </c>
      <c r="D189" s="130">
        <f>'Input data'!E129</f>
        <v>48694518.38623029</v>
      </c>
      <c r="E189" s="673">
        <f>'Input data'!J129</f>
        <v>11.504772374209397</v>
      </c>
      <c r="F189" s="673">
        <f>'Input data'!L129/C109</f>
        <v>23.495220383165176</v>
      </c>
      <c r="G189" s="696">
        <f>$G$148*(1+((($G$158/$G$148)^(1/($A$158-$A$148)))-1))^(A189-$A$148)</f>
        <v>11.373920541494833</v>
      </c>
      <c r="H189" s="696">
        <f t="shared" si="131"/>
        <v>9.3149709007332859</v>
      </c>
      <c r="I189" s="1351">
        <f t="shared" si="132"/>
        <v>12.947123098255075</v>
      </c>
      <c r="J189" s="805">
        <f t="shared" ref="J189:J208" si="161">J188</f>
        <v>0.2</v>
      </c>
      <c r="K189" s="696">
        <f t="shared" si="158"/>
        <v>2.5894246196510151</v>
      </c>
      <c r="L189" s="673">
        <f t="shared" si="133"/>
        <v>0.96248877021284696</v>
      </c>
      <c r="M189" s="802">
        <f t="shared" si="139"/>
        <v>3.551913389863862</v>
      </c>
      <c r="N189" s="805">
        <f t="shared" si="160"/>
        <v>0.5</v>
      </c>
      <c r="O189" s="1407">
        <f t="shared" si="134"/>
        <v>1.0361992776035385</v>
      </c>
      <c r="P189" s="861">
        <f t="shared" si="140"/>
        <v>2.8287577492437128</v>
      </c>
      <c r="Q189" s="696">
        <f t="shared" si="135"/>
        <v>17.860133692984405</v>
      </c>
      <c r="R189" s="673">
        <f t="shared" si="136"/>
        <v>6.4862131514895722</v>
      </c>
      <c r="S189" s="1353">
        <f t="shared" si="159"/>
        <v>0.86454770566456585</v>
      </c>
      <c r="T189" s="135" t="str">
        <f t="shared" si="141"/>
        <v>Policies not met</v>
      </c>
      <c r="U189" s="1353">
        <f t="shared" si="142"/>
        <v>0.85</v>
      </c>
      <c r="V189" s="135" t="str">
        <f t="shared" si="143"/>
        <v>Yes</v>
      </c>
      <c r="W189" s="1354">
        <f t="shared" si="144"/>
        <v>14.672838954386485</v>
      </c>
      <c r="X189" s="696">
        <f t="shared" si="145"/>
        <v>11.483063760761112</v>
      </c>
      <c r="Y189" s="118">
        <f t="shared" si="146"/>
        <v>2.7337979351829422</v>
      </c>
      <c r="Z189" s="673">
        <f t="shared" si="147"/>
        <v>0.45227213048380793</v>
      </c>
      <c r="AA189" s="673">
        <f t="shared" si="148"/>
        <v>0</v>
      </c>
      <c r="AB189" s="673">
        <f t="shared" si="149"/>
        <v>3.7051279586225467E-3</v>
      </c>
      <c r="AC189" s="673">
        <f t="shared" si="150"/>
        <v>14.672838954386485</v>
      </c>
      <c r="AD189" s="847">
        <f t="shared" si="137"/>
        <v>0</v>
      </c>
      <c r="AE189" s="805">
        <f t="shared" si="151"/>
        <v>0.78260681497688078</v>
      </c>
      <c r="AF189" s="510">
        <f t="shared" si="152"/>
        <v>0.18631690456642447</v>
      </c>
      <c r="AG189" s="510">
        <f t="shared" si="153"/>
        <v>3.0823764364196198E-2</v>
      </c>
      <c r="AH189" s="510">
        <f t="shared" si="154"/>
        <v>2.5251609249857466E-4</v>
      </c>
      <c r="AI189" s="510">
        <f t="shared" si="155"/>
        <v>2.5251609249857466E-4</v>
      </c>
      <c r="AJ189" s="658">
        <f t="shared" si="156"/>
        <v>1.0002525160924987</v>
      </c>
    </row>
    <row r="190" spans="1:36">
      <c r="A190" s="127">
        <f>'Input data'!A130</f>
        <v>2032</v>
      </c>
      <c r="B190" s="828">
        <f>'Input data'!B130</f>
        <v>67.087000000000003</v>
      </c>
      <c r="C190" s="238">
        <f>'Input data'!C130</f>
        <v>3857.2</v>
      </c>
      <c r="D190" s="130">
        <f>'Input data'!E130</f>
        <v>48694518.38623029</v>
      </c>
      <c r="E190" s="673">
        <f>'Input data'!J130</f>
        <v>11.504772374209397</v>
      </c>
      <c r="F190" s="673">
        <f>'Input data'!L130/C110</f>
        <v>22.708755459246355</v>
      </c>
      <c r="G190" s="696">
        <f t="shared" ref="G190:G197" si="162">$G$148*(1+((($G$158/$G$148)^(1/($A$158-$A$148)))-1))^(A190-$A$148)</f>
        <v>10.975390821526645</v>
      </c>
      <c r="H190" s="696">
        <f t="shared" si="131"/>
        <v>9.4105632021323089</v>
      </c>
      <c r="I190" s="1351">
        <f t="shared" si="132"/>
        <v>12.624317739870966</v>
      </c>
      <c r="J190" s="805">
        <f t="shared" si="161"/>
        <v>0.2</v>
      </c>
      <c r="K190" s="696">
        <f t="shared" si="158"/>
        <v>2.5248635479741934</v>
      </c>
      <c r="L190" s="673">
        <f t="shared" si="133"/>
        <v>0.96248877021284696</v>
      </c>
      <c r="M190" s="802">
        <f t="shared" si="139"/>
        <v>3.4873523181870403</v>
      </c>
      <c r="N190" s="805">
        <f t="shared" si="160"/>
        <v>0.5</v>
      </c>
      <c r="O190" s="1407">
        <f t="shared" si="134"/>
        <v>1.0361992776035385</v>
      </c>
      <c r="P190" s="861">
        <f t="shared" si="140"/>
        <v>2.7840646173818353</v>
      </c>
      <c r="Q190" s="696">
        <f t="shared" si="135"/>
        <v>17.601889406277117</v>
      </c>
      <c r="R190" s="673">
        <f t="shared" si="136"/>
        <v>6.6264985847504718</v>
      </c>
      <c r="S190" s="1353">
        <f t="shared" si="159"/>
        <v>0.88324635873550561</v>
      </c>
      <c r="T190" s="135" t="str">
        <f t="shared" si="141"/>
        <v>Policies not met</v>
      </c>
      <c r="U190" s="1353">
        <f t="shared" si="142"/>
        <v>0.85</v>
      </c>
      <c r="V190" s="135" t="str">
        <f t="shared" si="143"/>
        <v>Yes</v>
      </c>
      <c r="W190" s="1354">
        <f t="shared" si="144"/>
        <v>14.350033596002376</v>
      </c>
      <c r="X190" s="696">
        <f t="shared" si="145"/>
        <v>11.224819474053824</v>
      </c>
      <c r="Y190" s="118">
        <f t="shared" si="146"/>
        <v>2.6692368635061205</v>
      </c>
      <c r="Z190" s="673">
        <f t="shared" si="147"/>
        <v>0.45227213048380793</v>
      </c>
      <c r="AA190" s="673">
        <f t="shared" si="148"/>
        <v>0</v>
      </c>
      <c r="AB190" s="673">
        <f t="shared" si="149"/>
        <v>3.7051279586225467E-3</v>
      </c>
      <c r="AC190" s="673">
        <f t="shared" si="150"/>
        <v>14.350033596002376</v>
      </c>
      <c r="AD190" s="847">
        <f t="shared" si="137"/>
        <v>0</v>
      </c>
      <c r="AE190" s="805">
        <f t="shared" si="151"/>
        <v>0.78221555364029438</v>
      </c>
      <c r="AF190" s="510">
        <f t="shared" si="152"/>
        <v>0.18600910204487012</v>
      </c>
      <c r="AG190" s="510">
        <f t="shared" si="153"/>
        <v>3.1517147849033721E-2</v>
      </c>
      <c r="AH190" s="510">
        <f t="shared" si="154"/>
        <v>2.5819646580163541E-4</v>
      </c>
      <c r="AI190" s="510">
        <f t="shared" si="155"/>
        <v>2.5819646580163541E-4</v>
      </c>
      <c r="AJ190" s="658">
        <f t="shared" si="156"/>
        <v>1.0002581964658015</v>
      </c>
    </row>
    <row r="191" spans="1:36">
      <c r="A191" s="127">
        <f>'Input data'!A131</f>
        <v>2033</v>
      </c>
      <c r="B191" s="828">
        <f>'Input data'!B131</f>
        <v>67.659000000000006</v>
      </c>
      <c r="C191" s="238">
        <f>'Input data'!C131</f>
        <v>3964.01</v>
      </c>
      <c r="D191" s="130">
        <f>'Input data'!E131</f>
        <v>48694518.38623029</v>
      </c>
      <c r="E191" s="673">
        <f>'Input data'!J131</f>
        <v>11.504772374209397</v>
      </c>
      <c r="F191" s="673">
        <f>'Input data'!L131/C111</f>
        <v>21.932916613439893</v>
      </c>
      <c r="G191" s="696">
        <f t="shared" si="162"/>
        <v>10.590825146508346</v>
      </c>
      <c r="H191" s="696">
        <f t="shared" si="131"/>
        <v>9.4759035979060524</v>
      </c>
      <c r="I191" s="1351">
        <f t="shared" si="132"/>
        <v>12.284156292802058</v>
      </c>
      <c r="J191" s="805">
        <f t="shared" si="161"/>
        <v>0.2</v>
      </c>
      <c r="K191" s="696">
        <f t="shared" si="158"/>
        <v>2.4568312585604115</v>
      </c>
      <c r="L191" s="673">
        <f t="shared" si="133"/>
        <v>0.96248877021284696</v>
      </c>
      <c r="M191" s="802">
        <f t="shared" si="139"/>
        <v>3.4193200287732584</v>
      </c>
      <c r="N191" s="805">
        <f t="shared" si="160"/>
        <v>0.5</v>
      </c>
      <c r="O191" s="1407">
        <f t="shared" si="134"/>
        <v>1.0361992776035385</v>
      </c>
      <c r="P191" s="861">
        <f t="shared" si="140"/>
        <v>2.7369684957924036</v>
      </c>
      <c r="Q191" s="696">
        <f t="shared" si="135"/>
        <v>17.329760248621994</v>
      </c>
      <c r="R191" s="673">
        <f t="shared" si="136"/>
        <v>6.7389351021136488</v>
      </c>
      <c r="S191" s="1353">
        <f t="shared" si="159"/>
        <v>0.89823302828350249</v>
      </c>
      <c r="T191" s="135" t="str">
        <f t="shared" si="141"/>
        <v>Policies not met</v>
      </c>
      <c r="U191" s="1353">
        <f t="shared" si="142"/>
        <v>0.85</v>
      </c>
      <c r="V191" s="135" t="str">
        <f t="shared" si="143"/>
        <v>Yes</v>
      </c>
      <c r="W191" s="1354">
        <f t="shared" si="144"/>
        <v>14.009872148933468</v>
      </c>
      <c r="X191" s="696">
        <f t="shared" si="145"/>
        <v>10.952690316398698</v>
      </c>
      <c r="Y191" s="118">
        <f t="shared" si="146"/>
        <v>2.6012045740923386</v>
      </c>
      <c r="Z191" s="673">
        <f t="shared" si="147"/>
        <v>0.45227213048380793</v>
      </c>
      <c r="AA191" s="673">
        <f t="shared" si="148"/>
        <v>0</v>
      </c>
      <c r="AB191" s="673">
        <f t="shared" si="149"/>
        <v>3.7051279586225467E-3</v>
      </c>
      <c r="AC191" s="673">
        <f t="shared" si="150"/>
        <v>14.009872148933468</v>
      </c>
      <c r="AD191" s="847">
        <f t="shared" si="137"/>
        <v>0</v>
      </c>
      <c r="AE191" s="805">
        <f t="shared" si="151"/>
        <v>0.78178374505955039</v>
      </c>
      <c r="AF191" s="510">
        <f t="shared" si="152"/>
        <v>0.1856694012935986</v>
      </c>
      <c r="AG191" s="510">
        <f t="shared" si="153"/>
        <v>3.2282388138583987E-2</v>
      </c>
      <c r="AH191" s="510">
        <f t="shared" si="154"/>
        <v>2.6446550826694071E-4</v>
      </c>
      <c r="AI191" s="510">
        <f t="shared" si="155"/>
        <v>2.6446550826694071E-4</v>
      </c>
      <c r="AJ191" s="658">
        <f t="shared" si="156"/>
        <v>1.0002644655082669</v>
      </c>
    </row>
    <row r="192" spans="1:36">
      <c r="A192" s="127">
        <f>'Input data'!A132</f>
        <v>2034</v>
      </c>
      <c r="B192" s="828">
        <f>'Input data'!B132</f>
        <v>68.236999999999995</v>
      </c>
      <c r="C192" s="238">
        <f>'Input data'!C132</f>
        <v>4078.22</v>
      </c>
      <c r="D192" s="130">
        <f>'Input data'!E132</f>
        <v>48694518.38623029</v>
      </c>
      <c r="E192" s="673">
        <f>'Input data'!J132</f>
        <v>11.504772374209397</v>
      </c>
      <c r="F192" s="673">
        <f>'Input data'!L132/C112</f>
        <v>21.180202472610077</v>
      </c>
      <c r="G192" s="696">
        <f t="shared" si="162"/>
        <v>10.219734231597197</v>
      </c>
      <c r="H192" s="696">
        <f t="shared" si="131"/>
        <v>9.5241517910978963</v>
      </c>
      <c r="I192" s="1351">
        <f t="shared" si="132"/>
        <v>11.940140155810694</v>
      </c>
      <c r="J192" s="805">
        <f t="shared" si="161"/>
        <v>0.2</v>
      </c>
      <c r="K192" s="696">
        <f t="shared" si="158"/>
        <v>2.3880280311621389</v>
      </c>
      <c r="L192" s="673">
        <f t="shared" si="133"/>
        <v>0.96248877021284696</v>
      </c>
      <c r="M192" s="802">
        <f t="shared" si="139"/>
        <v>3.3505168013749858</v>
      </c>
      <c r="N192" s="805">
        <f t="shared" si="160"/>
        <v>0.5</v>
      </c>
      <c r="O192" s="1407">
        <f t="shared" si="134"/>
        <v>1.0361992776035385</v>
      </c>
      <c r="P192" s="861">
        <f t="shared" si="140"/>
        <v>2.6893386836661941</v>
      </c>
      <c r="Q192" s="696">
        <f t="shared" si="135"/>
        <v>17.0545473390289</v>
      </c>
      <c r="R192" s="673">
        <f t="shared" si="136"/>
        <v>6.8348131074317031</v>
      </c>
      <c r="S192" s="1353">
        <f t="shared" si="159"/>
        <v>0.91101261285549362</v>
      </c>
      <c r="T192" s="135" t="str">
        <f t="shared" si="141"/>
        <v>Policies not met</v>
      </c>
      <c r="U192" s="1353">
        <f t="shared" si="142"/>
        <v>0.85</v>
      </c>
      <c r="V192" s="135" t="str">
        <f t="shared" si="143"/>
        <v>Yes</v>
      </c>
      <c r="W192" s="1354">
        <f t="shared" si="144"/>
        <v>13.665856011942104</v>
      </c>
      <c r="X192" s="696">
        <f t="shared" si="145"/>
        <v>10.677477406805608</v>
      </c>
      <c r="Y192" s="118">
        <f t="shared" si="146"/>
        <v>2.532401346694066</v>
      </c>
      <c r="Z192" s="673">
        <f t="shared" si="147"/>
        <v>0.45227213048380793</v>
      </c>
      <c r="AA192" s="673">
        <f t="shared" si="148"/>
        <v>0</v>
      </c>
      <c r="AB192" s="673">
        <f t="shared" si="149"/>
        <v>3.7051279586225467E-3</v>
      </c>
      <c r="AC192" s="673">
        <f t="shared" si="150"/>
        <v>13.665856011942104</v>
      </c>
      <c r="AD192" s="847">
        <f t="shared" si="137"/>
        <v>0</v>
      </c>
      <c r="AE192" s="805">
        <f t="shared" si="151"/>
        <v>0.78132517988444639</v>
      </c>
      <c r="AF192" s="510">
        <f t="shared" si="152"/>
        <v>0.1853086513191044</v>
      </c>
      <c r="AG192" s="510">
        <f t="shared" si="153"/>
        <v>3.3095045790661297E-2</v>
      </c>
      <c r="AH192" s="510">
        <f t="shared" si="154"/>
        <v>2.7112300578791167E-4</v>
      </c>
      <c r="AI192" s="510">
        <f t="shared" si="155"/>
        <v>2.7112300578791167E-4</v>
      </c>
      <c r="AJ192" s="658">
        <f t="shared" si="156"/>
        <v>1.0002711230057879</v>
      </c>
    </row>
    <row r="193" spans="1:36">
      <c r="A193" s="127">
        <f>'Input data'!A133</f>
        <v>2035</v>
      </c>
      <c r="B193" s="828">
        <f>'Input data'!B133</f>
        <v>68.819000000000003</v>
      </c>
      <c r="C193" s="238">
        <f>'Input data'!C133</f>
        <v>4200.2899999999991</v>
      </c>
      <c r="D193" s="130">
        <f>'Input data'!E133</f>
        <v>48694518.38623029</v>
      </c>
      <c r="E193" s="673">
        <f>'Input data'!J133</f>
        <v>11.504772374209397</v>
      </c>
      <c r="F193" s="673">
        <f>'Input data'!L133/C113</f>
        <v>20.451725328897567</v>
      </c>
      <c r="G193" s="696">
        <f t="shared" si="162"/>
        <v>9.8616459359555186</v>
      </c>
      <c r="H193" s="696">
        <f t="shared" si="131"/>
        <v>9.5565899401178172</v>
      </c>
      <c r="I193" s="1351">
        <f t="shared" si="132"/>
        <v>11.593132470908031</v>
      </c>
      <c r="J193" s="805">
        <f t="shared" si="161"/>
        <v>0.2</v>
      </c>
      <c r="K193" s="696">
        <f t="shared" si="158"/>
        <v>2.3186264941816064</v>
      </c>
      <c r="L193" s="673">
        <f t="shared" si="133"/>
        <v>0.96248877021284696</v>
      </c>
      <c r="M193" s="802">
        <f t="shared" si="139"/>
        <v>3.2811152643944532</v>
      </c>
      <c r="N193" s="805">
        <f t="shared" si="160"/>
        <v>0.5</v>
      </c>
      <c r="O193" s="1407">
        <f t="shared" si="134"/>
        <v>1.0361992776035385</v>
      </c>
      <c r="P193" s="861">
        <f t="shared" si="140"/>
        <v>2.6412946849665646</v>
      </c>
      <c r="Q193" s="696">
        <f t="shared" si="135"/>
        <v>16.776941191106772</v>
      </c>
      <c r="R193" s="673">
        <f t="shared" si="136"/>
        <v>6.9152952551512534</v>
      </c>
      <c r="S193" s="1353">
        <f t="shared" si="159"/>
        <v>0.92174008272624752</v>
      </c>
      <c r="T193" s="135" t="str">
        <f t="shared" si="141"/>
        <v>Policies not met</v>
      </c>
      <c r="U193" s="1353">
        <f t="shared" si="142"/>
        <v>0.85</v>
      </c>
      <c r="V193" s="135" t="str">
        <f t="shared" si="143"/>
        <v>Yes</v>
      </c>
      <c r="W193" s="1354">
        <f t="shared" si="144"/>
        <v>13.318848327039442</v>
      </c>
      <c r="X193" s="696">
        <f t="shared" si="145"/>
        <v>10.399871258883477</v>
      </c>
      <c r="Y193" s="118">
        <f t="shared" si="146"/>
        <v>2.4629998097135335</v>
      </c>
      <c r="Z193" s="673">
        <f t="shared" si="147"/>
        <v>0.45227213048380793</v>
      </c>
      <c r="AA193" s="673">
        <f t="shared" si="148"/>
        <v>0</v>
      </c>
      <c r="AB193" s="673">
        <f t="shared" si="149"/>
        <v>3.7051279586225467E-3</v>
      </c>
      <c r="AC193" s="673">
        <f t="shared" si="150"/>
        <v>13.318848327039442</v>
      </c>
      <c r="AD193" s="847">
        <f t="shared" si="137"/>
        <v>0</v>
      </c>
      <c r="AE193" s="805">
        <f t="shared" si="151"/>
        <v>0.78083862834972273</v>
      </c>
      <c r="AF193" s="510">
        <f t="shared" si="152"/>
        <v>0.18492588467377025</v>
      </c>
      <c r="AG193" s="510">
        <f t="shared" si="153"/>
        <v>3.3957300164280835E-2</v>
      </c>
      <c r="AH193" s="510">
        <f t="shared" si="154"/>
        <v>2.7818681222613898E-4</v>
      </c>
      <c r="AI193" s="510">
        <f t="shared" si="155"/>
        <v>2.7818681222613898E-4</v>
      </c>
      <c r="AJ193" s="658">
        <f t="shared" si="156"/>
        <v>1.0002781868122261</v>
      </c>
    </row>
    <row r="194" spans="1:36">
      <c r="A194" s="127">
        <f>'Input data'!A134</f>
        <v>2036</v>
      </c>
      <c r="B194" s="828">
        <f>'Input data'!B134</f>
        <v>69.322999999999993</v>
      </c>
      <c r="C194" s="238">
        <f>'Input data'!C134</f>
        <v>4325.9699999999993</v>
      </c>
      <c r="D194" s="130">
        <f>'Input data'!E134</f>
        <v>48694518.38623029</v>
      </c>
      <c r="E194" s="673">
        <f>'Input data'!J134</f>
        <v>11.504772374209397</v>
      </c>
      <c r="F194" s="673">
        <f>'Input data'!L134/C114</f>
        <v>19.415712553522276</v>
      </c>
      <c r="G194" s="696">
        <f t="shared" si="162"/>
        <v>9.5161046620435386</v>
      </c>
      <c r="H194" s="696">
        <f t="shared" si="131"/>
        <v>9.586052207020419</v>
      </c>
      <c r="I194" s="1351">
        <f t="shared" si="132"/>
        <v>11.25632364214969</v>
      </c>
      <c r="J194" s="805">
        <f t="shared" si="161"/>
        <v>0.2</v>
      </c>
      <c r="K194" s="696">
        <f t="shared" si="158"/>
        <v>2.2512647284299381</v>
      </c>
      <c r="L194" s="673">
        <f t="shared" si="133"/>
        <v>0.96248877021284696</v>
      </c>
      <c r="M194" s="802">
        <f t="shared" si="139"/>
        <v>3.2137534986427849</v>
      </c>
      <c r="N194" s="805">
        <f t="shared" si="160"/>
        <v>0.5</v>
      </c>
      <c r="O194" s="1407">
        <f t="shared" si="134"/>
        <v>1.0361992776035385</v>
      </c>
      <c r="P194" s="861">
        <f t="shared" si="140"/>
        <v>2.5946627409638587</v>
      </c>
      <c r="Q194" s="696">
        <f t="shared" si="135"/>
        <v>16.507494128100099</v>
      </c>
      <c r="R194" s="673">
        <f t="shared" si="136"/>
        <v>6.9913894660565603</v>
      </c>
      <c r="S194" s="1353">
        <f t="shared" si="159"/>
        <v>0.93188268425907417</v>
      </c>
      <c r="T194" s="135" t="str">
        <f t="shared" si="141"/>
        <v>Policies not met</v>
      </c>
      <c r="U194" s="1353">
        <f t="shared" si="142"/>
        <v>0.85</v>
      </c>
      <c r="V194" s="135" t="str">
        <f t="shared" si="143"/>
        <v>Yes</v>
      </c>
      <c r="W194" s="1354">
        <f t="shared" si="144"/>
        <v>12.9820394982811</v>
      </c>
      <c r="X194" s="696">
        <f t="shared" si="145"/>
        <v>10.130424195876804</v>
      </c>
      <c r="Y194" s="118">
        <f t="shared" si="146"/>
        <v>2.3956380439618652</v>
      </c>
      <c r="Z194" s="673">
        <f t="shared" si="147"/>
        <v>0.45227213048380793</v>
      </c>
      <c r="AA194" s="673">
        <f t="shared" si="148"/>
        <v>0</v>
      </c>
      <c r="AB194" s="673">
        <f t="shared" si="149"/>
        <v>3.7051279586225467E-3</v>
      </c>
      <c r="AC194" s="673">
        <f t="shared" si="150"/>
        <v>12.9820394982811</v>
      </c>
      <c r="AD194" s="847">
        <f>AC194-W194</f>
        <v>0</v>
      </c>
      <c r="AE194" s="805">
        <f t="shared" si="151"/>
        <v>0.78034150159673543</v>
      </c>
      <c r="AF194" s="510">
        <f t="shared" si="152"/>
        <v>0.18453479857914945</v>
      </c>
      <c r="AG194" s="510">
        <f t="shared" si="153"/>
        <v>3.4838295673317851E-2</v>
      </c>
      <c r="AH194" s="510">
        <f t="shared" si="154"/>
        <v>2.8540415079719391E-4</v>
      </c>
      <c r="AI194" s="510">
        <f t="shared" si="155"/>
        <v>2.8540415079719391E-4</v>
      </c>
      <c r="AJ194" s="658">
        <f t="shared" si="156"/>
        <v>1.0002854041507971</v>
      </c>
    </row>
    <row r="195" spans="1:36">
      <c r="A195" s="127">
        <f>'Input data'!A135</f>
        <v>2037</v>
      </c>
      <c r="B195" s="829">
        <f>'Input data'!B135</f>
        <v>69.83</v>
      </c>
      <c r="C195" s="662">
        <f>'Input data'!C135</f>
        <v>4457.0000000000018</v>
      </c>
      <c r="D195" s="130">
        <f>'Input data'!E135</f>
        <v>48694518.38623029</v>
      </c>
      <c r="E195" s="673">
        <f>'Input data'!J135</f>
        <v>11.504772374209397</v>
      </c>
      <c r="F195" s="673">
        <f>'Input data'!L135/C115</f>
        <v>18.429875077587699</v>
      </c>
      <c r="G195" s="696">
        <f t="shared" si="162"/>
        <v>9.1826707759603341</v>
      </c>
      <c r="H195" s="696">
        <f t="shared" si="131"/>
        <v>9.6089322817801257</v>
      </c>
      <c r="I195" s="1351">
        <f t="shared" si="132"/>
        <v>10.925402375191894</v>
      </c>
      <c r="J195" s="805">
        <f t="shared" si="161"/>
        <v>0.2</v>
      </c>
      <c r="K195" s="696">
        <f t="shared" si="158"/>
        <v>2.185080475038379</v>
      </c>
      <c r="L195" s="673">
        <f t="shared" si="133"/>
        <v>0.96248877021284696</v>
      </c>
      <c r="M195" s="802">
        <f t="shared" si="139"/>
        <v>3.1475692452512258</v>
      </c>
      <c r="N195" s="805">
        <f t="shared" si="160"/>
        <v>0.5</v>
      </c>
      <c r="O195" s="1407">
        <f t="shared" si="134"/>
        <v>1.0361992776035385</v>
      </c>
      <c r="P195" s="861">
        <f t="shared" si="140"/>
        <v>2.5488459432065991</v>
      </c>
      <c r="Q195" s="696">
        <f t="shared" si="135"/>
        <v>16.242757114533859</v>
      </c>
      <c r="R195" s="673">
        <f t="shared" si="136"/>
        <v>7.0600863385735249</v>
      </c>
      <c r="S195" s="1353">
        <f t="shared" si="159"/>
        <v>0.941039294153591</v>
      </c>
      <c r="T195" s="135" t="str">
        <f t="shared" si="141"/>
        <v>Policies not met</v>
      </c>
      <c r="U195" s="1353">
        <f t="shared" si="142"/>
        <v>0.85</v>
      </c>
      <c r="V195" s="135" t="str">
        <f t="shared" si="143"/>
        <v>Yes</v>
      </c>
      <c r="W195" s="1354">
        <f t="shared" si="144"/>
        <v>12.651118231323304</v>
      </c>
      <c r="X195" s="696">
        <f t="shared" si="145"/>
        <v>9.8656871823105661</v>
      </c>
      <c r="Y195" s="118">
        <f t="shared" si="146"/>
        <v>2.3294537905703061</v>
      </c>
      <c r="Z195" s="673">
        <f t="shared" si="147"/>
        <v>0.45227213048380793</v>
      </c>
      <c r="AA195" s="673">
        <f t="shared" si="148"/>
        <v>0</v>
      </c>
      <c r="AB195" s="673">
        <f t="shared" si="149"/>
        <v>3.7051279586225467E-3</v>
      </c>
      <c r="AC195" s="673">
        <f t="shared" si="150"/>
        <v>12.651118231323302</v>
      </c>
      <c r="AD195" s="847">
        <f t="shared" ref="AD195:AD208" si="163">AC195-W195</f>
        <v>0</v>
      </c>
      <c r="AE195" s="805">
        <f t="shared" si="151"/>
        <v>0.77982728498132292</v>
      </c>
      <c r="AF195" s="510">
        <f t="shared" si="152"/>
        <v>0.18413026801083388</v>
      </c>
      <c r="AG195" s="510">
        <f t="shared" si="153"/>
        <v>3.5749577406051988E-2</v>
      </c>
      <c r="AH195" s="510">
        <f t="shared" si="154"/>
        <v>2.9286960179131862E-4</v>
      </c>
      <c r="AI195" s="510">
        <f t="shared" si="155"/>
        <v>2.9286960179131862E-4</v>
      </c>
      <c r="AJ195" s="658">
        <f t="shared" si="156"/>
        <v>1.0002928696017916</v>
      </c>
    </row>
    <row r="196" spans="1:36">
      <c r="A196" s="127">
        <f>'Input data'!A136</f>
        <v>2038</v>
      </c>
      <c r="B196" s="828">
        <f>'Input data'!B136</f>
        <v>70.341999999999999</v>
      </c>
      <c r="C196" s="238">
        <f>'Input data'!C136</f>
        <v>4590.03</v>
      </c>
      <c r="D196" s="130">
        <f>'Input data'!E136</f>
        <v>48694518.38623029</v>
      </c>
      <c r="E196" s="673">
        <f>'Input data'!J136</f>
        <v>11.504772374209397</v>
      </c>
      <c r="F196" s="673">
        <f>'Input data'!L136/C116</f>
        <v>17.497734426834782</v>
      </c>
      <c r="G196" s="696">
        <f t="shared" si="162"/>
        <v>8.86092004809543</v>
      </c>
      <c r="H196" s="696">
        <f t="shared" si="131"/>
        <v>9.6335275644077285</v>
      </c>
      <c r="I196" s="1351">
        <f t="shared" si="132"/>
        <v>10.608758196837556</v>
      </c>
      <c r="J196" s="805">
        <f t="shared" si="161"/>
        <v>0.2</v>
      </c>
      <c r="K196" s="696">
        <f t="shared" si="158"/>
        <v>2.1217516393675111</v>
      </c>
      <c r="L196" s="673">
        <f t="shared" si="133"/>
        <v>0.96248877021284696</v>
      </c>
      <c r="M196" s="802">
        <f t="shared" si="139"/>
        <v>3.0842404095803579</v>
      </c>
      <c r="N196" s="805">
        <f t="shared" si="160"/>
        <v>0.5</v>
      </c>
      <c r="O196" s="1407">
        <f t="shared" si="134"/>
        <v>1.0361992776035385</v>
      </c>
      <c r="P196" s="861">
        <f t="shared" si="140"/>
        <v>2.5050058406527658</v>
      </c>
      <c r="Q196" s="696">
        <f t="shared" si="135"/>
        <v>15.989441771850393</v>
      </c>
      <c r="R196" s="673">
        <f t="shared" si="136"/>
        <v>7.1285217237549627</v>
      </c>
      <c r="S196" s="1353">
        <f t="shared" si="159"/>
        <v>0.95016105038685517</v>
      </c>
      <c r="T196" s="135" t="str">
        <f t="shared" si="141"/>
        <v>Policies not met</v>
      </c>
      <c r="U196" s="1353">
        <f t="shared" si="142"/>
        <v>0.85</v>
      </c>
      <c r="V196" s="135" t="str">
        <f t="shared" si="143"/>
        <v>Yes</v>
      </c>
      <c r="W196" s="1354">
        <f t="shared" si="144"/>
        <v>12.334474052968966</v>
      </c>
      <c r="X196" s="696">
        <f t="shared" si="145"/>
        <v>9.6123718396270981</v>
      </c>
      <c r="Y196" s="118">
        <f t="shared" si="146"/>
        <v>2.2661249548994382</v>
      </c>
      <c r="Z196" s="673">
        <f t="shared" si="147"/>
        <v>0.45227213048380793</v>
      </c>
      <c r="AA196" s="673">
        <f t="shared" si="148"/>
        <v>0</v>
      </c>
      <c r="AB196" s="673">
        <f t="shared" si="149"/>
        <v>3.7051279586225467E-3</v>
      </c>
      <c r="AC196" s="673">
        <f t="shared" si="150"/>
        <v>12.334474052968968</v>
      </c>
      <c r="AD196" s="847">
        <f t="shared" si="163"/>
        <v>0</v>
      </c>
      <c r="AE196" s="805">
        <f t="shared" si="151"/>
        <v>0.77930942157305472</v>
      </c>
      <c r="AF196" s="510">
        <f t="shared" si="152"/>
        <v>0.1837228685364149</v>
      </c>
      <c r="AG196" s="510">
        <f t="shared" si="153"/>
        <v>3.6667321893222013E-2</v>
      </c>
      <c r="AH196" s="510">
        <f t="shared" si="154"/>
        <v>3.0038799730830066E-4</v>
      </c>
      <c r="AI196" s="510">
        <f t="shared" si="155"/>
        <v>3.0038799730830066E-4</v>
      </c>
      <c r="AJ196" s="658">
        <f t="shared" si="156"/>
        <v>1.0003003879973082</v>
      </c>
    </row>
    <row r="197" spans="1:36">
      <c r="A197" s="127">
        <f>'Input data'!A137</f>
        <v>2039</v>
      </c>
      <c r="B197" s="828">
        <f>'Input data'!B137</f>
        <v>70.856999999999999</v>
      </c>
      <c r="C197" s="238">
        <f>'Input data'!C137</f>
        <v>4728.5300000000007</v>
      </c>
      <c r="D197" s="130">
        <f>'Input data'!E137</f>
        <v>48694518.38623029</v>
      </c>
      <c r="E197" s="673">
        <f>'Input data'!J137</f>
        <v>11.504772374209397</v>
      </c>
      <c r="F197" s="673">
        <f>'Input data'!L137/C117</f>
        <v>16.612546689172611</v>
      </c>
      <c r="G197" s="696">
        <f t="shared" si="162"/>
        <v>8.5504431133793126</v>
      </c>
      <c r="H197" s="696">
        <f t="shared" si="131"/>
        <v>9.6523958771648175</v>
      </c>
      <c r="I197" s="1351">
        <f t="shared" si="132"/>
        <v>10.298024626306756</v>
      </c>
      <c r="J197" s="805">
        <f t="shared" si="161"/>
        <v>0.2</v>
      </c>
      <c r="K197" s="696">
        <f t="shared" si="158"/>
        <v>2.0596049252613513</v>
      </c>
      <c r="L197" s="673">
        <f t="shared" si="133"/>
        <v>0.96248877021284696</v>
      </c>
      <c r="M197" s="802">
        <f t="shared" si="139"/>
        <v>3.0220936954741981</v>
      </c>
      <c r="N197" s="805">
        <f t="shared" si="160"/>
        <v>0.5</v>
      </c>
      <c r="O197" s="1407">
        <f t="shared" si="134"/>
        <v>1.0361992776035385</v>
      </c>
      <c r="P197" s="861">
        <f t="shared" si="140"/>
        <v>2.4619840751183784</v>
      </c>
      <c r="Q197" s="696">
        <f t="shared" si="135"/>
        <v>15.740854915425752</v>
      </c>
      <c r="R197" s="673">
        <f t="shared" si="136"/>
        <v>7.1904118020464391</v>
      </c>
      <c r="S197" s="1353">
        <f t="shared" si="159"/>
        <v>0.95841038230682296</v>
      </c>
      <c r="T197" s="135" t="str">
        <f t="shared" si="141"/>
        <v>Policies not met</v>
      </c>
      <c r="U197" s="1353">
        <f t="shared" si="142"/>
        <v>0.85</v>
      </c>
      <c r="V197" s="135" t="str">
        <f t="shared" si="143"/>
        <v>Yes</v>
      </c>
      <c r="W197" s="1354">
        <f t="shared" si="144"/>
        <v>12.023740482438166</v>
      </c>
      <c r="X197" s="696">
        <f t="shared" si="145"/>
        <v>9.3637849832024571</v>
      </c>
      <c r="Y197" s="118">
        <f t="shared" si="146"/>
        <v>2.2039782407932784</v>
      </c>
      <c r="Z197" s="673">
        <f t="shared" si="147"/>
        <v>0.45227213048380793</v>
      </c>
      <c r="AA197" s="673">
        <f t="shared" si="148"/>
        <v>0</v>
      </c>
      <c r="AB197" s="673">
        <f t="shared" si="149"/>
        <v>3.7051279586225467E-3</v>
      </c>
      <c r="AC197" s="673">
        <f t="shared" si="150"/>
        <v>12.023740482438166</v>
      </c>
      <c r="AD197" s="847">
        <f t="shared" si="163"/>
        <v>0</v>
      </c>
      <c r="AE197" s="805">
        <f t="shared" si="151"/>
        <v>0.77877470799367043</v>
      </c>
      <c r="AF197" s="510">
        <f t="shared" si="152"/>
        <v>0.18330221315175602</v>
      </c>
      <c r="AG197" s="510">
        <f t="shared" si="153"/>
        <v>3.7614927829188849E-2</v>
      </c>
      <c r="AH197" s="510">
        <f t="shared" si="154"/>
        <v>3.0815102538467494E-4</v>
      </c>
      <c r="AI197" s="510">
        <f t="shared" si="155"/>
        <v>3.0815102538467494E-4</v>
      </c>
      <c r="AJ197" s="658">
        <f t="shared" si="156"/>
        <v>1.0003081510253846</v>
      </c>
    </row>
    <row r="198" spans="1:36">
      <c r="A198" s="127">
        <f>'Input data'!A138</f>
        <v>2040</v>
      </c>
      <c r="B198" s="828">
        <f>'Input data'!B138</f>
        <v>71.375</v>
      </c>
      <c r="C198" s="238">
        <f>'Input data'!C138</f>
        <v>4875.51</v>
      </c>
      <c r="D198" s="130">
        <f>'Input data'!E138</f>
        <v>48694518.38623029</v>
      </c>
      <c r="E198" s="673">
        <f>'Input data'!J138</f>
        <v>11.504772374209397</v>
      </c>
      <c r="F198" s="673">
        <f>'Input data'!L138/C118</f>
        <v>15.769958363570094</v>
      </c>
      <c r="G198" s="863">
        <f>G175*(1-$C$5)</f>
        <v>8.2508449504462007</v>
      </c>
      <c r="H198" s="696">
        <f t="shared" si="131"/>
        <v>9.6606512314074777</v>
      </c>
      <c r="I198" s="1351">
        <f t="shared" si="132"/>
        <v>9.9875743022228001</v>
      </c>
      <c r="J198" s="804">
        <f t="shared" si="161"/>
        <v>0.2</v>
      </c>
      <c r="K198" s="696">
        <f t="shared" si="158"/>
        <v>1.9975148604445601</v>
      </c>
      <c r="L198" s="673">
        <f t="shared" si="133"/>
        <v>0.96248877021284696</v>
      </c>
      <c r="M198" s="802">
        <f t="shared" si="139"/>
        <v>2.9600036306574071</v>
      </c>
      <c r="N198" s="805">
        <f t="shared" si="160"/>
        <v>0.5</v>
      </c>
      <c r="O198" s="1407">
        <f t="shared" si="134"/>
        <v>1.0361992776035385</v>
      </c>
      <c r="P198" s="861">
        <f t="shared" si="140"/>
        <v>2.4190015256950907</v>
      </c>
      <c r="Q198" s="696">
        <f t="shared" si="135"/>
        <v>15.492494656158588</v>
      </c>
      <c r="R198" s="673">
        <f t="shared" si="136"/>
        <v>7.241649705712387</v>
      </c>
      <c r="S198" s="1353">
        <f t="shared" si="159"/>
        <v>0.96523988528843307</v>
      </c>
      <c r="T198" s="135" t="str">
        <f t="shared" si="141"/>
        <v>Policies not met</v>
      </c>
      <c r="U198" s="1353">
        <f t="shared" si="142"/>
        <v>0.85</v>
      </c>
      <c r="V198" s="135" t="str">
        <f t="shared" si="143"/>
        <v>Yes</v>
      </c>
      <c r="W198" s="1354">
        <f t="shared" si="144"/>
        <v>11.71329015835421</v>
      </c>
      <c r="X198" s="696">
        <f t="shared" si="145"/>
        <v>9.1154247239352912</v>
      </c>
      <c r="Y198" s="118">
        <f t="shared" si="146"/>
        <v>2.141888175976487</v>
      </c>
      <c r="Z198" s="673">
        <f t="shared" si="147"/>
        <v>0.45227213048380793</v>
      </c>
      <c r="AA198" s="673">
        <f t="shared" si="148"/>
        <v>0</v>
      </c>
      <c r="AB198" s="673">
        <f t="shared" si="149"/>
        <v>3.7051279586225467E-3</v>
      </c>
      <c r="AC198" s="673">
        <f t="shared" si="150"/>
        <v>11.713290158354209</v>
      </c>
      <c r="AD198" s="847">
        <f t="shared" si="163"/>
        <v>0</v>
      </c>
      <c r="AE198" s="805">
        <f t="shared" si="151"/>
        <v>0.77821215053175685</v>
      </c>
      <c r="AF198" s="510">
        <f t="shared" si="152"/>
        <v>0.18285965318197461</v>
      </c>
      <c r="AG198" s="510">
        <f t="shared" si="153"/>
        <v>3.8611877992387668E-2</v>
      </c>
      <c r="AH198" s="510">
        <f t="shared" si="154"/>
        <v>3.1631829388090057E-4</v>
      </c>
      <c r="AI198" s="510">
        <f t="shared" si="155"/>
        <v>3.1631829388090057E-4</v>
      </c>
      <c r="AJ198" s="658">
        <f t="shared" si="156"/>
        <v>1.0003163182938808</v>
      </c>
    </row>
    <row r="199" spans="1:36">
      <c r="A199" s="127">
        <f>'Input data'!A139</f>
        <v>2041</v>
      </c>
      <c r="B199" s="828">
        <f>'Input data'!B139</f>
        <v>71.819000000000003</v>
      </c>
      <c r="C199" s="238">
        <f>'Input data'!C139</f>
        <v>5028.54</v>
      </c>
      <c r="D199" s="130">
        <f>'Input data'!E139</f>
        <v>48694518.38623029</v>
      </c>
      <c r="E199" s="673">
        <f>'Input data'!J139</f>
        <v>11.504772374209397</v>
      </c>
      <c r="F199" s="673">
        <f>'Input data'!L139/C119</f>
        <v>15.387261067456164</v>
      </c>
      <c r="G199" s="696">
        <f>$G$158*(1+((($G$168/$G$158)^(1/($A$168-$A$158)))-1))^(A199-$A$158)</f>
        <v>7.8017965534882725</v>
      </c>
      <c r="H199" s="696">
        <f t="shared" si="131"/>
        <v>9.8244619600957321</v>
      </c>
      <c r="I199" s="1351">
        <f t="shared" si="132"/>
        <v>9.683629519946205</v>
      </c>
      <c r="J199" s="805">
        <f t="shared" si="161"/>
        <v>0.2</v>
      </c>
      <c r="K199" s="696">
        <f t="shared" si="158"/>
        <v>1.936725903989241</v>
      </c>
      <c r="L199" s="673">
        <f t="shared" si="133"/>
        <v>0.96248877021284696</v>
      </c>
      <c r="M199" s="802">
        <f t="shared" si="139"/>
        <v>2.8992146742020881</v>
      </c>
      <c r="N199" s="805">
        <f t="shared" si="160"/>
        <v>0.5</v>
      </c>
      <c r="O199" s="1407">
        <f t="shared" si="134"/>
        <v>1.0361992776035385</v>
      </c>
      <c r="P199" s="861">
        <f t="shared" si="140"/>
        <v>2.3769196832466966</v>
      </c>
      <c r="Q199" s="696">
        <f t="shared" si="135"/>
        <v>15.249338830337308</v>
      </c>
      <c r="R199" s="673">
        <f t="shared" si="136"/>
        <v>7.4475422768490356</v>
      </c>
      <c r="S199" s="1353">
        <f t="shared" si="159"/>
        <v>0.99268331735459814</v>
      </c>
      <c r="T199" s="135" t="str">
        <f t="shared" si="141"/>
        <v>Policies not met</v>
      </c>
      <c r="U199" s="1353">
        <f t="shared" si="142"/>
        <v>0.85</v>
      </c>
      <c r="V199" s="135" t="str">
        <f t="shared" si="143"/>
        <v>Yes</v>
      </c>
      <c r="W199" s="1354">
        <f t="shared" si="144"/>
        <v>11.409345376077615</v>
      </c>
      <c r="X199" s="696">
        <f t="shared" si="145"/>
        <v>8.8722688981140152</v>
      </c>
      <c r="Y199" s="118">
        <f t="shared" si="146"/>
        <v>2.0810992195211679</v>
      </c>
      <c r="Z199" s="673">
        <f t="shared" si="147"/>
        <v>0.45227213048380793</v>
      </c>
      <c r="AA199" s="673">
        <f t="shared" si="148"/>
        <v>0</v>
      </c>
      <c r="AB199" s="673">
        <f t="shared" si="149"/>
        <v>3.7051279586225467E-3</v>
      </c>
      <c r="AC199" s="673">
        <f t="shared" si="150"/>
        <v>11.409345376077614</v>
      </c>
      <c r="AD199" s="847">
        <f t="shared" si="163"/>
        <v>0</v>
      </c>
      <c r="AE199" s="805">
        <f t="shared" si="151"/>
        <v>0.77763172256287572</v>
      </c>
      <c r="AF199" s="510">
        <f t="shared" si="152"/>
        <v>0.18240303461096757</v>
      </c>
      <c r="AG199" s="510">
        <f t="shared" si="153"/>
        <v>3.9640497817876846E-2</v>
      </c>
      <c r="AH199" s="510">
        <f t="shared" si="154"/>
        <v>3.2474500827989856E-4</v>
      </c>
      <c r="AI199" s="510">
        <f t="shared" si="155"/>
        <v>3.2474500827989856E-4</v>
      </c>
      <c r="AJ199" s="658">
        <f t="shared" si="156"/>
        <v>1.0003247450082799</v>
      </c>
    </row>
    <row r="200" spans="1:36">
      <c r="A200" s="127">
        <f>'Input data'!A140</f>
        <v>2042</v>
      </c>
      <c r="B200" s="828">
        <f>'Input data'!B140</f>
        <v>72.265000000000001</v>
      </c>
      <c r="C200" s="238">
        <f>'Input data'!C140</f>
        <v>5188.1000000000004</v>
      </c>
      <c r="D200" s="130">
        <f>'Input data'!E140</f>
        <v>48694518.38623029</v>
      </c>
      <c r="E200" s="673">
        <f>'Input data'!J140</f>
        <v>11.504772374209397</v>
      </c>
      <c r="F200" s="673">
        <f>'Input data'!L140/C120</f>
        <v>15.02273510509165</v>
      </c>
      <c r="G200" s="696">
        <f t="shared" ref="G200:G207" si="164">$G$158*(1+((($G$168/$G$158)^(1/($A$168-$A$158)))-1))^(A200-$A$158)</f>
        <v>7.3771874065734053</v>
      </c>
      <c r="H200" s="696">
        <f t="shared" si="131"/>
        <v>9.9695812573765323</v>
      </c>
      <c r="I200" s="1351">
        <f t="shared" si="132"/>
        <v>9.3858095229911314</v>
      </c>
      <c r="J200" s="805">
        <f t="shared" si="161"/>
        <v>0.2</v>
      </c>
      <c r="K200" s="696">
        <f t="shared" si="158"/>
        <v>1.8771619045982264</v>
      </c>
      <c r="L200" s="673">
        <f t="shared" si="133"/>
        <v>0.96248877021284696</v>
      </c>
      <c r="M200" s="802">
        <f t="shared" si="139"/>
        <v>2.8396506748110735</v>
      </c>
      <c r="N200" s="805">
        <f t="shared" si="160"/>
        <v>0.5</v>
      </c>
      <c r="O200" s="1407">
        <f t="shared" si="134"/>
        <v>1.0361992776035385</v>
      </c>
      <c r="P200" s="861">
        <f t="shared" si="140"/>
        <v>2.3356858311766855</v>
      </c>
      <c r="Q200" s="696">
        <f t="shared" si="135"/>
        <v>15.011082832773251</v>
      </c>
      <c r="R200" s="673">
        <f t="shared" si="136"/>
        <v>7.633895426199846</v>
      </c>
      <c r="S200" s="1353">
        <f t="shared" si="159"/>
        <v>1.0175223388224028</v>
      </c>
      <c r="T200" s="135" t="str">
        <f t="shared" si="141"/>
        <v>Policies not met</v>
      </c>
      <c r="U200" s="1353">
        <f t="shared" si="142"/>
        <v>0.85</v>
      </c>
      <c r="V200" s="135" t="str">
        <f t="shared" si="143"/>
        <v>Yes</v>
      </c>
      <c r="W200" s="1354">
        <f t="shared" si="144"/>
        <v>11.111525379122542</v>
      </c>
      <c r="X200" s="696">
        <f t="shared" si="145"/>
        <v>8.6340129005499566</v>
      </c>
      <c r="Y200" s="118">
        <f t="shared" si="146"/>
        <v>2.0215352201301533</v>
      </c>
      <c r="Z200" s="673">
        <f t="shared" si="147"/>
        <v>0.45227213048380793</v>
      </c>
      <c r="AA200" s="673">
        <f t="shared" si="148"/>
        <v>0</v>
      </c>
      <c r="AB200" s="673">
        <f t="shared" si="149"/>
        <v>3.7051279586225467E-3</v>
      </c>
      <c r="AC200" s="673">
        <f t="shared" si="150"/>
        <v>11.11152537912254</v>
      </c>
      <c r="AD200" s="847">
        <f t="shared" si="163"/>
        <v>0</v>
      </c>
      <c r="AE200" s="805">
        <f t="shared" si="151"/>
        <v>0.77703219008727775</v>
      </c>
      <c r="AF200" s="510">
        <f t="shared" si="152"/>
        <v>0.18193138665987468</v>
      </c>
      <c r="AG200" s="510">
        <f t="shared" si="153"/>
        <v>4.0702974168927576E-2</v>
      </c>
      <c r="AH200" s="510">
        <f t="shared" si="154"/>
        <v>3.3344908392002743E-4</v>
      </c>
      <c r="AI200" s="510">
        <f t="shared" si="155"/>
        <v>3.3344908392002743E-4</v>
      </c>
      <c r="AJ200" s="658">
        <f t="shared" si="156"/>
        <v>1.00033344908392</v>
      </c>
    </row>
    <row r="201" spans="1:36">
      <c r="A201" s="127">
        <f>'Input data'!A141</f>
        <v>2043</v>
      </c>
      <c r="B201" s="828">
        <f>'Input data'!B141</f>
        <v>72.713999999999999</v>
      </c>
      <c r="C201" s="238">
        <f>'Input data'!C141</f>
        <v>5353.7899999999991</v>
      </c>
      <c r="D201" s="130">
        <f>'Input data'!E141</f>
        <v>48694518.38623029</v>
      </c>
      <c r="E201" s="673">
        <f>'Input data'!J141</f>
        <v>11.504772374209397</v>
      </c>
      <c r="F201" s="673">
        <f>'Input data'!L141/C121</f>
        <v>14.676326580601758</v>
      </c>
      <c r="G201" s="696">
        <f t="shared" si="164"/>
        <v>6.9756874148906327</v>
      </c>
      <c r="H201" s="696">
        <f t="shared" si="131"/>
        <v>10.09848562036392</v>
      </c>
      <c r="I201" s="1351">
        <f t="shared" si="132"/>
        <v>9.0953358996580551</v>
      </c>
      <c r="J201" s="805">
        <f t="shared" si="161"/>
        <v>0.2</v>
      </c>
      <c r="K201" s="696">
        <f t="shared" si="158"/>
        <v>1.8190671799316112</v>
      </c>
      <c r="L201" s="673">
        <f t="shared" si="133"/>
        <v>0.96248877021284696</v>
      </c>
      <c r="M201" s="802">
        <f t="shared" si="139"/>
        <v>2.7815559501444582</v>
      </c>
      <c r="N201" s="805">
        <f t="shared" si="160"/>
        <v>0.5</v>
      </c>
      <c r="O201" s="1407">
        <f t="shared" si="134"/>
        <v>1.0361992776035385</v>
      </c>
      <c r="P201" s="861">
        <f t="shared" si="140"/>
        <v>2.2954691011477655</v>
      </c>
      <c r="Q201" s="696">
        <f t="shared" si="135"/>
        <v>14.778703934106787</v>
      </c>
      <c r="R201" s="673">
        <f t="shared" si="136"/>
        <v>7.803016519216154</v>
      </c>
      <c r="S201" s="1353">
        <f t="shared" si="159"/>
        <v>1.0400644985590373</v>
      </c>
      <c r="T201" s="135" t="str">
        <f t="shared" si="141"/>
        <v>Policies not met</v>
      </c>
      <c r="U201" s="1353">
        <f t="shared" si="142"/>
        <v>0.85</v>
      </c>
      <c r="V201" s="135" t="str">
        <f t="shared" si="143"/>
        <v>Yes</v>
      </c>
      <c r="W201" s="1354">
        <f t="shared" si="144"/>
        <v>10.821051755789465</v>
      </c>
      <c r="X201" s="696">
        <f t="shared" si="145"/>
        <v>8.4016340018834956</v>
      </c>
      <c r="Y201" s="118">
        <f t="shared" si="146"/>
        <v>1.9634404954635383</v>
      </c>
      <c r="Z201" s="673">
        <f t="shared" si="147"/>
        <v>0.45227213048380793</v>
      </c>
      <c r="AA201" s="673">
        <f t="shared" si="148"/>
        <v>0</v>
      </c>
      <c r="AB201" s="673">
        <f t="shared" si="149"/>
        <v>3.7051279586225467E-3</v>
      </c>
      <c r="AC201" s="673">
        <f t="shared" si="150"/>
        <v>10.821051755789465</v>
      </c>
      <c r="AD201" s="847">
        <f t="shared" si="163"/>
        <v>0</v>
      </c>
      <c r="AE201" s="805">
        <f t="shared" si="151"/>
        <v>0.77641565639758303</v>
      </c>
      <c r="AF201" s="510">
        <f t="shared" si="152"/>
        <v>0.181446363974099</v>
      </c>
      <c r="AG201" s="510">
        <f t="shared" si="153"/>
        <v>4.1795579643340477E-2</v>
      </c>
      <c r="AH201" s="510">
        <f t="shared" si="154"/>
        <v>3.4239998497745232E-4</v>
      </c>
      <c r="AI201" s="510">
        <f t="shared" si="155"/>
        <v>3.4239998497745232E-4</v>
      </c>
      <c r="AJ201" s="658">
        <f t="shared" si="156"/>
        <v>1.0003423999849774</v>
      </c>
    </row>
    <row r="202" spans="1:36">
      <c r="A202" s="127">
        <f>'Input data'!A142</f>
        <v>2044</v>
      </c>
      <c r="B202" s="828">
        <f>'Input data'!B142</f>
        <v>73.165000000000006</v>
      </c>
      <c r="C202" s="238">
        <f>'Input data'!C142</f>
        <v>5526.5000000000018</v>
      </c>
      <c r="D202" s="130">
        <f>'Input data'!E142</f>
        <v>48694518.38623029</v>
      </c>
      <c r="E202" s="673">
        <f>'Input data'!J142</f>
        <v>11.504772374209397</v>
      </c>
      <c r="F202" s="673">
        <f>'Input data'!L142/C122</f>
        <v>14.347100781916351</v>
      </c>
      <c r="G202" s="696">
        <f t="shared" si="164"/>
        <v>6.5960388734201203</v>
      </c>
      <c r="H202" s="696">
        <f t="shared" si="131"/>
        <v>10.211387964094762</v>
      </c>
      <c r="I202" s="1351">
        <f t="shared" si="132"/>
        <v>8.8110953381399213</v>
      </c>
      <c r="J202" s="805">
        <f t="shared" si="161"/>
        <v>0.2</v>
      </c>
      <c r="K202" s="696">
        <f t="shared" si="158"/>
        <v>1.7622190676279843</v>
      </c>
      <c r="L202" s="673">
        <f t="shared" si="133"/>
        <v>0.96248877021284696</v>
      </c>
      <c r="M202" s="802">
        <f t="shared" si="139"/>
        <v>2.7247078378408314</v>
      </c>
      <c r="N202" s="805">
        <f t="shared" si="160"/>
        <v>0.5</v>
      </c>
      <c r="O202" s="1407">
        <f t="shared" si="134"/>
        <v>1.0361992776035385</v>
      </c>
      <c r="P202" s="861">
        <f t="shared" si="140"/>
        <v>2.2561153526225999</v>
      </c>
      <c r="Q202" s="696">
        <f t="shared" si="135"/>
        <v>14.551311484892281</v>
      </c>
      <c r="R202" s="673">
        <f t="shared" si="136"/>
        <v>7.9552726114721608</v>
      </c>
      <c r="S202" s="1353">
        <f t="shared" si="159"/>
        <v>1.0603587214220573</v>
      </c>
      <c r="T202" s="135" t="str">
        <f t="shared" si="141"/>
        <v>Policies not met</v>
      </c>
      <c r="U202" s="1353">
        <f t="shared" si="142"/>
        <v>0.85</v>
      </c>
      <c r="V202" s="135" t="str">
        <f t="shared" si="143"/>
        <v>Yes</v>
      </c>
      <c r="W202" s="1354">
        <f t="shared" si="144"/>
        <v>10.536811194271332</v>
      </c>
      <c r="X202" s="696">
        <f t="shared" si="145"/>
        <v>8.1742415526689882</v>
      </c>
      <c r="Y202" s="118">
        <f t="shared" si="146"/>
        <v>1.9065923831599114</v>
      </c>
      <c r="Z202" s="673">
        <f t="shared" si="147"/>
        <v>0.45227213048380793</v>
      </c>
      <c r="AA202" s="673">
        <f t="shared" si="148"/>
        <v>0</v>
      </c>
      <c r="AB202" s="673">
        <f t="shared" si="149"/>
        <v>3.7051279586225467E-3</v>
      </c>
      <c r="AC202" s="673">
        <f t="shared" si="150"/>
        <v>10.53681119427133</v>
      </c>
      <c r="AD202" s="847">
        <f t="shared" si="163"/>
        <v>0</v>
      </c>
      <c r="AE202" s="805">
        <f t="shared" si="151"/>
        <v>0.77577944616803729</v>
      </c>
      <c r="AF202" s="510">
        <f t="shared" si="152"/>
        <v>0.18094586189382331</v>
      </c>
      <c r="AG202" s="510">
        <f t="shared" si="153"/>
        <v>4.2923055386026081E-2</v>
      </c>
      <c r="AH202" s="510">
        <f t="shared" si="154"/>
        <v>3.5163655211331455E-4</v>
      </c>
      <c r="AI202" s="510">
        <f t="shared" si="155"/>
        <v>3.5163655211331455E-4</v>
      </c>
      <c r="AJ202" s="658">
        <f t="shared" si="156"/>
        <v>1.0003516365521132</v>
      </c>
    </row>
    <row r="203" spans="1:36">
      <c r="A203" s="127">
        <f>'Input data'!A143</f>
        <v>2045</v>
      </c>
      <c r="B203" s="828">
        <f>'Input data'!B143</f>
        <v>73.62</v>
      </c>
      <c r="C203" s="238">
        <f>'Input data'!C143</f>
        <v>5709.93</v>
      </c>
      <c r="D203" s="130">
        <f>'Input data'!E143</f>
        <v>48694518.38623029</v>
      </c>
      <c r="E203" s="673">
        <f>'Input data'!J143</f>
        <v>11.504772374209397</v>
      </c>
      <c r="F203" s="673">
        <f>'Input data'!L143/C123</f>
        <v>14.033073193263855</v>
      </c>
      <c r="G203" s="696">
        <f t="shared" si="164"/>
        <v>6.237052527152481</v>
      </c>
      <c r="H203" s="696">
        <f t="shared" si="131"/>
        <v>10.304741530286158</v>
      </c>
      <c r="I203" s="1351">
        <f t="shared" si="132"/>
        <v>8.5280412170079636</v>
      </c>
      <c r="J203" s="805">
        <f t="shared" si="161"/>
        <v>0.2</v>
      </c>
      <c r="K203" s="696">
        <f t="shared" si="158"/>
        <v>1.7056082434015929</v>
      </c>
      <c r="L203" s="673">
        <f t="shared" si="133"/>
        <v>0.96248877021284696</v>
      </c>
      <c r="M203" s="802">
        <f t="shared" si="139"/>
        <v>2.6680970136144397</v>
      </c>
      <c r="N203" s="805">
        <f t="shared" si="160"/>
        <v>0.5</v>
      </c>
      <c r="O203" s="1407">
        <f t="shared" si="134"/>
        <v>1.0361992776035385</v>
      </c>
      <c r="P203" s="861">
        <f t="shared" si="140"/>
        <v>2.2169258694519227</v>
      </c>
      <c r="Q203" s="696">
        <f t="shared" si="135"/>
        <v>14.324868187986716</v>
      </c>
      <c r="R203" s="673">
        <f t="shared" si="136"/>
        <v>8.0878156608342344</v>
      </c>
      <c r="S203" s="1353">
        <f t="shared" si="159"/>
        <v>1.0780253917197253</v>
      </c>
      <c r="T203" s="135" t="str">
        <f t="shared" si="141"/>
        <v>Policies not met</v>
      </c>
      <c r="U203" s="1353">
        <f t="shared" si="142"/>
        <v>0.85</v>
      </c>
      <c r="V203" s="135" t="str">
        <f t="shared" si="143"/>
        <v>Yes</v>
      </c>
      <c r="W203" s="1354">
        <f t="shared" si="144"/>
        <v>10.253757073139374</v>
      </c>
      <c r="X203" s="696">
        <f t="shared" si="145"/>
        <v>7.9477982557634226</v>
      </c>
      <c r="Y203" s="118">
        <f t="shared" si="146"/>
        <v>1.84998155893352</v>
      </c>
      <c r="Z203" s="673">
        <f t="shared" si="147"/>
        <v>0.45227213048380793</v>
      </c>
      <c r="AA203" s="673">
        <f t="shared" si="148"/>
        <v>0</v>
      </c>
      <c r="AB203" s="673">
        <f t="shared" si="149"/>
        <v>3.7051279586225467E-3</v>
      </c>
      <c r="AC203" s="673">
        <f t="shared" si="150"/>
        <v>10.253757073139374</v>
      </c>
      <c r="AD203" s="847">
        <f t="shared" si="163"/>
        <v>0</v>
      </c>
      <c r="AE203" s="805">
        <f t="shared" si="151"/>
        <v>0.77511083977046669</v>
      </c>
      <c r="AF203" s="510">
        <f t="shared" si="152"/>
        <v>0.180419873977677</v>
      </c>
      <c r="AG203" s="510">
        <f t="shared" si="153"/>
        <v>4.4107942801626818E-2</v>
      </c>
      <c r="AH203" s="510">
        <f t="shared" si="154"/>
        <v>3.6134345022942452E-4</v>
      </c>
      <c r="AI203" s="510">
        <f t="shared" si="155"/>
        <v>3.6134345022942452E-4</v>
      </c>
      <c r="AJ203" s="658">
        <f t="shared" si="156"/>
        <v>1.0003613434502294</v>
      </c>
    </row>
    <row r="204" spans="1:36">
      <c r="A204" s="127">
        <f>'Input data'!A144</f>
        <v>2046</v>
      </c>
      <c r="B204" s="828">
        <f>'Input data'!B144</f>
        <v>73.995000000000005</v>
      </c>
      <c r="C204" s="238">
        <f>'Input data'!C144</f>
        <v>5902.43</v>
      </c>
      <c r="D204" s="130">
        <f>'Input data'!E144</f>
        <v>48694518.38623029</v>
      </c>
      <c r="E204" s="673">
        <f>'Input data'!J144</f>
        <v>11.504772374209397</v>
      </c>
      <c r="F204" s="673">
        <f>'Input data'!L144/C124</f>
        <v>13.734873847099173</v>
      </c>
      <c r="G204" s="696">
        <f t="shared" si="164"/>
        <v>5.8976038457287983</v>
      </c>
      <c r="H204" s="696">
        <f t="shared" si="131"/>
        <v>10.38317767681319</v>
      </c>
      <c r="I204" s="1351">
        <f t="shared" si="132"/>
        <v>8.2499103566209655</v>
      </c>
      <c r="J204" s="805">
        <f t="shared" si="161"/>
        <v>0.2</v>
      </c>
      <c r="K204" s="696">
        <f t="shared" si="158"/>
        <v>1.6499820713241933</v>
      </c>
      <c r="L204" s="673">
        <f t="shared" si="133"/>
        <v>0.96248877021284696</v>
      </c>
      <c r="M204" s="802">
        <f t="shared" si="139"/>
        <v>2.6124708415370401</v>
      </c>
      <c r="N204" s="805">
        <f t="shared" si="160"/>
        <v>0.5</v>
      </c>
      <c r="O204" s="1407">
        <f t="shared" si="134"/>
        <v>1.0361992776035385</v>
      </c>
      <c r="P204" s="861">
        <f t="shared" si="140"/>
        <v>2.1784180228648706</v>
      </c>
      <c r="Q204" s="696">
        <f t="shared" si="135"/>
        <v>14.102363499677118</v>
      </c>
      <c r="R204" s="673">
        <f t="shared" si="136"/>
        <v>8.2047596539483187</v>
      </c>
      <c r="S204" s="1353">
        <f t="shared" si="159"/>
        <v>1.0936128629570554</v>
      </c>
      <c r="T204" s="135" t="str">
        <f t="shared" si="141"/>
        <v>Policies not met</v>
      </c>
      <c r="U204" s="1353">
        <f t="shared" si="142"/>
        <v>0.85</v>
      </c>
      <c r="V204" s="135" t="str">
        <f t="shared" si="143"/>
        <v>Yes</v>
      </c>
      <c r="W204" s="1354">
        <f t="shared" si="144"/>
        <v>9.9756262127523758</v>
      </c>
      <c r="X204" s="696">
        <f t="shared" si="145"/>
        <v>7.7252935674538241</v>
      </c>
      <c r="Y204" s="118">
        <f t="shared" si="146"/>
        <v>1.7943553868561204</v>
      </c>
      <c r="Z204" s="673">
        <f t="shared" si="147"/>
        <v>0.45227213048380793</v>
      </c>
      <c r="AA204" s="673">
        <f t="shared" si="148"/>
        <v>0</v>
      </c>
      <c r="AB204" s="673">
        <f t="shared" si="149"/>
        <v>3.7051279586225467E-3</v>
      </c>
      <c r="AC204" s="673">
        <f t="shared" si="150"/>
        <v>9.9756262127523758</v>
      </c>
      <c r="AD204" s="847">
        <f t="shared" si="163"/>
        <v>0</v>
      </c>
      <c r="AE204" s="805">
        <f t="shared" si="151"/>
        <v>0.77441690403136487</v>
      </c>
      <c r="AF204" s="510">
        <f t="shared" si="152"/>
        <v>0.17987395964799685</v>
      </c>
      <c r="AG204" s="510">
        <f t="shared" si="153"/>
        <v>4.5337718238243965E-2</v>
      </c>
      <c r="AH204" s="510">
        <f t="shared" si="154"/>
        <v>3.7141808239427455E-4</v>
      </c>
      <c r="AI204" s="510">
        <f t="shared" si="155"/>
        <v>3.7141808239427455E-4</v>
      </c>
      <c r="AJ204" s="658">
        <f t="shared" si="156"/>
        <v>1.0003714180823942</v>
      </c>
    </row>
    <row r="205" spans="1:36">
      <c r="A205" s="127">
        <f>'Input data'!A145</f>
        <v>2047</v>
      </c>
      <c r="B205" s="829">
        <f>'Input data'!B145</f>
        <v>74.373000000000005</v>
      </c>
      <c r="C205" s="662">
        <f>'Input data'!C145</f>
        <v>6104.119999999999</v>
      </c>
      <c r="D205" s="130">
        <f>'Input data'!E145</f>
        <v>48694518.38623029</v>
      </c>
      <c r="E205" s="673">
        <f>'Input data'!J145</f>
        <v>11.504772374209397</v>
      </c>
      <c r="F205" s="673">
        <f>'Input data'!L145/C125</f>
        <v>13.452851800429709</v>
      </c>
      <c r="G205" s="696">
        <f t="shared" si="164"/>
        <v>5.5766295008316487</v>
      </c>
      <c r="H205" s="696">
        <f t="shared" si="131"/>
        <v>10.448338958632737</v>
      </c>
      <c r="I205" s="1351">
        <f t="shared" si="132"/>
        <v>7.9773199717945085</v>
      </c>
      <c r="J205" s="805">
        <f t="shared" si="161"/>
        <v>0.2</v>
      </c>
      <c r="K205" s="696">
        <f t="shared" si="158"/>
        <v>1.5954639943589017</v>
      </c>
      <c r="L205" s="673">
        <f t="shared" si="133"/>
        <v>0.96248877021284696</v>
      </c>
      <c r="M205" s="802">
        <f t="shared" si="139"/>
        <v>2.5579527645717488</v>
      </c>
      <c r="N205" s="805">
        <f t="shared" si="160"/>
        <v>0.5</v>
      </c>
      <c r="O205" s="1407">
        <f t="shared" si="134"/>
        <v>1.0361992776035385</v>
      </c>
      <c r="P205" s="861">
        <f t="shared" si="140"/>
        <v>2.1406772676484334</v>
      </c>
      <c r="Q205" s="696">
        <f t="shared" si="135"/>
        <v>13.884291191815953</v>
      </c>
      <c r="R205" s="673">
        <f t="shared" si="136"/>
        <v>8.307661690984304</v>
      </c>
      <c r="S205" s="1353">
        <f t="shared" si="159"/>
        <v>1.1073286811008425</v>
      </c>
      <c r="T205" s="135" t="str">
        <f t="shared" si="141"/>
        <v>Policies not met</v>
      </c>
      <c r="U205" s="1353">
        <f t="shared" si="142"/>
        <v>0.85</v>
      </c>
      <c r="V205" s="135" t="str">
        <f t="shared" si="143"/>
        <v>Yes</v>
      </c>
      <c r="W205" s="1354">
        <f t="shared" si="144"/>
        <v>9.7030358279259179</v>
      </c>
      <c r="X205" s="696">
        <f t="shared" si="145"/>
        <v>7.5072212595926588</v>
      </c>
      <c r="Y205" s="118">
        <f t="shared" si="146"/>
        <v>1.7398373098908289</v>
      </c>
      <c r="Z205" s="673">
        <f t="shared" si="147"/>
        <v>0.45227213048380793</v>
      </c>
      <c r="AA205" s="673">
        <f t="shared" si="148"/>
        <v>0</v>
      </c>
      <c r="AB205" s="673">
        <f t="shared" si="149"/>
        <v>3.7051279586225467E-3</v>
      </c>
      <c r="AC205" s="673">
        <f t="shared" si="150"/>
        <v>9.7030358279259179</v>
      </c>
      <c r="AD205" s="847">
        <f t="shared" si="163"/>
        <v>0</v>
      </c>
      <c r="AE205" s="805">
        <f t="shared" si="151"/>
        <v>0.77369819020830843</v>
      </c>
      <c r="AF205" s="510">
        <f t="shared" si="152"/>
        <v>0.17930855257521289</v>
      </c>
      <c r="AG205" s="510">
        <f t="shared" si="153"/>
        <v>4.661140477108635E-2</v>
      </c>
      <c r="AH205" s="510">
        <f t="shared" si="154"/>
        <v>3.8185244539229327E-4</v>
      </c>
      <c r="AI205" s="510">
        <f t="shared" si="155"/>
        <v>3.8185244539229327E-4</v>
      </c>
      <c r="AJ205" s="658">
        <f t="shared" si="156"/>
        <v>1.0003818524453922</v>
      </c>
    </row>
    <row r="206" spans="1:36">
      <c r="A206" s="127">
        <f>'Input data'!A146</f>
        <v>2048</v>
      </c>
      <c r="B206" s="828">
        <f>'Input data'!B146</f>
        <v>74.753</v>
      </c>
      <c r="C206" s="238">
        <f>'Input data'!C146</f>
        <v>6308.13</v>
      </c>
      <c r="D206" s="130">
        <f>'Input data'!E146</f>
        <v>48694518.38623029</v>
      </c>
      <c r="E206" s="673">
        <f>'Input data'!J146</f>
        <v>11.504772374209397</v>
      </c>
      <c r="F206" s="673">
        <f>'Input data'!L146/C126</f>
        <v>13.188251208306198</v>
      </c>
      <c r="G206" s="696">
        <f t="shared" si="164"/>
        <v>5.2731240352924704</v>
      </c>
      <c r="H206" s="696">
        <f t="shared" si="131"/>
        <v>10.509730359828646</v>
      </c>
      <c r="I206" s="1351">
        <f t="shared" si="132"/>
        <v>7.7193270250027011</v>
      </c>
      <c r="J206" s="805">
        <f t="shared" si="161"/>
        <v>0.2</v>
      </c>
      <c r="K206" s="696">
        <f t="shared" si="158"/>
        <v>1.5438654050005403</v>
      </c>
      <c r="L206" s="673">
        <f t="shared" si="133"/>
        <v>0.96248877021284696</v>
      </c>
      <c r="M206" s="802">
        <f t="shared" si="139"/>
        <v>2.5063541752133873</v>
      </c>
      <c r="N206" s="805">
        <f t="shared" si="160"/>
        <v>0.5</v>
      </c>
      <c r="O206" s="1407">
        <f t="shared" si="134"/>
        <v>1.0361992776035385</v>
      </c>
      <c r="P206" s="861">
        <f t="shared" si="140"/>
        <v>2.1049575607386108</v>
      </c>
      <c r="Q206" s="696">
        <f t="shared" si="135"/>
        <v>13.677896834382505</v>
      </c>
      <c r="R206" s="673">
        <f t="shared" si="136"/>
        <v>8.4047727990900345</v>
      </c>
      <c r="S206" s="1353">
        <f t="shared" si="159"/>
        <v>1.1202726260108355</v>
      </c>
      <c r="T206" s="135" t="str">
        <f t="shared" si="141"/>
        <v>Policies not met</v>
      </c>
      <c r="U206" s="1353">
        <f t="shared" si="142"/>
        <v>0.85</v>
      </c>
      <c r="V206" s="135" t="str">
        <f t="shared" si="143"/>
        <v>Yes</v>
      </c>
      <c r="W206" s="1354">
        <f t="shared" si="144"/>
        <v>9.4450428811341105</v>
      </c>
      <c r="X206" s="696">
        <f t="shared" si="145"/>
        <v>7.3008269021592129</v>
      </c>
      <c r="Y206" s="118">
        <f t="shared" si="146"/>
        <v>1.6882387205324674</v>
      </c>
      <c r="Z206" s="673">
        <f t="shared" si="147"/>
        <v>0.45227213048380793</v>
      </c>
      <c r="AA206" s="673">
        <f t="shared" si="148"/>
        <v>0</v>
      </c>
      <c r="AB206" s="673">
        <f t="shared" si="149"/>
        <v>3.7051279586225467E-3</v>
      </c>
      <c r="AC206" s="673">
        <f t="shared" si="150"/>
        <v>9.4450428811341105</v>
      </c>
      <c r="AD206" s="847">
        <f t="shared" si="163"/>
        <v>0</v>
      </c>
      <c r="AE206" s="805">
        <f t="shared" si="151"/>
        <v>0.77297975181692014</v>
      </c>
      <c r="AF206" s="510">
        <f t="shared" si="152"/>
        <v>0.17874336218257092</v>
      </c>
      <c r="AG206" s="510">
        <f t="shared" si="153"/>
        <v>4.7884603190864655E-2</v>
      </c>
      <c r="AH206" s="510">
        <f t="shared" si="154"/>
        <v>3.9228280964433848E-4</v>
      </c>
      <c r="AI206" s="510">
        <f t="shared" si="155"/>
        <v>3.9228280964433848E-4</v>
      </c>
      <c r="AJ206" s="658">
        <f t="shared" si="156"/>
        <v>1.0003922828096443</v>
      </c>
    </row>
    <row r="207" spans="1:36">
      <c r="A207" s="127">
        <f>'Input data'!A147</f>
        <v>2049</v>
      </c>
      <c r="B207" s="828">
        <f>'Input data'!B147</f>
        <v>75.134</v>
      </c>
      <c r="C207" s="238">
        <f>'Input data'!C147</f>
        <v>6522.2000000000007</v>
      </c>
      <c r="D207" s="130">
        <f>'Input data'!E147</f>
        <v>48694518.38623029</v>
      </c>
      <c r="E207" s="673">
        <f>'Input data'!J147</f>
        <v>11.504772374209397</v>
      </c>
      <c r="F207" s="673">
        <f>'Input data'!L147/C127</f>
        <v>12.938015158589236</v>
      </c>
      <c r="G207" s="696">
        <f t="shared" si="164"/>
        <v>4.9861367134812236</v>
      </c>
      <c r="H207" s="696">
        <f t="shared" si="131"/>
        <v>10.558949726860128</v>
      </c>
      <c r="I207" s="1351">
        <f t="shared" si="132"/>
        <v>7.4659652243461228</v>
      </c>
      <c r="J207" s="805">
        <f t="shared" si="161"/>
        <v>0.2</v>
      </c>
      <c r="K207" s="696">
        <f t="shared" si="158"/>
        <v>1.4931930448692246</v>
      </c>
      <c r="L207" s="673">
        <f t="shared" si="133"/>
        <v>0.96248877021284696</v>
      </c>
      <c r="M207" s="802">
        <f t="shared" si="139"/>
        <v>2.4556818150820714</v>
      </c>
      <c r="N207" s="805">
        <f t="shared" si="160"/>
        <v>0.5</v>
      </c>
      <c r="O207" s="1407">
        <f t="shared" si="134"/>
        <v>1.0361992776035385</v>
      </c>
      <c r="P207" s="861">
        <f t="shared" si="140"/>
        <v>2.0698790464841066</v>
      </c>
      <c r="Q207" s="696">
        <f t="shared" si="135"/>
        <v>13.475207393857243</v>
      </c>
      <c r="R207" s="673">
        <f t="shared" si="136"/>
        <v>8.4890706803760203</v>
      </c>
      <c r="S207" s="1353">
        <f t="shared" si="159"/>
        <v>1.1315086952173257</v>
      </c>
      <c r="T207" s="135" t="str">
        <f t="shared" si="141"/>
        <v>Policies not met</v>
      </c>
      <c r="U207" s="1353">
        <f t="shared" si="142"/>
        <v>0.85</v>
      </c>
      <c r="V207" s="135" t="str">
        <f t="shared" si="143"/>
        <v>Yes</v>
      </c>
      <c r="W207" s="1354">
        <f t="shared" si="144"/>
        <v>9.1916810804775331</v>
      </c>
      <c r="X207" s="696">
        <f t="shared" si="145"/>
        <v>7.0981374616339501</v>
      </c>
      <c r="Y207" s="118">
        <f t="shared" si="146"/>
        <v>1.6375663604011517</v>
      </c>
      <c r="Z207" s="673">
        <f t="shared" si="147"/>
        <v>0.45227213048380793</v>
      </c>
      <c r="AA207" s="673">
        <f t="shared" si="148"/>
        <v>0</v>
      </c>
      <c r="AB207" s="673">
        <f t="shared" si="149"/>
        <v>3.7051279586225467E-3</v>
      </c>
      <c r="AC207" s="673">
        <f t="shared" si="150"/>
        <v>9.1916810804775331</v>
      </c>
      <c r="AD207" s="847">
        <f t="shared" si="163"/>
        <v>0</v>
      </c>
      <c r="AE207" s="805">
        <f t="shared" si="151"/>
        <v>0.77223495892496552</v>
      </c>
      <c r="AF207" s="510">
        <f t="shared" si="152"/>
        <v>0.17815743889104513</v>
      </c>
      <c r="AG207" s="510">
        <f t="shared" si="153"/>
        <v>4.9204506392677316E-2</v>
      </c>
      <c r="AH207" s="510">
        <f t="shared" si="154"/>
        <v>4.0309579131199088E-4</v>
      </c>
      <c r="AI207" s="510">
        <f t="shared" si="155"/>
        <v>4.0309579131199088E-4</v>
      </c>
      <c r="AJ207" s="658">
        <f t="shared" si="156"/>
        <v>1.0004030957913119</v>
      </c>
    </row>
    <row r="208" spans="1:36" ht="15.75" thickBot="1">
      <c r="A208" s="172">
        <f>'Input data'!A148</f>
        <v>2050</v>
      </c>
      <c r="B208" s="831">
        <f>'Input data'!B148</f>
        <v>75.518000000000001</v>
      </c>
      <c r="C208" s="241">
        <f>'Input data'!C148</f>
        <v>6747.1300000000019</v>
      </c>
      <c r="D208" s="140">
        <f>'Input data'!E148</f>
        <v>48694518.38623029</v>
      </c>
      <c r="E208" s="814">
        <f>'Input data'!J148</f>
        <v>11.504772374209397</v>
      </c>
      <c r="F208" s="814">
        <f>'Input data'!L148/C128</f>
        <v>12.702005041802764</v>
      </c>
      <c r="G208" s="849">
        <f>G175*(1-$C$6)</f>
        <v>4.7147685431121138</v>
      </c>
      <c r="H208" s="849">
        <f t="shared" si="131"/>
        <v>10.596742845800843</v>
      </c>
      <c r="I208" s="1352">
        <f t="shared" si="132"/>
        <v>7.2170713156898225</v>
      </c>
      <c r="J208" s="806">
        <f t="shared" si="161"/>
        <v>0.2</v>
      </c>
      <c r="K208" s="849">
        <f t="shared" si="158"/>
        <v>1.4434142631379645</v>
      </c>
      <c r="L208" s="814">
        <f t="shared" si="133"/>
        <v>0.96248877021284696</v>
      </c>
      <c r="M208" s="811">
        <f t="shared" si="139"/>
        <v>2.4059030333508113</v>
      </c>
      <c r="N208" s="806">
        <f t="shared" si="160"/>
        <v>0.5</v>
      </c>
      <c r="O208" s="1408">
        <f t="shared" si="134"/>
        <v>1.0361992776035385</v>
      </c>
      <c r="P208" s="862">
        <f t="shared" si="140"/>
        <v>2.035419121980754</v>
      </c>
      <c r="Q208" s="849">
        <f t="shared" si="135"/>
        <v>13.276092266932205</v>
      </c>
      <c r="R208" s="814">
        <f t="shared" si="136"/>
        <v>8.5613237238200917</v>
      </c>
      <c r="S208" s="1362">
        <f t="shared" si="159"/>
        <v>1.1411393073291873</v>
      </c>
      <c r="T208" s="1390" t="str">
        <f t="shared" si="141"/>
        <v>Policies not met</v>
      </c>
      <c r="U208" s="1362">
        <f t="shared" si="142"/>
        <v>0.85</v>
      </c>
      <c r="V208" s="1390" t="str">
        <f t="shared" si="143"/>
        <v>Yes</v>
      </c>
      <c r="W208" s="1355">
        <f t="shared" si="144"/>
        <v>8.942787171821232</v>
      </c>
      <c r="X208" s="849">
        <f t="shared" si="145"/>
        <v>6.8990223347089099</v>
      </c>
      <c r="Y208" s="121">
        <f t="shared" si="146"/>
        <v>1.5877875786698916</v>
      </c>
      <c r="Z208" s="814">
        <f t="shared" si="147"/>
        <v>0.45227213048380793</v>
      </c>
      <c r="AA208" s="814">
        <f t="shared" si="148"/>
        <v>0</v>
      </c>
      <c r="AB208" s="814">
        <f t="shared" si="149"/>
        <v>3.7051279586225467E-3</v>
      </c>
      <c r="AC208" s="814">
        <f t="shared" si="150"/>
        <v>8.942787171821232</v>
      </c>
      <c r="AD208" s="860">
        <f t="shared" si="163"/>
        <v>0</v>
      </c>
      <c r="AE208" s="806">
        <f t="shared" si="151"/>
        <v>0.77146220771615415</v>
      </c>
      <c r="AF208" s="807">
        <f t="shared" si="152"/>
        <v>0.17754952098972213</v>
      </c>
      <c r="AG208" s="807">
        <f t="shared" si="153"/>
        <v>5.0573956619354613E-2</v>
      </c>
      <c r="AH208" s="807">
        <f t="shared" si="154"/>
        <v>4.1431467476911715E-4</v>
      </c>
      <c r="AI208" s="807">
        <f>AB208/AC208</f>
        <v>4.1431467476911715E-4</v>
      </c>
      <c r="AJ208" s="808">
        <f t="shared" si="156"/>
        <v>1.000414314674769</v>
      </c>
    </row>
  </sheetData>
  <mergeCells count="71">
    <mergeCell ref="CD92:CE92"/>
    <mergeCell ref="AD92:AD93"/>
    <mergeCell ref="AE92:AE94"/>
    <mergeCell ref="AG92:AQ92"/>
    <mergeCell ref="BY92:CA92"/>
    <mergeCell ref="CB92:CC92"/>
    <mergeCell ref="AA92:AA93"/>
    <mergeCell ref="T132:T134"/>
    <mergeCell ref="R132:R133"/>
    <mergeCell ref="V172:V174"/>
    <mergeCell ref="W172:W173"/>
    <mergeCell ref="U172:U173"/>
    <mergeCell ref="T172:T174"/>
    <mergeCell ref="B4:B6"/>
    <mergeCell ref="A4:A6"/>
    <mergeCell ref="C42:I42"/>
    <mergeCell ref="J132:L132"/>
    <mergeCell ref="M132:M133"/>
    <mergeCell ref="C29:D29"/>
    <mergeCell ref="E29:F29"/>
    <mergeCell ref="G29:H29"/>
    <mergeCell ref="E26:E27"/>
    <mergeCell ref="F26:F27"/>
    <mergeCell ref="H26:H27"/>
    <mergeCell ref="G26:G27"/>
    <mergeCell ref="B26:B27"/>
    <mergeCell ref="A8:A9"/>
    <mergeCell ref="B8:F8"/>
    <mergeCell ref="G8:I8"/>
    <mergeCell ref="A133:A134"/>
    <mergeCell ref="E132:I132"/>
    <mergeCell ref="A26:A27"/>
    <mergeCell ref="Q42:W42"/>
    <mergeCell ref="BJ75:BQ75"/>
    <mergeCell ref="A36:A37"/>
    <mergeCell ref="A93:A94"/>
    <mergeCell ref="E92:G92"/>
    <mergeCell ref="A92:D92"/>
    <mergeCell ref="H92:K92"/>
    <mergeCell ref="L92:P92"/>
    <mergeCell ref="W92:X92"/>
    <mergeCell ref="Y92:Y93"/>
    <mergeCell ref="AF92:AF93"/>
    <mergeCell ref="J42:P42"/>
    <mergeCell ref="N132:O132"/>
    <mergeCell ref="A173:A174"/>
    <mergeCell ref="P172:P173"/>
    <mergeCell ref="Q172:Q173"/>
    <mergeCell ref="R172:R173"/>
    <mergeCell ref="S172:S173"/>
    <mergeCell ref="A172:D172"/>
    <mergeCell ref="E172:I172"/>
    <mergeCell ref="J172:L172"/>
    <mergeCell ref="M172:M173"/>
    <mergeCell ref="N172:O172"/>
    <mergeCell ref="A132:D132"/>
    <mergeCell ref="AR92:BB92"/>
    <mergeCell ref="BE92:BL92"/>
    <mergeCell ref="BM92:BT92"/>
    <mergeCell ref="BV92:BX92"/>
    <mergeCell ref="P132:P133"/>
    <mergeCell ref="Q132:Q133"/>
    <mergeCell ref="AC92:AC94"/>
    <mergeCell ref="V132:V134"/>
    <mergeCell ref="W132:W133"/>
    <mergeCell ref="S132:S133"/>
    <mergeCell ref="U132:U133"/>
    <mergeCell ref="AB92:AB94"/>
    <mergeCell ref="V92:V93"/>
    <mergeCell ref="Q92:U92"/>
    <mergeCell ref="Z92:Z93"/>
  </mergeCells>
  <phoneticPr fontId="16" type="noConversion"/>
  <dataValidations disablePrompts="1"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765A5957-5667-4D2B-A276-4AF74F428E26}">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1DE39-A147-4665-B2D7-2EAAA24692A3}">
  <dimension ref="A1:CE211"/>
  <sheetViews>
    <sheetView topLeftCell="I147" zoomScale="68" zoomScaleNormal="55" workbookViewId="0">
      <selection activeCell="CE107" sqref="CE107"/>
    </sheetView>
  </sheetViews>
  <sheetFormatPr defaultRowHeight="15"/>
  <cols>
    <col min="1" max="1" width="55.28515625" customWidth="1"/>
    <col min="2" max="2" width="32.28515625" customWidth="1"/>
    <col min="3" max="3" width="22.5703125" customWidth="1"/>
    <col min="4" max="4" width="31.28515625" customWidth="1"/>
    <col min="5" max="5" width="25.140625" customWidth="1"/>
    <col min="6" max="6" width="28.140625" customWidth="1"/>
    <col min="7" max="7" width="22.5703125" customWidth="1"/>
    <col min="8" max="8" width="19.7109375" customWidth="1"/>
    <col min="9" max="9" width="30.28515625" customWidth="1"/>
    <col min="10" max="10" width="25.28515625" customWidth="1"/>
    <col min="11" max="12" width="24.7109375" customWidth="1"/>
    <col min="13" max="13" width="23.7109375" customWidth="1"/>
    <col min="14" max="14" width="25.85546875" customWidth="1"/>
    <col min="15" max="15" width="26.140625" customWidth="1"/>
    <col min="16" max="16" width="19.85546875" customWidth="1"/>
    <col min="17" max="17" width="20.7109375" customWidth="1"/>
    <col min="18" max="18" width="19.28515625" customWidth="1"/>
    <col min="19" max="19" width="23.140625" customWidth="1"/>
    <col min="20" max="20" width="21.140625" customWidth="1"/>
    <col min="21" max="21" width="32.28515625" customWidth="1"/>
    <col min="22" max="22" width="20" customWidth="1"/>
    <col min="23" max="23" width="24.28515625" customWidth="1"/>
    <col min="24" max="24" width="20.28515625" customWidth="1"/>
    <col min="25" max="25" width="21.85546875" customWidth="1"/>
    <col min="26" max="26" width="17.28515625" customWidth="1"/>
    <col min="27" max="28" width="21.42578125" customWidth="1"/>
    <col min="29" max="29" width="21.140625" customWidth="1"/>
    <col min="30" max="30" width="22.85546875" customWidth="1"/>
    <col min="31" max="31" width="24.42578125" customWidth="1"/>
    <col min="32" max="32" width="29.42578125" customWidth="1"/>
    <col min="33" max="33" width="25.7109375" customWidth="1"/>
    <col min="34" max="34" width="22.7109375" customWidth="1"/>
    <col min="35" max="37" width="29.140625" customWidth="1"/>
    <col min="38" max="38" width="22.85546875" customWidth="1"/>
    <col min="39" max="39" width="21" customWidth="1"/>
    <col min="40" max="40" width="21.28515625" customWidth="1"/>
    <col min="41" max="41" width="19.5703125" customWidth="1"/>
    <col min="42" max="42" width="26.42578125" customWidth="1"/>
    <col min="43" max="43" width="22.5703125" customWidth="1"/>
    <col min="44" max="44" width="20.140625" customWidth="1"/>
    <col min="45" max="45" width="22.5703125" customWidth="1"/>
    <col min="46" max="46" width="13.7109375" customWidth="1"/>
    <col min="47" max="47" width="23.140625" customWidth="1"/>
    <col min="48" max="48" width="15.7109375" customWidth="1"/>
    <col min="49" max="49" width="17.7109375" customWidth="1"/>
    <col min="50" max="50" width="20.7109375" customWidth="1"/>
    <col min="51" max="51" width="18" customWidth="1"/>
    <col min="52" max="52" width="14.85546875" customWidth="1"/>
    <col min="53" max="53" width="15.7109375" customWidth="1"/>
    <col min="54" max="54" width="14.7109375" customWidth="1"/>
    <col min="55" max="55" width="23.7109375" customWidth="1"/>
    <col min="56" max="56" width="21.140625" customWidth="1"/>
    <col min="57" max="57" width="24.5703125" customWidth="1"/>
    <col min="58" max="58" width="15.140625" customWidth="1"/>
    <col min="59" max="59" width="20.140625" customWidth="1"/>
    <col min="60" max="60" width="24.140625" customWidth="1"/>
    <col min="61" max="61" width="19.5703125" customWidth="1"/>
    <col min="62" max="62" width="18" customWidth="1"/>
    <col min="63" max="63" width="21.42578125" customWidth="1"/>
    <col min="64" max="64" width="18.5703125" customWidth="1"/>
    <col min="65" max="65" width="17.5703125" customWidth="1"/>
    <col min="66" max="66" width="17.7109375" customWidth="1"/>
    <col min="67" max="67" width="17.28515625" customWidth="1"/>
    <col min="69" max="69" width="15.5703125" customWidth="1"/>
    <col min="72" max="72" width="14.7109375" customWidth="1"/>
    <col min="73" max="73" width="13.28515625" customWidth="1"/>
    <col min="74" max="74" width="13.85546875" customWidth="1"/>
    <col min="75" max="75" width="14.5703125" customWidth="1"/>
    <col min="76" max="76" width="14.7109375" customWidth="1"/>
    <col min="77" max="77" width="18.28515625" customWidth="1"/>
    <col min="78" max="78" width="12.85546875" customWidth="1"/>
    <col min="79" max="79" width="19.28515625" customWidth="1"/>
    <col min="80" max="80" width="17" customWidth="1"/>
    <col min="81" max="82" width="17.7109375" customWidth="1"/>
    <col min="83" max="83" width="19.5703125" customWidth="1"/>
  </cols>
  <sheetData>
    <row r="1" spans="1:11">
      <c r="A1" s="2" t="s">
        <v>620</v>
      </c>
      <c r="J1" s="99"/>
      <c r="K1" s="99"/>
    </row>
    <row r="2" spans="1:11" ht="15.75" thickBot="1">
      <c r="A2" s="2" t="s">
        <v>621</v>
      </c>
      <c r="B2" s="501" t="s">
        <v>633</v>
      </c>
      <c r="J2" s="99"/>
      <c r="K2" s="99"/>
    </row>
    <row r="3" spans="1:11" ht="15.75" thickBot="1">
      <c r="A3" s="2"/>
      <c r="C3" s="854" t="s">
        <v>629</v>
      </c>
      <c r="D3" s="737" t="s">
        <v>636</v>
      </c>
      <c r="E3" s="854" t="s">
        <v>630</v>
      </c>
      <c r="F3" s="737" t="s">
        <v>636</v>
      </c>
      <c r="G3" s="854" t="s">
        <v>631</v>
      </c>
      <c r="H3" s="737" t="s">
        <v>636</v>
      </c>
      <c r="J3" s="99"/>
      <c r="K3" s="99"/>
    </row>
    <row r="4" spans="1:11">
      <c r="A4" s="1652" t="s">
        <v>634</v>
      </c>
      <c r="B4" s="1649" t="s">
        <v>635</v>
      </c>
      <c r="C4" s="735">
        <v>0.5</v>
      </c>
      <c r="D4" s="116">
        <f>2017+10</f>
        <v>2027</v>
      </c>
      <c r="E4" s="735">
        <v>0.5</v>
      </c>
      <c r="F4" s="116">
        <f>2017+5</f>
        <v>2022</v>
      </c>
      <c r="G4" s="735">
        <f>E4</f>
        <v>0.5</v>
      </c>
      <c r="H4" s="116">
        <f>F4</f>
        <v>2022</v>
      </c>
      <c r="J4" s="99"/>
      <c r="K4" s="99"/>
    </row>
    <row r="5" spans="1:11">
      <c r="A5" s="1632"/>
      <c r="B5" s="1650"/>
      <c r="C5" s="731">
        <v>0.65</v>
      </c>
      <c r="D5" s="130">
        <f>2017+20</f>
        <v>2037</v>
      </c>
      <c r="E5" s="731">
        <f t="shared" ref="E5:E6" si="0">C5</f>
        <v>0.65</v>
      </c>
      <c r="F5" s="130">
        <f>2017+10</f>
        <v>2027</v>
      </c>
      <c r="G5" s="731">
        <f t="shared" ref="G5:H6" si="1">E5</f>
        <v>0.65</v>
      </c>
      <c r="H5" s="130">
        <f t="shared" si="1"/>
        <v>2027</v>
      </c>
      <c r="J5" s="99"/>
      <c r="K5" s="99"/>
    </row>
    <row r="6" spans="1:11" ht="15.75" thickBot="1">
      <c r="A6" s="1633"/>
      <c r="B6" s="1651"/>
      <c r="C6" s="733">
        <v>0.8</v>
      </c>
      <c r="D6" s="140">
        <f>2017+30</f>
        <v>2047</v>
      </c>
      <c r="E6" s="733">
        <f t="shared" si="0"/>
        <v>0.8</v>
      </c>
      <c r="F6" s="140">
        <f>15+2017</f>
        <v>2032</v>
      </c>
      <c r="G6" s="733">
        <f t="shared" si="1"/>
        <v>0.8</v>
      </c>
      <c r="H6" s="140">
        <f t="shared" si="1"/>
        <v>2032</v>
      </c>
      <c r="J6" s="99"/>
      <c r="K6" s="99"/>
    </row>
    <row r="7" spans="1:11" ht="15.75" thickBot="1">
      <c r="A7" s="856"/>
      <c r="B7" s="856"/>
      <c r="C7" s="732"/>
      <c r="D7" s="104"/>
      <c r="E7" s="732"/>
      <c r="F7" s="104"/>
      <c r="G7" s="732"/>
      <c r="H7" s="104"/>
      <c r="J7" s="99"/>
      <c r="K7" s="99"/>
    </row>
    <row r="8" spans="1:11" ht="15.6" customHeight="1">
      <c r="A8" s="1663" t="s">
        <v>652</v>
      </c>
      <c r="B8" s="1515" t="s">
        <v>561</v>
      </c>
      <c r="C8" s="1516"/>
      <c r="D8" s="1516"/>
      <c r="E8" s="1516"/>
      <c r="F8" s="1517"/>
      <c r="G8" s="1515" t="s">
        <v>610</v>
      </c>
      <c r="H8" s="1516"/>
      <c r="I8" s="1517"/>
      <c r="J8" s="353"/>
      <c r="K8" s="99"/>
    </row>
    <row r="9" spans="1:11" ht="32.25" thickBot="1">
      <c r="A9" s="1664"/>
      <c r="B9" s="561" t="s">
        <v>549</v>
      </c>
      <c r="C9" s="307" t="s">
        <v>566</v>
      </c>
      <c r="D9" s="307" t="s">
        <v>429</v>
      </c>
      <c r="E9" s="307" t="s">
        <v>553</v>
      </c>
      <c r="F9" s="562" t="s">
        <v>303</v>
      </c>
      <c r="G9" s="561" t="s">
        <v>569</v>
      </c>
      <c r="H9" s="307" t="s">
        <v>570</v>
      </c>
      <c r="I9" s="562" t="s">
        <v>303</v>
      </c>
      <c r="J9" s="353"/>
      <c r="K9" s="99"/>
    </row>
    <row r="10" spans="1:11" ht="15.75">
      <c r="A10" s="542" t="s">
        <v>651</v>
      </c>
      <c r="B10" s="547">
        <f>'Input data'!B33</f>
        <v>0.46471844811027063</v>
      </c>
      <c r="C10" s="547">
        <f>'Input data'!C33</f>
        <v>0.41381327103365251</v>
      </c>
      <c r="D10" s="547">
        <f>'Input data'!D33</f>
        <v>0.12146828085607692</v>
      </c>
      <c r="E10" s="547">
        <f>'Input data'!E33</f>
        <v>0</v>
      </c>
      <c r="F10" s="547">
        <f>'Input data'!F33</f>
        <v>1</v>
      </c>
      <c r="G10" s="545">
        <f>'Input data'!G33</f>
        <v>0.66241124199764068</v>
      </c>
      <c r="H10" s="545">
        <f>'Input data'!H33</f>
        <v>0.33758875800235938</v>
      </c>
      <c r="I10" s="781">
        <f>'Input data'!I33</f>
        <v>1</v>
      </c>
      <c r="J10" s="158"/>
      <c r="K10" s="99"/>
    </row>
    <row r="11" spans="1:11" ht="15.75">
      <c r="A11" s="543" t="s">
        <v>656</v>
      </c>
      <c r="B11" s="547">
        <f>'Input data'!B34</f>
        <v>0.85641924869700936</v>
      </c>
      <c r="C11" s="547">
        <f>'Input data'!C34</f>
        <v>0.14268338865096522</v>
      </c>
      <c r="D11" s="547">
        <f>'Input data'!D34</f>
        <v>0</v>
      </c>
      <c r="E11" s="547">
        <f>'Input data'!E34</f>
        <v>8.973626520254116E-4</v>
      </c>
      <c r="F11" s="547">
        <f>'Input data'!F34</f>
        <v>1</v>
      </c>
      <c r="G11" s="547">
        <f>'Input data'!G34</f>
        <v>0.49613166950665732</v>
      </c>
      <c r="H11" s="547">
        <f>'Input data'!H34</f>
        <v>0.50386833049334279</v>
      </c>
      <c r="I11" s="547">
        <f>'Input data'!I34</f>
        <v>1</v>
      </c>
      <c r="J11" s="844"/>
      <c r="K11" s="99"/>
    </row>
    <row r="12" spans="1:11" ht="15.75">
      <c r="A12" s="816" t="s">
        <v>657</v>
      </c>
      <c r="B12" s="547">
        <f>'Input data'!B35</f>
        <v>0.74218195843015589</v>
      </c>
      <c r="C12" s="547">
        <f>'Input data'!C35</f>
        <v>0.25567103228934263</v>
      </c>
      <c r="D12" s="547">
        <f>'Input data'!D35</f>
        <v>0</v>
      </c>
      <c r="E12" s="547">
        <f>'Input data'!E35</f>
        <v>2.1470092805013948E-3</v>
      </c>
      <c r="F12" s="547">
        <f>'Input data'!F35</f>
        <v>0.99999999999999989</v>
      </c>
      <c r="G12" s="547">
        <f>'Input data'!G35</f>
        <v>0.32721719372829228</v>
      </c>
      <c r="H12" s="547">
        <f>'Input data'!H35</f>
        <v>0.67278280627170772</v>
      </c>
      <c r="I12" s="547">
        <f>'Input data'!I35</f>
        <v>1</v>
      </c>
      <c r="J12" s="99"/>
      <c r="K12" s="99"/>
    </row>
    <row r="13" spans="1:11" ht="16.5" thickBot="1">
      <c r="A13" s="544" t="s">
        <v>575</v>
      </c>
      <c r="B13" s="782">
        <f>'Input data'!B36</f>
        <v>0.8</v>
      </c>
      <c r="C13" s="782">
        <f>'Input data'!C36</f>
        <v>0.11</v>
      </c>
      <c r="D13" s="782">
        <f>'Input data'!D36</f>
        <v>0.09</v>
      </c>
      <c r="E13" s="782">
        <f>'Input data'!E36</f>
        <v>0</v>
      </c>
      <c r="F13" s="782">
        <f>'Input data'!F36</f>
        <v>1</v>
      </c>
      <c r="G13" s="783">
        <f>'Input data'!G36</f>
        <v>1</v>
      </c>
      <c r="H13" s="783">
        <f>'Input data'!H36</f>
        <v>0</v>
      </c>
      <c r="I13" s="784">
        <f>'Input data'!I36</f>
        <v>1</v>
      </c>
      <c r="J13" s="99"/>
      <c r="K13" s="99">
        <v>0.57999999999999996</v>
      </c>
    </row>
    <row r="14" spans="1:11" ht="15.75">
      <c r="A14" s="580"/>
      <c r="C14" s="780"/>
      <c r="E14" s="780"/>
      <c r="F14" s="780"/>
      <c r="G14" s="535"/>
      <c r="J14" s="99"/>
      <c r="K14" s="99">
        <v>0.21707953063885269</v>
      </c>
    </row>
    <row r="15" spans="1:11" ht="15.6" customHeight="1" thickBot="1">
      <c r="B15" s="501" t="s">
        <v>632</v>
      </c>
      <c r="J15" s="99"/>
      <c r="K15" s="99">
        <v>0.71200000000000008</v>
      </c>
    </row>
    <row r="16" spans="1:11" ht="15.75" thickBot="1">
      <c r="A16" s="788"/>
      <c r="B16" s="787" t="s">
        <v>636</v>
      </c>
      <c r="C16" s="745" t="s">
        <v>87</v>
      </c>
      <c r="D16" s="745" t="s">
        <v>364</v>
      </c>
      <c r="E16" s="745" t="s">
        <v>365</v>
      </c>
      <c r="F16" s="745" t="s">
        <v>366</v>
      </c>
      <c r="G16" s="832" t="s">
        <v>660</v>
      </c>
      <c r="H16" s="833" t="s">
        <v>367</v>
      </c>
      <c r="K16">
        <v>0.8</v>
      </c>
    </row>
    <row r="17" spans="1:11">
      <c r="A17" s="789" t="s">
        <v>653</v>
      </c>
      <c r="B17" s="788">
        <v>2017</v>
      </c>
      <c r="C17" s="114">
        <f>E63/E65</f>
        <v>0.57999999999999996</v>
      </c>
      <c r="D17" s="114">
        <f>J63/J65</f>
        <v>0.437</v>
      </c>
      <c r="E17" s="114">
        <f t="shared" ref="E17:G17" si="2">K63/K65</f>
        <v>0.71200000000000008</v>
      </c>
      <c r="F17" s="114">
        <f t="shared" si="2"/>
        <v>0.8</v>
      </c>
      <c r="G17" s="114">
        <f t="shared" si="2"/>
        <v>0.23600000000000002</v>
      </c>
      <c r="H17" s="741">
        <f>H80</f>
        <v>6.154773859516615E-2</v>
      </c>
      <c r="K17">
        <v>0.23600000000000002</v>
      </c>
    </row>
    <row r="18" spans="1:11">
      <c r="A18" s="790" t="s">
        <v>629</v>
      </c>
      <c r="B18" s="693">
        <v>2030</v>
      </c>
      <c r="C18" s="510">
        <f>C17</f>
        <v>0.57999999999999996</v>
      </c>
      <c r="D18" s="510">
        <f t="shared" ref="D18:F18" si="3">D17</f>
        <v>0.437</v>
      </c>
      <c r="E18" s="510">
        <f t="shared" si="3"/>
        <v>0.71200000000000008</v>
      </c>
      <c r="F18" s="510">
        <f t="shared" si="3"/>
        <v>0.8</v>
      </c>
      <c r="G18" s="510">
        <f>G17</f>
        <v>0.23600000000000002</v>
      </c>
      <c r="H18" s="658">
        <f>H17</f>
        <v>6.154773859516615E-2</v>
      </c>
    </row>
    <row r="19" spans="1:11">
      <c r="A19" s="789" t="s">
        <v>630</v>
      </c>
      <c r="B19" s="693">
        <v>2030</v>
      </c>
      <c r="C19" s="732">
        <v>0.7</v>
      </c>
      <c r="D19" s="732">
        <v>0.6</v>
      </c>
      <c r="E19" s="732">
        <v>0.9</v>
      </c>
      <c r="F19" s="732">
        <v>0.9</v>
      </c>
      <c r="G19" s="510">
        <f>G18</f>
        <v>0.23600000000000002</v>
      </c>
      <c r="H19" s="742">
        <v>0.4</v>
      </c>
    </row>
    <row r="20" spans="1:11" ht="15.75" thickBot="1">
      <c r="A20" s="791" t="s">
        <v>631</v>
      </c>
      <c r="B20" s="694">
        <v>2030</v>
      </c>
      <c r="C20" s="734">
        <f>C19</f>
        <v>0.7</v>
      </c>
      <c r="D20" s="734">
        <f>D19</f>
        <v>0.6</v>
      </c>
      <c r="E20" s="734">
        <f>E19</f>
        <v>0.9</v>
      </c>
      <c r="F20" s="734">
        <f>F19</f>
        <v>0.9</v>
      </c>
      <c r="G20" s="807">
        <f>G19</f>
        <v>0.23600000000000002</v>
      </c>
      <c r="H20" s="743">
        <f>H19</f>
        <v>0.4</v>
      </c>
    </row>
    <row r="21" spans="1:11">
      <c r="A21" s="738"/>
      <c r="B21" s="104"/>
      <c r="C21" s="732"/>
      <c r="D21" s="732"/>
      <c r="E21" s="732"/>
      <c r="F21" s="104"/>
      <c r="G21" s="104"/>
      <c r="J21" s="510"/>
    </row>
    <row r="22" spans="1:11">
      <c r="A22" s="738"/>
      <c r="B22" s="104"/>
      <c r="C22" s="732"/>
      <c r="D22" s="732"/>
      <c r="E22" s="732"/>
      <c r="F22" s="104"/>
      <c r="G22" s="104"/>
    </row>
    <row r="23" spans="1:11">
      <c r="A23" s="739"/>
      <c r="B23" s="58"/>
      <c r="C23" s="58"/>
      <c r="D23" s="58"/>
      <c r="E23" s="732"/>
    </row>
    <row r="24" spans="1:11" ht="15.75" thickBot="1">
      <c r="A24" s="739"/>
      <c r="B24" s="501" t="s">
        <v>637</v>
      </c>
      <c r="C24" s="58"/>
      <c r="D24" s="58"/>
      <c r="E24" s="732"/>
    </row>
    <row r="25" spans="1:11" ht="15.75" thickBot="1">
      <c r="A25" s="740"/>
      <c r="B25" s="744"/>
      <c r="C25" s="748" t="s">
        <v>629</v>
      </c>
      <c r="D25" s="749" t="s">
        <v>636</v>
      </c>
      <c r="E25" s="854" t="s">
        <v>630</v>
      </c>
      <c r="F25" s="737" t="s">
        <v>636</v>
      </c>
      <c r="G25" s="855" t="s">
        <v>631</v>
      </c>
      <c r="H25" s="737" t="s">
        <v>636</v>
      </c>
    </row>
    <row r="26" spans="1:11">
      <c r="A26" s="1632" t="s">
        <v>638</v>
      </c>
      <c r="B26" s="1650" t="s">
        <v>635</v>
      </c>
      <c r="C26" s="731">
        <v>0.25</v>
      </c>
      <c r="D26" s="104">
        <f>2017+5</f>
        <v>2022</v>
      </c>
      <c r="E26" s="1657">
        <v>0.5</v>
      </c>
      <c r="F26" s="1659">
        <f>2017+5</f>
        <v>2022</v>
      </c>
      <c r="G26" s="1661">
        <f>E26</f>
        <v>0.5</v>
      </c>
      <c r="H26" s="1659">
        <f>F26</f>
        <v>2022</v>
      </c>
    </row>
    <row r="27" spans="1:11" ht="15.75" thickBot="1">
      <c r="A27" s="1633"/>
      <c r="B27" s="1651"/>
      <c r="C27" s="733">
        <v>0.5</v>
      </c>
      <c r="D27" s="163">
        <f>2017+10</f>
        <v>2027</v>
      </c>
      <c r="E27" s="1658"/>
      <c r="F27" s="1660"/>
      <c r="G27" s="1662"/>
      <c r="H27" s="1660"/>
    </row>
    <row r="28" spans="1:11" ht="15.75" thickBot="1">
      <c r="A28" s="856"/>
      <c r="B28" s="856"/>
      <c r="C28" s="732"/>
      <c r="D28" s="104"/>
      <c r="E28" s="732"/>
      <c r="F28" s="104"/>
      <c r="G28" s="732"/>
      <c r="H28" s="104"/>
    </row>
    <row r="29" spans="1:11">
      <c r="A29" s="750"/>
      <c r="B29" s="756"/>
      <c r="C29" s="1654" t="s">
        <v>629</v>
      </c>
      <c r="D29" s="1655"/>
      <c r="E29" s="1654" t="s">
        <v>630</v>
      </c>
      <c r="F29" s="1655"/>
      <c r="G29" s="1656" t="s">
        <v>631</v>
      </c>
      <c r="H29" s="1655"/>
    </row>
    <row r="30" spans="1:11" ht="15.75" thickBot="1">
      <c r="A30" s="752"/>
      <c r="B30" s="757"/>
      <c r="C30" s="753" t="s">
        <v>640</v>
      </c>
      <c r="D30" s="754" t="s">
        <v>176</v>
      </c>
      <c r="E30" s="753" t="s">
        <v>640</v>
      </c>
      <c r="F30" s="754" t="s">
        <v>176</v>
      </c>
      <c r="G30" s="755" t="s">
        <v>640</v>
      </c>
      <c r="H30" s="754" t="s">
        <v>176</v>
      </c>
    </row>
    <row r="31" spans="1:11" ht="15.75" thickBot="1">
      <c r="A31" s="758" t="s">
        <v>639</v>
      </c>
      <c r="B31" s="759" t="s">
        <v>635</v>
      </c>
      <c r="C31" s="733">
        <v>0.1</v>
      </c>
      <c r="D31" s="743">
        <v>0.9</v>
      </c>
      <c r="E31" s="733">
        <v>0.1</v>
      </c>
      <c r="F31" s="743">
        <v>0.9</v>
      </c>
      <c r="G31" s="734">
        <v>0.5</v>
      </c>
      <c r="H31" s="743">
        <v>0.5</v>
      </c>
    </row>
    <row r="32" spans="1:11">
      <c r="A32" s="739"/>
      <c r="B32" s="58"/>
      <c r="C32" s="58"/>
      <c r="D32" s="58"/>
      <c r="E32" s="732"/>
    </row>
    <row r="33" spans="1:24" ht="15.75" thickBot="1">
      <c r="A33" s="739"/>
      <c r="B33" s="501" t="s">
        <v>641</v>
      </c>
      <c r="C33" s="58"/>
      <c r="D33" s="58"/>
      <c r="E33" s="732"/>
    </row>
    <row r="34" spans="1:24" ht="28.9" customHeight="1" thickBot="1">
      <c r="A34" s="767"/>
      <c r="B34" s="1331" t="s">
        <v>636</v>
      </c>
      <c r="C34" s="928" t="s">
        <v>269</v>
      </c>
      <c r="D34" s="929" t="s">
        <v>270</v>
      </c>
      <c r="E34" s="929" t="s">
        <v>271</v>
      </c>
      <c r="F34" s="929" t="s">
        <v>272</v>
      </c>
      <c r="G34" s="930" t="s">
        <v>706</v>
      </c>
    </row>
    <row r="35" spans="1:24">
      <c r="A35" s="768" t="s">
        <v>642</v>
      </c>
      <c r="B35" s="1222">
        <v>2017</v>
      </c>
      <c r="C35" s="931">
        <f>Parameters!C188</f>
        <v>0</v>
      </c>
      <c r="D35" s="932">
        <f>Parameters!D188</f>
        <v>0</v>
      </c>
      <c r="E35" s="932">
        <f>Parameters!E188</f>
        <v>0.4</v>
      </c>
      <c r="F35" s="932">
        <f>Parameters!F188</f>
        <v>0.3</v>
      </c>
      <c r="G35" s="933">
        <f>Parameters!G188</f>
        <v>0.3</v>
      </c>
    </row>
    <row r="36" spans="1:24">
      <c r="A36" s="1637" t="s">
        <v>629</v>
      </c>
      <c r="B36" s="1223">
        <v>2030</v>
      </c>
      <c r="C36" s="764">
        <f>C35</f>
        <v>0</v>
      </c>
      <c r="D36" s="760">
        <f>D35</f>
        <v>0</v>
      </c>
      <c r="E36" s="760">
        <f>1-F36-G36</f>
        <v>0.7</v>
      </c>
      <c r="F36" s="760">
        <f>F35/2</f>
        <v>0.15</v>
      </c>
      <c r="G36" s="761">
        <f>G35/2</f>
        <v>0.15</v>
      </c>
      <c r="H36" t="s">
        <v>643</v>
      </c>
    </row>
    <row r="37" spans="1:24">
      <c r="A37" s="1637"/>
      <c r="B37" s="1223">
        <v>2050</v>
      </c>
      <c r="C37" s="764">
        <f>C38</f>
        <v>0</v>
      </c>
      <c r="D37" s="760">
        <f t="shared" ref="D37:G37" si="4">D38</f>
        <v>0</v>
      </c>
      <c r="E37" s="760">
        <f t="shared" si="4"/>
        <v>1</v>
      </c>
      <c r="F37" s="760">
        <f t="shared" si="4"/>
        <v>0</v>
      </c>
      <c r="G37" s="761">
        <f t="shared" si="4"/>
        <v>0</v>
      </c>
    </row>
    <row r="38" spans="1:24">
      <c r="A38" s="1243" t="s">
        <v>630</v>
      </c>
      <c r="B38" s="1223">
        <v>2030</v>
      </c>
      <c r="C38" s="764">
        <f>C36</f>
        <v>0</v>
      </c>
      <c r="D38" s="760">
        <f>D36</f>
        <v>0</v>
      </c>
      <c r="E38" s="760">
        <v>1</v>
      </c>
      <c r="F38" s="760">
        <v>0</v>
      </c>
      <c r="G38" s="761">
        <v>0</v>
      </c>
      <c r="H38" t="s">
        <v>644</v>
      </c>
    </row>
    <row r="39" spans="1:24" ht="15.75" thickBot="1">
      <c r="A39" s="1244" t="s">
        <v>631</v>
      </c>
      <c r="B39" s="1224">
        <v>2030</v>
      </c>
      <c r="C39" s="765">
        <f>C37</f>
        <v>0</v>
      </c>
      <c r="D39" s="762">
        <f>D37</f>
        <v>0</v>
      </c>
      <c r="E39" s="762">
        <v>1</v>
      </c>
      <c r="F39" s="762">
        <v>0</v>
      </c>
      <c r="G39" s="763">
        <v>0</v>
      </c>
    </row>
    <row r="40" spans="1:24">
      <c r="A40" s="2"/>
    </row>
    <row r="41" spans="1:24" ht="15.75" thickBot="1">
      <c r="A41" s="2"/>
      <c r="B41" s="501" t="s">
        <v>645</v>
      </c>
    </row>
    <row r="42" spans="1:24" ht="15.75" thickBot="1">
      <c r="A42" s="2"/>
      <c r="C42" s="1653" t="s">
        <v>6</v>
      </c>
      <c r="D42" s="1647"/>
      <c r="E42" s="1647"/>
      <c r="F42" s="1647"/>
      <c r="G42" s="1647"/>
      <c r="H42" s="1647"/>
      <c r="I42" s="1648"/>
      <c r="J42" s="1646" t="s">
        <v>298</v>
      </c>
      <c r="K42" s="1647"/>
      <c r="L42" s="1647"/>
      <c r="M42" s="1647"/>
      <c r="N42" s="1647"/>
      <c r="O42" s="1647"/>
      <c r="P42" s="1648"/>
      <c r="Q42" s="1634" t="s">
        <v>299</v>
      </c>
      <c r="R42" s="1634"/>
      <c r="S42" s="1634"/>
      <c r="T42" s="1634"/>
      <c r="U42" s="1634"/>
      <c r="V42" s="1634"/>
      <c r="W42" s="1635"/>
      <c r="X42" s="974"/>
    </row>
    <row r="43" spans="1:24" ht="30.75" thickBot="1">
      <c r="A43" s="767"/>
      <c r="B43" s="1330" t="s">
        <v>636</v>
      </c>
      <c r="C43" s="773" t="s">
        <v>17</v>
      </c>
      <c r="D43" s="774" t="s">
        <v>23</v>
      </c>
      <c r="E43" s="774" t="s">
        <v>19</v>
      </c>
      <c r="F43" s="774" t="s">
        <v>304</v>
      </c>
      <c r="G43" s="774" t="s">
        <v>9</v>
      </c>
      <c r="H43" s="774" t="s">
        <v>10</v>
      </c>
      <c r="I43" s="775" t="s">
        <v>225</v>
      </c>
      <c r="J43" s="777" t="s">
        <v>17</v>
      </c>
      <c r="K43" s="774" t="s">
        <v>23</v>
      </c>
      <c r="L43" s="774" t="s">
        <v>19</v>
      </c>
      <c r="M43" s="774" t="s">
        <v>304</v>
      </c>
      <c r="N43" s="774" t="s">
        <v>9</v>
      </c>
      <c r="O43" s="774" t="s">
        <v>10</v>
      </c>
      <c r="P43" s="775" t="s">
        <v>225</v>
      </c>
      <c r="Q43" s="1199" t="s">
        <v>17</v>
      </c>
      <c r="R43" s="1200" t="s">
        <v>23</v>
      </c>
      <c r="S43" s="1200" t="s">
        <v>19</v>
      </c>
      <c r="T43" s="1200" t="s">
        <v>304</v>
      </c>
      <c r="U43" s="1200" t="s">
        <v>9</v>
      </c>
      <c r="V43" s="1200" t="s">
        <v>10</v>
      </c>
      <c r="W43" s="1201" t="s">
        <v>225</v>
      </c>
    </row>
    <row r="44" spans="1:24">
      <c r="A44" s="1196" t="s">
        <v>646</v>
      </c>
      <c r="B44" s="740">
        <v>2017</v>
      </c>
      <c r="C44" s="117">
        <f>'4D Wastewater treatment and dis'!H107</f>
        <v>0.1</v>
      </c>
      <c r="D44" s="118">
        <f>'4D Wastewater treatment and dis'!I107</f>
        <v>0</v>
      </c>
      <c r="E44" s="118">
        <f>'4D Wastewater treatment and dis'!J107</f>
        <v>0.1</v>
      </c>
      <c r="F44" s="118">
        <f>'4D Wastewater treatment and dis'!K107</f>
        <v>0.28000000000000003</v>
      </c>
      <c r="G44" s="118">
        <f>'4D Wastewater treatment and dis'!L107</f>
        <v>0.04</v>
      </c>
      <c r="H44" s="118">
        <f>'4D Wastewater treatment and dis'!M107</f>
        <v>0.48</v>
      </c>
      <c r="I44" s="206">
        <f>SUM(C44:H44)</f>
        <v>1</v>
      </c>
      <c r="J44" s="118">
        <f>'4D Wastewater treatment and dis'!N107</f>
        <v>0</v>
      </c>
      <c r="K44" s="118">
        <f>'4D Wastewater treatment and dis'!O107</f>
        <v>0.7</v>
      </c>
      <c r="L44" s="118">
        <f>'4D Wastewater treatment and dis'!P107</f>
        <v>0.15</v>
      </c>
      <c r="M44" s="118">
        <f>'4D Wastewater treatment and dis'!Q107</f>
        <v>0.15</v>
      </c>
      <c r="N44" s="118">
        <f>'4D Wastewater treatment and dis'!R107</f>
        <v>0</v>
      </c>
      <c r="O44" s="118">
        <f>'4D Wastewater treatment and dis'!S107</f>
        <v>0</v>
      </c>
      <c r="P44" s="206">
        <f>SUM(J44:O44)</f>
        <v>1</v>
      </c>
      <c r="Q44" s="839">
        <f>'4D Wastewater treatment and dis'!T107</f>
        <v>0.34</v>
      </c>
      <c r="R44" s="839">
        <f>'4D Wastewater treatment and dis'!U107</f>
        <v>0</v>
      </c>
      <c r="S44" s="839">
        <f>'4D Wastewater treatment and dis'!V107</f>
        <v>0.17</v>
      </c>
      <c r="T44" s="839">
        <f>'4D Wastewater treatment and dis'!W107</f>
        <v>0.24</v>
      </c>
      <c r="U44" s="839">
        <f>'4D Wastewater treatment and dis'!X107</f>
        <v>0.05</v>
      </c>
      <c r="V44" s="839">
        <f>'4D Wastewater treatment and dis'!Y107</f>
        <v>0.2</v>
      </c>
      <c r="W44" s="1022">
        <f>SUM(Q44:V44)</f>
        <v>1</v>
      </c>
    </row>
    <row r="45" spans="1:24">
      <c r="A45" s="1197" t="s">
        <v>629</v>
      </c>
      <c r="B45" s="157">
        <v>2050</v>
      </c>
      <c r="C45" s="117">
        <f>C44+C44*$H$44/SUM($C$44:$G$44)</f>
        <v>0.19230769230769232</v>
      </c>
      <c r="D45" s="118">
        <f>D44+D44*$H$44/SUM($C$44:$G$44)</f>
        <v>0</v>
      </c>
      <c r="E45" s="118">
        <f>E44+E44*$H$44/SUM($C$44:$G$44)</f>
        <v>0.19230769230769232</v>
      </c>
      <c r="F45" s="118">
        <f>F44+F44*$H$44/SUM($C$44:$G$44)</f>
        <v>0.53846153846153855</v>
      </c>
      <c r="G45" s="118">
        <f>G44+G44*$H$44/SUM($C$44:$G$44)</f>
        <v>7.6923076923076927E-2</v>
      </c>
      <c r="H45" s="118">
        <v>0</v>
      </c>
      <c r="I45" s="206">
        <f>SUM(C45:H45)</f>
        <v>1</v>
      </c>
      <c r="J45" s="118">
        <f>J44</f>
        <v>0</v>
      </c>
      <c r="K45" s="118">
        <f t="shared" ref="K45:O47" si="5">K44</f>
        <v>0.7</v>
      </c>
      <c r="L45" s="118">
        <f t="shared" si="5"/>
        <v>0.15</v>
      </c>
      <c r="M45" s="118">
        <f t="shared" si="5"/>
        <v>0.15</v>
      </c>
      <c r="N45" s="118">
        <f t="shared" si="5"/>
        <v>0</v>
      </c>
      <c r="O45" s="118">
        <f t="shared" si="5"/>
        <v>0</v>
      </c>
      <c r="P45" s="206">
        <f>SUM(J45:O45)</f>
        <v>1</v>
      </c>
      <c r="Q45" s="118">
        <f>Q44+Q44*$V$44/SUM($Q$44:$U$44)</f>
        <v>0.42500000000000004</v>
      </c>
      <c r="R45" s="118">
        <f>R44+R44*$V$44/SUM($Q$44:$U$44)</f>
        <v>0</v>
      </c>
      <c r="S45" s="118">
        <f>S44+S44*$V$44/SUM($Q$44:$U$44)</f>
        <v>0.21250000000000002</v>
      </c>
      <c r="T45" s="118">
        <f>T44+T44*$V$44/SUM($Q$44:$U$44)</f>
        <v>0.3</v>
      </c>
      <c r="U45" s="118">
        <f>U44+U44*$V$44/SUM($Q$44:$U$44)</f>
        <v>6.25E-2</v>
      </c>
      <c r="V45" s="104">
        <v>0</v>
      </c>
      <c r="W45" s="206">
        <f>SUM(Q45:V45)</f>
        <v>1</v>
      </c>
    </row>
    <row r="46" spans="1:24">
      <c r="A46" s="1197" t="s">
        <v>716</v>
      </c>
      <c r="B46" s="157">
        <v>2030</v>
      </c>
      <c r="C46" s="117">
        <f>C45</f>
        <v>0.19230769230769232</v>
      </c>
      <c r="D46" s="118">
        <f t="shared" ref="D46:H47" si="6">D45</f>
        <v>0</v>
      </c>
      <c r="E46" s="118">
        <f t="shared" si="6"/>
        <v>0.19230769230769232</v>
      </c>
      <c r="F46" s="118">
        <f t="shared" si="6"/>
        <v>0.53846153846153855</v>
      </c>
      <c r="G46" s="118">
        <f t="shared" si="6"/>
        <v>7.6923076923076927E-2</v>
      </c>
      <c r="H46" s="118">
        <f t="shared" si="6"/>
        <v>0</v>
      </c>
      <c r="I46" s="206">
        <f>SUM(C46:H46)</f>
        <v>1</v>
      </c>
      <c r="J46" s="118">
        <f>J45</f>
        <v>0</v>
      </c>
      <c r="K46" s="118">
        <f t="shared" si="5"/>
        <v>0.7</v>
      </c>
      <c r="L46" s="118">
        <f t="shared" si="5"/>
        <v>0.15</v>
      </c>
      <c r="M46" s="118">
        <f t="shared" si="5"/>
        <v>0.15</v>
      </c>
      <c r="N46" s="118">
        <f t="shared" si="5"/>
        <v>0</v>
      </c>
      <c r="O46" s="118">
        <f t="shared" si="5"/>
        <v>0</v>
      </c>
      <c r="P46" s="206">
        <f>SUM(J46:O46)</f>
        <v>1</v>
      </c>
      <c r="Q46" s="118">
        <f>Q45</f>
        <v>0.42500000000000004</v>
      </c>
      <c r="R46" s="118">
        <f t="shared" ref="R46:U47" si="7">R45</f>
        <v>0</v>
      </c>
      <c r="S46" s="118">
        <f t="shared" si="7"/>
        <v>0.21250000000000002</v>
      </c>
      <c r="T46" s="118">
        <f t="shared" si="7"/>
        <v>0.3</v>
      </c>
      <c r="U46" s="118">
        <f t="shared" si="7"/>
        <v>6.25E-2</v>
      </c>
      <c r="V46" s="104">
        <v>0</v>
      </c>
      <c r="W46" s="206">
        <f>SUM(Q46:V46)</f>
        <v>1</v>
      </c>
    </row>
    <row r="47" spans="1:24" ht="15.75" thickBot="1">
      <c r="A47" s="1198" t="s">
        <v>631</v>
      </c>
      <c r="B47" s="1183">
        <v>2030</v>
      </c>
      <c r="C47" s="120">
        <f>C46</f>
        <v>0.19230769230769232</v>
      </c>
      <c r="D47" s="121">
        <f t="shared" si="6"/>
        <v>0</v>
      </c>
      <c r="E47" s="121">
        <f t="shared" si="6"/>
        <v>0.19230769230769232</v>
      </c>
      <c r="F47" s="121">
        <f t="shared" si="6"/>
        <v>0.53846153846153855</v>
      </c>
      <c r="G47" s="121">
        <f t="shared" si="6"/>
        <v>7.6923076923076927E-2</v>
      </c>
      <c r="H47" s="121">
        <f t="shared" si="6"/>
        <v>0</v>
      </c>
      <c r="I47" s="207">
        <f>SUM(C47:H47)</f>
        <v>1</v>
      </c>
      <c r="J47" s="121">
        <f>J46</f>
        <v>0</v>
      </c>
      <c r="K47" s="121">
        <f t="shared" si="5"/>
        <v>0.7</v>
      </c>
      <c r="L47" s="121">
        <f t="shared" si="5"/>
        <v>0.15</v>
      </c>
      <c r="M47" s="121">
        <f t="shared" si="5"/>
        <v>0.15</v>
      </c>
      <c r="N47" s="121">
        <f t="shared" si="5"/>
        <v>0</v>
      </c>
      <c r="O47" s="121">
        <f t="shared" si="5"/>
        <v>0</v>
      </c>
      <c r="P47" s="207">
        <f>SUM(J47:O47)</f>
        <v>1</v>
      </c>
      <c r="Q47" s="121">
        <f>Q46</f>
        <v>0.42500000000000004</v>
      </c>
      <c r="R47" s="121">
        <f t="shared" si="7"/>
        <v>0</v>
      </c>
      <c r="S47" s="121">
        <f t="shared" si="7"/>
        <v>0.21250000000000002</v>
      </c>
      <c r="T47" s="121">
        <f t="shared" si="7"/>
        <v>0.3</v>
      </c>
      <c r="U47" s="121">
        <f t="shared" si="7"/>
        <v>6.25E-2</v>
      </c>
      <c r="V47" s="163">
        <v>0</v>
      </c>
      <c r="W47" s="207">
        <f>SUM(Q47:V47)</f>
        <v>1</v>
      </c>
    </row>
    <row r="48" spans="1:24" ht="15.75" thickBot="1">
      <c r="A48" s="375"/>
      <c r="B48" s="165"/>
      <c r="C48" s="118"/>
      <c r="D48" s="118"/>
      <c r="E48" s="118"/>
      <c r="F48" s="118"/>
      <c r="G48" s="118"/>
      <c r="H48" s="118"/>
      <c r="I48" s="118"/>
      <c r="J48" s="118"/>
      <c r="K48" s="118"/>
      <c r="L48" s="118"/>
      <c r="M48" s="118"/>
      <c r="N48" s="118"/>
      <c r="O48" s="118"/>
      <c r="P48" s="118"/>
      <c r="Q48" s="118"/>
      <c r="R48" s="118"/>
      <c r="S48" s="118"/>
      <c r="T48" s="118"/>
      <c r="U48" s="118"/>
      <c r="V48" s="118"/>
      <c r="W48" s="104"/>
      <c r="X48" s="118"/>
    </row>
    <row r="49" spans="1:28" ht="63" customHeight="1" thickBot="1">
      <c r="A49" s="793"/>
      <c r="B49" s="766" t="s">
        <v>636</v>
      </c>
      <c r="C49" s="801" t="s">
        <v>582</v>
      </c>
      <c r="D49" s="797" t="s">
        <v>581</v>
      </c>
      <c r="J49" s="118"/>
      <c r="K49" s="118"/>
      <c r="L49" s="118"/>
      <c r="M49" s="118"/>
      <c r="N49" s="118"/>
      <c r="O49" s="118"/>
      <c r="P49" s="118"/>
      <c r="Q49" s="118"/>
      <c r="R49" s="118"/>
      <c r="S49" s="118"/>
      <c r="T49" s="118"/>
      <c r="U49" s="118"/>
      <c r="V49" s="118"/>
      <c r="W49" s="104"/>
      <c r="X49" s="118"/>
    </row>
    <row r="50" spans="1:28" ht="15.75">
      <c r="A50" s="790" t="s">
        <v>650</v>
      </c>
      <c r="B50" s="794">
        <v>2017</v>
      </c>
      <c r="C50" s="798">
        <f>'Input data'!C40</f>
        <v>0.71479999999999999</v>
      </c>
      <c r="D50" s="798">
        <f>'Input data'!C39</f>
        <v>0.28959999999999997</v>
      </c>
      <c r="J50" s="118"/>
      <c r="K50" s="118"/>
      <c r="L50" s="118"/>
      <c r="M50" s="118"/>
      <c r="N50" s="118"/>
      <c r="O50" s="118"/>
      <c r="P50" s="118"/>
      <c r="Q50" s="118"/>
      <c r="R50" s="118"/>
      <c r="S50" s="118"/>
      <c r="T50" s="118"/>
      <c r="U50" s="118"/>
      <c r="V50" s="118"/>
      <c r="W50" s="104"/>
      <c r="X50" s="118"/>
    </row>
    <row r="51" spans="1:28">
      <c r="A51" s="789" t="s">
        <v>629</v>
      </c>
      <c r="B51" s="795">
        <v>2050</v>
      </c>
      <c r="C51" s="799">
        <v>1</v>
      </c>
      <c r="D51" s="799">
        <f>(C45+D45)*Parameters!$D$12+Parameters!$D$13*('Recycling - Case 2'!K45+J45)+('Recycling - Case 2'!Q45+'Recycling - Case 2'!R45)*Parameters!$D$14</f>
        <v>0.36725000000000002</v>
      </c>
      <c r="J51" s="118"/>
      <c r="K51" s="118"/>
      <c r="L51" s="118"/>
      <c r="M51" s="118"/>
      <c r="N51" s="118"/>
      <c r="O51" s="118"/>
      <c r="P51" s="118"/>
      <c r="Q51" s="118"/>
      <c r="R51" s="118"/>
      <c r="S51" s="118"/>
      <c r="T51" s="118"/>
      <c r="U51" s="118"/>
      <c r="V51" s="118"/>
      <c r="W51" s="104"/>
      <c r="X51" s="118"/>
    </row>
    <row r="52" spans="1:28" ht="15.75" thickBot="1">
      <c r="A52" s="791" t="s">
        <v>630</v>
      </c>
      <c r="B52" s="796">
        <v>2030</v>
      </c>
      <c r="C52" s="800">
        <v>1</v>
      </c>
      <c r="D52" s="800">
        <f>(C46+D46)*Parameters!$D$12+Parameters!$D$13*('Recycling - Case 2'!K46+J46)+('Recycling - Case 2'!Q46+'Recycling - Case 2'!R46)*Parameters!$D$14</f>
        <v>0.36725000000000002</v>
      </c>
      <c r="J52" s="118"/>
      <c r="K52" s="118"/>
      <c r="L52" s="118"/>
      <c r="M52" s="118"/>
      <c r="N52" s="118"/>
      <c r="O52" s="118"/>
      <c r="P52" s="118"/>
      <c r="Q52" s="118"/>
      <c r="R52" s="118"/>
      <c r="S52" s="118"/>
      <c r="T52" s="118"/>
      <c r="U52" s="118"/>
      <c r="V52" s="118"/>
      <c r="W52" s="104"/>
      <c r="X52" s="118"/>
    </row>
    <row r="53" spans="1:28">
      <c r="A53" s="792"/>
      <c r="B53" s="104"/>
      <c r="C53" s="118"/>
      <c r="D53" s="118"/>
      <c r="E53" s="118"/>
      <c r="F53" s="118"/>
      <c r="G53" s="118"/>
      <c r="H53" s="118"/>
      <c r="I53" s="118"/>
      <c r="Q53" s="104"/>
      <c r="R53" s="104"/>
      <c r="S53" s="104"/>
      <c r="T53" s="104"/>
      <c r="U53" s="104"/>
      <c r="V53" s="104"/>
      <c r="W53" s="104"/>
      <c r="X53" s="104"/>
    </row>
    <row r="54" spans="1:28">
      <c r="A54" s="2"/>
      <c r="Q54" s="104"/>
      <c r="R54" s="104"/>
      <c r="S54" s="104"/>
      <c r="T54" s="104"/>
      <c r="U54" s="104"/>
      <c r="V54" s="104"/>
      <c r="W54" s="104"/>
      <c r="X54" s="104"/>
    </row>
    <row r="55" spans="1:28">
      <c r="A55" s="2"/>
      <c r="Q55" s="104"/>
      <c r="R55" s="104"/>
      <c r="S55" s="104"/>
      <c r="T55" s="104"/>
      <c r="U55" s="104"/>
      <c r="V55" s="104"/>
      <c r="W55" s="104"/>
      <c r="X55" s="104"/>
    </row>
    <row r="56" spans="1:28" ht="15.75">
      <c r="A56" s="367" t="s">
        <v>628</v>
      </c>
      <c r="B56" s="362"/>
      <c r="C56" s="362"/>
      <c r="D56" s="362"/>
      <c r="E56" s="362"/>
      <c r="F56" s="362"/>
      <c r="G56" s="362"/>
      <c r="H56" s="362"/>
      <c r="I56" s="360"/>
      <c r="J56" s="361"/>
      <c r="K56" s="361"/>
      <c r="L56" s="361"/>
      <c r="M56" s="361"/>
      <c r="N56" s="361"/>
      <c r="O56" s="361"/>
      <c r="P56" s="361"/>
      <c r="Q56" s="306"/>
      <c r="R56" s="306"/>
      <c r="S56" s="306"/>
      <c r="T56" s="104"/>
      <c r="U56" s="104"/>
      <c r="V56" s="104"/>
      <c r="W56" s="776"/>
      <c r="X56" s="104"/>
      <c r="Y56" s="338"/>
      <c r="Z56" s="338"/>
      <c r="AA56" s="338"/>
    </row>
    <row r="57" spans="1:28" ht="15.75">
      <c r="A57" s="367"/>
      <c r="B57" s="362" t="s">
        <v>673</v>
      </c>
      <c r="C57" s="362">
        <v>56521948</v>
      </c>
      <c r="D57" s="392"/>
      <c r="E57" s="392"/>
      <c r="F57" s="392"/>
      <c r="G57" s="392"/>
      <c r="H57" s="392"/>
      <c r="I57" s="392"/>
      <c r="J57" s="361"/>
      <c r="K57" s="361"/>
      <c r="L57" s="361"/>
      <c r="M57" s="361"/>
      <c r="N57" s="361"/>
      <c r="O57" s="361"/>
      <c r="P57" s="361"/>
      <c r="Q57" s="10"/>
      <c r="R57" s="10"/>
      <c r="S57" s="10"/>
      <c r="W57" s="337"/>
      <c r="Y57" s="338"/>
      <c r="Z57" s="338"/>
      <c r="AA57" s="338"/>
    </row>
    <row r="58" spans="1:28" ht="15.75">
      <c r="A58" s="232"/>
      <c r="B58" s="363" t="s">
        <v>372</v>
      </c>
      <c r="C58" s="40" t="s">
        <v>221</v>
      </c>
      <c r="D58" s="40" t="s">
        <v>85</v>
      </c>
      <c r="E58" s="40" t="s">
        <v>424</v>
      </c>
      <c r="F58" s="40" t="s">
        <v>222</v>
      </c>
      <c r="G58" s="40" t="s">
        <v>115</v>
      </c>
      <c r="H58" s="40" t="s">
        <v>223</v>
      </c>
      <c r="I58" s="40" t="s">
        <v>373</v>
      </c>
      <c r="J58" s="40" t="s">
        <v>374</v>
      </c>
      <c r="K58" s="40" t="s">
        <v>375</v>
      </c>
      <c r="L58" s="40" t="s">
        <v>376</v>
      </c>
      <c r="M58" s="40" t="s">
        <v>377</v>
      </c>
      <c r="N58" s="40" t="s">
        <v>225</v>
      </c>
      <c r="O58" s="769"/>
      <c r="P58" s="769"/>
      <c r="Q58" s="10"/>
      <c r="R58" s="10"/>
      <c r="S58" s="10"/>
      <c r="W58" s="337"/>
      <c r="X58" s="339"/>
      <c r="Y58" s="337"/>
      <c r="Z58" s="337"/>
      <c r="AA58" s="337"/>
    </row>
    <row r="59" spans="1:28">
      <c r="A59" s="232"/>
      <c r="B59" s="364" t="s">
        <v>378</v>
      </c>
      <c r="C59" s="362">
        <f>'Input data'!C13</f>
        <v>1233791.4119790548</v>
      </c>
      <c r="D59" s="362">
        <f>'Input data'!D13</f>
        <v>1138884.3802883581</v>
      </c>
      <c r="E59" s="362">
        <f>'Input data'!E13</f>
        <v>378326.54427023319</v>
      </c>
      <c r="F59" s="362">
        <f>'Input data'!F13</f>
        <v>0</v>
      </c>
      <c r="G59" s="362">
        <f>'Input data'!G13</f>
        <v>0</v>
      </c>
      <c r="H59" s="362">
        <f>'Input data'!H13</f>
        <v>0</v>
      </c>
      <c r="I59" s="362">
        <f>'Input data'!I13</f>
        <v>0</v>
      </c>
      <c r="J59" s="362">
        <f>'Input data'!J13</f>
        <v>381000</v>
      </c>
      <c r="K59" s="362">
        <f>'Input data'!K13</f>
        <v>338388.97868490184</v>
      </c>
      <c r="L59" s="362">
        <f>'Input data'!L13</f>
        <v>297470.77450579114</v>
      </c>
      <c r="M59" s="362">
        <f>'Input data'!M13</f>
        <v>0</v>
      </c>
      <c r="N59" s="362">
        <f>SUM(C59:M59)</f>
        <v>3767862.0897283391</v>
      </c>
      <c r="O59" s="770"/>
      <c r="P59" s="770"/>
      <c r="Q59" s="384"/>
      <c r="R59" s="10"/>
      <c r="S59" s="10"/>
      <c r="W59" s="338"/>
      <c r="Y59" s="338"/>
      <c r="Z59" s="338"/>
      <c r="AA59" s="338"/>
    </row>
    <row r="60" spans="1:28" ht="15.75">
      <c r="A60" s="12" t="s">
        <v>379</v>
      </c>
      <c r="B60" s="364" t="s">
        <v>380</v>
      </c>
      <c r="C60" s="362">
        <f>'Input data'!C14</f>
        <v>964286</v>
      </c>
      <c r="D60" s="362">
        <f>'Input data'!D14</f>
        <v>964286</v>
      </c>
      <c r="E60" s="362">
        <f>'Input data'!E14</f>
        <v>0</v>
      </c>
      <c r="F60" s="362">
        <f>'Input data'!F14</f>
        <v>0</v>
      </c>
      <c r="G60" s="362">
        <f>'Input data'!G14</f>
        <v>0</v>
      </c>
      <c r="H60" s="362">
        <f>'Input data'!H14</f>
        <v>0</v>
      </c>
      <c r="I60" s="362">
        <f>'Input data'!I14</f>
        <v>2892858</v>
      </c>
      <c r="J60" s="362">
        <f>'Input data'!J14</f>
        <v>0</v>
      </c>
      <c r="K60" s="362">
        <f>'Input data'!K14</f>
        <v>0</v>
      </c>
      <c r="L60" s="362">
        <f>'Input data'!L14</f>
        <v>0</v>
      </c>
      <c r="M60" s="362">
        <f>'Input data'!M14</f>
        <v>0</v>
      </c>
      <c r="N60" s="362">
        <f t="shared" ref="N60:N66" si="8">SUM(C60:M60)</f>
        <v>4821430</v>
      </c>
      <c r="O60" s="770"/>
      <c r="P60" s="770"/>
      <c r="Q60" s="10"/>
      <c r="R60" s="10"/>
      <c r="S60" s="10"/>
      <c r="W60" s="337"/>
      <c r="Y60" s="338"/>
      <c r="Z60" s="338"/>
      <c r="AA60" s="338"/>
    </row>
    <row r="61" spans="1:28" ht="15.75">
      <c r="A61" s="12" t="s">
        <v>381</v>
      </c>
      <c r="B61" s="364" t="s">
        <v>382</v>
      </c>
      <c r="C61" s="362">
        <f>'Input data'!C15</f>
        <v>72176.800000000003</v>
      </c>
      <c r="D61" s="362">
        <f>'Input data'!D15</f>
        <v>72176.800000000003</v>
      </c>
      <c r="E61" s="362">
        <f>'Input data'!E15</f>
        <v>0</v>
      </c>
      <c r="F61" s="362">
        <f>'Input data'!F15</f>
        <v>0</v>
      </c>
      <c r="G61" s="362">
        <f>'Input data'!G15</f>
        <v>0</v>
      </c>
      <c r="H61" s="362">
        <f>'Input data'!H15</f>
        <v>0</v>
      </c>
      <c r="I61" s="362">
        <f>'Input data'!I15</f>
        <v>216530.4</v>
      </c>
      <c r="J61" s="362">
        <f>'Input data'!J15</f>
        <v>0</v>
      </c>
      <c r="K61" s="362">
        <f>'Input data'!K15</f>
        <v>0</v>
      </c>
      <c r="L61" s="362">
        <f>'Input data'!L15</f>
        <v>0</v>
      </c>
      <c r="M61" s="362">
        <f>'Input data'!M15</f>
        <v>0</v>
      </c>
      <c r="N61" s="362">
        <f t="shared" si="8"/>
        <v>360884</v>
      </c>
      <c r="O61" s="770"/>
      <c r="P61" s="770"/>
      <c r="Q61" s="10"/>
      <c r="R61" s="10"/>
      <c r="S61" s="10"/>
      <c r="W61" s="337"/>
      <c r="Y61" s="338"/>
      <c r="Z61" s="338"/>
      <c r="AA61" s="337"/>
    </row>
    <row r="62" spans="1:28" ht="15.75">
      <c r="A62" s="12" t="s">
        <v>383</v>
      </c>
      <c r="B62" s="364" t="s">
        <v>384</v>
      </c>
      <c r="C62" s="362">
        <f>'Input data'!C16</f>
        <v>0</v>
      </c>
      <c r="D62" s="362">
        <f>'Input data'!D16</f>
        <v>0</v>
      </c>
      <c r="E62" s="362">
        <f>'Input data'!E16</f>
        <v>520349.97572976683</v>
      </c>
      <c r="F62" s="362">
        <f>'Input data'!F16</f>
        <v>0</v>
      </c>
      <c r="G62" s="362">
        <f>'Input data'!G16</f>
        <v>0</v>
      </c>
      <c r="H62" s="362">
        <f>'Input data'!H16</f>
        <v>0</v>
      </c>
      <c r="I62" s="362">
        <f>'Input data'!I16</f>
        <v>0</v>
      </c>
      <c r="J62" s="362">
        <f>'Input data'!J16</f>
        <v>237880.00199999998</v>
      </c>
      <c r="K62" s="362">
        <f>'Input data'!K16</f>
        <v>465419.88531509798</v>
      </c>
      <c r="L62" s="362">
        <f>'Input data'!L16</f>
        <v>409141.02549420868</v>
      </c>
      <c r="M62" s="362">
        <f>'Input data'!M16</f>
        <v>123895.58799999999</v>
      </c>
      <c r="N62" s="362">
        <f t="shared" si="8"/>
        <v>1756686.4765390735</v>
      </c>
      <c r="O62" s="770"/>
      <c r="P62" s="770"/>
      <c r="Q62" s="10"/>
      <c r="R62" s="10"/>
      <c r="S62" s="10"/>
      <c r="W62" s="336"/>
      <c r="Y62" s="336"/>
      <c r="Z62" s="336"/>
      <c r="AA62" s="336"/>
      <c r="AB62" s="336"/>
    </row>
    <row r="63" spans="1:28" ht="15.75">
      <c r="A63" s="12" t="s">
        <v>383</v>
      </c>
      <c r="B63" s="364" t="s">
        <v>385</v>
      </c>
      <c r="C63" s="362">
        <f>'Input data'!C17</f>
        <v>0</v>
      </c>
      <c r="D63" s="362">
        <f>'Input data'!D17</f>
        <v>0</v>
      </c>
      <c r="E63" s="362">
        <f>'Input data'!E17</f>
        <v>1241029.48</v>
      </c>
      <c r="F63" s="362">
        <f>'Input data'!F17</f>
        <v>0</v>
      </c>
      <c r="G63" s="362">
        <f>'Input data'!G17</f>
        <v>0</v>
      </c>
      <c r="H63" s="362">
        <f>'Input data'!H17</f>
        <v>0</v>
      </c>
      <c r="I63" s="362">
        <f>'Input data'!I17</f>
        <v>0</v>
      </c>
      <c r="J63" s="362">
        <f>'Input data'!J17</f>
        <v>480373.99800000002</v>
      </c>
      <c r="K63" s="362">
        <f>'Input data'!K17</f>
        <v>1987194.1360000002</v>
      </c>
      <c r="L63" s="362">
        <f>'Input data'!L17</f>
        <v>2826447.2</v>
      </c>
      <c r="M63" s="362">
        <f>'Input data'!M17</f>
        <v>38271.412000000004</v>
      </c>
      <c r="N63" s="362">
        <f>SUM(C63:M63)</f>
        <v>6573316.2259999998</v>
      </c>
      <c r="O63" s="770"/>
      <c r="P63" s="770"/>
      <c r="Q63" s="10"/>
      <c r="R63" s="10"/>
      <c r="S63" s="10"/>
      <c r="W63" s="336"/>
      <c r="Y63" s="336"/>
      <c r="Z63" s="336"/>
      <c r="AA63" s="336"/>
      <c r="AB63" s="336"/>
    </row>
    <row r="64" spans="1:28" ht="15.75">
      <c r="A64" s="12" t="s">
        <v>386</v>
      </c>
      <c r="B64" s="364" t="s">
        <v>387</v>
      </c>
      <c r="C64" s="362">
        <f>'Input data'!C18</f>
        <v>2500000</v>
      </c>
      <c r="D64" s="362">
        <f>'Input data'!D18</f>
        <v>4200000</v>
      </c>
      <c r="E64" s="362">
        <f>'Input data'!E18</f>
        <v>0</v>
      </c>
      <c r="F64" s="362">
        <f>'Input data'!F18</f>
        <v>0</v>
      </c>
      <c r="G64" s="362">
        <f>'Input data'!G18</f>
        <v>0</v>
      </c>
      <c r="H64" s="362">
        <f>'Input data'!H18</f>
        <v>0</v>
      </c>
      <c r="I64" s="362">
        <f>'Input data'!I18</f>
        <v>0</v>
      </c>
      <c r="J64" s="362">
        <f>'Input data'!J18</f>
        <v>0</v>
      </c>
      <c r="K64" s="362">
        <f>'Input data'!K18</f>
        <v>0</v>
      </c>
      <c r="L64" s="362">
        <f>'Input data'!L18</f>
        <v>0</v>
      </c>
      <c r="M64" s="362">
        <f>'Input data'!M18</f>
        <v>0</v>
      </c>
      <c r="N64" s="362">
        <f t="shared" si="8"/>
        <v>6700000</v>
      </c>
      <c r="O64" s="770"/>
      <c r="P64" s="770"/>
      <c r="Q64" s="10"/>
      <c r="R64" s="10"/>
      <c r="S64" s="10"/>
      <c r="W64" s="336"/>
      <c r="Y64" s="336"/>
      <c r="Z64" s="336"/>
      <c r="AA64" s="336"/>
      <c r="AB64" s="336"/>
    </row>
    <row r="65" spans="1:28" ht="15.75">
      <c r="A65" s="232"/>
      <c r="B65" s="365" t="s">
        <v>388</v>
      </c>
      <c r="C65" s="362">
        <f>'Input data'!C19</f>
        <v>4770254.2119790548</v>
      </c>
      <c r="D65" s="362">
        <f>'Input data'!D19</f>
        <v>6375347.1802883577</v>
      </c>
      <c r="E65" s="362">
        <f>'Input data'!E19</f>
        <v>2139706</v>
      </c>
      <c r="F65" s="362">
        <f>'Input data'!F19</f>
        <v>0</v>
      </c>
      <c r="G65" s="362">
        <f>'Input data'!G19</f>
        <v>0</v>
      </c>
      <c r="H65" s="362">
        <f>'Input data'!H19</f>
        <v>0</v>
      </c>
      <c r="I65" s="362">
        <f>'Input data'!I19</f>
        <v>3109388.4</v>
      </c>
      <c r="J65" s="362">
        <f>'Input data'!J19</f>
        <v>1099254</v>
      </c>
      <c r="K65" s="362">
        <f>'Input data'!K19</f>
        <v>2791003</v>
      </c>
      <c r="L65" s="362">
        <f>'Input data'!L19</f>
        <v>3533059</v>
      </c>
      <c r="M65" s="362">
        <f>'Input data'!M19</f>
        <v>162167</v>
      </c>
      <c r="N65" s="362">
        <f t="shared" si="8"/>
        <v>23980178.792267412</v>
      </c>
      <c r="O65" s="771"/>
      <c r="P65" s="771"/>
      <c r="Q65" s="10"/>
      <c r="R65" s="10"/>
      <c r="S65" s="10"/>
      <c r="W65" s="336"/>
      <c r="Y65" s="336"/>
      <c r="Z65" s="336"/>
      <c r="AA65" s="336"/>
      <c r="AB65" s="336"/>
    </row>
    <row r="66" spans="1:28" ht="15.75">
      <c r="A66" s="232"/>
      <c r="B66" s="346" t="s">
        <v>572</v>
      </c>
      <c r="C66" s="362">
        <f>'Input data'!C20</f>
        <v>2674712.2259895275</v>
      </c>
      <c r="D66" s="362">
        <f>'Input data'!D20</f>
        <v>3392258.7101441789</v>
      </c>
      <c r="E66" s="362">
        <f>'Input data'!E20</f>
        <v>657478.25029190676</v>
      </c>
      <c r="F66" s="362">
        <f>'Input data'!F20</f>
        <v>0</v>
      </c>
      <c r="G66" s="362">
        <f>'Input data'!G20</f>
        <v>0</v>
      </c>
      <c r="H66" s="362">
        <f>'Input data'!H20</f>
        <v>0</v>
      </c>
      <c r="I66" s="362">
        <f>'Input data'!I20</f>
        <v>2798449.56</v>
      </c>
      <c r="J66" s="362">
        <f>'Input data'!J20</f>
        <v>404592.00179999997</v>
      </c>
      <c r="K66" s="362">
        <f>'Input data'!K20</f>
        <v>588072.38612603908</v>
      </c>
      <c r="L66" s="362">
        <f>'Input data'!L20</f>
        <v>516962.3101976834</v>
      </c>
      <c r="M66" s="362">
        <f>'Input data'!M20</f>
        <v>111506.02919999999</v>
      </c>
      <c r="N66" s="362">
        <f t="shared" si="8"/>
        <v>11144031.473749338</v>
      </c>
      <c r="O66" s="771"/>
      <c r="P66" s="771"/>
      <c r="Q66" s="10"/>
      <c r="R66" s="10"/>
      <c r="S66" s="10"/>
      <c r="W66" s="336"/>
      <c r="Y66" s="336"/>
      <c r="Z66" s="336"/>
      <c r="AA66" s="336"/>
      <c r="AB66" s="336"/>
    </row>
    <row r="67" spans="1:28" ht="15.75">
      <c r="A67" s="232"/>
      <c r="B67" s="346" t="s">
        <v>674</v>
      </c>
      <c r="C67" s="858">
        <f>C66/$C$57*1000</f>
        <v>47.321656818861364</v>
      </c>
      <c r="D67" s="858">
        <f t="shared" ref="D67:N67" si="9">D66/$C$57*1000</f>
        <v>60.016663087128194</v>
      </c>
      <c r="E67" s="858">
        <f t="shared" si="9"/>
        <v>11.632264519473157</v>
      </c>
      <c r="F67" s="858">
        <f t="shared" si="9"/>
        <v>0</v>
      </c>
      <c r="G67" s="858">
        <f t="shared" si="9"/>
        <v>0</v>
      </c>
      <c r="H67" s="858">
        <f t="shared" si="9"/>
        <v>0</v>
      </c>
      <c r="I67" s="858">
        <f t="shared" si="9"/>
        <v>49.510847715298134</v>
      </c>
      <c r="J67" s="858">
        <f t="shared" si="9"/>
        <v>7.1581397336128605</v>
      </c>
      <c r="K67" s="858">
        <f t="shared" si="9"/>
        <v>10.40431915273053</v>
      </c>
      <c r="L67" s="858">
        <f t="shared" si="9"/>
        <v>9.1462224585338685</v>
      </c>
      <c r="M67" s="858">
        <f t="shared" si="9"/>
        <v>1.9727916879297933</v>
      </c>
      <c r="N67" s="858">
        <f t="shared" si="9"/>
        <v>197.16290517356794</v>
      </c>
      <c r="O67" s="771"/>
      <c r="P67" s="771"/>
      <c r="Q67" s="10"/>
      <c r="R67" s="10"/>
      <c r="S67" s="10"/>
      <c r="W67" s="336"/>
      <c r="Y67" s="336"/>
      <c r="Z67" s="336"/>
      <c r="AA67" s="336"/>
      <c r="AB67" s="336"/>
    </row>
    <row r="68" spans="1:28" ht="15.75">
      <c r="A68" s="232"/>
      <c r="B68" s="348" t="s">
        <v>389</v>
      </c>
      <c r="C68" s="349"/>
      <c r="D68" s="349"/>
      <c r="E68" s="349"/>
      <c r="F68" s="349"/>
      <c r="G68" s="349"/>
      <c r="H68" s="349"/>
      <c r="I68" s="349"/>
      <c r="J68" s="349"/>
      <c r="K68" s="349"/>
      <c r="L68" s="349"/>
      <c r="M68" s="349"/>
      <c r="N68" s="525"/>
      <c r="O68" s="772"/>
      <c r="P68" s="772"/>
      <c r="Q68" s="10"/>
      <c r="R68" s="10"/>
      <c r="S68" s="10"/>
      <c r="W68" s="336"/>
      <c r="Y68" s="336"/>
      <c r="Z68" s="336"/>
      <c r="AA68" s="336"/>
      <c r="AB68" s="336"/>
    </row>
    <row r="69" spans="1:28" ht="15.75">
      <c r="A69" s="232"/>
      <c r="B69" s="344" t="s">
        <v>390</v>
      </c>
      <c r="C69" s="351">
        <f>'Input data'!C22</f>
        <v>0.32745131923552184</v>
      </c>
      <c r="D69" s="351">
        <f>'Input data'!D22</f>
        <v>0.30226275621740473</v>
      </c>
      <c r="E69" s="351">
        <f>'Input data'!E22</f>
        <v>0.10040880883129943</v>
      </c>
      <c r="F69" s="351">
        <f>'Input data'!F22</f>
        <v>0</v>
      </c>
      <c r="G69" s="351">
        <f>'Input data'!G22</f>
        <v>0</v>
      </c>
      <c r="H69" s="351">
        <f>'Input data'!H22</f>
        <v>0</v>
      </c>
      <c r="I69" s="351">
        <f>'Input data'!I22</f>
        <v>0</v>
      </c>
      <c r="J69" s="351">
        <f>'Input data'!J22</f>
        <v>0.10111835065265616</v>
      </c>
      <c r="K69" s="351">
        <f>'Input data'!K22</f>
        <v>8.9809279274682671E-2</v>
      </c>
      <c r="L69" s="351">
        <f>'Input data'!L22</f>
        <v>7.8949485788435164E-2</v>
      </c>
      <c r="M69" s="351">
        <f>'Input data'!M22</f>
        <v>0</v>
      </c>
      <c r="N69" s="526"/>
      <c r="O69" s="510"/>
      <c r="P69" s="510"/>
      <c r="Q69" s="10"/>
      <c r="R69" s="10"/>
      <c r="S69" s="10"/>
      <c r="W69" s="336"/>
      <c r="Y69" s="336"/>
      <c r="Z69" s="336"/>
      <c r="AA69" s="336"/>
      <c r="AB69" s="336"/>
    </row>
    <row r="70" spans="1:28" ht="15.75">
      <c r="A70" s="12" t="s">
        <v>379</v>
      </c>
      <c r="B70" s="344" t="s">
        <v>391</v>
      </c>
      <c r="C70" s="351">
        <f>'Input data'!C23</f>
        <v>0.2</v>
      </c>
      <c r="D70" s="351">
        <f>'Input data'!D23</f>
        <v>0.2</v>
      </c>
      <c r="E70" s="351">
        <f>'Input data'!E23</f>
        <v>0</v>
      </c>
      <c r="F70" s="351">
        <f>'Input data'!F23</f>
        <v>0</v>
      </c>
      <c r="G70" s="351">
        <f>'Input data'!G23</f>
        <v>0</v>
      </c>
      <c r="H70" s="351">
        <f>'Input data'!H23</f>
        <v>0</v>
      </c>
      <c r="I70" s="351">
        <f>'Input data'!I23</f>
        <v>0.6</v>
      </c>
      <c r="J70" s="351">
        <f>'Input data'!J23</f>
        <v>0</v>
      </c>
      <c r="K70" s="351">
        <f>'Input data'!K23</f>
        <v>0</v>
      </c>
      <c r="L70" s="351">
        <f>'Input data'!L23</f>
        <v>0</v>
      </c>
      <c r="M70" s="351">
        <f>'Input data'!M23</f>
        <v>0</v>
      </c>
      <c r="N70" s="526">
        <f t="shared" ref="N70:N74" si="10">SUM(C70:M70)</f>
        <v>1</v>
      </c>
      <c r="O70" s="510"/>
      <c r="P70" s="510"/>
      <c r="Q70" s="10"/>
      <c r="R70" s="10"/>
      <c r="S70" s="10"/>
      <c r="W70" s="336"/>
      <c r="Y70" s="336"/>
      <c r="Z70" s="336"/>
      <c r="AA70" s="336"/>
      <c r="AB70" s="336"/>
    </row>
    <row r="71" spans="1:28" ht="15.75">
      <c r="A71" s="12" t="s">
        <v>381</v>
      </c>
      <c r="B71" s="344" t="s">
        <v>392</v>
      </c>
      <c r="C71" s="351">
        <f>'Input data'!C24</f>
        <v>0.2</v>
      </c>
      <c r="D71" s="351">
        <f>'Input data'!D24</f>
        <v>0.2</v>
      </c>
      <c r="E71" s="351">
        <f>'Input data'!E24</f>
        <v>0</v>
      </c>
      <c r="F71" s="351">
        <f>'Input data'!F24</f>
        <v>0</v>
      </c>
      <c r="G71" s="351">
        <f>'Input data'!G24</f>
        <v>0</v>
      </c>
      <c r="H71" s="351">
        <f>'Input data'!H24</f>
        <v>0</v>
      </c>
      <c r="I71" s="351">
        <f>'Input data'!I24</f>
        <v>0.6</v>
      </c>
      <c r="J71" s="351">
        <f>'Input data'!J24</f>
        <v>0</v>
      </c>
      <c r="K71" s="351">
        <f>'Input data'!K24</f>
        <v>0</v>
      </c>
      <c r="L71" s="351">
        <f>'Input data'!L24</f>
        <v>0</v>
      </c>
      <c r="M71" s="351">
        <f>'Input data'!M24</f>
        <v>0</v>
      </c>
      <c r="N71" s="526">
        <f t="shared" si="10"/>
        <v>1</v>
      </c>
      <c r="O71" s="510"/>
      <c r="P71" s="510"/>
      <c r="Q71" s="10"/>
      <c r="R71" s="10"/>
      <c r="S71" s="10"/>
      <c r="W71" s="336"/>
      <c r="Y71" s="336"/>
      <c r="Z71" s="336"/>
      <c r="AA71" s="336"/>
      <c r="AB71" s="336"/>
    </row>
    <row r="72" spans="1:28" ht="15.75">
      <c r="A72" s="12" t="s">
        <v>383</v>
      </c>
      <c r="B72" s="344" t="s">
        <v>384</v>
      </c>
      <c r="C72" s="351">
        <f>'Input data'!C25</f>
        <v>0</v>
      </c>
      <c r="D72" s="351">
        <f>'Input data'!D25</f>
        <v>0</v>
      </c>
      <c r="E72" s="351">
        <f>'Input data'!E25</f>
        <v>0.29621106707380795</v>
      </c>
      <c r="F72" s="351">
        <f>'Input data'!F25</f>
        <v>0</v>
      </c>
      <c r="G72" s="351">
        <f>'Input data'!G25</f>
        <v>0</v>
      </c>
      <c r="H72" s="351">
        <f>'Input data'!H25</f>
        <v>0</v>
      </c>
      <c r="I72" s="351">
        <f>'Input data'!I25</f>
        <v>0</v>
      </c>
      <c r="J72" s="351">
        <f>'Input data'!J25</f>
        <v>0.1354140338511958</v>
      </c>
      <c r="K72" s="351">
        <f>'Input data'!K25</f>
        <v>0.26494191851015014</v>
      </c>
      <c r="L72" s="351">
        <f>'Input data'!L25</f>
        <v>0.2329049781838565</v>
      </c>
      <c r="M72" s="351">
        <f>'Input data'!M25</f>
        <v>7.0528002380989593E-2</v>
      </c>
      <c r="N72" s="526">
        <f t="shared" si="10"/>
        <v>0.99999999999999989</v>
      </c>
      <c r="O72" s="510"/>
      <c r="P72" s="510"/>
      <c r="Q72" s="10"/>
      <c r="R72" s="10"/>
      <c r="S72" s="10"/>
      <c r="W72" s="336"/>
      <c r="Y72" s="946"/>
      <c r="Z72" s="336"/>
      <c r="AA72" s="336"/>
      <c r="AB72" s="336"/>
    </row>
    <row r="73" spans="1:28" ht="15.75">
      <c r="A73" s="12" t="s">
        <v>383</v>
      </c>
      <c r="B73" s="344" t="s">
        <v>385</v>
      </c>
      <c r="C73" s="351">
        <f>'Input data'!C26</f>
        <v>0</v>
      </c>
      <c r="D73" s="351">
        <f>'Input data'!D26</f>
        <v>0</v>
      </c>
      <c r="E73" s="351">
        <f>'Input data'!E26</f>
        <v>0.188798079588998</v>
      </c>
      <c r="F73" s="351">
        <f>'Input data'!F26</f>
        <v>0</v>
      </c>
      <c r="G73" s="351">
        <f>'Input data'!G26</f>
        <v>0</v>
      </c>
      <c r="H73" s="351">
        <f>'Input data'!H26</f>
        <v>0</v>
      </c>
      <c r="I73" s="351">
        <f>'Input data'!I26</f>
        <v>0</v>
      </c>
      <c r="J73" s="351">
        <f>'Input data'!J26</f>
        <v>7.3079398812419163E-2</v>
      </c>
      <c r="K73" s="351">
        <f>'Input data'!K26</f>
        <v>0.30231226791431109</v>
      </c>
      <c r="L73" s="351">
        <f>'Input data'!L26</f>
        <v>0.42998801561079808</v>
      </c>
      <c r="M73" s="351">
        <f>'Input data'!M26</f>
        <v>5.8222380734737535E-3</v>
      </c>
      <c r="N73" s="526">
        <f t="shared" si="10"/>
        <v>1.0000000000000002</v>
      </c>
      <c r="O73" s="510"/>
      <c r="P73" s="510"/>
      <c r="Q73" s="10"/>
      <c r="R73" s="10"/>
      <c r="S73" s="10"/>
      <c r="W73" s="336"/>
      <c r="Y73" s="946"/>
      <c r="Z73" s="336"/>
      <c r="AA73" s="336"/>
      <c r="AB73" s="336"/>
    </row>
    <row r="74" spans="1:28" ht="15.75">
      <c r="A74" s="12" t="s">
        <v>386</v>
      </c>
      <c r="B74" s="344" t="s">
        <v>387</v>
      </c>
      <c r="C74" s="351">
        <f>'Input data'!C27</f>
        <v>0.37313432835820898</v>
      </c>
      <c r="D74" s="351">
        <f>'Input data'!D27</f>
        <v>0.62686567164179108</v>
      </c>
      <c r="E74" s="351">
        <f>'Input data'!E27</f>
        <v>0</v>
      </c>
      <c r="F74" s="351">
        <f>'Input data'!F27</f>
        <v>0</v>
      </c>
      <c r="G74" s="351">
        <f>'Input data'!G27</f>
        <v>0</v>
      </c>
      <c r="H74" s="351">
        <f>'Input data'!H27</f>
        <v>0</v>
      </c>
      <c r="I74" s="351">
        <f>'Input data'!I27</f>
        <v>0</v>
      </c>
      <c r="J74" s="351">
        <f>'Input data'!J27</f>
        <v>0</v>
      </c>
      <c r="K74" s="351">
        <f>'Input data'!K27</f>
        <v>0</v>
      </c>
      <c r="L74" s="351">
        <f>'Input data'!L27</f>
        <v>0</v>
      </c>
      <c r="M74" s="351">
        <f>'Input data'!M27</f>
        <v>0</v>
      </c>
      <c r="N74" s="526">
        <f t="shared" si="10"/>
        <v>1</v>
      </c>
      <c r="O74" s="510"/>
      <c r="P74" s="510"/>
      <c r="Q74" s="7"/>
      <c r="R74" s="369"/>
      <c r="S74" s="369"/>
      <c r="T74" s="4"/>
      <c r="U74" s="4"/>
      <c r="Y74" s="946"/>
    </row>
    <row r="75" spans="1:28" ht="15.75">
      <c r="A75" s="232"/>
      <c r="B75" s="346" t="s">
        <v>393</v>
      </c>
      <c r="C75" s="351">
        <f>'Input data'!C28</f>
        <v>0.19892488097366726</v>
      </c>
      <c r="D75" s="351">
        <f>'Input data'!D28</f>
        <v>0.26585903447659598</v>
      </c>
      <c r="E75" s="351">
        <f>'Input data'!E28</f>
        <v>8.9228108703258049E-2</v>
      </c>
      <c r="F75" s="351">
        <f>'Input data'!F28</f>
        <v>0</v>
      </c>
      <c r="G75" s="351">
        <f>'Input data'!G28</f>
        <v>0</v>
      </c>
      <c r="H75" s="351">
        <f>'Input data'!H28</f>
        <v>0</v>
      </c>
      <c r="I75" s="351">
        <f>'Input data'!I28</f>
        <v>0.12966493815311525</v>
      </c>
      <c r="J75" s="351">
        <f>'Input data'!J28</f>
        <v>4.5840108596457284E-2</v>
      </c>
      <c r="K75" s="351">
        <f>'Input data'!K28</f>
        <v>0.1163879145429883</v>
      </c>
      <c r="L75" s="351">
        <f>'Input data'!L28</f>
        <v>0.1473324711465146</v>
      </c>
      <c r="M75" s="351">
        <f>'Input data'!M28</f>
        <v>6.7625434074032823E-3</v>
      </c>
      <c r="N75" s="527">
        <v>1</v>
      </c>
      <c r="O75" s="358"/>
      <c r="P75" s="358"/>
      <c r="Q75" s="7"/>
      <c r="R75" s="369"/>
      <c r="S75" s="369"/>
      <c r="T75" s="4"/>
      <c r="U75" s="4"/>
      <c r="Y75" s="946"/>
    </row>
    <row r="76" spans="1:28" ht="16.5" thickBot="1">
      <c r="A76" s="371"/>
      <c r="B76" s="529" t="s">
        <v>573</v>
      </c>
      <c r="C76" s="351">
        <f>'Input data'!C29</f>
        <v>0.24001298204245269</v>
      </c>
      <c r="D76" s="351">
        <f>'Input data'!D29</f>
        <v>0.30440139352934503</v>
      </c>
      <c r="E76" s="351">
        <f>'Input data'!E29</f>
        <v>5.8998240613430578E-2</v>
      </c>
      <c r="F76" s="351">
        <f>'Input data'!F29</f>
        <v>0</v>
      </c>
      <c r="G76" s="351">
        <f>'Input data'!G29</f>
        <v>0</v>
      </c>
      <c r="H76" s="351">
        <f>'Input data'!H29</f>
        <v>0</v>
      </c>
      <c r="I76" s="351">
        <f>'Input data'!I29</f>
        <v>0.25111644440272562</v>
      </c>
      <c r="J76" s="351">
        <f>'Input data'!J29</f>
        <v>3.6305712412339194E-2</v>
      </c>
      <c r="K76" s="351">
        <f>'Input data'!K29</f>
        <v>5.2770165582472633E-2</v>
      </c>
      <c r="L76" s="351">
        <f>'Input data'!L29</f>
        <v>4.6389164586929758E-2</v>
      </c>
      <c r="M76" s="351">
        <f>'Input data'!M29</f>
        <v>1.0005896830304312E-2</v>
      </c>
      <c r="N76" s="527">
        <v>1</v>
      </c>
      <c r="O76" s="358"/>
      <c r="P76" s="358"/>
      <c r="Q76" s="7"/>
      <c r="R76" s="369"/>
      <c r="S76" s="369"/>
      <c r="T76" s="4"/>
      <c r="U76" s="4"/>
      <c r="Y76" s="946"/>
    </row>
    <row r="77" spans="1:28" ht="15.75">
      <c r="A77" s="371"/>
      <c r="B77" s="730"/>
      <c r="C77" s="351"/>
      <c r="D77" s="351"/>
      <c r="E77" s="351"/>
      <c r="F77" s="351"/>
      <c r="G77" s="351"/>
      <c r="H77" s="351"/>
      <c r="I77" s="510"/>
      <c r="J77" s="510"/>
      <c r="K77" s="510"/>
      <c r="L77" s="510"/>
      <c r="M77" s="510"/>
      <c r="N77" s="358"/>
      <c r="O77" s="358"/>
      <c r="P77" s="358"/>
      <c r="Q77" s="7"/>
      <c r="R77" s="369"/>
      <c r="S77" s="369"/>
      <c r="T77" s="4"/>
      <c r="U77" s="4"/>
      <c r="Y77" s="946"/>
    </row>
    <row r="78" spans="1:28" ht="14.45" customHeight="1">
      <c r="A78" s="374" t="s">
        <v>627</v>
      </c>
      <c r="B78" s="363" t="s">
        <v>372</v>
      </c>
      <c r="C78" s="362" t="s">
        <v>623</v>
      </c>
      <c r="D78" s="362" t="s">
        <v>624</v>
      </c>
      <c r="E78" s="362" t="s">
        <v>625</v>
      </c>
      <c r="F78" s="362" t="s">
        <v>626</v>
      </c>
      <c r="G78" s="362" t="s">
        <v>574</v>
      </c>
      <c r="H78" s="362" t="s">
        <v>622</v>
      </c>
      <c r="I78" s="372"/>
      <c r="J78" s="372"/>
      <c r="K78" s="372"/>
      <c r="L78" s="372"/>
      <c r="M78" s="372"/>
      <c r="N78" s="372"/>
      <c r="O78" s="372"/>
      <c r="P78" s="372"/>
      <c r="Q78" s="7"/>
      <c r="R78" s="369"/>
      <c r="S78" s="369"/>
      <c r="T78" s="4"/>
      <c r="U78" s="4"/>
      <c r="Y78" s="946"/>
    </row>
    <row r="79" spans="1:28" ht="15.75">
      <c r="A79" s="232"/>
      <c r="B79" s="364" t="s">
        <v>441</v>
      </c>
      <c r="C79" s="362">
        <f>'Waste Summary 2017 SASOW'!J10+'Waste Summary 2017 SASOW'!J13</f>
        <v>49995051</v>
      </c>
      <c r="D79" s="362">
        <f>'Waste Summary 2017 SASOW'!K10+'Waste Summary 2017 SASOW'!K13</f>
        <v>0</v>
      </c>
      <c r="E79" s="362">
        <f>'Waste Summary 2017 SASOW'!L10+'Waste Summary 2017 SASOW'!L13</f>
        <v>46917968.670000002</v>
      </c>
      <c r="F79" s="362">
        <f>'Waste Summary 2017 SASOW'!M10+'Waste Summary 2017 SASOW'!M13</f>
        <v>0</v>
      </c>
      <c r="G79" s="362">
        <f>'Waste Summary 2017 SASOW'!N10+'Waste Summary 2017 SASOW'!N13</f>
        <v>0</v>
      </c>
      <c r="H79" s="362">
        <f>'Waste Summary 2017 SASOW'!O10+'Waste Summary 2017 SASOW'!O13</f>
        <v>3077082.33</v>
      </c>
      <c r="I79" s="306"/>
      <c r="J79" s="306"/>
      <c r="K79" s="306"/>
      <c r="L79" s="372"/>
      <c r="M79" s="372"/>
      <c r="N79" s="372"/>
      <c r="O79" s="372"/>
      <c r="P79" s="372"/>
      <c r="Q79" s="7"/>
      <c r="R79" s="369"/>
      <c r="S79" s="369"/>
      <c r="T79" s="4"/>
      <c r="U79" s="4"/>
      <c r="Y79" s="946"/>
    </row>
    <row r="80" spans="1:28" ht="15.75">
      <c r="A80" s="232"/>
      <c r="B80" s="232" t="s">
        <v>420</v>
      </c>
      <c r="C80" s="370">
        <f t="shared" ref="C80:H80" si="11">C79/$C$79</f>
        <v>1</v>
      </c>
      <c r="D80" s="373">
        <f t="shared" si="11"/>
        <v>0</v>
      </c>
      <c r="E80" s="373">
        <f t="shared" si="11"/>
        <v>0.93845226140483384</v>
      </c>
      <c r="F80" s="373">
        <f t="shared" si="11"/>
        <v>0</v>
      </c>
      <c r="G80" s="373">
        <f t="shared" si="11"/>
        <v>0</v>
      </c>
      <c r="H80" s="373">
        <f t="shared" si="11"/>
        <v>6.154773859516615E-2</v>
      </c>
      <c r="I80" s="306"/>
      <c r="J80" s="306"/>
      <c r="K80" s="306"/>
      <c r="L80" s="372"/>
      <c r="M80" s="372"/>
      <c r="N80" s="372"/>
      <c r="O80" s="372"/>
      <c r="P80" s="372"/>
      <c r="Q80" s="7"/>
      <c r="R80" s="369"/>
      <c r="S80" s="369"/>
      <c r="T80" s="4"/>
      <c r="U80" s="4"/>
      <c r="Y80" s="946"/>
    </row>
    <row r="81" spans="1:83" ht="16.5" thickBot="1">
      <c r="B81" s="306"/>
      <c r="C81" s="372"/>
      <c r="D81" s="372"/>
      <c r="E81" s="372"/>
      <c r="F81" s="372"/>
      <c r="G81" s="372"/>
      <c r="H81" s="372"/>
      <c r="I81" s="306"/>
      <c r="J81" s="306"/>
      <c r="K81" s="306"/>
      <c r="L81" s="372"/>
      <c r="M81" s="372"/>
      <c r="N81" s="372"/>
      <c r="O81" s="372"/>
      <c r="P81" s="372"/>
      <c r="Q81" s="7"/>
      <c r="R81" s="369"/>
      <c r="S81" s="369"/>
      <c r="T81" s="4"/>
      <c r="U81" s="4"/>
      <c r="Y81" s="946"/>
    </row>
    <row r="82" spans="1:83" ht="15.75">
      <c r="A82" s="822" t="s">
        <v>705</v>
      </c>
      <c r="B82" s="115"/>
      <c r="C82" s="116"/>
      <c r="D82" s="128"/>
      <c r="E82" s="128"/>
      <c r="F82" s="128"/>
      <c r="G82" s="128"/>
      <c r="H82" s="372"/>
      <c r="I82" s="306"/>
      <c r="J82" s="306"/>
      <c r="K82" s="306"/>
      <c r="L82" s="372"/>
      <c r="M82" s="372"/>
      <c r="N82" s="372"/>
      <c r="O82" s="372"/>
      <c r="P82" s="372"/>
      <c r="Q82" s="7"/>
      <c r="R82" s="369"/>
      <c r="S82" s="369"/>
      <c r="T82" s="4"/>
      <c r="U82" s="4"/>
      <c r="Y82" s="946"/>
    </row>
    <row r="83" spans="1:83" ht="15.75">
      <c r="A83" s="823" t="s">
        <v>659</v>
      </c>
      <c r="B83" s="128">
        <v>2017</v>
      </c>
      <c r="C83" s="658">
        <f>'Waste Summary 2017 SASOW'!L9/'Waste Summary 2017 SASOW'!L19</f>
        <v>8.711976475859419E-2</v>
      </c>
      <c r="D83" s="785"/>
      <c r="E83" s="785"/>
      <c r="F83" s="785"/>
      <c r="G83" s="785"/>
      <c r="H83" s="786"/>
      <c r="I83" s="306"/>
      <c r="J83" s="306"/>
      <c r="K83" s="306"/>
      <c r="L83" s="372"/>
      <c r="M83" s="372"/>
      <c r="N83" s="372"/>
      <c r="O83" s="372"/>
      <c r="P83" s="372"/>
      <c r="Q83" s="7"/>
      <c r="R83" s="369"/>
      <c r="S83" s="369"/>
      <c r="T83" s="4"/>
      <c r="U83" s="4"/>
      <c r="Y83" s="946"/>
    </row>
    <row r="84" spans="1:83" ht="16.5" thickBot="1">
      <c r="A84" s="824" t="s">
        <v>658</v>
      </c>
      <c r="B84" s="138">
        <v>2017</v>
      </c>
      <c r="C84" s="808">
        <f>'Waste Summary 2017 SASOW'!L9/'Waste Summary 2017 SASOW'!L23</f>
        <v>0.24270842804580239</v>
      </c>
      <c r="D84" s="785"/>
      <c r="E84" s="785"/>
      <c r="F84" s="785"/>
      <c r="G84" s="785"/>
      <c r="H84" s="786"/>
      <c r="I84" s="306"/>
      <c r="J84" s="306"/>
      <c r="K84" s="306"/>
      <c r="L84" s="372"/>
      <c r="M84" s="372"/>
      <c r="N84" s="372"/>
      <c r="O84" s="372"/>
      <c r="P84" s="372"/>
      <c r="Q84" s="7"/>
      <c r="R84" s="369"/>
      <c r="S84" s="369"/>
      <c r="T84" s="4"/>
      <c r="U84" s="4"/>
      <c r="Y84" s="946"/>
    </row>
    <row r="85" spans="1:83" ht="15.75">
      <c r="A85" s="128"/>
      <c r="B85" s="785"/>
      <c r="C85" s="785"/>
      <c r="D85" s="785"/>
      <c r="E85" s="785"/>
      <c r="F85" s="785"/>
      <c r="G85" s="785"/>
      <c r="H85" s="786"/>
      <c r="I85" s="306"/>
      <c r="J85" s="306"/>
      <c r="K85" s="306"/>
      <c r="L85" s="372"/>
      <c r="M85" s="372"/>
      <c r="N85" s="372"/>
      <c r="O85" s="372"/>
      <c r="P85" s="372"/>
      <c r="Q85" s="7"/>
      <c r="R85" s="369"/>
      <c r="S85" s="369"/>
      <c r="T85" s="4"/>
      <c r="U85" s="4"/>
      <c r="Y85" s="946"/>
    </row>
    <row r="86" spans="1:83" ht="28.5">
      <c r="A86" s="864" t="s">
        <v>710</v>
      </c>
      <c r="B86" s="785"/>
      <c r="C86" s="785"/>
      <c r="D86" s="785"/>
      <c r="E86" s="785"/>
      <c r="F86" s="785"/>
      <c r="G86" s="785"/>
      <c r="H86" s="786"/>
      <c r="I86" s="306"/>
      <c r="J86" s="306"/>
      <c r="K86" s="306"/>
      <c r="L86" s="372"/>
      <c r="M86" s="372"/>
      <c r="N86" s="372"/>
      <c r="O86" s="372"/>
      <c r="P86" s="372"/>
      <c r="Q86" s="7"/>
      <c r="R86" s="369"/>
      <c r="S86" s="369"/>
      <c r="T86" s="4"/>
      <c r="U86" s="4"/>
      <c r="Y86" s="946"/>
    </row>
    <row r="87" spans="1:83" ht="15.75">
      <c r="A87" s="128"/>
      <c r="B87" s="785"/>
      <c r="C87" s="785"/>
      <c r="D87" s="785"/>
      <c r="E87" s="785"/>
      <c r="F87" s="785"/>
      <c r="G87" s="785"/>
      <c r="H87" s="786"/>
      <c r="I87" s="306"/>
      <c r="J87" s="306"/>
      <c r="K87" s="306"/>
      <c r="L87" s="372"/>
      <c r="M87" s="372"/>
      <c r="N87" s="372"/>
      <c r="O87" s="372"/>
      <c r="P87" s="372"/>
      <c r="Q87" s="7"/>
      <c r="R87" s="369"/>
      <c r="S87" s="369"/>
      <c r="T87" s="4"/>
      <c r="U87" s="4"/>
      <c r="X87" s="779"/>
      <c r="Y87" s="946"/>
    </row>
    <row r="88" spans="1:83" ht="23.25">
      <c r="A88" s="865" t="s">
        <v>676</v>
      </c>
      <c r="B88" s="866"/>
      <c r="C88" s="785"/>
      <c r="D88" s="785"/>
      <c r="E88" s="785"/>
      <c r="F88" s="785"/>
      <c r="G88" s="785"/>
      <c r="H88" s="786"/>
      <c r="I88" s="306"/>
      <c r="J88" s="306"/>
      <c r="K88" s="306"/>
      <c r="L88" s="372"/>
      <c r="M88" s="372"/>
      <c r="N88" s="372"/>
      <c r="O88" s="372"/>
      <c r="P88" s="372"/>
      <c r="Q88" s="7"/>
      <c r="R88" s="369"/>
      <c r="S88" s="369"/>
      <c r="T88" s="4"/>
      <c r="U88" s="4"/>
      <c r="Y88" s="946"/>
      <c r="AB88" s="779"/>
      <c r="AF88" s="779"/>
    </row>
    <row r="89" spans="1:83">
      <c r="A89" s="128"/>
      <c r="B89" s="785"/>
      <c r="C89" s="785"/>
      <c r="D89" s="785"/>
      <c r="E89" s="785"/>
      <c r="F89" s="785"/>
      <c r="G89" s="785"/>
      <c r="H89" s="786"/>
      <c r="I89" s="306"/>
      <c r="J89" s="306"/>
      <c r="K89" s="306"/>
      <c r="L89" s="372"/>
      <c r="M89" s="372"/>
      <c r="N89" s="372"/>
      <c r="O89" s="372"/>
      <c r="P89" s="372"/>
      <c r="Q89" s="7"/>
      <c r="R89" s="369"/>
      <c r="S89" s="369"/>
      <c r="T89" s="4"/>
      <c r="U89" s="4"/>
    </row>
    <row r="90" spans="1:83">
      <c r="A90" s="128"/>
      <c r="B90" s="785"/>
      <c r="C90" s="785"/>
      <c r="D90" s="785"/>
      <c r="E90" s="785"/>
      <c r="F90" s="785"/>
      <c r="G90" s="785"/>
      <c r="H90" s="786"/>
      <c r="I90" s="306"/>
      <c r="J90" s="306"/>
      <c r="K90" s="306"/>
      <c r="L90" s="372"/>
      <c r="M90" s="372"/>
      <c r="N90" s="372"/>
      <c r="O90" s="372"/>
      <c r="P90" s="372"/>
      <c r="Q90" s="7"/>
      <c r="R90" s="369"/>
      <c r="S90" s="369"/>
      <c r="T90" s="4"/>
      <c r="U90" s="4"/>
      <c r="BI90" s="99"/>
      <c r="BJ90" s="99"/>
      <c r="BK90" s="99"/>
      <c r="BL90" s="99"/>
      <c r="BM90" s="99"/>
    </row>
    <row r="91" spans="1:83" ht="15.75" thickBot="1">
      <c r="E91" s="10"/>
      <c r="F91" s="10"/>
      <c r="G91" s="10"/>
      <c r="H91" s="10"/>
      <c r="I91" s="10"/>
      <c r="J91" s="10"/>
      <c r="K91" s="10"/>
      <c r="L91" s="10"/>
      <c r="M91" s="10"/>
      <c r="N91" s="10"/>
      <c r="O91" s="10"/>
      <c r="P91" s="10"/>
      <c r="Q91" s="10"/>
      <c r="R91" s="10"/>
      <c r="S91" s="10"/>
      <c r="V91" s="941"/>
      <c r="BI91" s="99"/>
      <c r="BJ91" s="99"/>
      <c r="BK91" s="99"/>
      <c r="BL91" s="99"/>
      <c r="BM91" s="99"/>
    </row>
    <row r="92" spans="1:83" ht="34.9" customHeight="1" thickBot="1">
      <c r="A92" s="1593" t="s">
        <v>688</v>
      </c>
      <c r="B92" s="1594"/>
      <c r="C92" s="1594"/>
      <c r="D92" s="1595"/>
      <c r="E92" s="1638" t="s">
        <v>686</v>
      </c>
      <c r="F92" s="1639"/>
      <c r="G92" s="1640"/>
      <c r="H92" s="1671" t="s">
        <v>687</v>
      </c>
      <c r="I92" s="1642"/>
      <c r="J92" s="1642"/>
      <c r="K92" s="1643"/>
      <c r="L92" s="1626" t="s">
        <v>683</v>
      </c>
      <c r="M92" s="1617"/>
      <c r="N92" s="1617"/>
      <c r="O92" s="1617"/>
      <c r="P92" s="1618"/>
      <c r="Q92" s="1616" t="s">
        <v>684</v>
      </c>
      <c r="R92" s="1617"/>
      <c r="S92" s="1617"/>
      <c r="T92" s="1617"/>
      <c r="U92" s="1618"/>
      <c r="V92" s="1614" t="s">
        <v>685</v>
      </c>
      <c r="W92" s="1644" t="s">
        <v>697</v>
      </c>
      <c r="X92" s="1645"/>
      <c r="Y92" s="1602" t="s">
        <v>675</v>
      </c>
      <c r="Z92" s="1604" t="s">
        <v>681</v>
      </c>
      <c r="AA92" s="1665" t="s">
        <v>661</v>
      </c>
      <c r="AB92" s="1611" t="s">
        <v>728</v>
      </c>
      <c r="AC92" s="1606" t="s">
        <v>731</v>
      </c>
      <c r="AD92" s="1604" t="s">
        <v>730</v>
      </c>
      <c r="AE92" s="1606" t="s">
        <v>733</v>
      </c>
      <c r="AF92" s="1609" t="s">
        <v>682</v>
      </c>
      <c r="AG92" s="1667" t="s">
        <v>700</v>
      </c>
      <c r="AH92" s="1668"/>
      <c r="AI92" s="1668"/>
      <c r="AJ92" s="1668"/>
      <c r="AK92" s="1668"/>
      <c r="AL92" s="1668"/>
      <c r="AM92" s="1668"/>
      <c r="AN92" s="1668"/>
      <c r="AO92" s="1668"/>
      <c r="AP92" s="1668"/>
      <c r="AQ92" s="1669"/>
      <c r="AR92" s="1596" t="s">
        <v>704</v>
      </c>
      <c r="AS92" s="1597"/>
      <c r="AT92" s="1597"/>
      <c r="AU92" s="1597"/>
      <c r="AV92" s="1597"/>
      <c r="AW92" s="1597"/>
      <c r="AX92" s="1597"/>
      <c r="AY92" s="1597"/>
      <c r="AZ92" s="1597"/>
      <c r="BA92" s="1597"/>
      <c r="BB92" s="1598"/>
      <c r="BC92" s="1449" t="s">
        <v>225</v>
      </c>
      <c r="BD92" s="1672" t="s">
        <v>702</v>
      </c>
      <c r="BE92" s="1451" t="s">
        <v>701</v>
      </c>
      <c r="BF92" s="1452"/>
      <c r="BG92" s="1452"/>
      <c r="BH92" s="1452"/>
      <c r="BI92" s="1452"/>
      <c r="BJ92" s="1452"/>
      <c r="BK92" s="1452"/>
      <c r="BL92" s="1452"/>
      <c r="BM92" s="1507" t="s">
        <v>714</v>
      </c>
      <c r="BN92" s="1508"/>
      <c r="BO92" s="1508"/>
      <c r="BP92" s="1508"/>
      <c r="BQ92" s="1508"/>
      <c r="BR92" s="1508"/>
      <c r="BS92" s="1508"/>
      <c r="BT92" s="1509"/>
      <c r="BV92" s="1678" t="s">
        <v>754</v>
      </c>
      <c r="BW92" s="1679"/>
      <c r="BX92" s="1680"/>
      <c r="BY92" s="1678" t="s">
        <v>761</v>
      </c>
      <c r="BZ92" s="1679"/>
      <c r="CA92" s="1680"/>
      <c r="CB92" s="1592" t="s">
        <v>755</v>
      </c>
      <c r="CC92" s="1590"/>
      <c r="CD92" s="1592" t="s">
        <v>762</v>
      </c>
      <c r="CE92" s="1590"/>
    </row>
    <row r="93" spans="1:83" s="10" customFormat="1" ht="42.6" customHeight="1" thickBot="1">
      <c r="A93" s="1619" t="s">
        <v>217</v>
      </c>
      <c r="B93" s="884" t="s">
        <v>218</v>
      </c>
      <c r="C93" s="884" t="s">
        <v>464</v>
      </c>
      <c r="D93" s="644" t="s">
        <v>576</v>
      </c>
      <c r="E93" s="882" t="s">
        <v>577</v>
      </c>
      <c r="F93" s="880" t="s">
        <v>580</v>
      </c>
      <c r="G93" s="881" t="s">
        <v>606</v>
      </c>
      <c r="H93" s="948" t="s">
        <v>554</v>
      </c>
      <c r="I93" s="874" t="s">
        <v>288</v>
      </c>
      <c r="J93" s="873" t="s">
        <v>678</v>
      </c>
      <c r="K93" s="875" t="s">
        <v>679</v>
      </c>
      <c r="L93" s="852" t="s">
        <v>87</v>
      </c>
      <c r="M93" s="827" t="s">
        <v>364</v>
      </c>
      <c r="N93" s="827" t="s">
        <v>365</v>
      </c>
      <c r="O93" s="827" t="s">
        <v>366</v>
      </c>
      <c r="P93" s="826" t="s">
        <v>660</v>
      </c>
      <c r="Q93" s="634" t="s">
        <v>87</v>
      </c>
      <c r="R93" s="827" t="s">
        <v>364</v>
      </c>
      <c r="S93" s="827" t="s">
        <v>365</v>
      </c>
      <c r="T93" s="827" t="s">
        <v>366</v>
      </c>
      <c r="U93" s="853" t="s">
        <v>660</v>
      </c>
      <c r="V93" s="1615"/>
      <c r="W93" s="639" t="s">
        <v>694</v>
      </c>
      <c r="X93" s="642" t="s">
        <v>654</v>
      </c>
      <c r="Y93" s="1603"/>
      <c r="Z93" s="1605"/>
      <c r="AA93" s="1666"/>
      <c r="AB93" s="1612"/>
      <c r="AC93" s="1607"/>
      <c r="AD93" s="1605"/>
      <c r="AE93" s="1607"/>
      <c r="AF93" s="1610"/>
      <c r="AG93" s="900" t="s">
        <v>549</v>
      </c>
      <c r="AH93" s="901" t="s">
        <v>565</v>
      </c>
      <c r="AI93" s="901" t="s">
        <v>428</v>
      </c>
      <c r="AJ93" s="901" t="s">
        <v>429</v>
      </c>
      <c r="AK93" s="901" t="s">
        <v>225</v>
      </c>
      <c r="AL93" s="901" t="s">
        <v>671</v>
      </c>
      <c r="AM93" s="900" t="s">
        <v>549</v>
      </c>
      <c r="AN93" s="901" t="s">
        <v>565</v>
      </c>
      <c r="AO93" s="901" t="s">
        <v>428</v>
      </c>
      <c r="AP93" s="901" t="s">
        <v>429</v>
      </c>
      <c r="AQ93" s="913" t="s">
        <v>225</v>
      </c>
      <c r="AR93" s="915" t="s">
        <v>221</v>
      </c>
      <c r="AS93" s="914" t="s">
        <v>85</v>
      </c>
      <c r="AT93" s="914" t="s">
        <v>87</v>
      </c>
      <c r="AU93" s="914" t="s">
        <v>222</v>
      </c>
      <c r="AV93" s="914" t="s">
        <v>115</v>
      </c>
      <c r="AW93" s="914" t="s">
        <v>223</v>
      </c>
      <c r="AX93" s="914" t="s">
        <v>548</v>
      </c>
      <c r="AY93" s="914" t="s">
        <v>374</v>
      </c>
      <c r="AZ93" s="914" t="s">
        <v>375</v>
      </c>
      <c r="BA93" s="914" t="s">
        <v>376</v>
      </c>
      <c r="BB93" s="914" t="s">
        <v>377</v>
      </c>
      <c r="BC93" s="1450"/>
      <c r="BD93" s="1673"/>
      <c r="BE93" s="915" t="s">
        <v>221</v>
      </c>
      <c r="BF93" s="914" t="s">
        <v>85</v>
      </c>
      <c r="BG93" s="914" t="s">
        <v>87</v>
      </c>
      <c r="BH93" s="914" t="s">
        <v>222</v>
      </c>
      <c r="BI93" s="914" t="s">
        <v>115</v>
      </c>
      <c r="BJ93" s="914" t="s">
        <v>223</v>
      </c>
      <c r="BK93" s="914" t="s">
        <v>703</v>
      </c>
      <c r="BL93" s="1345" t="s">
        <v>303</v>
      </c>
      <c r="BM93" s="549" t="s">
        <v>221</v>
      </c>
      <c r="BN93" s="509" t="s">
        <v>85</v>
      </c>
      <c r="BO93" s="509" t="s">
        <v>87</v>
      </c>
      <c r="BP93" s="509" t="s">
        <v>222</v>
      </c>
      <c r="BQ93" s="509" t="s">
        <v>115</v>
      </c>
      <c r="BR93" s="509" t="s">
        <v>223</v>
      </c>
      <c r="BS93" s="509" t="s">
        <v>224</v>
      </c>
      <c r="BT93" s="1348" t="s">
        <v>225</v>
      </c>
      <c r="BV93" s="1379" t="s">
        <v>609</v>
      </c>
      <c r="BW93" s="40" t="s">
        <v>718</v>
      </c>
      <c r="BX93" s="1380" t="str">
        <f>D133</f>
        <v xml:space="preserve">Coal ash generated - ‘IRP realistic’ </v>
      </c>
      <c r="BY93" s="1379" t="s">
        <v>609</v>
      </c>
      <c r="BZ93" s="40" t="s">
        <v>718</v>
      </c>
      <c r="CA93" s="1380" t="s">
        <v>725</v>
      </c>
      <c r="CB93" s="40" t="s">
        <v>267</v>
      </c>
      <c r="CC93" s="1380" t="s">
        <v>735</v>
      </c>
      <c r="CD93" s="40" t="s">
        <v>267</v>
      </c>
      <c r="CE93" s="1380" t="s">
        <v>735</v>
      </c>
    </row>
    <row r="94" spans="1:83" ht="16.5" thickBot="1">
      <c r="A94" s="1631"/>
      <c r="B94" s="567" t="s">
        <v>232</v>
      </c>
      <c r="C94" s="568" t="s">
        <v>558</v>
      </c>
      <c r="D94" s="605" t="s">
        <v>556</v>
      </c>
      <c r="E94" s="942" t="s">
        <v>229</v>
      </c>
      <c r="F94" s="943" t="s">
        <v>229</v>
      </c>
      <c r="G94" s="944" t="s">
        <v>228</v>
      </c>
      <c r="H94" s="949" t="s">
        <v>227</v>
      </c>
      <c r="I94" s="876" t="s">
        <v>228</v>
      </c>
      <c r="J94" s="876" t="s">
        <v>227</v>
      </c>
      <c r="K94" s="877" t="s">
        <v>227</v>
      </c>
      <c r="L94" s="715" t="s">
        <v>229</v>
      </c>
      <c r="M94" s="553" t="s">
        <v>229</v>
      </c>
      <c r="N94" s="553" t="s">
        <v>229</v>
      </c>
      <c r="O94" s="553" t="s">
        <v>229</v>
      </c>
      <c r="P94" s="554" t="s">
        <v>229</v>
      </c>
      <c r="Q94" s="552" t="s">
        <v>227</v>
      </c>
      <c r="R94" s="553" t="s">
        <v>227</v>
      </c>
      <c r="S94" s="553" t="s">
        <v>227</v>
      </c>
      <c r="T94" s="553" t="s">
        <v>227</v>
      </c>
      <c r="U94" s="554" t="s">
        <v>227</v>
      </c>
      <c r="V94" s="869" t="s">
        <v>227</v>
      </c>
      <c r="W94" s="867" t="s">
        <v>229</v>
      </c>
      <c r="X94" s="870" t="s">
        <v>227</v>
      </c>
      <c r="Y94" s="895" t="s">
        <v>227</v>
      </c>
      <c r="Z94" s="896" t="s">
        <v>227</v>
      </c>
      <c r="AA94" s="897" t="s">
        <v>227</v>
      </c>
      <c r="AB94" s="1613"/>
      <c r="AC94" s="1608"/>
      <c r="AD94" s="1411" t="s">
        <v>28</v>
      </c>
      <c r="AE94" s="1608"/>
      <c r="AF94" s="1409" t="s">
        <v>227</v>
      </c>
      <c r="AG94" s="908" t="s">
        <v>227</v>
      </c>
      <c r="AH94" s="903" t="s">
        <v>227</v>
      </c>
      <c r="AI94" s="903" t="s">
        <v>227</v>
      </c>
      <c r="AJ94" s="903" t="s">
        <v>227</v>
      </c>
      <c r="AK94" s="903" t="s">
        <v>227</v>
      </c>
      <c r="AL94" s="903" t="s">
        <v>669</v>
      </c>
      <c r="AM94" s="190" t="s">
        <v>229</v>
      </c>
      <c r="AN94" s="904" t="s">
        <v>229</v>
      </c>
      <c r="AO94" s="904" t="s">
        <v>229</v>
      </c>
      <c r="AP94" s="904" t="s">
        <v>229</v>
      </c>
      <c r="AQ94" s="909" t="s">
        <v>229</v>
      </c>
      <c r="AR94" s="920" t="s">
        <v>227</v>
      </c>
      <c r="AS94" s="921" t="s">
        <v>227</v>
      </c>
      <c r="AT94" s="921" t="s">
        <v>227</v>
      </c>
      <c r="AU94" s="921" t="s">
        <v>227</v>
      </c>
      <c r="AV94" s="921" t="s">
        <v>227</v>
      </c>
      <c r="AW94" s="921" t="s">
        <v>227</v>
      </c>
      <c r="AX94" s="921" t="s">
        <v>227</v>
      </c>
      <c r="AY94" s="921" t="s">
        <v>227</v>
      </c>
      <c r="AZ94" s="921" t="s">
        <v>227</v>
      </c>
      <c r="BA94" s="921" t="s">
        <v>227</v>
      </c>
      <c r="BB94" s="921" t="s">
        <v>227</v>
      </c>
      <c r="BC94" s="921" t="s">
        <v>227</v>
      </c>
      <c r="BD94" s="1674"/>
      <c r="BE94" s="920" t="s">
        <v>229</v>
      </c>
      <c r="BF94" s="921" t="s">
        <v>229</v>
      </c>
      <c r="BG94" s="921" t="s">
        <v>229</v>
      </c>
      <c r="BH94" s="921" t="s">
        <v>229</v>
      </c>
      <c r="BI94" s="921" t="s">
        <v>229</v>
      </c>
      <c r="BJ94" s="921" t="s">
        <v>229</v>
      </c>
      <c r="BK94" s="921" t="s">
        <v>229</v>
      </c>
      <c r="BL94" s="1346" t="s">
        <v>229</v>
      </c>
      <c r="BM94" s="549" t="s">
        <v>229</v>
      </c>
      <c r="BN94" s="509" t="s">
        <v>229</v>
      </c>
      <c r="BO94" s="509" t="s">
        <v>229</v>
      </c>
      <c r="BP94" s="509" t="s">
        <v>229</v>
      </c>
      <c r="BQ94" s="509" t="s">
        <v>229</v>
      </c>
      <c r="BR94" s="509" t="s">
        <v>229</v>
      </c>
      <c r="BS94" s="509" t="s">
        <v>229</v>
      </c>
      <c r="BT94" s="1348" t="s">
        <v>229</v>
      </c>
      <c r="BV94" s="1379" t="s">
        <v>719</v>
      </c>
      <c r="BW94" s="40" t="s">
        <v>229</v>
      </c>
      <c r="BX94" s="1380" t="s">
        <v>719</v>
      </c>
      <c r="BY94" s="1379" t="s">
        <v>719</v>
      </c>
      <c r="BZ94" s="40" t="s">
        <v>229</v>
      </c>
      <c r="CA94" s="1380" t="s">
        <v>719</v>
      </c>
      <c r="CB94" s="1496" t="s">
        <v>229</v>
      </c>
      <c r="CC94" s="68" t="s">
        <v>229</v>
      </c>
      <c r="CD94" s="1496" t="s">
        <v>229</v>
      </c>
      <c r="CE94" s="68" t="s">
        <v>229</v>
      </c>
    </row>
    <row r="95" spans="1:83">
      <c r="A95" s="127">
        <f>'Input data'!A115</f>
        <v>2017</v>
      </c>
      <c r="B95" s="828">
        <f>'Input data'!B115</f>
        <v>56.521999999999998</v>
      </c>
      <c r="C95" s="238">
        <f>'Input data'!C115</f>
        <v>3120.54</v>
      </c>
      <c r="D95" s="238">
        <f>'Input data'!D115</f>
        <v>49995051</v>
      </c>
      <c r="E95" s="891">
        <f>'Input data'!F115</f>
        <v>0.71479999999999999</v>
      </c>
      <c r="F95" s="891">
        <f>'Input data'!G115</f>
        <v>0.28959999999999997</v>
      </c>
      <c r="G95" s="975">
        <f>'Input data'!H115</f>
        <v>501</v>
      </c>
      <c r="H95" s="654">
        <f>'Input data'!I115</f>
        <v>424.26313389388866</v>
      </c>
      <c r="I95" s="672">
        <f>'Input data'!K115</f>
        <v>23980.200853950373</v>
      </c>
      <c r="J95" s="696">
        <f>H95*B10</f>
        <v>197.16290517356791</v>
      </c>
      <c r="K95" s="802">
        <f t="shared" ref="K95" si="12">H95*$B$10-J95</f>
        <v>0</v>
      </c>
      <c r="L95" s="510">
        <f>C17</f>
        <v>0.57999999999999996</v>
      </c>
      <c r="M95" s="510">
        <f>D17</f>
        <v>0.437</v>
      </c>
      <c r="N95" s="510">
        <f>E17</f>
        <v>0.71200000000000008</v>
      </c>
      <c r="O95" s="510">
        <f>F17</f>
        <v>0.8</v>
      </c>
      <c r="P95" s="114">
        <f>$G$17</f>
        <v>0.23600000000000002</v>
      </c>
      <c r="Q95" s="654">
        <f>H95*$E$75*L95</f>
        <v>21.956594277323916</v>
      </c>
      <c r="R95" s="673">
        <f>H95*$J$75*M95</f>
        <v>8.498893173320921</v>
      </c>
      <c r="S95" s="673">
        <f t="shared" ref="S95" si="13">H95*$K$75*N95</f>
        <v>35.157920176424213</v>
      </c>
      <c r="T95" s="673">
        <f t="shared" ref="T95" si="14">H95*$L$75*O95</f>
        <v>50.006188746360976</v>
      </c>
      <c r="U95" s="802">
        <f t="shared" ref="U95" si="15">H95*$M$75*P95</f>
        <v>0.67710709475193609</v>
      </c>
      <c r="V95" s="654">
        <f t="shared" ref="V95:V128" si="16">SUM(Q95:U95)</f>
        <v>116.29670346818196</v>
      </c>
      <c r="W95" s="805">
        <v>0</v>
      </c>
      <c r="X95" s="671">
        <f t="shared" ref="X95:X128" si="17">W95*H95*($C$76+$D$76)*$B$10</f>
        <v>0</v>
      </c>
      <c r="Y95" s="671">
        <f t="shared" ref="Y95:Y128" si="18">X95+(V95-$V$95)</f>
        <v>0</v>
      </c>
      <c r="Z95" s="672">
        <f>$J$95-Y95</f>
        <v>197.16290517356791</v>
      </c>
      <c r="AA95" s="696">
        <f t="shared" ref="AA95:AA128" si="19">K95-Y95</f>
        <v>0</v>
      </c>
      <c r="AB95" s="893">
        <f>IF(0&lt;AA95/Z95,AA95/Z95,0)</f>
        <v>0</v>
      </c>
      <c r="AC95" s="135" t="str">
        <f>IF(AND(AB95&gt;=0,AB95&lt;=0.85),"Policies met","Policies not met")</f>
        <v>Policies met</v>
      </c>
      <c r="AD95" s="1353">
        <f>IF(AB95&lt;=0,0,IF(AB95&gt;=0.85,0.85,AB95))</f>
        <v>0</v>
      </c>
      <c r="AE95" s="135" t="str">
        <f>IF(AND(AB95&gt;=0,AB95&lt;=0.85),"No","Yes")</f>
        <v>No</v>
      </c>
      <c r="AF95" s="1420">
        <f>$H$95*(1-AD95)</f>
        <v>424.26313389388866</v>
      </c>
      <c r="AG95" s="839">
        <f>Z95-Z95*AD95</f>
        <v>197.16290517356791</v>
      </c>
      <c r="AH95" s="839">
        <f t="shared" ref="AH95:AH128" si="20">V95*(1-AB95)</f>
        <v>116.29670346818196</v>
      </c>
      <c r="AI95" s="839">
        <f t="shared" ref="AI95:AI128" si="21">($C$10*$H$10*$H$95+X95)*(1-AB95)</f>
        <v>59.269011747436601</v>
      </c>
      <c r="AJ95" s="839">
        <f t="shared" ref="AJ95:AJ128" si="22">H95*$D$10*(1-AB95)</f>
        <v>51.534513504702232</v>
      </c>
      <c r="AK95" s="839">
        <f>SUM(AG95:AJ95)</f>
        <v>424.26313389388872</v>
      </c>
      <c r="AL95" s="947">
        <f>AK95*B95</f>
        <v>23980.200853950377</v>
      </c>
      <c r="AM95" s="805">
        <f>AG95/AK95</f>
        <v>0.46471844811027058</v>
      </c>
      <c r="AN95" s="510">
        <f>AH95/AK95</f>
        <v>0.274114562820508</v>
      </c>
      <c r="AO95" s="510">
        <f>AI95/AK95</f>
        <v>0.13969870821314445</v>
      </c>
      <c r="AP95" s="510">
        <f>AJ95/AK95</f>
        <v>0.1214682808560769</v>
      </c>
      <c r="AQ95" s="510">
        <f>SUM(AM95:AP95)</f>
        <v>0.99999999999999989</v>
      </c>
      <c r="AR95" s="1490">
        <f>($H$95*$C$76*AM95-0.5*X95)*(1-AD95)</f>
        <v>47.321656818861349</v>
      </c>
      <c r="AS95" s="1491">
        <f>($H$95*$D$76-0.5*X95)*(1-AD95)*AM95</f>
        <v>60.016663087128173</v>
      </c>
      <c r="AT95" s="1491">
        <f>($H$95*$E$76*AM95-(Q95-$Q$95))*(1-AD95)</f>
        <v>11.632264519473155</v>
      </c>
      <c r="AU95" s="1491">
        <f>$H$95*$F$76*(1-AD95)*AM95</f>
        <v>0</v>
      </c>
      <c r="AV95" s="1491">
        <f>$H$95*$G$76*(1-AD95)*AM95</f>
        <v>0</v>
      </c>
      <c r="AW95" s="1491">
        <f>$H$95*$H$76*(1-AD95)*AM95</f>
        <v>0</v>
      </c>
      <c r="AX95" s="1492">
        <f>$H$95*$I$76*(1-AD95)*$AM$95</f>
        <v>49.510847715298119</v>
      </c>
      <c r="AY95" s="1491">
        <f>($H$95*$J$76*AM95-(R95-$R$95))*(1-AD95)</f>
        <v>7.1581397336128587</v>
      </c>
      <c r="AZ95" s="1491">
        <f>($H$95*$K$76*AM95-(S95-$S$95))*(1-AD95)</f>
        <v>10.404319152730528</v>
      </c>
      <c r="BA95" s="1491">
        <f>($H$95*$L$76*AM95-(T95-$T$95))*(1-AD95)</f>
        <v>9.146222458533865</v>
      </c>
      <c r="BB95" s="1491">
        <f>($H$95*$M$76*AM95-(U95-$U$95))*(1-AB95)</f>
        <v>1.9727916879297922</v>
      </c>
      <c r="BC95" s="813">
        <f>SUM(AR95:BB95)</f>
        <v>197.16290517356785</v>
      </c>
      <c r="BD95" s="1493">
        <f>BC95-AG95</f>
        <v>0</v>
      </c>
      <c r="BE95" s="840">
        <f>AR95/BC95</f>
        <v>0.24001298204245272</v>
      </c>
      <c r="BF95" s="535">
        <f>AS95/BC95</f>
        <v>0.30440139352934509</v>
      </c>
      <c r="BG95" s="535">
        <f>AT95/BC95</f>
        <v>5.8998240613430591E-2</v>
      </c>
      <c r="BH95" s="535">
        <f>AU95/BC95</f>
        <v>0</v>
      </c>
      <c r="BI95" s="535">
        <f>AV95/BC95</f>
        <v>0</v>
      </c>
      <c r="BJ95" s="535">
        <f>AW95/BC95</f>
        <v>0</v>
      </c>
      <c r="BK95" s="535">
        <f>SUM(AX95:BB95)/BC95</f>
        <v>0.3965873838147716</v>
      </c>
      <c r="BL95" s="1342">
        <f>SUM(BE95:BK95)</f>
        <v>1</v>
      </c>
      <c r="BM95" s="1237">
        <f>'Input data'!M115</f>
        <v>0.19892488097366726</v>
      </c>
      <c r="BN95" s="713">
        <f>'Input data'!N115</f>
        <v>0.26585903447659598</v>
      </c>
      <c r="BO95" s="713">
        <f>'Input data'!O115</f>
        <v>8.9228108703258049E-2</v>
      </c>
      <c r="BP95" s="713">
        <f>'Input data'!P115</f>
        <v>0</v>
      </c>
      <c r="BQ95" s="713">
        <f>'Input data'!Q115</f>
        <v>0</v>
      </c>
      <c r="BR95" s="713">
        <f>'Input data'!R115</f>
        <v>0</v>
      </c>
      <c r="BS95" s="713">
        <f>'Input data'!S115</f>
        <v>0.4459879758464787</v>
      </c>
      <c r="BT95" s="658">
        <f>SUM(BM95:BS95)</f>
        <v>1</v>
      </c>
      <c r="BV95" s="1189">
        <f t="shared" ref="BV95:BV128" si="23">(AK95*B95+C135*W135)*1000/10^6</f>
        <v>109.87635423856577</v>
      </c>
      <c r="BW95" s="1029">
        <f>(B95*(AK95-AM95*AK95)+C135*(AC135-AC135*AE135))/(AK95*B95*AM95+AC135*C135*AE135)</f>
        <v>0.29713182575222163</v>
      </c>
      <c r="BX95" s="851">
        <f t="shared" ref="BX95:BX128" si="24">D135/10^6</f>
        <v>49.995050999999997</v>
      </c>
      <c r="BY95" s="1189">
        <f t="shared" ref="BY95:BY128" si="25">(AK95*B95+C175*W175)*1000/10^6</f>
        <v>109.87635423856577</v>
      </c>
      <c r="BZ95" s="1029">
        <f>(B175*(AK95-AM95*AK95)+C175*(AC175-AC175*AE175))/(AK95*B175*AM95+AC175*C175*AE175)</f>
        <v>0.29713182575222163</v>
      </c>
      <c r="CA95" s="1489">
        <f t="shared" ref="CA95:CA128" si="26">D175/10^6</f>
        <v>49.995050999999997</v>
      </c>
      <c r="CB95" s="713">
        <f t="shared" ref="CB95:CB128" si="27">AD95</f>
        <v>0</v>
      </c>
      <c r="CC95" s="713">
        <f t="shared" ref="CC95:CC128" si="28">U135</f>
        <v>0</v>
      </c>
      <c r="CD95" s="713">
        <f>AD95</f>
        <v>0</v>
      </c>
      <c r="CE95" s="1001">
        <f>U175</f>
        <v>0</v>
      </c>
    </row>
    <row r="96" spans="1:83">
      <c r="A96" s="127">
        <f>'Input data'!A116</f>
        <v>2018</v>
      </c>
      <c r="B96" s="828">
        <f>'Input data'!B116</f>
        <v>57.436</v>
      </c>
      <c r="C96" s="238">
        <f>'Input data'!C116</f>
        <v>3152.24</v>
      </c>
      <c r="D96" s="238">
        <f>'Input data'!D116</f>
        <v>48694518.38623029</v>
      </c>
      <c r="E96" s="805">
        <f>($E$108-$E$95)/($A$108-$A$95)+E95</f>
        <v>0.73673846153846156</v>
      </c>
      <c r="F96" s="510">
        <f>($F$108-$F$95)/($A$108-$A$95)+F95</f>
        <v>0.29557307692307688</v>
      </c>
      <c r="G96" s="674">
        <f>B96*F96*'Input data'!$C$9</f>
        <v>519.60187202830946</v>
      </c>
      <c r="H96" s="654">
        <f>'Input data'!I116</f>
        <v>424.26313389388866</v>
      </c>
      <c r="I96" s="672">
        <f>'Input data'!K116</f>
        <v>24367.97735832939</v>
      </c>
      <c r="J96" s="696">
        <f>J95*0.94</f>
        <v>185.33313086315383</v>
      </c>
      <c r="K96" s="674">
        <f>$J$95-J96</f>
        <v>11.829774310414081</v>
      </c>
      <c r="L96" s="510">
        <f>($L$108-$L$95)/($A$108-$A$95)+L95</f>
        <v>0.58923076923076922</v>
      </c>
      <c r="M96" s="510">
        <f t="shared" ref="M96:M106" si="29">($M$108-$M$95)/($A$108-$A$95)+M95</f>
        <v>0.44953846153846155</v>
      </c>
      <c r="N96" s="510">
        <f>($N$108-$N$95)/($A$108-$A$95)+N95</f>
        <v>0.72646153846153849</v>
      </c>
      <c r="O96" s="510">
        <f>($O$108-$O$95)/($A$108-$A$95)+O95</f>
        <v>0.80769230769230771</v>
      </c>
      <c r="P96" s="510">
        <f t="shared" ref="P96:P107" si="30">($P$108-$P$95)/($A$108-$A$95)+P95</f>
        <v>0.23600000000000002</v>
      </c>
      <c r="Q96" s="654">
        <f t="shared" ref="Q96:Q128" si="31">H96*$E$75*L96</f>
        <v>22.306036096061167</v>
      </c>
      <c r="R96" s="673">
        <f t="shared" ref="R96:R128" si="32">H96*$J$75*M96</f>
        <v>8.7427445352732729</v>
      </c>
      <c r="S96" s="673">
        <f t="shared" ref="S96:S128" si="33">H96*$K$75*N96</f>
        <v>35.872017950102666</v>
      </c>
      <c r="T96" s="673">
        <f t="shared" ref="T96:T128" si="34">H96*$L$75*O96</f>
        <v>50.487017484306747</v>
      </c>
      <c r="U96" s="802">
        <f t="shared" ref="U96:U128" si="35">H96*$M$75*P96</f>
        <v>0.67710709475193609</v>
      </c>
      <c r="V96" s="654">
        <f t="shared" si="16"/>
        <v>118.08492316049579</v>
      </c>
      <c r="W96" s="805">
        <v>0.05</v>
      </c>
      <c r="X96" s="671">
        <f t="shared" si="17"/>
        <v>5.3669159952994772</v>
      </c>
      <c r="Y96" s="671">
        <f>X96+(V96-$V$95)</f>
        <v>7.1551356876133081</v>
      </c>
      <c r="Z96" s="672">
        <f>$J$95-Y96</f>
        <v>190.00776948595461</v>
      </c>
      <c r="AA96" s="696">
        <f>K96-Y96</f>
        <v>4.6746386228007726</v>
      </c>
      <c r="AB96" s="893">
        <f t="shared" ref="AB96:AB128" si="36">AA96/Z96</f>
        <v>2.4602355132358533E-2</v>
      </c>
      <c r="AC96" s="135" t="str">
        <f t="shared" ref="AC96:AC128" si="37">IF(AND(AB96&gt;=0,AB96&lt;=0.85),"Policies met","Policies not met")</f>
        <v>Policies met</v>
      </c>
      <c r="AD96" s="1353">
        <f t="shared" ref="AD96:AD128" si="38">IF(AB96&lt;=0,0,IF(AB96&gt;=0.85,0.85,AB96))</f>
        <v>2.4602355132358533E-2</v>
      </c>
      <c r="AE96" s="135" t="str">
        <f t="shared" ref="AE96:AE128" si="39">IF(AND(AB96&gt;=0,AB96&lt;=0.85),"No","Yes")</f>
        <v>No</v>
      </c>
      <c r="AF96" s="1420">
        <f t="shared" ref="AF96:AF128" si="40">$H$95*(1-AD96)</f>
        <v>413.82526160426386</v>
      </c>
      <c r="AG96" s="118">
        <f t="shared" ref="AG96:AG128" si="41">Z96-Z96*AD96</f>
        <v>185.33313086315383</v>
      </c>
      <c r="AH96" s="118">
        <f t="shared" si="20"/>
        <v>115.179755945124</v>
      </c>
      <c r="AI96" s="118">
        <f t="shared" si="21"/>
        <v>63.045731694099814</v>
      </c>
      <c r="AJ96" s="118">
        <f t="shared" si="22"/>
        <v>50.266643101886224</v>
      </c>
      <c r="AK96" s="118">
        <f t="shared" ref="AK96:AK128" si="42">SUM(AG96:AJ96)</f>
        <v>413.82526160426386</v>
      </c>
      <c r="AL96" s="910">
        <f t="shared" ref="AL96:AL128" si="43">AF96-AK96</f>
        <v>0</v>
      </c>
      <c r="AM96" s="805">
        <f t="shared" ref="AM96:AM128" si="44">AG96/AK96</f>
        <v>0.44785359440039618</v>
      </c>
      <c r="AN96" s="510">
        <f t="shared" ref="AN96:AN128" si="45">AH96/AK96</f>
        <v>0.2783294463431501</v>
      </c>
      <c r="AO96" s="510">
        <f t="shared" ref="AO96:AO128" si="46">AI96/AK96</f>
        <v>0.15234867840037686</v>
      </c>
      <c r="AP96" s="510">
        <f t="shared" ref="AP96:AP128" si="47">AJ96/AK96</f>
        <v>0.12146828085607692</v>
      </c>
      <c r="AQ96" s="510">
        <f t="shared" ref="AQ96:AQ128" si="48">SUM(AM96:AP96)</f>
        <v>1.0000000000000002</v>
      </c>
      <c r="AR96" s="916">
        <f>($AR$95-0.5*X96)*(1-AD96)</f>
        <v>43.539994001343331</v>
      </c>
      <c r="AS96" s="917">
        <f>($AS$95-0.5*X96)*(1-AD96)</f>
        <v>55.922673216990738</v>
      </c>
      <c r="AT96" s="917">
        <f>($AT$95-(Q96-$Q$95))*(1-AD96)</f>
        <v>11.005238689756963</v>
      </c>
      <c r="AU96" s="917">
        <f>$H$95*$F$76*(1-AD96)</f>
        <v>0</v>
      </c>
      <c r="AV96" s="917">
        <f>$H$95*$G$76*(1-AD96)</f>
        <v>0</v>
      </c>
      <c r="AW96" s="917">
        <f>$H$95*$H$76*(1-AD96)</f>
        <v>0</v>
      </c>
      <c r="AX96" s="1338">
        <f>$H$95*$I$76*(1-AD96)*$AM$95</f>
        <v>48.292764256902231</v>
      </c>
      <c r="AY96" s="917">
        <f>($AY$95-(R96-$R$95))*(1-AD96)</f>
        <v>6.7441805936533781</v>
      </c>
      <c r="AZ96" s="917">
        <f>($AZ$95-(S96-$S$95))*(1-AD96)</f>
        <v>9.451819111373462</v>
      </c>
      <c r="BA96" s="917">
        <f>($BA$95-(T96-$T$95))*(1-AD96)</f>
        <v>8.4522046269124758</v>
      </c>
      <c r="BB96" s="917">
        <f>($BB$95-(U96-$U$95))*(1-AD96)</f>
        <v>1.9242563662211785</v>
      </c>
      <c r="BC96" s="673">
        <f t="shared" ref="BC96:BC128" si="49">SUM(AR96:BB96)</f>
        <v>185.33313086315374</v>
      </c>
      <c r="BD96" s="922">
        <f t="shared" ref="BD96:BD128" si="50">BC96-AG96</f>
        <v>0</v>
      </c>
      <c r="BE96" s="840">
        <f t="shared" ref="BE96:BE128" si="51">AR96/BC96</f>
        <v>0.23492828183802922</v>
      </c>
      <c r="BF96" s="535">
        <f t="shared" ref="BF96:BF128" si="52">AS96/BC96</f>
        <v>0.30174137217960728</v>
      </c>
      <c r="BG96" s="535">
        <f t="shared" ref="BG96:BG128" si="53">AT96/BC96</f>
        <v>5.9380849168749056E-2</v>
      </c>
      <c r="BH96" s="535">
        <f t="shared" ref="BH96:BH128" si="54">AU96/BC96</f>
        <v>0</v>
      </c>
      <c r="BI96" s="535">
        <f t="shared" ref="BI96:BI128" si="55">AV96/BC96</f>
        <v>0</v>
      </c>
      <c r="BJ96" s="535">
        <f t="shared" ref="BJ96:BJ128" si="56">AW96/BC96</f>
        <v>0</v>
      </c>
      <c r="BK96" s="535">
        <f t="shared" ref="BK96:BK128" si="57">SUM(AX96:BB96)/BC96</f>
        <v>0.40394949681361447</v>
      </c>
      <c r="BL96" s="1342">
        <f t="shared" ref="BL96:BL128" si="58">SUM(BE96:BK96)</f>
        <v>1</v>
      </c>
      <c r="BM96" s="1237">
        <f>BM95</f>
        <v>0.19892488097366726</v>
      </c>
      <c r="BN96" s="713">
        <f t="shared" ref="BN96:BS111" si="59">BN95</f>
        <v>0.26585903447659598</v>
      </c>
      <c r="BO96" s="713">
        <f t="shared" si="59"/>
        <v>8.9228108703258049E-2</v>
      </c>
      <c r="BP96" s="713">
        <f t="shared" si="59"/>
        <v>0</v>
      </c>
      <c r="BQ96" s="713">
        <f t="shared" si="59"/>
        <v>0</v>
      </c>
      <c r="BR96" s="713">
        <f t="shared" si="59"/>
        <v>0</v>
      </c>
      <c r="BS96" s="713">
        <f t="shared" si="59"/>
        <v>0.4459879758464787</v>
      </c>
      <c r="BT96" s="658">
        <f>SUM(BM96:BS96)</f>
        <v>1</v>
      </c>
      <c r="BV96" s="671">
        <f t="shared" si="23"/>
        <v>107.13689986433511</v>
      </c>
      <c r="BW96" s="713">
        <f t="shared" ref="BW96:BW128" si="60">(B96*(AK96-AM96*AK96)+C136*(AC136-AC136*AE136))/(AK96*B96*AM96+AC136*C136*AE136)</f>
        <v>0.33094972611810003</v>
      </c>
      <c r="BX96" s="696">
        <f t="shared" si="24"/>
        <v>48.694518386230293</v>
      </c>
      <c r="BY96" s="671">
        <f t="shared" si="25"/>
        <v>107.13689986433511</v>
      </c>
      <c r="BZ96" s="713">
        <f t="shared" ref="BZ96:BZ128" si="61">(B176*(AK96-AM96*AK96)+C176*(AC176-AC176*AE176))/(AK96*B176*AM96+AC176*C176*AE176)</f>
        <v>0.33094972611810003</v>
      </c>
      <c r="CA96" s="845">
        <f t="shared" si="26"/>
        <v>48.694518386230293</v>
      </c>
      <c r="CB96" s="713">
        <f t="shared" si="27"/>
        <v>2.4602355132358533E-2</v>
      </c>
      <c r="CC96" s="713">
        <f t="shared" si="28"/>
        <v>4.389506794913843E-2</v>
      </c>
      <c r="CD96" s="713">
        <f t="shared" ref="CD96:CD128" si="62">AD96</f>
        <v>2.4602355132358533E-2</v>
      </c>
      <c r="CE96" s="1001">
        <f t="shared" ref="CE96:CE128" si="63">U176</f>
        <v>4.389506794913843E-2</v>
      </c>
    </row>
    <row r="97" spans="1:83">
      <c r="A97" s="127">
        <f>'Input data'!A117</f>
        <v>2019</v>
      </c>
      <c r="B97" s="828">
        <f>'Input data'!B117</f>
        <v>58.365000000000002</v>
      </c>
      <c r="C97" s="238">
        <f>'Input data'!C117</f>
        <v>3179.2899999999995</v>
      </c>
      <c r="D97" s="238">
        <f>'Input data'!D117</f>
        <v>47939972.084890619</v>
      </c>
      <c r="E97" s="805">
        <f t="shared" ref="E97:E107" si="64">($E$108-$E$95)/($A$108-$A$95)+E96</f>
        <v>0.75867692307692314</v>
      </c>
      <c r="F97" s="510">
        <f t="shared" ref="F97:F107" si="65">($F$108-$F$95)/($A$108-$A$95)+F96</f>
        <v>0.3015461538461538</v>
      </c>
      <c r="G97" s="674">
        <f>B97*F97*'Input data'!$C$9</f>
        <v>538.6763776064397</v>
      </c>
      <c r="H97" s="654">
        <f>'Input data'!I117</f>
        <v>424.26313389388866</v>
      </c>
      <c r="I97" s="672">
        <f>'Input data'!K117</f>
        <v>24762.117809716812</v>
      </c>
      <c r="J97" s="672">
        <f>J95*0.89</f>
        <v>175.47498560447545</v>
      </c>
      <c r="K97" s="674">
        <f t="shared" ref="K97:K128" si="66">$J$95-J97</f>
        <v>21.687919569092458</v>
      </c>
      <c r="L97" s="510">
        <f t="shared" ref="L97:L107" si="67">($L$108-$L$95)/($A$108-$A$95)+L96</f>
        <v>0.59846153846153849</v>
      </c>
      <c r="M97" s="510">
        <f t="shared" si="29"/>
        <v>0.46207692307692311</v>
      </c>
      <c r="N97" s="510">
        <f t="shared" ref="N97:N107" si="68">($N$108-$N$95)/($A$108-$A$95)+N96</f>
        <v>0.74092307692307691</v>
      </c>
      <c r="O97" s="510">
        <f t="shared" ref="O97:O107" si="69">($O$108-$O$95)/($A$108-$A$95)+O96</f>
        <v>0.81538461538461537</v>
      </c>
      <c r="P97" s="510">
        <f t="shared" si="30"/>
        <v>0.23600000000000002</v>
      </c>
      <c r="Q97" s="654">
        <f t="shared" si="31"/>
        <v>22.655477914798421</v>
      </c>
      <c r="R97" s="673">
        <f t="shared" si="32"/>
        <v>8.9865958972256248</v>
      </c>
      <c r="S97" s="673">
        <f t="shared" si="33"/>
        <v>36.586115723781113</v>
      </c>
      <c r="T97" s="673">
        <f t="shared" si="34"/>
        <v>50.967846222252525</v>
      </c>
      <c r="U97" s="802">
        <f t="shared" si="35"/>
        <v>0.67710709475193609</v>
      </c>
      <c r="V97" s="654">
        <f t="shared" si="16"/>
        <v>119.87314285280962</v>
      </c>
      <c r="W97" s="805">
        <f>W96*2</f>
        <v>0.1</v>
      </c>
      <c r="X97" s="671">
        <f t="shared" si="17"/>
        <v>10.733831990598954</v>
      </c>
      <c r="Y97" s="671">
        <f t="shared" si="18"/>
        <v>14.310271375226616</v>
      </c>
      <c r="Z97" s="672">
        <f t="shared" ref="Z97:Z128" si="70">$J$95-Y97</f>
        <v>182.85263379834129</v>
      </c>
      <c r="AA97" s="696">
        <f t="shared" si="19"/>
        <v>7.3776481938658414</v>
      </c>
      <c r="AB97" s="893">
        <f t="shared" si="36"/>
        <v>4.0347508485998995E-2</v>
      </c>
      <c r="AC97" s="135" t="str">
        <f t="shared" si="37"/>
        <v>Policies met</v>
      </c>
      <c r="AD97" s="1353">
        <f t="shared" si="38"/>
        <v>4.0347508485998995E-2</v>
      </c>
      <c r="AE97" s="135" t="str">
        <f t="shared" si="39"/>
        <v>No</v>
      </c>
      <c r="AF97" s="1420">
        <f t="shared" si="40"/>
        <v>407.14517349880845</v>
      </c>
      <c r="AG97" s="118">
        <f t="shared" si="41"/>
        <v>175.47498560447545</v>
      </c>
      <c r="AH97" s="118">
        <f t="shared" si="20"/>
        <v>115.03656020431252</v>
      </c>
      <c r="AI97" s="118">
        <f t="shared" si="21"/>
        <v>67.178403406271102</v>
      </c>
      <c r="AJ97" s="118">
        <f t="shared" si="22"/>
        <v>49.45522428374943</v>
      </c>
      <c r="AK97" s="118">
        <f t="shared" si="42"/>
        <v>407.1451734988085</v>
      </c>
      <c r="AL97" s="910">
        <f t="shared" si="43"/>
        <v>0</v>
      </c>
      <c r="AM97" s="805">
        <f t="shared" ref="AM97:AM120" si="71">AG97/AK97</f>
        <v>0.43098874069052173</v>
      </c>
      <c r="AN97" s="510">
        <f t="shared" ref="AN97:AN120" si="72">AH97/AK97</f>
        <v>0.28254432986579214</v>
      </c>
      <c r="AO97" s="510">
        <f t="shared" ref="AO97:AO120" si="73">AI97/AK97</f>
        <v>0.16499864858760924</v>
      </c>
      <c r="AP97" s="510">
        <f t="shared" ref="AP97:AP120" si="74">AJ97/AK97</f>
        <v>0.1214682808560769</v>
      </c>
      <c r="AQ97" s="510">
        <f t="shared" si="48"/>
        <v>1</v>
      </c>
      <c r="AR97" s="916">
        <f t="shared" ref="AR97:AR128" si="75">($AR$95-0.5*X97)*(1-AD97)</f>
        <v>40.261971562155317</v>
      </c>
      <c r="AS97" s="917">
        <f t="shared" ref="AS97:AS128" si="76">($AS$95-0.5*X97)*(1-AD97)</f>
        <v>52.444765957283437</v>
      </c>
      <c r="AT97" s="917">
        <f t="shared" ref="AT97:AT128" si="77">($AT$95-(Q97-$Q$95))*(1-AD97)</f>
        <v>10.49224620408155</v>
      </c>
      <c r="AU97" s="917">
        <f t="shared" ref="AU97:AU128" si="78">$H$95*$F$76*(1-AD97)</f>
        <v>0</v>
      </c>
      <c r="AV97" s="917">
        <f t="shared" ref="AV97:AV128" si="79">$H$95*$G$76*(1-AD97)</f>
        <v>0</v>
      </c>
      <c r="AW97" s="917">
        <f t="shared" ref="AW97:AW128" si="80">$H$95*$H$76*(1-AD97)</f>
        <v>0</v>
      </c>
      <c r="AX97" s="1338">
        <f t="shared" ref="AX97:AX128" si="81">$H$95*$I$76*(1-AD97)*$AM$95</f>
        <v>47.513208366956128</v>
      </c>
      <c r="AY97" s="917">
        <f t="shared" ref="AY97:AY128" si="82">($AY$95-(R97-$R$95))*(1-AD97)</f>
        <v>6.401301495853633</v>
      </c>
      <c r="AZ97" s="917">
        <f t="shared" ref="AZ97:AZ128" si="83">($AZ$95-(S97-$S$95))*(1-AD97)</f>
        <v>8.6139593820344391</v>
      </c>
      <c r="BA97" s="917">
        <f t="shared" ref="BA97:BA128" si="84">($BA$95-(T97-$T$95))*(1-AD97)</f>
        <v>7.8543381775509449</v>
      </c>
      <c r="BB97" s="917">
        <f t="shared" ref="BB97:BB128" si="85">($BB$95-(U97-$U$95))*(1-AD97)</f>
        <v>1.8931944585599367</v>
      </c>
      <c r="BC97" s="673">
        <f t="shared" ref="BC97:BC121" si="86">SUM(AR97:BB97)</f>
        <v>175.47498560447539</v>
      </c>
      <c r="BD97" s="922">
        <f t="shared" si="50"/>
        <v>0</v>
      </c>
      <c r="BE97" s="840">
        <f t="shared" si="51"/>
        <v>0.22944564675962828</v>
      </c>
      <c r="BF97" s="535">
        <f t="shared" si="52"/>
        <v>0.29887317429673499</v>
      </c>
      <c r="BG97" s="535">
        <f t="shared" si="53"/>
        <v>5.9793401138845577E-2</v>
      </c>
      <c r="BH97" s="535">
        <f t="shared" si="54"/>
        <v>0</v>
      </c>
      <c r="BI97" s="535">
        <f t="shared" si="55"/>
        <v>0</v>
      </c>
      <c r="BJ97" s="535">
        <f t="shared" si="56"/>
        <v>0</v>
      </c>
      <c r="BK97" s="535">
        <f t="shared" si="57"/>
        <v>0.41188777780479113</v>
      </c>
      <c r="BL97" s="1342">
        <f t="shared" si="58"/>
        <v>1</v>
      </c>
      <c r="BM97" s="1237">
        <f t="shared" ref="BM97:BS128" si="87">BM96</f>
        <v>0.19892488097366726</v>
      </c>
      <c r="BN97" s="713">
        <f t="shared" si="59"/>
        <v>0.26585903447659598</v>
      </c>
      <c r="BO97" s="713">
        <f t="shared" si="59"/>
        <v>8.9228108703258049E-2</v>
      </c>
      <c r="BP97" s="713">
        <f t="shared" si="59"/>
        <v>0</v>
      </c>
      <c r="BQ97" s="713">
        <f t="shared" si="59"/>
        <v>0</v>
      </c>
      <c r="BR97" s="713">
        <f t="shared" si="59"/>
        <v>0</v>
      </c>
      <c r="BS97" s="713">
        <f t="shared" si="59"/>
        <v>0.4459879758464787</v>
      </c>
      <c r="BT97" s="658">
        <f t="shared" ref="BT97:BT128" si="88">SUM(BM97:BS97)</f>
        <v>1</v>
      </c>
      <c r="BV97" s="671">
        <f t="shared" si="23"/>
        <v>105.13531555556591</v>
      </c>
      <c r="BW97" s="713">
        <f t="shared" si="60"/>
        <v>0.36636274579971234</v>
      </c>
      <c r="BX97" s="696">
        <f t="shared" si="24"/>
        <v>47.93997208489062</v>
      </c>
      <c r="BY97" s="671">
        <f t="shared" si="25"/>
        <v>104.96629682486173</v>
      </c>
      <c r="BZ97" s="713">
        <f t="shared" si="61"/>
        <v>0.36416613949519694</v>
      </c>
      <c r="CA97" s="845">
        <f t="shared" si="26"/>
        <v>48.694518386230293</v>
      </c>
      <c r="CB97" s="713">
        <f t="shared" si="27"/>
        <v>4.0347508485998995E-2</v>
      </c>
      <c r="CC97" s="713">
        <f t="shared" si="28"/>
        <v>8.597456529739074E-2</v>
      </c>
      <c r="CD97" s="713">
        <f t="shared" si="62"/>
        <v>4.0347508485998995E-2</v>
      </c>
      <c r="CE97" s="1001">
        <f t="shared" si="63"/>
        <v>0.11122444462222213</v>
      </c>
    </row>
    <row r="98" spans="1:83">
      <c r="A98" s="127">
        <f>'Input data'!A118</f>
        <v>2020</v>
      </c>
      <c r="B98" s="828">
        <f>'Input data'!B118</f>
        <v>59.308999999999997</v>
      </c>
      <c r="C98" s="238">
        <f>'Input data'!C118</f>
        <v>2948.9199999999987</v>
      </c>
      <c r="D98" s="238">
        <f>'Input data'!D118</f>
        <v>45386383.927997284</v>
      </c>
      <c r="E98" s="805">
        <f t="shared" si="64"/>
        <v>0.78061538461538471</v>
      </c>
      <c r="F98" s="510">
        <f t="shared" si="65"/>
        <v>0.30751923076923071</v>
      </c>
      <c r="G98" s="674">
        <f>B98*F98*'Input data'!$C$9</f>
        <v>558.23174355958042</v>
      </c>
      <c r="H98" s="654">
        <f>'Input data'!I118</f>
        <v>424.26313389388866</v>
      </c>
      <c r="I98" s="672">
        <f>'Input data'!K118</f>
        <v>25162.622208112643</v>
      </c>
      <c r="J98" s="672">
        <f>J95*0.81</f>
        <v>159.70195319059002</v>
      </c>
      <c r="K98" s="674">
        <f t="shared" si="66"/>
        <v>37.460951982977889</v>
      </c>
      <c r="L98" s="510">
        <f t="shared" si="67"/>
        <v>0.60769230769230775</v>
      </c>
      <c r="M98" s="510">
        <f t="shared" si="29"/>
        <v>0.47461538461538466</v>
      </c>
      <c r="N98" s="510">
        <f t="shared" si="68"/>
        <v>0.75538461538461532</v>
      </c>
      <c r="O98" s="510">
        <f t="shared" si="69"/>
        <v>0.82307692307692304</v>
      </c>
      <c r="P98" s="510">
        <f t="shared" si="30"/>
        <v>0.23600000000000002</v>
      </c>
      <c r="Q98" s="654">
        <f t="shared" si="31"/>
        <v>23.004919733535672</v>
      </c>
      <c r="R98" s="673">
        <f t="shared" si="32"/>
        <v>9.2304472591779767</v>
      </c>
      <c r="S98" s="673">
        <f t="shared" si="33"/>
        <v>37.300213497459566</v>
      </c>
      <c r="T98" s="673">
        <f t="shared" si="34"/>
        <v>51.448674960198304</v>
      </c>
      <c r="U98" s="802">
        <f t="shared" si="35"/>
        <v>0.67710709475193609</v>
      </c>
      <c r="V98" s="654">
        <f t="shared" si="16"/>
        <v>121.66136254512345</v>
      </c>
      <c r="W98" s="805">
        <f>W97*2</f>
        <v>0.2</v>
      </c>
      <c r="X98" s="671">
        <f t="shared" si="17"/>
        <v>21.467663981197909</v>
      </c>
      <c r="Y98" s="671">
        <f t="shared" si="18"/>
        <v>26.832323058139401</v>
      </c>
      <c r="Z98" s="672">
        <f t="shared" si="70"/>
        <v>170.33058211542851</v>
      </c>
      <c r="AA98" s="696">
        <f t="shared" si="19"/>
        <v>10.628628924838488</v>
      </c>
      <c r="AB98" s="893">
        <f t="shared" si="36"/>
        <v>6.2400003527468412E-2</v>
      </c>
      <c r="AC98" s="135" t="str">
        <f t="shared" si="37"/>
        <v>Policies met</v>
      </c>
      <c r="AD98" s="1353">
        <f t="shared" si="38"/>
        <v>6.2400003527468412E-2</v>
      </c>
      <c r="AE98" s="135" t="str">
        <f t="shared" si="39"/>
        <v>No</v>
      </c>
      <c r="AF98" s="1420">
        <f t="shared" si="40"/>
        <v>397.78911284233521</v>
      </c>
      <c r="AG98" s="118">
        <f t="shared" si="41"/>
        <v>159.70195319059002</v>
      </c>
      <c r="AH98" s="118">
        <f t="shared" si="20"/>
        <v>114.06969309315113</v>
      </c>
      <c r="AI98" s="118">
        <f t="shared" si="21"/>
        <v>75.698706878371638</v>
      </c>
      <c r="AJ98" s="118">
        <f t="shared" si="22"/>
        <v>48.318759680222442</v>
      </c>
      <c r="AK98" s="118">
        <f t="shared" si="42"/>
        <v>397.78911284233521</v>
      </c>
      <c r="AL98" s="910">
        <f t="shared" si="43"/>
        <v>0</v>
      </c>
      <c r="AM98" s="805">
        <f t="shared" si="71"/>
        <v>0.40147391679341488</v>
      </c>
      <c r="AN98" s="510">
        <f t="shared" si="72"/>
        <v>0.28675921338843419</v>
      </c>
      <c r="AO98" s="510">
        <f t="shared" si="73"/>
        <v>0.19029858896207405</v>
      </c>
      <c r="AP98" s="510">
        <f t="shared" si="74"/>
        <v>0.1214682808560769</v>
      </c>
      <c r="AQ98" s="510">
        <f t="shared" si="48"/>
        <v>1</v>
      </c>
      <c r="AR98" s="916">
        <f t="shared" si="75"/>
        <v>34.304744429916425</v>
      </c>
      <c r="AS98" s="917">
        <f t="shared" si="76"/>
        <v>46.207582262262164</v>
      </c>
      <c r="AT98" s="917">
        <f t="shared" si="77"/>
        <v>9.9235012283793758</v>
      </c>
      <c r="AU98" s="917">
        <f t="shared" si="78"/>
        <v>0</v>
      </c>
      <c r="AV98" s="917">
        <f t="shared" si="79"/>
        <v>0</v>
      </c>
      <c r="AW98" s="917">
        <f t="shared" si="80"/>
        <v>0</v>
      </c>
      <c r="AX98" s="1338">
        <f t="shared" si="81"/>
        <v>46.421370643215567</v>
      </c>
      <c r="AY98" s="917">
        <f t="shared" si="82"/>
        <v>6.0255666806662624</v>
      </c>
      <c r="AZ98" s="917">
        <f t="shared" si="83"/>
        <v>7.7464753906533605</v>
      </c>
      <c r="BA98" s="917">
        <f t="shared" si="84"/>
        <v>7.2230230758527876</v>
      </c>
      <c r="BB98" s="917">
        <f t="shared" si="85"/>
        <v>1.8496894796440126</v>
      </c>
      <c r="BC98" s="673">
        <f t="shared" si="86"/>
        <v>159.70195319058993</v>
      </c>
      <c r="BD98" s="922">
        <f t="shared" si="50"/>
        <v>0</v>
      </c>
      <c r="BE98" s="840">
        <f t="shared" si="51"/>
        <v>0.21480478945036316</v>
      </c>
      <c r="BF98" s="535">
        <f t="shared" si="52"/>
        <v>0.28933636276268687</v>
      </c>
      <c r="BG98" s="535">
        <f t="shared" si="53"/>
        <v>6.2137632196248523E-2</v>
      </c>
      <c r="BH98" s="535">
        <f t="shared" si="54"/>
        <v>0</v>
      </c>
      <c r="BI98" s="535">
        <f t="shared" si="55"/>
        <v>0</v>
      </c>
      <c r="BJ98" s="535">
        <f t="shared" si="56"/>
        <v>0</v>
      </c>
      <c r="BK98" s="535">
        <f t="shared" si="57"/>
        <v>0.43372121559070159</v>
      </c>
      <c r="BL98" s="1342">
        <f t="shared" si="58"/>
        <v>1.0000000000000002</v>
      </c>
      <c r="BM98" s="1237">
        <f t="shared" si="87"/>
        <v>0.19892488097366726</v>
      </c>
      <c r="BN98" s="713">
        <f t="shared" si="59"/>
        <v>0.26585903447659598</v>
      </c>
      <c r="BO98" s="713">
        <f t="shared" si="59"/>
        <v>8.9228108703258049E-2</v>
      </c>
      <c r="BP98" s="713">
        <f t="shared" si="59"/>
        <v>0</v>
      </c>
      <c r="BQ98" s="713">
        <f t="shared" si="59"/>
        <v>0</v>
      </c>
      <c r="BR98" s="713">
        <f t="shared" si="59"/>
        <v>0</v>
      </c>
      <c r="BS98" s="713">
        <f t="shared" si="59"/>
        <v>0.4459879758464787</v>
      </c>
      <c r="BT98" s="658">
        <f t="shared" si="88"/>
        <v>1</v>
      </c>
      <c r="BV98" s="671">
        <f t="shared" si="23"/>
        <v>93.422486520701057</v>
      </c>
      <c r="BW98" s="713">
        <f t="shared" si="60"/>
        <v>0.42020821693168348</v>
      </c>
      <c r="BX98" s="696">
        <f t="shared" si="24"/>
        <v>45.386383927997286</v>
      </c>
      <c r="BY98" s="671">
        <f t="shared" si="25"/>
        <v>92.700137974946699</v>
      </c>
      <c r="BZ98" s="713">
        <f t="shared" si="61"/>
        <v>0.40922707761099464</v>
      </c>
      <c r="CA98" s="845">
        <f t="shared" si="26"/>
        <v>48.694518386230293</v>
      </c>
      <c r="CB98" s="713">
        <f t="shared" si="27"/>
        <v>6.2400003527468412E-2</v>
      </c>
      <c r="CC98" s="713">
        <f t="shared" si="28"/>
        <v>0.27951549340438347</v>
      </c>
      <c r="CD98" s="713">
        <f t="shared" si="62"/>
        <v>6.2400003527468412E-2</v>
      </c>
      <c r="CE98" s="1001">
        <f t="shared" si="63"/>
        <v>0.39831539277661704</v>
      </c>
    </row>
    <row r="99" spans="1:83">
      <c r="A99" s="127">
        <f>'Input data'!A119</f>
        <v>2021</v>
      </c>
      <c r="B99" s="828">
        <f>'Input data'!B119</f>
        <v>59.991999999999997</v>
      </c>
      <c r="C99" s="238">
        <f>'Input data'!C119</f>
        <v>3014.38</v>
      </c>
      <c r="D99" s="238">
        <f>'Input data'!D119</f>
        <v>45579683.429913521</v>
      </c>
      <c r="E99" s="805">
        <f t="shared" si="64"/>
        <v>0.80255384615384628</v>
      </c>
      <c r="F99" s="510">
        <f t="shared" si="65"/>
        <v>0.31349230769230763</v>
      </c>
      <c r="G99" s="674">
        <f>B99*F99*'Input data'!$C$9</f>
        <v>575.62795502093263</v>
      </c>
      <c r="H99" s="654">
        <f>'Input data'!I119</f>
        <v>424.26313389388866</v>
      </c>
      <c r="I99" s="672">
        <f>'Input data'!K119</f>
        <v>25452.393928562167</v>
      </c>
      <c r="J99" s="672">
        <f>J95*0.65</f>
        <v>128.15588836281916</v>
      </c>
      <c r="K99" s="674">
        <f t="shared" si="66"/>
        <v>69.007016810748752</v>
      </c>
      <c r="L99" s="510">
        <f t="shared" si="67"/>
        <v>0.61692307692307702</v>
      </c>
      <c r="M99" s="510">
        <f t="shared" si="29"/>
        <v>0.48715384615384622</v>
      </c>
      <c r="N99" s="510">
        <f t="shared" si="68"/>
        <v>0.76984615384615374</v>
      </c>
      <c r="O99" s="510">
        <f t="shared" si="69"/>
        <v>0.8307692307692307</v>
      </c>
      <c r="P99" s="510">
        <f t="shared" si="30"/>
        <v>0.23600000000000002</v>
      </c>
      <c r="Q99" s="654">
        <f t="shared" si="31"/>
        <v>23.354361552272923</v>
      </c>
      <c r="R99" s="673">
        <f t="shared" si="32"/>
        <v>9.4742986211303286</v>
      </c>
      <c r="S99" s="673">
        <f t="shared" si="33"/>
        <v>38.014311271138013</v>
      </c>
      <c r="T99" s="673">
        <f t="shared" si="34"/>
        <v>51.929503698144082</v>
      </c>
      <c r="U99" s="802">
        <f t="shared" si="35"/>
        <v>0.67710709475193609</v>
      </c>
      <c r="V99" s="654">
        <f t="shared" si="16"/>
        <v>123.44958223743728</v>
      </c>
      <c r="W99" s="805">
        <f>W98*2</f>
        <v>0.4</v>
      </c>
      <c r="X99" s="671">
        <f t="shared" si="17"/>
        <v>42.935327962395817</v>
      </c>
      <c r="Y99" s="671">
        <f t="shared" si="18"/>
        <v>50.088206731651141</v>
      </c>
      <c r="Z99" s="672">
        <f t="shared" si="70"/>
        <v>147.07469844191678</v>
      </c>
      <c r="AA99" s="696">
        <f t="shared" si="19"/>
        <v>18.918810079097611</v>
      </c>
      <c r="AB99" s="893">
        <f t="shared" si="36"/>
        <v>0.12863402257166001</v>
      </c>
      <c r="AC99" s="135" t="str">
        <f t="shared" si="37"/>
        <v>Policies met</v>
      </c>
      <c r="AD99" s="1353">
        <f t="shared" si="38"/>
        <v>0.12863402257166001</v>
      </c>
      <c r="AE99" s="135" t="str">
        <f t="shared" si="39"/>
        <v>No</v>
      </c>
      <c r="AF99" s="1420">
        <f t="shared" si="40"/>
        <v>369.68846035225897</v>
      </c>
      <c r="AG99" s="118">
        <f t="shared" si="41"/>
        <v>128.15588836281916</v>
      </c>
      <c r="AH99" s="118">
        <f t="shared" si="20"/>
        <v>107.56976588944478</v>
      </c>
      <c r="AI99" s="118">
        <f t="shared" si="21"/>
        <v>89.057384368676239</v>
      </c>
      <c r="AJ99" s="118">
        <f t="shared" si="22"/>
        <v>44.905421731318846</v>
      </c>
      <c r="AK99" s="118">
        <f t="shared" si="42"/>
        <v>369.68846035225903</v>
      </c>
      <c r="AL99" s="910">
        <f t="shared" si="43"/>
        <v>0</v>
      </c>
      <c r="AM99" s="805">
        <f t="shared" si="71"/>
        <v>0.34665915252184321</v>
      </c>
      <c r="AN99" s="510">
        <f t="shared" si="72"/>
        <v>0.29097409691107623</v>
      </c>
      <c r="AO99" s="510">
        <f t="shared" si="73"/>
        <v>0.24089846971100362</v>
      </c>
      <c r="AP99" s="510">
        <f t="shared" si="74"/>
        <v>0.12146828085607689</v>
      </c>
      <c r="AQ99" s="510">
        <f t="shared" si="48"/>
        <v>0.99999999999999989</v>
      </c>
      <c r="AR99" s="916">
        <f t="shared" si="75"/>
        <v>22.528289739415904</v>
      </c>
      <c r="AS99" s="917">
        <f t="shared" si="76"/>
        <v>33.590286284823129</v>
      </c>
      <c r="AT99" s="917">
        <f t="shared" si="77"/>
        <v>8.917992694962436</v>
      </c>
      <c r="AU99" s="917">
        <f t="shared" si="78"/>
        <v>0</v>
      </c>
      <c r="AV99" s="917">
        <f t="shared" si="79"/>
        <v>0</v>
      </c>
      <c r="AW99" s="917">
        <f t="shared" si="80"/>
        <v>0</v>
      </c>
      <c r="AX99" s="1338">
        <f t="shared" si="81"/>
        <v>43.142068212746437</v>
      </c>
      <c r="AY99" s="917">
        <f t="shared" si="82"/>
        <v>5.3874243041288334</v>
      </c>
      <c r="AZ99" s="917">
        <f t="shared" si="83"/>
        <v>6.5770077098325386</v>
      </c>
      <c r="BA99" s="917">
        <f t="shared" si="84"/>
        <v>6.2937958594943701</v>
      </c>
      <c r="BB99" s="917">
        <f t="shared" si="85"/>
        <v>1.719023557415448</v>
      </c>
      <c r="BC99" s="673">
        <f t="shared" si="86"/>
        <v>128.1558883628191</v>
      </c>
      <c r="BD99" s="922">
        <f t="shared" si="50"/>
        <v>0</v>
      </c>
      <c r="BE99" s="840">
        <f t="shared" si="51"/>
        <v>0.17578817506720093</v>
      </c>
      <c r="BF99" s="535">
        <f t="shared" si="52"/>
        <v>0.26210489985233038</v>
      </c>
      <c r="BG99" s="535">
        <f t="shared" si="53"/>
        <v>6.9587069380026595E-2</v>
      </c>
      <c r="BH99" s="535">
        <f t="shared" si="54"/>
        <v>0</v>
      </c>
      <c r="BI99" s="535">
        <f t="shared" si="55"/>
        <v>0</v>
      </c>
      <c r="BJ99" s="535">
        <f t="shared" si="56"/>
        <v>0</v>
      </c>
      <c r="BK99" s="535">
        <f t="shared" si="57"/>
        <v>0.49251985570044204</v>
      </c>
      <c r="BL99" s="1342">
        <f t="shared" si="58"/>
        <v>1</v>
      </c>
      <c r="BM99" s="1237">
        <f t="shared" si="87"/>
        <v>0.19892488097366726</v>
      </c>
      <c r="BN99" s="713">
        <f t="shared" si="59"/>
        <v>0.26585903447659598</v>
      </c>
      <c r="BO99" s="713">
        <f t="shared" si="59"/>
        <v>8.9228108703258049E-2</v>
      </c>
      <c r="BP99" s="713">
        <f t="shared" si="59"/>
        <v>0</v>
      </c>
      <c r="BQ99" s="713">
        <f t="shared" si="59"/>
        <v>0</v>
      </c>
      <c r="BR99" s="713">
        <f t="shared" si="59"/>
        <v>0</v>
      </c>
      <c r="BS99" s="713">
        <f t="shared" si="59"/>
        <v>0.4459879758464787</v>
      </c>
      <c r="BT99" s="658">
        <f t="shared" si="88"/>
        <v>1</v>
      </c>
      <c r="BV99" s="671">
        <f t="shared" si="23"/>
        <v>79.937207640918672</v>
      </c>
      <c r="BW99" s="713">
        <f t="shared" si="60"/>
        <v>0.48367985270671349</v>
      </c>
      <c r="BX99" s="696">
        <f t="shared" si="24"/>
        <v>45.579683429913523</v>
      </c>
      <c r="BY99" s="671">
        <f t="shared" si="25"/>
        <v>79.174058172908445</v>
      </c>
      <c r="BZ99" s="713">
        <f t="shared" si="61"/>
        <v>0.46951536630913004</v>
      </c>
      <c r="CA99" s="845">
        <f t="shared" si="26"/>
        <v>48.694518386230293</v>
      </c>
      <c r="CB99" s="713">
        <f t="shared" si="27"/>
        <v>0.12863402257166001</v>
      </c>
      <c r="CC99" s="713">
        <f t="shared" si="28"/>
        <v>0.64881026886200277</v>
      </c>
      <c r="CD99" s="713">
        <f t="shared" si="62"/>
        <v>0.12863402257166001</v>
      </c>
      <c r="CE99" s="1001">
        <f t="shared" si="63"/>
        <v>0.76063298331112372</v>
      </c>
    </row>
    <row r="100" spans="1:83" s="573" customFormat="1">
      <c r="A100" s="1192">
        <f>'Input data'!A120</f>
        <v>2022</v>
      </c>
      <c r="B100" s="1333">
        <f>'Input data'!B120</f>
        <v>60.682000000000002</v>
      </c>
      <c r="C100" s="1334">
        <f>'Input data'!C120</f>
        <v>3077.2</v>
      </c>
      <c r="D100" s="1334">
        <f>'Input data'!D120</f>
        <v>45460990.75329829</v>
      </c>
      <c r="E100" s="1237">
        <f t="shared" si="64"/>
        <v>0.82449230769230786</v>
      </c>
      <c r="F100" s="713">
        <f t="shared" si="65"/>
        <v>0.31946538461538454</v>
      </c>
      <c r="G100" s="1239">
        <f>B100*F100*'Input data'!$C$9</f>
        <v>593.34234160989524</v>
      </c>
      <c r="H100" s="1474">
        <f>'Input data'!I120</f>
        <v>424.26313389388866</v>
      </c>
      <c r="I100" s="1169">
        <f>'Input data'!K120</f>
        <v>25745.135490948953</v>
      </c>
      <c r="J100" s="940">
        <f>J95*(1-$E$4)</f>
        <v>98.581452586783954</v>
      </c>
      <c r="K100" s="1238">
        <f t="shared" si="66"/>
        <v>98.581452586783954</v>
      </c>
      <c r="L100" s="510">
        <f t="shared" si="67"/>
        <v>0.62615384615384628</v>
      </c>
      <c r="M100" s="510">
        <f t="shared" si="29"/>
        <v>0.49969230769230777</v>
      </c>
      <c r="N100" s="510">
        <f t="shared" si="68"/>
        <v>0.78430769230769215</v>
      </c>
      <c r="O100" s="510">
        <f t="shared" si="69"/>
        <v>0.83846153846153837</v>
      </c>
      <c r="P100" s="713">
        <f t="shared" si="30"/>
        <v>0.23600000000000002</v>
      </c>
      <c r="Q100" s="654">
        <f t="shared" si="31"/>
        <v>23.703803371010174</v>
      </c>
      <c r="R100" s="673">
        <f t="shared" si="32"/>
        <v>9.7181499830826805</v>
      </c>
      <c r="S100" s="673">
        <f t="shared" si="33"/>
        <v>38.728409044816466</v>
      </c>
      <c r="T100" s="673">
        <f t="shared" si="34"/>
        <v>52.41033243608986</v>
      </c>
      <c r="U100" s="802">
        <f t="shared" si="35"/>
        <v>0.67710709475193609</v>
      </c>
      <c r="V100" s="916">
        <f t="shared" si="16"/>
        <v>125.23780192975111</v>
      </c>
      <c r="W100" s="1240">
        <f>$E$26</f>
        <v>0.5</v>
      </c>
      <c r="X100" s="1337">
        <f t="shared" si="17"/>
        <v>53.669159952994768</v>
      </c>
      <c r="Y100" s="1337">
        <f t="shared" si="18"/>
        <v>62.610258414563923</v>
      </c>
      <c r="Z100" s="1168">
        <f t="shared" si="70"/>
        <v>134.55264675900398</v>
      </c>
      <c r="AA100" s="1338">
        <f t="shared" si="19"/>
        <v>35.971194172220031</v>
      </c>
      <c r="AB100" s="1339">
        <f t="shared" si="36"/>
        <v>0.26733917941166707</v>
      </c>
      <c r="AC100" s="135" t="str">
        <f t="shared" si="37"/>
        <v>Policies met</v>
      </c>
      <c r="AD100" s="1353">
        <f t="shared" si="38"/>
        <v>0.26733917941166707</v>
      </c>
      <c r="AE100" s="135" t="str">
        <f t="shared" si="39"/>
        <v>No</v>
      </c>
      <c r="AF100" s="1420">
        <f t="shared" si="40"/>
        <v>310.84097582407423</v>
      </c>
      <c r="AG100" s="118">
        <f t="shared" si="41"/>
        <v>98.581452586783939</v>
      </c>
      <c r="AH100" s="158">
        <f t="shared" si="20"/>
        <v>91.756830730530552</v>
      </c>
      <c r="AI100" s="158">
        <f t="shared" si="21"/>
        <v>82.745373553784091</v>
      </c>
      <c r="AJ100" s="158">
        <f t="shared" si="22"/>
        <v>37.757318952975666</v>
      </c>
      <c r="AK100" s="158">
        <f t="shared" si="42"/>
        <v>310.84097582407423</v>
      </c>
      <c r="AL100" s="910">
        <f t="shared" si="43"/>
        <v>0</v>
      </c>
      <c r="AM100" s="805">
        <f t="shared" si="71"/>
        <v>0.3171443286247364</v>
      </c>
      <c r="AN100" s="510">
        <f t="shared" si="72"/>
        <v>0.29518898043371827</v>
      </c>
      <c r="AO100" s="510">
        <f t="shared" si="73"/>
        <v>0.26619841008546841</v>
      </c>
      <c r="AP100" s="510">
        <f t="shared" si="74"/>
        <v>0.12146828085607693</v>
      </c>
      <c r="AQ100" s="713">
        <f t="shared" si="48"/>
        <v>1</v>
      </c>
      <c r="AR100" s="916">
        <f t="shared" si="75"/>
        <v>15.010078530782616</v>
      </c>
      <c r="AS100" s="917">
        <f t="shared" si="76"/>
        <v>24.311212240665014</v>
      </c>
      <c r="AT100" s="917">
        <f t="shared" si="77"/>
        <v>7.2423928198181802</v>
      </c>
      <c r="AU100" s="917">
        <f t="shared" si="78"/>
        <v>0</v>
      </c>
      <c r="AV100" s="917">
        <f t="shared" si="79"/>
        <v>0</v>
      </c>
      <c r="AW100" s="917">
        <f t="shared" si="80"/>
        <v>0</v>
      </c>
      <c r="AX100" s="1338">
        <f t="shared" si="81"/>
        <v>36.274658315114308</v>
      </c>
      <c r="AY100" s="917">
        <f t="shared" si="82"/>
        <v>4.351186836366784</v>
      </c>
      <c r="AZ100" s="917">
        <f t="shared" si="83"/>
        <v>5.0068797038846808</v>
      </c>
      <c r="BA100" s="917">
        <f t="shared" si="84"/>
        <v>4.9396569632238352</v>
      </c>
      <c r="BB100" s="917">
        <f t="shared" si="85"/>
        <v>1.4453871769284841</v>
      </c>
      <c r="BC100" s="673">
        <f t="shared" si="86"/>
        <v>98.581452586783897</v>
      </c>
      <c r="BD100" s="1340">
        <f t="shared" si="50"/>
        <v>0</v>
      </c>
      <c r="BE100" s="1341">
        <f t="shared" si="51"/>
        <v>0.15226067517689335</v>
      </c>
      <c r="BF100" s="1342">
        <f t="shared" si="52"/>
        <v>0.24661040796962494</v>
      </c>
      <c r="BG100" s="1342">
        <f t="shared" si="53"/>
        <v>7.3466079366628398E-2</v>
      </c>
      <c r="BH100" s="1342">
        <f t="shared" si="54"/>
        <v>0</v>
      </c>
      <c r="BI100" s="1342">
        <f t="shared" si="55"/>
        <v>0</v>
      </c>
      <c r="BJ100" s="1342">
        <f t="shared" si="56"/>
        <v>0</v>
      </c>
      <c r="BK100" s="1342">
        <f t="shared" si="57"/>
        <v>0.52766283748685339</v>
      </c>
      <c r="BL100" s="1342">
        <f t="shared" si="58"/>
        <v>1</v>
      </c>
      <c r="BM100" s="1237">
        <f t="shared" si="87"/>
        <v>0.19892488097366726</v>
      </c>
      <c r="BN100" s="713">
        <f t="shared" si="59"/>
        <v>0.26585903447659598</v>
      </c>
      <c r="BO100" s="713">
        <f t="shared" si="59"/>
        <v>8.9228108703258049E-2</v>
      </c>
      <c r="BP100" s="713">
        <f t="shared" si="59"/>
        <v>0</v>
      </c>
      <c r="BQ100" s="713">
        <f t="shared" si="59"/>
        <v>0</v>
      </c>
      <c r="BR100" s="713">
        <f t="shared" si="59"/>
        <v>0</v>
      </c>
      <c r="BS100" s="713">
        <f t="shared" si="59"/>
        <v>0.4459879758464787</v>
      </c>
      <c r="BT100" s="1001">
        <f t="shared" si="88"/>
        <v>1</v>
      </c>
      <c r="BV100" s="671">
        <f t="shared" si="23"/>
        <v>69.633815680742345</v>
      </c>
      <c r="BW100" s="713">
        <f t="shared" si="60"/>
        <v>0.50754435711610713</v>
      </c>
      <c r="BX100" s="1338">
        <f t="shared" si="24"/>
        <v>45.46099075329829</v>
      </c>
      <c r="BY100" s="671">
        <f t="shared" si="25"/>
        <v>72.86734331367434</v>
      </c>
      <c r="BZ100" s="713">
        <f t="shared" si="61"/>
        <v>0.49306648085014837</v>
      </c>
      <c r="CA100" s="1475">
        <f t="shared" si="26"/>
        <v>48.694518386230293</v>
      </c>
      <c r="CB100" s="713">
        <f t="shared" si="27"/>
        <v>0.26733917941166707</v>
      </c>
      <c r="CC100" s="713">
        <f t="shared" si="28"/>
        <v>0.85</v>
      </c>
      <c r="CD100" s="713">
        <f t="shared" si="62"/>
        <v>0.26733917941166707</v>
      </c>
      <c r="CE100" s="1001">
        <f t="shared" si="63"/>
        <v>0.85</v>
      </c>
    </row>
    <row r="101" spans="1:83" s="4" customFormat="1">
      <c r="A101" s="100">
        <f>'Input data'!A121</f>
        <v>2023</v>
      </c>
      <c r="B101" s="1343">
        <f>'Input data'!B121</f>
        <v>61.381</v>
      </c>
      <c r="C101" s="1344">
        <f>'Input data'!C121</f>
        <v>3140.61</v>
      </c>
      <c r="D101" s="1344">
        <f>'Input data'!D121</f>
        <v>45566118.552586071</v>
      </c>
      <c r="E101" s="1237">
        <f t="shared" si="64"/>
        <v>0.84643076923076943</v>
      </c>
      <c r="F101" s="713">
        <f t="shared" si="65"/>
        <v>0.32543846153846145</v>
      </c>
      <c r="G101" s="1238">
        <f>B101*F101*'Input data'!$C$9</f>
        <v>611.39866394209514</v>
      </c>
      <c r="H101" s="916">
        <f>'Input data'!I121</f>
        <v>424.26313389388866</v>
      </c>
      <c r="I101" s="1168">
        <f>'Input data'!K121</f>
        <v>26041.695421540779</v>
      </c>
      <c r="J101" s="696">
        <f>($J$110-$J$100)/($A$110-$A$100)+J100</f>
        <v>92.666565431576913</v>
      </c>
      <c r="K101" s="1238">
        <f t="shared" si="66"/>
        <v>104.49633974199099</v>
      </c>
      <c r="L101" s="510">
        <f t="shared" si="67"/>
        <v>0.63538461538461555</v>
      </c>
      <c r="M101" s="510">
        <f t="shared" si="29"/>
        <v>0.51223076923076927</v>
      </c>
      <c r="N101" s="510">
        <f t="shared" si="68"/>
        <v>0.79876923076923056</v>
      </c>
      <c r="O101" s="510">
        <f t="shared" si="69"/>
        <v>0.84615384615384603</v>
      </c>
      <c r="P101" s="713">
        <f t="shared" si="30"/>
        <v>0.23600000000000002</v>
      </c>
      <c r="Q101" s="654">
        <f t="shared" si="31"/>
        <v>24.053245189747429</v>
      </c>
      <c r="R101" s="673">
        <f t="shared" si="32"/>
        <v>9.9620013450350307</v>
      </c>
      <c r="S101" s="673">
        <f t="shared" si="33"/>
        <v>39.442506818494913</v>
      </c>
      <c r="T101" s="673">
        <f t="shared" si="34"/>
        <v>52.891161174035638</v>
      </c>
      <c r="U101" s="802">
        <f t="shared" si="35"/>
        <v>0.67710709475193609</v>
      </c>
      <c r="V101" s="916">
        <f t="shared" si="16"/>
        <v>127.02602162206495</v>
      </c>
      <c r="W101" s="1237">
        <f>($W$105-$W$100)/($A$105-$A$100)+W100</f>
        <v>0.5</v>
      </c>
      <c r="X101" s="1337">
        <f t="shared" si="17"/>
        <v>53.669159952994768</v>
      </c>
      <c r="Y101" s="1337">
        <f t="shared" si="18"/>
        <v>64.398478106877747</v>
      </c>
      <c r="Z101" s="1168">
        <f t="shared" si="70"/>
        <v>132.76442706669016</v>
      </c>
      <c r="AA101" s="1338">
        <f t="shared" si="19"/>
        <v>40.097861635113247</v>
      </c>
      <c r="AB101" s="1339">
        <f t="shared" si="36"/>
        <v>0.30202263152140379</v>
      </c>
      <c r="AC101" s="135" t="str">
        <f t="shared" si="37"/>
        <v>Policies met</v>
      </c>
      <c r="AD101" s="1353">
        <f t="shared" si="38"/>
        <v>0.30202263152140379</v>
      </c>
      <c r="AE101" s="135" t="str">
        <f t="shared" si="39"/>
        <v>No</v>
      </c>
      <c r="AF101" s="1420">
        <f t="shared" si="40"/>
        <v>296.12606573773871</v>
      </c>
      <c r="AG101" s="118">
        <f t="shared" si="41"/>
        <v>92.666565431576913</v>
      </c>
      <c r="AH101" s="158">
        <f t="shared" si="20"/>
        <v>88.661288300074148</v>
      </c>
      <c r="AI101" s="158">
        <f t="shared" si="21"/>
        <v>78.82828788425094</v>
      </c>
      <c r="AJ101" s="158">
        <f t="shared" si="22"/>
        <v>35.96992412183674</v>
      </c>
      <c r="AK101" s="158">
        <f t="shared" si="42"/>
        <v>296.12606573773877</v>
      </c>
      <c r="AL101" s="910">
        <f t="shared" si="43"/>
        <v>0</v>
      </c>
      <c r="AM101" s="805">
        <f t="shared" si="71"/>
        <v>0.31292944510209436</v>
      </c>
      <c r="AN101" s="510">
        <f t="shared" si="72"/>
        <v>0.29940386395636032</v>
      </c>
      <c r="AO101" s="510">
        <f t="shared" si="73"/>
        <v>0.26619841008546835</v>
      </c>
      <c r="AP101" s="510">
        <f t="shared" si="74"/>
        <v>0.12146828085607689</v>
      </c>
      <c r="AQ101" s="713">
        <f t="shared" si="48"/>
        <v>0.99999999999999989</v>
      </c>
      <c r="AR101" s="916">
        <f t="shared" si="75"/>
        <v>14.299515982251988</v>
      </c>
      <c r="AS101" s="917">
        <f t="shared" si="76"/>
        <v>23.160343050196147</v>
      </c>
      <c r="AT101" s="917">
        <f t="shared" si="77"/>
        <v>6.6556424922772033</v>
      </c>
      <c r="AU101" s="917">
        <f t="shared" si="78"/>
        <v>0</v>
      </c>
      <c r="AV101" s="917">
        <f t="shared" si="79"/>
        <v>0</v>
      </c>
      <c r="AW101" s="917">
        <f t="shared" si="80"/>
        <v>0</v>
      </c>
      <c r="AX101" s="1338">
        <f t="shared" si="81"/>
        <v>34.557451199468296</v>
      </c>
      <c r="AY101" s="917">
        <f t="shared" si="82"/>
        <v>3.9750031429766381</v>
      </c>
      <c r="AZ101" s="917">
        <f t="shared" si="83"/>
        <v>4.2714347935832588</v>
      </c>
      <c r="BA101" s="917">
        <f t="shared" si="84"/>
        <v>4.370210819925636</v>
      </c>
      <c r="BB101" s="917">
        <f t="shared" si="85"/>
        <v>1.3769639508976843</v>
      </c>
      <c r="BC101" s="673">
        <f t="shared" si="86"/>
        <v>92.666565431576842</v>
      </c>
      <c r="BD101" s="1340">
        <f t="shared" si="50"/>
        <v>0</v>
      </c>
      <c r="BE101" s="1341">
        <f t="shared" si="51"/>
        <v>0.15431149212938583</v>
      </c>
      <c r="BF101" s="1342">
        <f t="shared" si="52"/>
        <v>0.2499320325764883</v>
      </c>
      <c r="BG101" s="1342">
        <f t="shared" si="53"/>
        <v>7.1823558597211609E-2</v>
      </c>
      <c r="BH101" s="1342">
        <f t="shared" si="54"/>
        <v>0</v>
      </c>
      <c r="BI101" s="1342">
        <f t="shared" si="55"/>
        <v>0</v>
      </c>
      <c r="BJ101" s="1342">
        <f t="shared" si="56"/>
        <v>0</v>
      </c>
      <c r="BK101" s="1342">
        <f t="shared" si="57"/>
        <v>0.52393291669691444</v>
      </c>
      <c r="BL101" s="1342">
        <f t="shared" si="58"/>
        <v>1.0000000000000002</v>
      </c>
      <c r="BM101" s="1237">
        <f t="shared" si="87"/>
        <v>0.19892488097366726</v>
      </c>
      <c r="BN101" s="713">
        <f t="shared" si="59"/>
        <v>0.26585903447659598</v>
      </c>
      <c r="BO101" s="713">
        <f t="shared" si="59"/>
        <v>8.9228108703258049E-2</v>
      </c>
      <c r="BP101" s="713">
        <f t="shared" si="59"/>
        <v>0</v>
      </c>
      <c r="BQ101" s="713">
        <f t="shared" si="59"/>
        <v>0</v>
      </c>
      <c r="BR101" s="713">
        <f t="shared" si="59"/>
        <v>0</v>
      </c>
      <c r="BS101" s="713">
        <f t="shared" si="59"/>
        <v>0.4459879758464787</v>
      </c>
      <c r="BT101" s="1001">
        <f t="shared" si="88"/>
        <v>1</v>
      </c>
      <c r="BV101" s="671">
        <f t="shared" si="23"/>
        <v>69.162433068559082</v>
      </c>
      <c r="BW101" s="713">
        <f t="shared" si="60"/>
        <v>0.54152982615731027</v>
      </c>
      <c r="BX101" s="1338">
        <f t="shared" si="24"/>
        <v>45.566118552586069</v>
      </c>
      <c r="BY101" s="671">
        <f t="shared" si="25"/>
        <v>72.290832902203306</v>
      </c>
      <c r="BZ101" s="713">
        <f t="shared" si="61"/>
        <v>0.52791870855660539</v>
      </c>
      <c r="CA101" s="1475">
        <f t="shared" si="26"/>
        <v>48.694518386230293</v>
      </c>
      <c r="CB101" s="713">
        <f t="shared" si="27"/>
        <v>0.30202263152140379</v>
      </c>
      <c r="CC101" s="713">
        <f t="shared" si="28"/>
        <v>0.85</v>
      </c>
      <c r="CD101" s="713">
        <f t="shared" si="62"/>
        <v>0.30202263152140379</v>
      </c>
      <c r="CE101" s="1001">
        <f t="shared" si="63"/>
        <v>0.85</v>
      </c>
    </row>
    <row r="102" spans="1:83" s="4" customFormat="1">
      <c r="A102" s="100">
        <f>'Input data'!A122</f>
        <v>2024</v>
      </c>
      <c r="B102" s="1343">
        <f>'Input data'!B122</f>
        <v>62.088000000000001</v>
      </c>
      <c r="C102" s="1344">
        <f>'Input data'!C122</f>
        <v>3201.77</v>
      </c>
      <c r="D102" s="1344">
        <f>'Input data'!D122</f>
        <v>45550858.065592684</v>
      </c>
      <c r="E102" s="1237">
        <f t="shared" si="64"/>
        <v>0.868369230769231</v>
      </c>
      <c r="F102" s="713">
        <f t="shared" si="65"/>
        <v>0.33141153846153837</v>
      </c>
      <c r="G102" s="1238">
        <f>B102*F102*'Input data'!$C$9</f>
        <v>629.79171457903931</v>
      </c>
      <c r="H102" s="916">
        <f>'Input data'!I122</f>
        <v>424.26313389388866</v>
      </c>
      <c r="I102" s="1168">
        <f>'Input data'!K122</f>
        <v>26341.649457203759</v>
      </c>
      <c r="J102" s="696">
        <f t="shared" ref="J102:J109" si="89">($J$110-$J$100)/($A$110-$A$100)+J101</f>
        <v>86.751678276369873</v>
      </c>
      <c r="K102" s="1238">
        <f t="shared" si="66"/>
        <v>110.41122689719803</v>
      </c>
      <c r="L102" s="510">
        <f t="shared" si="67"/>
        <v>0.64461538461538481</v>
      </c>
      <c r="M102" s="510">
        <f t="shared" si="29"/>
        <v>0.52476923076923077</v>
      </c>
      <c r="N102" s="510">
        <f t="shared" si="68"/>
        <v>0.81323076923076898</v>
      </c>
      <c r="O102" s="510">
        <f t="shared" si="69"/>
        <v>0.8538461538461537</v>
      </c>
      <c r="P102" s="713">
        <f t="shared" si="30"/>
        <v>0.23600000000000002</v>
      </c>
      <c r="Q102" s="654">
        <f t="shared" si="31"/>
        <v>24.40268700848468</v>
      </c>
      <c r="R102" s="673">
        <f t="shared" si="32"/>
        <v>10.205852706987383</v>
      </c>
      <c r="S102" s="673">
        <f t="shared" si="33"/>
        <v>40.156604592173366</v>
      </c>
      <c r="T102" s="673">
        <f t="shared" si="34"/>
        <v>53.371989911981409</v>
      </c>
      <c r="U102" s="802">
        <f t="shared" si="35"/>
        <v>0.67710709475193609</v>
      </c>
      <c r="V102" s="916">
        <f t="shared" si="16"/>
        <v>128.81424131437876</v>
      </c>
      <c r="W102" s="1237">
        <f>($W$105-$W$100)/($A$105-$A$100)+W101</f>
        <v>0.5</v>
      </c>
      <c r="X102" s="1337">
        <f t="shared" si="17"/>
        <v>53.669159952994768</v>
      </c>
      <c r="Y102" s="1337">
        <f t="shared" si="18"/>
        <v>66.186697799191563</v>
      </c>
      <c r="Z102" s="1168">
        <f t="shared" si="70"/>
        <v>130.97620737437634</v>
      </c>
      <c r="AA102" s="1338">
        <f t="shared" si="19"/>
        <v>44.224529098006471</v>
      </c>
      <c r="AB102" s="1339">
        <f t="shared" si="36"/>
        <v>0.33765315078636471</v>
      </c>
      <c r="AC102" s="135" t="str">
        <f t="shared" si="37"/>
        <v>Policies met</v>
      </c>
      <c r="AD102" s="1353">
        <f t="shared" si="38"/>
        <v>0.33765315078636471</v>
      </c>
      <c r="AE102" s="135" t="str">
        <f t="shared" si="39"/>
        <v>No</v>
      </c>
      <c r="AF102" s="1420">
        <f t="shared" si="40"/>
        <v>281.00934997211982</v>
      </c>
      <c r="AG102" s="118">
        <f t="shared" si="41"/>
        <v>86.751678276369873</v>
      </c>
      <c r="AH102" s="158">
        <f t="shared" si="20"/>
        <v>85.319706868423665</v>
      </c>
      <c r="AI102" s="158">
        <f t="shared" si="21"/>
        <v>74.804242181729265</v>
      </c>
      <c r="AJ102" s="158">
        <f t="shared" si="22"/>
        <v>34.133722645597061</v>
      </c>
      <c r="AK102" s="158">
        <f t="shared" si="42"/>
        <v>281.00934997211988</v>
      </c>
      <c r="AL102" s="910">
        <f t="shared" si="43"/>
        <v>0</v>
      </c>
      <c r="AM102" s="805">
        <f t="shared" si="71"/>
        <v>0.30871456157945232</v>
      </c>
      <c r="AN102" s="510">
        <f t="shared" si="72"/>
        <v>0.30361874747900236</v>
      </c>
      <c r="AO102" s="510">
        <f t="shared" si="73"/>
        <v>0.26619841008546835</v>
      </c>
      <c r="AP102" s="510">
        <f t="shared" si="74"/>
        <v>0.12146828085607689</v>
      </c>
      <c r="AQ102" s="713">
        <f t="shared" si="48"/>
        <v>0.99999999999999989</v>
      </c>
      <c r="AR102" s="916">
        <f t="shared" si="75"/>
        <v>13.569550796137404</v>
      </c>
      <c r="AS102" s="917">
        <f t="shared" si="76"/>
        <v>21.978048198671281</v>
      </c>
      <c r="AT102" s="917">
        <f t="shared" si="77"/>
        <v>6.0844319403238982</v>
      </c>
      <c r="AU102" s="917">
        <f t="shared" si="78"/>
        <v>0</v>
      </c>
      <c r="AV102" s="917">
        <f t="shared" si="79"/>
        <v>0</v>
      </c>
      <c r="AW102" s="917">
        <f t="shared" si="80"/>
        <v>0</v>
      </c>
      <c r="AX102" s="1338">
        <f t="shared" si="81"/>
        <v>32.793353986123826</v>
      </c>
      <c r="AY102" s="917">
        <f t="shared" si="82"/>
        <v>3.6105720299302506</v>
      </c>
      <c r="AZ102" s="917">
        <f t="shared" si="83"/>
        <v>3.5804051360393916</v>
      </c>
      <c r="BA102" s="917">
        <f t="shared" si="84"/>
        <v>3.8286438304886201</v>
      </c>
      <c r="BB102" s="917">
        <f t="shared" si="85"/>
        <v>1.3066723586551472</v>
      </c>
      <c r="BC102" s="673">
        <f t="shared" si="86"/>
        <v>86.751678276369816</v>
      </c>
      <c r="BD102" s="1340">
        <f t="shared" si="50"/>
        <v>0</v>
      </c>
      <c r="BE102" s="1341">
        <f t="shared" si="51"/>
        <v>0.15641830873759127</v>
      </c>
      <c r="BF102" s="1342">
        <f t="shared" si="52"/>
        <v>0.25334435754262352</v>
      </c>
      <c r="BG102" s="1342">
        <f t="shared" si="53"/>
        <v>7.0136187117214879E-2</v>
      </c>
      <c r="BH102" s="1342">
        <f t="shared" si="54"/>
        <v>0</v>
      </c>
      <c r="BI102" s="1342">
        <f t="shared" si="55"/>
        <v>0</v>
      </c>
      <c r="BJ102" s="1342">
        <f t="shared" si="56"/>
        <v>0</v>
      </c>
      <c r="BK102" s="1342">
        <f t="shared" si="57"/>
        <v>0.52010114660257045</v>
      </c>
      <c r="BL102" s="1342">
        <f t="shared" si="58"/>
        <v>1</v>
      </c>
      <c r="BM102" s="1237">
        <f t="shared" si="87"/>
        <v>0.19892488097366726</v>
      </c>
      <c r="BN102" s="713">
        <f t="shared" si="59"/>
        <v>0.26585903447659598</v>
      </c>
      <c r="BO102" s="713">
        <f t="shared" si="59"/>
        <v>8.9228108703258049E-2</v>
      </c>
      <c r="BP102" s="713">
        <f t="shared" si="59"/>
        <v>0</v>
      </c>
      <c r="BQ102" s="713">
        <f t="shared" si="59"/>
        <v>0</v>
      </c>
      <c r="BR102" s="713">
        <f t="shared" si="59"/>
        <v>0</v>
      </c>
      <c r="BS102" s="713">
        <f t="shared" si="59"/>
        <v>0.4459879758464787</v>
      </c>
      <c r="BT102" s="1001">
        <f t="shared" si="88"/>
        <v>1</v>
      </c>
      <c r="BV102" s="671">
        <f t="shared" si="23"/>
        <v>68.523511843347535</v>
      </c>
      <c r="BW102" s="713">
        <f t="shared" si="60"/>
        <v>0.57759757175005877</v>
      </c>
      <c r="BX102" s="1338">
        <f t="shared" si="24"/>
        <v>45.550858065592685</v>
      </c>
      <c r="BY102" s="671">
        <f t="shared" si="25"/>
        <v>71.667172163985128</v>
      </c>
      <c r="BZ102" s="713">
        <f t="shared" si="61"/>
        <v>0.56435439435945745</v>
      </c>
      <c r="CA102" s="1475">
        <f t="shared" si="26"/>
        <v>48.694518386230293</v>
      </c>
      <c r="CB102" s="713">
        <f t="shared" si="27"/>
        <v>0.33765315078636471</v>
      </c>
      <c r="CC102" s="713">
        <f t="shared" si="28"/>
        <v>0.85</v>
      </c>
      <c r="CD102" s="713">
        <f t="shared" si="62"/>
        <v>0.33765315078636471</v>
      </c>
      <c r="CE102" s="1001">
        <f t="shared" si="63"/>
        <v>0.85</v>
      </c>
    </row>
    <row r="103" spans="1:83" s="4" customFormat="1">
      <c r="A103" s="100">
        <f>'Input data'!A123</f>
        <v>2025</v>
      </c>
      <c r="B103" s="1343">
        <f>'Input data'!B123</f>
        <v>62.802999999999997</v>
      </c>
      <c r="C103" s="1344">
        <f>'Input data'!C123</f>
        <v>3265.54</v>
      </c>
      <c r="D103" s="1344">
        <f>'Input data'!D123</f>
        <v>46410532.166220129</v>
      </c>
      <c r="E103" s="1237">
        <f t="shared" si="64"/>
        <v>0.89030769230769258</v>
      </c>
      <c r="F103" s="713">
        <f t="shared" si="65"/>
        <v>0.33738461538461528</v>
      </c>
      <c r="G103" s="1238">
        <f>B103*F103*'Input data'!$C$9</f>
        <v>648.52588116082893</v>
      </c>
      <c r="H103" s="916">
        <f>'Input data'!I123</f>
        <v>424.26313389388866</v>
      </c>
      <c r="I103" s="1168">
        <f>'Input data'!K123</f>
        <v>26644.997597937887</v>
      </c>
      <c r="J103" s="696">
        <f t="shared" si="89"/>
        <v>80.836791121162832</v>
      </c>
      <c r="K103" s="1238">
        <f t="shared" si="66"/>
        <v>116.32611405240507</v>
      </c>
      <c r="L103" s="510">
        <f t="shared" si="67"/>
        <v>0.65384615384615408</v>
      </c>
      <c r="M103" s="510">
        <f t="shared" si="29"/>
        <v>0.53730769230769226</v>
      </c>
      <c r="N103" s="510">
        <f t="shared" si="68"/>
        <v>0.82769230769230739</v>
      </c>
      <c r="O103" s="510">
        <f t="shared" si="69"/>
        <v>0.86153846153846136</v>
      </c>
      <c r="P103" s="713">
        <f t="shared" si="30"/>
        <v>0.23600000000000002</v>
      </c>
      <c r="Q103" s="654">
        <f t="shared" si="31"/>
        <v>24.752128827221931</v>
      </c>
      <c r="R103" s="673">
        <f t="shared" si="32"/>
        <v>10.449704068939733</v>
      </c>
      <c r="S103" s="673">
        <f t="shared" si="33"/>
        <v>40.870702365851812</v>
      </c>
      <c r="T103" s="673">
        <f t="shared" si="34"/>
        <v>53.852818649927187</v>
      </c>
      <c r="U103" s="802">
        <f t="shared" si="35"/>
        <v>0.67710709475193609</v>
      </c>
      <c r="V103" s="916">
        <f t="shared" si="16"/>
        <v>130.60246100669258</v>
      </c>
      <c r="W103" s="1237">
        <f>($W$105-$W$100)/($A$105-$A$100)+W102</f>
        <v>0.5</v>
      </c>
      <c r="X103" s="1337">
        <f t="shared" si="17"/>
        <v>53.669159952994768</v>
      </c>
      <c r="Y103" s="1337">
        <f t="shared" si="18"/>
        <v>67.97491749150538</v>
      </c>
      <c r="Z103" s="1168">
        <f t="shared" si="70"/>
        <v>129.18798768206253</v>
      </c>
      <c r="AA103" s="1338">
        <f t="shared" si="19"/>
        <v>48.351196560899695</v>
      </c>
      <c r="AB103" s="1339">
        <f t="shared" si="36"/>
        <v>0.37427006510771088</v>
      </c>
      <c r="AC103" s="135" t="str">
        <f t="shared" si="37"/>
        <v>Policies met</v>
      </c>
      <c r="AD103" s="1353">
        <f t="shared" si="38"/>
        <v>0.37427006510771088</v>
      </c>
      <c r="AE103" s="135" t="str">
        <f t="shared" si="39"/>
        <v>No</v>
      </c>
      <c r="AF103" s="1420">
        <f t="shared" si="40"/>
        <v>265.47414314862152</v>
      </c>
      <c r="AG103" s="118">
        <f t="shared" si="41"/>
        <v>80.836791121162832</v>
      </c>
      <c r="AH103" s="158">
        <f t="shared" si="20"/>
        <v>81.721869422490471</v>
      </c>
      <c r="AI103" s="158">
        <f t="shared" si="21"/>
        <v>70.66879482496509</v>
      </c>
      <c r="AJ103" s="158">
        <f t="shared" si="22"/>
        <v>32.246687780003121</v>
      </c>
      <c r="AK103" s="158">
        <f t="shared" si="42"/>
        <v>265.47414314862152</v>
      </c>
      <c r="AL103" s="910">
        <f t="shared" si="43"/>
        <v>0</v>
      </c>
      <c r="AM103" s="805">
        <f t="shared" si="71"/>
        <v>0.30449967805681033</v>
      </c>
      <c r="AN103" s="510">
        <f t="shared" si="72"/>
        <v>0.30783363100164435</v>
      </c>
      <c r="AO103" s="510">
        <f t="shared" si="73"/>
        <v>0.26619841008546841</v>
      </c>
      <c r="AP103" s="510">
        <f t="shared" si="74"/>
        <v>0.1214682808560769</v>
      </c>
      <c r="AQ103" s="713">
        <f t="shared" si="48"/>
        <v>0.99999999999999989</v>
      </c>
      <c r="AR103" s="916">
        <f t="shared" si="75"/>
        <v>12.819377258705728</v>
      </c>
      <c r="AS103" s="917">
        <f t="shared" si="76"/>
        <v>20.763022704405529</v>
      </c>
      <c r="AT103" s="917">
        <f t="shared" si="77"/>
        <v>5.5294064685229927</v>
      </c>
      <c r="AU103" s="917">
        <f t="shared" si="78"/>
        <v>0</v>
      </c>
      <c r="AV103" s="917">
        <f t="shared" si="79"/>
        <v>0</v>
      </c>
      <c r="AW103" s="917">
        <f t="shared" si="80"/>
        <v>0</v>
      </c>
      <c r="AX103" s="1338">
        <f t="shared" si="81"/>
        <v>30.980419517355536</v>
      </c>
      <c r="AY103" s="917">
        <f t="shared" si="82"/>
        <v>3.2583815347607548</v>
      </c>
      <c r="AZ103" s="917">
        <f t="shared" si="83"/>
        <v>2.9356351185923093</v>
      </c>
      <c r="BA103" s="917">
        <f t="shared" si="84"/>
        <v>3.3161137043755708</v>
      </c>
      <c r="BB103" s="917">
        <f t="shared" si="85"/>
        <v>1.234434814444358</v>
      </c>
      <c r="BC103" s="673">
        <f t="shared" si="86"/>
        <v>80.836791121162776</v>
      </c>
      <c r="BD103" s="922">
        <f t="shared" si="50"/>
        <v>0</v>
      </c>
      <c r="BE103" s="1341">
        <f t="shared" si="51"/>
        <v>0.15858345044264952</v>
      </c>
      <c r="BF103" s="1342">
        <f t="shared" si="52"/>
        <v>0.25685114929023756</v>
      </c>
      <c r="BG103" s="1342">
        <f t="shared" si="53"/>
        <v>6.8402102456481775E-2</v>
      </c>
      <c r="BH103" s="1342">
        <f t="shared" si="54"/>
        <v>0</v>
      </c>
      <c r="BI103" s="1342">
        <f t="shared" si="55"/>
        <v>0</v>
      </c>
      <c r="BJ103" s="1342">
        <f t="shared" si="56"/>
        <v>0</v>
      </c>
      <c r="BK103" s="1342">
        <f t="shared" si="57"/>
        <v>0.51616329781063119</v>
      </c>
      <c r="BL103" s="1342">
        <f t="shared" si="58"/>
        <v>1</v>
      </c>
      <c r="BM103" s="1237">
        <f t="shared" si="87"/>
        <v>0.19892488097366726</v>
      </c>
      <c r="BN103" s="713">
        <f t="shared" si="59"/>
        <v>0.26585903447659598</v>
      </c>
      <c r="BO103" s="713">
        <f t="shared" si="59"/>
        <v>8.9228108703258049E-2</v>
      </c>
      <c r="BP103" s="713">
        <f t="shared" si="59"/>
        <v>0</v>
      </c>
      <c r="BQ103" s="713">
        <f t="shared" si="59"/>
        <v>0</v>
      </c>
      <c r="BR103" s="713">
        <f t="shared" si="59"/>
        <v>0</v>
      </c>
      <c r="BS103" s="713">
        <f t="shared" si="59"/>
        <v>0.4459879758464787</v>
      </c>
      <c r="BT103" s="1001">
        <f t="shared" si="88"/>
        <v>1</v>
      </c>
      <c r="BV103" s="671">
        <f t="shared" si="23"/>
        <v>68.718498935214356</v>
      </c>
      <c r="BW103" s="713">
        <f t="shared" si="60"/>
        <v>0.61161672927982635</v>
      </c>
      <c r="BX103" s="1338">
        <f t="shared" si="24"/>
        <v>46.410532166220129</v>
      </c>
      <c r="BY103" s="671">
        <f t="shared" si="25"/>
        <v>71.00248515522452</v>
      </c>
      <c r="BZ103" s="713">
        <f t="shared" si="61"/>
        <v>0.60250491960245467</v>
      </c>
      <c r="CA103" s="1475">
        <f t="shared" si="26"/>
        <v>48.694518386230293</v>
      </c>
      <c r="CB103" s="713">
        <f t="shared" si="27"/>
        <v>0.37427006510771088</v>
      </c>
      <c r="CC103" s="713">
        <f t="shared" si="28"/>
        <v>0.85</v>
      </c>
      <c r="CD103" s="713">
        <f t="shared" si="62"/>
        <v>0.37427006510771088</v>
      </c>
      <c r="CE103" s="1001">
        <f t="shared" si="63"/>
        <v>0.85</v>
      </c>
    </row>
    <row r="104" spans="1:83" s="4" customFormat="1">
      <c r="A104" s="100">
        <f>'Input data'!A124</f>
        <v>2026</v>
      </c>
      <c r="B104" s="1343">
        <f>'Input data'!B124</f>
        <v>63.420999999999999</v>
      </c>
      <c r="C104" s="1344">
        <f>'Input data'!C124</f>
        <v>3341.28</v>
      </c>
      <c r="D104" s="1344">
        <f>'Input data'!D124</f>
        <v>46524138.013837561</v>
      </c>
      <c r="E104" s="1237">
        <f t="shared" si="64"/>
        <v>0.91224615384615415</v>
      </c>
      <c r="F104" s="713">
        <f t="shared" si="65"/>
        <v>0.3433576923076922</v>
      </c>
      <c r="G104" s="1238">
        <f>B104*F104*'Input data'!$C$9</f>
        <v>666.50208844796612</v>
      </c>
      <c r="H104" s="916">
        <f>'Input data'!I124</f>
        <v>424.26313389388866</v>
      </c>
      <c r="I104" s="1168">
        <f>'Input data'!K124</f>
        <v>26907.192214684314</v>
      </c>
      <c r="J104" s="696">
        <f t="shared" si="89"/>
        <v>74.921903965955792</v>
      </c>
      <c r="K104" s="1238">
        <f t="shared" si="66"/>
        <v>122.24100120761211</v>
      </c>
      <c r="L104" s="510">
        <f t="shared" si="67"/>
        <v>0.66307692307692334</v>
      </c>
      <c r="M104" s="510">
        <f t="shared" si="29"/>
        <v>0.54984615384615376</v>
      </c>
      <c r="N104" s="510">
        <f t="shared" si="68"/>
        <v>0.84215384615384581</v>
      </c>
      <c r="O104" s="510">
        <f t="shared" si="69"/>
        <v>0.86923076923076903</v>
      </c>
      <c r="P104" s="713">
        <f t="shared" si="30"/>
        <v>0.23600000000000002</v>
      </c>
      <c r="Q104" s="654">
        <f t="shared" si="31"/>
        <v>25.101570645959185</v>
      </c>
      <c r="R104" s="673">
        <f t="shared" si="32"/>
        <v>10.693555430892085</v>
      </c>
      <c r="S104" s="673">
        <f t="shared" si="33"/>
        <v>41.584800139530259</v>
      </c>
      <c r="T104" s="673">
        <f t="shared" si="34"/>
        <v>54.333647387872965</v>
      </c>
      <c r="U104" s="802">
        <f t="shared" si="35"/>
        <v>0.67710709475193609</v>
      </c>
      <c r="V104" s="916">
        <f t="shared" si="16"/>
        <v>132.39068069900642</v>
      </c>
      <c r="W104" s="1237">
        <f>($W$105-$W$100)/($A$105-$A$100)+W103</f>
        <v>0.5</v>
      </c>
      <c r="X104" s="1337">
        <f t="shared" si="17"/>
        <v>53.669159952994768</v>
      </c>
      <c r="Y104" s="1337">
        <f t="shared" si="18"/>
        <v>69.763137183819225</v>
      </c>
      <c r="Z104" s="1168">
        <f t="shared" si="70"/>
        <v>127.39976798974868</v>
      </c>
      <c r="AA104" s="1338">
        <f t="shared" si="19"/>
        <v>52.47786402379289</v>
      </c>
      <c r="AB104" s="1339">
        <f t="shared" si="36"/>
        <v>0.41191491045741591</v>
      </c>
      <c r="AC104" s="135" t="str">
        <f t="shared" si="37"/>
        <v>Policies met</v>
      </c>
      <c r="AD104" s="1353">
        <f t="shared" si="38"/>
        <v>0.41191491045741591</v>
      </c>
      <c r="AE104" s="135" t="str">
        <f t="shared" si="39"/>
        <v>No</v>
      </c>
      <c r="AF104" s="1420">
        <f t="shared" si="40"/>
        <v>249.50282308560486</v>
      </c>
      <c r="AG104" s="118">
        <f t="shared" si="41"/>
        <v>74.921903965955792</v>
      </c>
      <c r="AH104" s="158">
        <f t="shared" si="20"/>
        <v>77.856985313478859</v>
      </c>
      <c r="AI104" s="158">
        <f t="shared" si="21"/>
        <v>66.41725481722392</v>
      </c>
      <c r="AJ104" s="158">
        <f t="shared" si="22"/>
        <v>30.30667898894632</v>
      </c>
      <c r="AK104" s="158">
        <f t="shared" si="42"/>
        <v>249.50282308560489</v>
      </c>
      <c r="AL104" s="910">
        <f t="shared" si="43"/>
        <v>0</v>
      </c>
      <c r="AM104" s="805">
        <f t="shared" si="71"/>
        <v>0.30028479453416823</v>
      </c>
      <c r="AN104" s="510">
        <f t="shared" si="72"/>
        <v>0.3120485145242865</v>
      </c>
      <c r="AO104" s="510">
        <f t="shared" si="73"/>
        <v>0.26619841008546841</v>
      </c>
      <c r="AP104" s="510">
        <f t="shared" si="74"/>
        <v>0.12146828085607689</v>
      </c>
      <c r="AQ104" s="713">
        <f t="shared" si="48"/>
        <v>1</v>
      </c>
      <c r="AR104" s="916">
        <f t="shared" si="75"/>
        <v>12.048144419307414</v>
      </c>
      <c r="AS104" s="917">
        <f t="shared" si="76"/>
        <v>19.513888317324774</v>
      </c>
      <c r="AT104" s="917">
        <f t="shared" si="77"/>
        <v>4.9912476121592109</v>
      </c>
      <c r="AU104" s="917">
        <f t="shared" si="78"/>
        <v>0</v>
      </c>
      <c r="AV104" s="917">
        <f t="shared" si="79"/>
        <v>0</v>
      </c>
      <c r="AW104" s="917">
        <f t="shared" si="80"/>
        <v>0</v>
      </c>
      <c r="AX104" s="1338">
        <f t="shared" si="81"/>
        <v>29.11659131198034</v>
      </c>
      <c r="AY104" s="917">
        <f t="shared" si="82"/>
        <v>2.9189470959405797</v>
      </c>
      <c r="AZ104" s="917">
        <f t="shared" si="83"/>
        <v>2.3390726819804963</v>
      </c>
      <c r="BA104" s="917">
        <f t="shared" si="84"/>
        <v>2.8338431508178745</v>
      </c>
      <c r="BB104" s="917">
        <f t="shared" si="85"/>
        <v>1.1601693764450574</v>
      </c>
      <c r="BC104" s="673">
        <f t="shared" si="86"/>
        <v>74.92190396595575</v>
      </c>
      <c r="BD104" s="1340">
        <f t="shared" si="50"/>
        <v>0</v>
      </c>
      <c r="BE104" s="1341">
        <f t="shared" si="51"/>
        <v>0.16080937324793626</v>
      </c>
      <c r="BF104" s="1342">
        <f t="shared" si="52"/>
        <v>0.26045638570786744</v>
      </c>
      <c r="BG104" s="1342">
        <f t="shared" si="53"/>
        <v>6.6619337576194218E-2</v>
      </c>
      <c r="BH104" s="1342">
        <f t="shared" si="54"/>
        <v>0</v>
      </c>
      <c r="BI104" s="1342">
        <f t="shared" si="55"/>
        <v>0</v>
      </c>
      <c r="BJ104" s="1342">
        <f t="shared" si="56"/>
        <v>0</v>
      </c>
      <c r="BK104" s="1342">
        <f t="shared" si="57"/>
        <v>0.51211490346800204</v>
      </c>
      <c r="BL104" s="1342">
        <f t="shared" si="58"/>
        <v>1</v>
      </c>
      <c r="BM104" s="1237">
        <f t="shared" si="87"/>
        <v>0.19892488097366726</v>
      </c>
      <c r="BN104" s="713">
        <f t="shared" si="59"/>
        <v>0.26585903447659598</v>
      </c>
      <c r="BO104" s="713">
        <f t="shared" si="59"/>
        <v>8.9228108703258049E-2</v>
      </c>
      <c r="BP104" s="713">
        <f t="shared" si="59"/>
        <v>0</v>
      </c>
      <c r="BQ104" s="713">
        <f t="shared" si="59"/>
        <v>0</v>
      </c>
      <c r="BR104" s="713">
        <f t="shared" si="59"/>
        <v>0</v>
      </c>
      <c r="BS104" s="713">
        <f t="shared" si="59"/>
        <v>0.4459879758464787</v>
      </c>
      <c r="BT104" s="1001">
        <f t="shared" si="88"/>
        <v>1</v>
      </c>
      <c r="BV104" s="671">
        <f t="shared" si="23"/>
        <v>68.113956432524475</v>
      </c>
      <c r="BW104" s="713">
        <f t="shared" si="60"/>
        <v>0.65039722727031157</v>
      </c>
      <c r="BX104" s="1338">
        <f t="shared" si="24"/>
        <v>46.524138013837558</v>
      </c>
      <c r="BY104" s="671">
        <f t="shared" si="25"/>
        <v>70.284336804917189</v>
      </c>
      <c r="BZ104" s="713">
        <f t="shared" si="61"/>
        <v>0.6421765968148021</v>
      </c>
      <c r="CA104" s="1475">
        <f t="shared" si="26"/>
        <v>48.694518386230293</v>
      </c>
      <c r="CB104" s="713">
        <f t="shared" si="27"/>
        <v>0.41191491045741591</v>
      </c>
      <c r="CC104" s="713">
        <f t="shared" si="28"/>
        <v>0.85</v>
      </c>
      <c r="CD104" s="713">
        <f t="shared" si="62"/>
        <v>0.41191491045741591</v>
      </c>
      <c r="CE104" s="1001">
        <f t="shared" si="63"/>
        <v>0.85</v>
      </c>
    </row>
    <row r="105" spans="1:83" s="573" customFormat="1">
      <c r="A105" s="1192">
        <f>'Input data'!A125</f>
        <v>2027</v>
      </c>
      <c r="B105" s="1333">
        <f>'Input data'!B125</f>
        <v>64.046000000000006</v>
      </c>
      <c r="C105" s="1334">
        <f>'Input data'!C125</f>
        <v>3416.2799999999997</v>
      </c>
      <c r="D105" s="1334">
        <f>'Input data'!D125</f>
        <v>46636048.251789063</v>
      </c>
      <c r="E105" s="1237">
        <f t="shared" si="64"/>
        <v>0.93418461538461572</v>
      </c>
      <c r="F105" s="713">
        <f t="shared" si="65"/>
        <v>0.34933076923076911</v>
      </c>
      <c r="G105" s="1239">
        <f>B105*F105*'Input data'!$C$9</f>
        <v>684.77910312064694</v>
      </c>
      <c r="H105" s="1474">
        <f>'Input data'!I125</f>
        <v>424.26313389388866</v>
      </c>
      <c r="I105" s="1169">
        <f>'Input data'!K125</f>
        <v>27172.356673367995</v>
      </c>
      <c r="J105" s="696">
        <f>J95*(1-E5)</f>
        <v>69.007016810748766</v>
      </c>
      <c r="K105" s="1238">
        <f t="shared" si="66"/>
        <v>128.15588836281916</v>
      </c>
      <c r="L105" s="510">
        <f t="shared" si="67"/>
        <v>0.67230769230769261</v>
      </c>
      <c r="M105" s="510">
        <f t="shared" si="29"/>
        <v>0.56238461538461526</v>
      </c>
      <c r="N105" s="510">
        <f t="shared" si="68"/>
        <v>0.85661538461538422</v>
      </c>
      <c r="O105" s="510">
        <f t="shared" si="69"/>
        <v>0.87692307692307669</v>
      </c>
      <c r="P105" s="713">
        <f t="shared" si="30"/>
        <v>0.23600000000000002</v>
      </c>
      <c r="Q105" s="654">
        <f t="shared" si="31"/>
        <v>25.451012464696436</v>
      </c>
      <c r="R105" s="673">
        <f t="shared" si="32"/>
        <v>10.937406792844435</v>
      </c>
      <c r="S105" s="673">
        <f t="shared" si="33"/>
        <v>42.298897913208712</v>
      </c>
      <c r="T105" s="673">
        <f t="shared" si="34"/>
        <v>54.814476125818743</v>
      </c>
      <c r="U105" s="802">
        <f t="shared" si="35"/>
        <v>0.67710709475193609</v>
      </c>
      <c r="V105" s="916">
        <f t="shared" si="16"/>
        <v>134.17890039132027</v>
      </c>
      <c r="W105" s="1240">
        <f>$C$27</f>
        <v>0.5</v>
      </c>
      <c r="X105" s="1337">
        <f t="shared" si="17"/>
        <v>53.669159952994768</v>
      </c>
      <c r="Y105" s="1337">
        <f t="shared" si="18"/>
        <v>71.55135687613307</v>
      </c>
      <c r="Z105" s="1168">
        <f t="shared" si="70"/>
        <v>125.61154829743484</v>
      </c>
      <c r="AA105" s="1338">
        <f t="shared" si="19"/>
        <v>56.604531486686085</v>
      </c>
      <c r="AB105" s="1339">
        <f t="shared" si="36"/>
        <v>0.45063158804995024</v>
      </c>
      <c r="AC105" s="135" t="str">
        <f t="shared" si="37"/>
        <v>Policies met</v>
      </c>
      <c r="AD105" s="1353">
        <f t="shared" si="38"/>
        <v>0.45063158804995024</v>
      </c>
      <c r="AE105" s="135" t="str">
        <f t="shared" si="39"/>
        <v>No</v>
      </c>
      <c r="AF105" s="1420">
        <f t="shared" si="40"/>
        <v>233.07676411623692</v>
      </c>
      <c r="AG105" s="118">
        <f t="shared" si="41"/>
        <v>69.007016810748752</v>
      </c>
      <c r="AH105" s="158">
        <f t="shared" si="20"/>
        <v>73.713649425183519</v>
      </c>
      <c r="AI105" s="158">
        <f t="shared" si="21"/>
        <v>62.044664035608022</v>
      </c>
      <c r="AJ105" s="158">
        <f t="shared" si="22"/>
        <v>28.311433844696655</v>
      </c>
      <c r="AK105" s="158">
        <f t="shared" si="42"/>
        <v>233.07676411623694</v>
      </c>
      <c r="AL105" s="910">
        <f t="shared" si="43"/>
        <v>0</v>
      </c>
      <c r="AM105" s="805">
        <f t="shared" si="71"/>
        <v>0.29606991101152619</v>
      </c>
      <c r="AN105" s="510">
        <f t="shared" si="72"/>
        <v>0.31626339804692855</v>
      </c>
      <c r="AO105" s="510">
        <f t="shared" si="73"/>
        <v>0.26619841008546835</v>
      </c>
      <c r="AP105" s="510">
        <f t="shared" si="74"/>
        <v>0.1214682808560769</v>
      </c>
      <c r="AQ105" s="713">
        <f t="shared" si="48"/>
        <v>0.99999999999999989</v>
      </c>
      <c r="AR105" s="916">
        <f t="shared" si="75"/>
        <v>11.254952870388131</v>
      </c>
      <c r="AS105" s="917">
        <f t="shared" si="76"/>
        <v>18.229188303681799</v>
      </c>
      <c r="AT105" s="917">
        <f t="shared" si="77"/>
        <v>4.4706757161596622</v>
      </c>
      <c r="AU105" s="917">
        <f t="shared" si="78"/>
        <v>0</v>
      </c>
      <c r="AV105" s="917">
        <f t="shared" si="79"/>
        <v>0</v>
      </c>
      <c r="AW105" s="917">
        <f t="shared" si="80"/>
        <v>0</v>
      </c>
      <c r="AX105" s="1338">
        <f t="shared" si="81"/>
        <v>27.199695783654075</v>
      </c>
      <c r="AY105" s="917">
        <f t="shared" si="82"/>
        <v>2.5928135032952477</v>
      </c>
      <c r="AZ105" s="917">
        <f t="shared" si="83"/>
        <v>1.7927766913290961</v>
      </c>
      <c r="BA105" s="917">
        <f t="shared" si="84"/>
        <v>2.3831245055344494</v>
      </c>
      <c r="BB105" s="917">
        <f t="shared" si="85"/>
        <v>1.0837894367062479</v>
      </c>
      <c r="BC105" s="673">
        <f t="shared" si="86"/>
        <v>69.007016810748723</v>
      </c>
      <c r="BD105" s="1340">
        <f t="shared" si="50"/>
        <v>0</v>
      </c>
      <c r="BE105" s="1341">
        <f t="shared" si="51"/>
        <v>0.16309867301255412</v>
      </c>
      <c r="BF105" s="1342">
        <f t="shared" si="52"/>
        <v>0.2641642712026695</v>
      </c>
      <c r="BG105" s="1342">
        <f t="shared" si="53"/>
        <v>6.4785813425618149E-2</v>
      </c>
      <c r="BH105" s="1342">
        <f t="shared" si="54"/>
        <v>0</v>
      </c>
      <c r="BI105" s="1342">
        <f t="shared" si="55"/>
        <v>0</v>
      </c>
      <c r="BJ105" s="1342">
        <f t="shared" si="56"/>
        <v>0</v>
      </c>
      <c r="BK105" s="1342">
        <f t="shared" si="57"/>
        <v>0.50795124235915801</v>
      </c>
      <c r="BL105" s="1342">
        <f t="shared" si="58"/>
        <v>0.99999999999999978</v>
      </c>
      <c r="BM105" s="1237">
        <f t="shared" si="87"/>
        <v>0.19892488097366726</v>
      </c>
      <c r="BN105" s="713">
        <f t="shared" si="59"/>
        <v>0.26585903447659598</v>
      </c>
      <c r="BO105" s="713">
        <f t="shared" si="59"/>
        <v>8.9228108703258049E-2</v>
      </c>
      <c r="BP105" s="713">
        <f t="shared" si="59"/>
        <v>0</v>
      </c>
      <c r="BQ105" s="713">
        <f t="shared" si="59"/>
        <v>0</v>
      </c>
      <c r="BR105" s="713">
        <f t="shared" si="59"/>
        <v>0</v>
      </c>
      <c r="BS105" s="713">
        <f t="shared" si="59"/>
        <v>0.4459879758464787</v>
      </c>
      <c r="BT105" s="1001">
        <f t="shared" si="88"/>
        <v>1</v>
      </c>
      <c r="BV105" s="671">
        <f t="shared" si="23"/>
        <v>67.459211251362206</v>
      </c>
      <c r="BW105" s="713">
        <f t="shared" si="60"/>
        <v>0.6912032059073101</v>
      </c>
      <c r="BX105" s="1338">
        <f t="shared" si="24"/>
        <v>46.636048251789063</v>
      </c>
      <c r="BY105" s="671">
        <f t="shared" si="25"/>
        <v>69.517681385803414</v>
      </c>
      <c r="BZ105" s="713">
        <f t="shared" si="61"/>
        <v>0.68388299507550177</v>
      </c>
      <c r="CA105" s="1475">
        <f t="shared" si="26"/>
        <v>48.694518386230293</v>
      </c>
      <c r="CB105" s="713">
        <f t="shared" si="27"/>
        <v>0.45063158804995024</v>
      </c>
      <c r="CC105" s="713">
        <f t="shared" si="28"/>
        <v>0.85</v>
      </c>
      <c r="CD105" s="713">
        <f t="shared" si="62"/>
        <v>0.45063158804995024</v>
      </c>
      <c r="CE105" s="1001">
        <f t="shared" si="63"/>
        <v>0.85</v>
      </c>
    </row>
    <row r="106" spans="1:83" s="4" customFormat="1">
      <c r="A106" s="100">
        <f>'Input data'!A126</f>
        <v>2028</v>
      </c>
      <c r="B106" s="1343">
        <f>'Input data'!B126</f>
        <v>64.676000000000002</v>
      </c>
      <c r="C106" s="1344">
        <f>'Input data'!C126</f>
        <v>3494.8800000000006</v>
      </c>
      <c r="D106" s="1344">
        <f>'Input data'!D126</f>
        <v>46747958.489740558</v>
      </c>
      <c r="E106" s="1237">
        <f t="shared" si="64"/>
        <v>0.9561230769230773</v>
      </c>
      <c r="F106" s="713">
        <f t="shared" si="65"/>
        <v>0.35530384615384603</v>
      </c>
      <c r="G106" s="1238">
        <f>B106*F106*'Input data'!$C$9</f>
        <v>703.33901475004564</v>
      </c>
      <c r="H106" s="916">
        <f>'Input data'!I126</f>
        <v>424.26313389388866</v>
      </c>
      <c r="I106" s="1168">
        <f>'Input data'!K126</f>
        <v>27439.642447721144</v>
      </c>
      <c r="J106" s="696">
        <f t="shared" si="89"/>
        <v>63.092129655541726</v>
      </c>
      <c r="K106" s="1238">
        <f t="shared" si="66"/>
        <v>134.07077551802618</v>
      </c>
      <c r="L106" s="510">
        <f t="shared" si="67"/>
        <v>0.68153846153846187</v>
      </c>
      <c r="M106" s="510">
        <f t="shared" si="29"/>
        <v>0.57492307692307676</v>
      </c>
      <c r="N106" s="510">
        <f t="shared" si="68"/>
        <v>0.87107692307692264</v>
      </c>
      <c r="O106" s="510">
        <f t="shared" si="69"/>
        <v>0.88461538461538436</v>
      </c>
      <c r="P106" s="713">
        <f t="shared" si="30"/>
        <v>0.23600000000000002</v>
      </c>
      <c r="Q106" s="654">
        <f t="shared" si="31"/>
        <v>25.800454283433687</v>
      </c>
      <c r="R106" s="673">
        <f t="shared" si="32"/>
        <v>11.181258154796787</v>
      </c>
      <c r="S106" s="673">
        <f t="shared" si="33"/>
        <v>43.012995686887159</v>
      </c>
      <c r="T106" s="673">
        <f t="shared" si="34"/>
        <v>55.295304863764521</v>
      </c>
      <c r="U106" s="802">
        <f t="shared" si="35"/>
        <v>0.67710709475193609</v>
      </c>
      <c r="V106" s="916">
        <f t="shared" si="16"/>
        <v>135.96712008363409</v>
      </c>
      <c r="W106" s="1237">
        <f>W105</f>
        <v>0.5</v>
      </c>
      <c r="X106" s="1337">
        <f t="shared" si="17"/>
        <v>53.669159952994768</v>
      </c>
      <c r="Y106" s="1337">
        <f t="shared" si="18"/>
        <v>73.339576568446887</v>
      </c>
      <c r="Z106" s="1168">
        <f t="shared" si="70"/>
        <v>123.82332860512102</v>
      </c>
      <c r="AA106" s="1338">
        <f t="shared" si="19"/>
        <v>60.731198949579294</v>
      </c>
      <c r="AB106" s="1339">
        <f t="shared" si="36"/>
        <v>0.49046653513292493</v>
      </c>
      <c r="AC106" s="135" t="str">
        <f t="shared" si="37"/>
        <v>Policies met</v>
      </c>
      <c r="AD106" s="1353">
        <f t="shared" si="38"/>
        <v>0.49046653513292493</v>
      </c>
      <c r="AE106" s="135" t="str">
        <f t="shared" si="39"/>
        <v>No</v>
      </c>
      <c r="AF106" s="1420">
        <f t="shared" si="40"/>
        <v>216.17626462831689</v>
      </c>
      <c r="AG106" s="118">
        <f t="shared" si="41"/>
        <v>63.092129655541726</v>
      </c>
      <c r="AH106" s="158">
        <f t="shared" si="20"/>
        <v>69.279797804211739</v>
      </c>
      <c r="AI106" s="158">
        <f t="shared" si="21"/>
        <v>57.545777942273439</v>
      </c>
      <c r="AJ106" s="158">
        <f t="shared" si="22"/>
        <v>26.25855922629</v>
      </c>
      <c r="AK106" s="158">
        <f t="shared" si="42"/>
        <v>216.17626462831691</v>
      </c>
      <c r="AL106" s="910">
        <f t="shared" si="43"/>
        <v>0</v>
      </c>
      <c r="AM106" s="805">
        <f>AG106/AK106</f>
        <v>0.29185502748888414</v>
      </c>
      <c r="AN106" s="510">
        <f>AH106/AK106</f>
        <v>0.32047828156957053</v>
      </c>
      <c r="AO106" s="510">
        <f>AI106/AK106</f>
        <v>0.26619841008546841</v>
      </c>
      <c r="AP106" s="510">
        <f t="shared" si="74"/>
        <v>0.12146828085607689</v>
      </c>
      <c r="AQ106" s="713">
        <f t="shared" si="48"/>
        <v>0.99999999999999989</v>
      </c>
      <c r="AR106" s="916">
        <f t="shared" si="75"/>
        <v>10.438851248487726</v>
      </c>
      <c r="AS106" s="917">
        <f t="shared" si="76"/>
        <v>16.907381778866956</v>
      </c>
      <c r="AT106" s="917">
        <f t="shared" si="77"/>
        <v>3.9684527374804106</v>
      </c>
      <c r="AU106" s="917">
        <f t="shared" si="78"/>
        <v>0</v>
      </c>
      <c r="AV106" s="917">
        <f t="shared" si="79"/>
        <v>0</v>
      </c>
      <c r="AW106" s="917">
        <f t="shared" si="80"/>
        <v>0</v>
      </c>
      <c r="AX106" s="1338">
        <f t="shared" si="81"/>
        <v>25.22743378488196</v>
      </c>
      <c r="AY106" s="917">
        <f t="shared" si="82"/>
        <v>2.2805570174209362</v>
      </c>
      <c r="AZ106" s="917">
        <f t="shared" si="83"/>
        <v>1.2989249458349634</v>
      </c>
      <c r="BA106" s="917">
        <f t="shared" si="84"/>
        <v>1.9653247583568985</v>
      </c>
      <c r="BB106" s="917">
        <f t="shared" si="85"/>
        <v>1.0052033842118324</v>
      </c>
      <c r="BC106" s="673">
        <f>SUM(AR106:BB106)</f>
        <v>63.09212965554169</v>
      </c>
      <c r="BD106" s="1340">
        <f t="shared" si="50"/>
        <v>0</v>
      </c>
      <c r="BE106" s="1341">
        <f t="shared" si="51"/>
        <v>0.16545409555010687</v>
      </c>
      <c r="BF106" s="1342">
        <f t="shared" si="52"/>
        <v>0.267979253056992</v>
      </c>
      <c r="BG106" s="1342">
        <f t="shared" si="53"/>
        <v>6.2899330853889504E-2</v>
      </c>
      <c r="BH106" s="1342">
        <f t="shared" si="54"/>
        <v>0</v>
      </c>
      <c r="BI106" s="1342">
        <f t="shared" si="55"/>
        <v>0</v>
      </c>
      <c r="BJ106" s="1342">
        <f t="shared" si="56"/>
        <v>0</v>
      </c>
      <c r="BK106" s="1342">
        <f t="shared" si="57"/>
        <v>0.50366732053901153</v>
      </c>
      <c r="BL106" s="1342">
        <f t="shared" si="58"/>
        <v>0.99999999999999989</v>
      </c>
      <c r="BM106" s="1237">
        <f t="shared" si="87"/>
        <v>0.19892488097366726</v>
      </c>
      <c r="BN106" s="713">
        <f t="shared" si="59"/>
        <v>0.26585903447659598</v>
      </c>
      <c r="BO106" s="713">
        <f t="shared" si="59"/>
        <v>8.9228108703258049E-2</v>
      </c>
      <c r="BP106" s="713">
        <f t="shared" si="59"/>
        <v>0</v>
      </c>
      <c r="BQ106" s="713">
        <f t="shared" si="59"/>
        <v>0</v>
      </c>
      <c r="BR106" s="713">
        <f t="shared" si="59"/>
        <v>0</v>
      </c>
      <c r="BS106" s="713">
        <f t="shared" si="59"/>
        <v>0.4459879758464787</v>
      </c>
      <c r="BT106" s="1001">
        <f t="shared" si="88"/>
        <v>1</v>
      </c>
      <c r="BV106" s="671">
        <f t="shared" si="23"/>
        <v>66.760544412118122</v>
      </c>
      <c r="BW106" s="713">
        <f t="shared" si="60"/>
        <v>0.73419845406543904</v>
      </c>
      <c r="BX106" s="1338">
        <f t="shared" si="24"/>
        <v>46.747958489740554</v>
      </c>
      <c r="BY106" s="671">
        <f t="shared" si="25"/>
        <v>68.707104308607867</v>
      </c>
      <c r="BZ106" s="713">
        <f t="shared" si="61"/>
        <v>0.72779482769232517</v>
      </c>
      <c r="CA106" s="1475">
        <f t="shared" si="26"/>
        <v>48.694518386230293</v>
      </c>
      <c r="CB106" s="713">
        <f t="shared" si="27"/>
        <v>0.49046653513292493</v>
      </c>
      <c r="CC106" s="713">
        <f t="shared" si="28"/>
        <v>0.85</v>
      </c>
      <c r="CD106" s="713">
        <f t="shared" si="62"/>
        <v>0.49046653513292493</v>
      </c>
      <c r="CE106" s="1001">
        <f t="shared" si="63"/>
        <v>0.85</v>
      </c>
    </row>
    <row r="107" spans="1:83" s="4" customFormat="1">
      <c r="A107" s="100">
        <f>'Input data'!A127</f>
        <v>2029</v>
      </c>
      <c r="B107" s="1343">
        <f>'Input data'!B127</f>
        <v>65.313000000000002</v>
      </c>
      <c r="C107" s="1344">
        <f>'Input data'!C127</f>
        <v>3576.08</v>
      </c>
      <c r="D107" s="1344">
        <f>'Input data'!D127</f>
        <v>46861564.337357998</v>
      </c>
      <c r="E107" s="1237">
        <f t="shared" si="64"/>
        <v>0.97806153846153887</v>
      </c>
      <c r="F107" s="713">
        <f t="shared" si="65"/>
        <v>0.36127692307692294</v>
      </c>
      <c r="G107" s="1238">
        <f>B107*F107*'Input data'!$C$9</f>
        <v>722.20668086181445</v>
      </c>
      <c r="H107" s="916">
        <f>'Input data'!I127</f>
        <v>424.26313389388866</v>
      </c>
      <c r="I107" s="1168">
        <f>'Input data'!K127</f>
        <v>27709.898064011551</v>
      </c>
      <c r="J107" s="696">
        <f t="shared" si="89"/>
        <v>57.177242500334685</v>
      </c>
      <c r="K107" s="1238">
        <f t="shared" si="66"/>
        <v>139.98566267323321</v>
      </c>
      <c r="L107" s="510">
        <f t="shared" si="67"/>
        <v>0.69076923076923114</v>
      </c>
      <c r="M107" s="510">
        <f>($M$108-$M$95)/($A$108-$A$95)+M106</f>
        <v>0.58746153846153826</v>
      </c>
      <c r="N107" s="510">
        <f t="shared" si="68"/>
        <v>0.88553846153846105</v>
      </c>
      <c r="O107" s="510">
        <f t="shared" si="69"/>
        <v>0.89230769230769202</v>
      </c>
      <c r="P107" s="713">
        <f t="shared" si="30"/>
        <v>0.23600000000000002</v>
      </c>
      <c r="Q107" s="654">
        <f t="shared" si="31"/>
        <v>26.149896102170938</v>
      </c>
      <c r="R107" s="673">
        <f t="shared" si="32"/>
        <v>11.425109516749137</v>
      </c>
      <c r="S107" s="673">
        <f t="shared" si="33"/>
        <v>43.727093460565612</v>
      </c>
      <c r="T107" s="673">
        <f t="shared" si="34"/>
        <v>55.776133601710299</v>
      </c>
      <c r="U107" s="802">
        <f t="shared" si="35"/>
        <v>0.67710709475193609</v>
      </c>
      <c r="V107" s="916">
        <f t="shared" si="16"/>
        <v>137.7553397759479</v>
      </c>
      <c r="W107" s="1237">
        <f t="shared" ref="W107:W128" si="90">W106</f>
        <v>0.5</v>
      </c>
      <c r="X107" s="1337">
        <f t="shared" si="17"/>
        <v>53.669159952994768</v>
      </c>
      <c r="Y107" s="1337">
        <f t="shared" si="18"/>
        <v>75.127796260760704</v>
      </c>
      <c r="Z107" s="1168">
        <f t="shared" si="70"/>
        <v>122.0351089128072</v>
      </c>
      <c r="AA107" s="1338">
        <f t="shared" si="19"/>
        <v>64.857866412472504</v>
      </c>
      <c r="AB107" s="1339">
        <f t="shared" si="36"/>
        <v>0.53146891079363701</v>
      </c>
      <c r="AC107" s="135" t="str">
        <f t="shared" si="37"/>
        <v>Policies met</v>
      </c>
      <c r="AD107" s="1353">
        <f t="shared" si="38"/>
        <v>0.53146891079363701</v>
      </c>
      <c r="AE107" s="135" t="str">
        <f t="shared" si="39"/>
        <v>No</v>
      </c>
      <c r="AF107" s="1420">
        <f t="shared" si="40"/>
        <v>198.78046823340867</v>
      </c>
      <c r="AG107" s="118">
        <f t="shared" si="41"/>
        <v>57.1772425003347</v>
      </c>
      <c r="AH107" s="158">
        <f t="shared" si="20"/>
        <v>64.542659389217491</v>
      </c>
      <c r="AI107" s="158">
        <f t="shared" si="21"/>
        <v>52.915044599778348</v>
      </c>
      <c r="AJ107" s="158">
        <f t="shared" si="22"/>
        <v>24.14552174407816</v>
      </c>
      <c r="AK107" s="158">
        <f t="shared" si="42"/>
        <v>198.7804682334087</v>
      </c>
      <c r="AL107" s="910">
        <f t="shared" si="43"/>
        <v>0</v>
      </c>
      <c r="AM107" s="805">
        <f t="shared" si="71"/>
        <v>0.28764014396624216</v>
      </c>
      <c r="AN107" s="510">
        <f t="shared" si="72"/>
        <v>0.32469316509221258</v>
      </c>
      <c r="AO107" s="510">
        <f t="shared" si="73"/>
        <v>0.26619841008546835</v>
      </c>
      <c r="AP107" s="510">
        <f t="shared" si="74"/>
        <v>0.1214682808560769</v>
      </c>
      <c r="AQ107" s="713">
        <f t="shared" si="48"/>
        <v>0.99999999999999989</v>
      </c>
      <c r="AR107" s="916">
        <f t="shared" si="75"/>
        <v>9.5988324276072436</v>
      </c>
      <c r="AS107" s="917">
        <f t="shared" si="76"/>
        <v>15.546837541959903</v>
      </c>
      <c r="AT107" s="917">
        <f t="shared" si="77"/>
        <v>3.4853852938786831</v>
      </c>
      <c r="AU107" s="917">
        <f t="shared" si="78"/>
        <v>0</v>
      </c>
      <c r="AV107" s="917">
        <f t="shared" si="79"/>
        <v>0</v>
      </c>
      <c r="AW107" s="917">
        <f t="shared" si="80"/>
        <v>0</v>
      </c>
      <c r="AX107" s="1338">
        <f t="shared" si="81"/>
        <v>23.197371407578999</v>
      </c>
      <c r="AY107" s="917">
        <f t="shared" si="82"/>
        <v>1.9827876754410951</v>
      </c>
      <c r="AZ107" s="917">
        <f t="shared" si="83"/>
        <v>0.85982289266262146</v>
      </c>
      <c r="BA107" s="917">
        <f t="shared" si="84"/>
        <v>1.5818910228831022</v>
      </c>
      <c r="BB107" s="917">
        <f t="shared" si="85"/>
        <v>0.92431423832300486</v>
      </c>
      <c r="BC107" s="673">
        <f t="shared" si="86"/>
        <v>57.177242500334657</v>
      </c>
      <c r="BD107" s="1340">
        <f t="shared" si="50"/>
        <v>0</v>
      </c>
      <c r="BE107" s="1341">
        <f t="shared" si="51"/>
        <v>0.16787854761535698</v>
      </c>
      <c r="BF107" s="1342">
        <f t="shared" si="52"/>
        <v>0.27190603922301615</v>
      </c>
      <c r="BG107" s="1342">
        <f t="shared" si="53"/>
        <v>6.0957561810685137E-2</v>
      </c>
      <c r="BH107" s="1342">
        <f t="shared" si="54"/>
        <v>0</v>
      </c>
      <c r="BI107" s="1342">
        <f t="shared" si="55"/>
        <v>0</v>
      </c>
      <c r="BJ107" s="1342">
        <f t="shared" si="56"/>
        <v>0</v>
      </c>
      <c r="BK107" s="1342">
        <f t="shared" si="57"/>
        <v>0.49925785135094164</v>
      </c>
      <c r="BL107" s="1342">
        <f t="shared" si="58"/>
        <v>1</v>
      </c>
      <c r="BM107" s="1237">
        <f t="shared" si="87"/>
        <v>0.19892488097366726</v>
      </c>
      <c r="BN107" s="713">
        <f t="shared" si="59"/>
        <v>0.26585903447659598</v>
      </c>
      <c r="BO107" s="713">
        <f t="shared" si="59"/>
        <v>8.9228108703258049E-2</v>
      </c>
      <c r="BP107" s="713">
        <f t="shared" si="59"/>
        <v>0</v>
      </c>
      <c r="BQ107" s="713">
        <f t="shared" si="59"/>
        <v>0</v>
      </c>
      <c r="BR107" s="713">
        <f t="shared" si="59"/>
        <v>0</v>
      </c>
      <c r="BS107" s="713">
        <f t="shared" si="59"/>
        <v>0.4459879758464787</v>
      </c>
      <c r="BT107" s="1001">
        <f t="shared" si="88"/>
        <v>1</v>
      </c>
      <c r="BV107" s="671">
        <f t="shared" si="23"/>
        <v>66.015811017881035</v>
      </c>
      <c r="BW107" s="713">
        <f t="shared" si="60"/>
        <v>0.77960419067645326</v>
      </c>
      <c r="BX107" s="1338">
        <f t="shared" si="24"/>
        <v>46.861564337357997</v>
      </c>
      <c r="BY107" s="671">
        <f t="shared" si="25"/>
        <v>67.848765066753316</v>
      </c>
      <c r="BZ107" s="713">
        <f t="shared" si="61"/>
        <v>0.77413579655733455</v>
      </c>
      <c r="CA107" s="1475">
        <f t="shared" si="26"/>
        <v>48.694518386230293</v>
      </c>
      <c r="CB107" s="713">
        <f t="shared" si="27"/>
        <v>0.53146891079363701</v>
      </c>
      <c r="CC107" s="713">
        <f t="shared" si="28"/>
        <v>0.85</v>
      </c>
      <c r="CD107" s="713">
        <f t="shared" si="62"/>
        <v>0.53146891079363701</v>
      </c>
      <c r="CE107" s="1001">
        <f t="shared" si="63"/>
        <v>0.85</v>
      </c>
    </row>
    <row r="108" spans="1:83" s="573" customFormat="1">
      <c r="A108" s="1192">
        <f>'Input data'!A128</f>
        <v>2030</v>
      </c>
      <c r="B108" s="1333">
        <f>'Input data'!B128</f>
        <v>65.956000000000003</v>
      </c>
      <c r="C108" s="1334">
        <f>'Input data'!C128</f>
        <v>3660.12</v>
      </c>
      <c r="D108" s="1334">
        <f>'Input data'!D128</f>
        <v>46973474.5753095</v>
      </c>
      <c r="E108" s="1240">
        <f>C52</f>
        <v>1</v>
      </c>
      <c r="F108" s="997">
        <f>D52</f>
        <v>0.36725000000000002</v>
      </c>
      <c r="G108" s="1239">
        <f>B108*F108*'Input data'!$C$9</f>
        <v>741.37470019741022</v>
      </c>
      <c r="H108" s="1474">
        <f>'Input data'!I128</f>
        <v>424.26313389388866</v>
      </c>
      <c r="I108" s="1169">
        <f>'Input data'!K128</f>
        <v>27982.69925910532</v>
      </c>
      <c r="J108" s="696">
        <f t="shared" si="89"/>
        <v>51.262355345127645</v>
      </c>
      <c r="K108" s="1238">
        <f t="shared" si="66"/>
        <v>145.90054982844026</v>
      </c>
      <c r="L108" s="997">
        <f>C19</f>
        <v>0.7</v>
      </c>
      <c r="M108" s="997">
        <f>D19</f>
        <v>0.6</v>
      </c>
      <c r="N108" s="997">
        <f>E19</f>
        <v>0.9</v>
      </c>
      <c r="O108" s="997">
        <f>F19</f>
        <v>0.9</v>
      </c>
      <c r="P108" s="997">
        <f>G19</f>
        <v>0.23600000000000002</v>
      </c>
      <c r="Q108" s="654">
        <f t="shared" si="31"/>
        <v>26.499337920908175</v>
      </c>
      <c r="R108" s="673">
        <f t="shared" si="32"/>
        <v>11.668960878701492</v>
      </c>
      <c r="S108" s="673">
        <f t="shared" si="33"/>
        <v>44.441191234244087</v>
      </c>
      <c r="T108" s="673">
        <f t="shared" si="34"/>
        <v>56.256962339656091</v>
      </c>
      <c r="U108" s="802">
        <f t="shared" si="35"/>
        <v>0.67710709475193609</v>
      </c>
      <c r="V108" s="916">
        <f t="shared" si="16"/>
        <v>139.54355946826178</v>
      </c>
      <c r="W108" s="1237">
        <f t="shared" si="90"/>
        <v>0.5</v>
      </c>
      <c r="X108" s="1337">
        <f t="shared" si="17"/>
        <v>53.669159952994768</v>
      </c>
      <c r="Y108" s="1337">
        <f t="shared" si="18"/>
        <v>76.916015953074577</v>
      </c>
      <c r="Z108" s="1168">
        <f t="shared" si="70"/>
        <v>120.24688922049333</v>
      </c>
      <c r="AA108" s="1338">
        <f t="shared" si="19"/>
        <v>68.984533875365685</v>
      </c>
      <c r="AB108" s="1339">
        <f t="shared" si="36"/>
        <v>0.57369079834465153</v>
      </c>
      <c r="AC108" s="135" t="str">
        <f t="shared" si="37"/>
        <v>Policies met</v>
      </c>
      <c r="AD108" s="1353">
        <f t="shared" si="38"/>
        <v>0.57369079834465153</v>
      </c>
      <c r="AE108" s="135" t="str">
        <f t="shared" si="39"/>
        <v>No</v>
      </c>
      <c r="AF108" s="1420">
        <f t="shared" si="40"/>
        <v>180.86727790209989</v>
      </c>
      <c r="AG108" s="118">
        <f t="shared" si="41"/>
        <v>51.262355345127645</v>
      </c>
      <c r="AH108" s="158">
        <f t="shared" si="20"/>
        <v>59.488703433060323</v>
      </c>
      <c r="AI108" s="158">
        <f t="shared" si="21"/>
        <v>48.146581814025566</v>
      </c>
      <c r="AJ108" s="158">
        <f t="shared" si="22"/>
        <v>21.969637309886384</v>
      </c>
      <c r="AK108" s="158">
        <f t="shared" si="42"/>
        <v>180.86727790209991</v>
      </c>
      <c r="AL108" s="910">
        <f t="shared" si="43"/>
        <v>0</v>
      </c>
      <c r="AM108" s="805">
        <f t="shared" si="71"/>
        <v>0.2834252604436</v>
      </c>
      <c r="AN108" s="510">
        <f t="shared" si="72"/>
        <v>0.32890804861485473</v>
      </c>
      <c r="AO108" s="510">
        <f t="shared" si="73"/>
        <v>0.26619841008546841</v>
      </c>
      <c r="AP108" s="510">
        <f t="shared" si="74"/>
        <v>0.1214682808560769</v>
      </c>
      <c r="AQ108" s="713">
        <f t="shared" si="48"/>
        <v>1</v>
      </c>
      <c r="AR108" s="916">
        <f t="shared" si="75"/>
        <v>8.7338293729199599</v>
      </c>
      <c r="AS108" s="917">
        <f t="shared" si="76"/>
        <v>14.145827360154431</v>
      </c>
      <c r="AT108" s="917">
        <f t="shared" si="77"/>
        <v>3.022327984719122</v>
      </c>
      <c r="AU108" s="917">
        <f t="shared" si="78"/>
        <v>0</v>
      </c>
      <c r="AV108" s="917">
        <f t="shared" si="79"/>
        <v>0</v>
      </c>
      <c r="AW108" s="917">
        <f t="shared" si="80"/>
        <v>0</v>
      </c>
      <c r="AX108" s="1338">
        <f t="shared" si="81"/>
        <v>21.106929962788275</v>
      </c>
      <c r="AY108" s="917">
        <f t="shared" si="82"/>
        <v>1.7001518024997329</v>
      </c>
      <c r="AZ108" s="917">
        <f t="shared" si="83"/>
        <v>0.47791311835861006</v>
      </c>
      <c r="BA108" s="917">
        <f t="shared" si="84"/>
        <v>1.2343564941738161</v>
      </c>
      <c r="BB108" s="917">
        <f t="shared" si="85"/>
        <v>0.84101924951365703</v>
      </c>
      <c r="BC108" s="673">
        <f t="shared" si="86"/>
        <v>51.262355345127602</v>
      </c>
      <c r="BD108" s="1340">
        <f t="shared" si="50"/>
        <v>0</v>
      </c>
      <c r="BE108" s="1341">
        <f t="shared" si="51"/>
        <v>0.17037510887119423</v>
      </c>
      <c r="BF108" s="1342">
        <f t="shared" si="52"/>
        <v>0.2759496177051679</v>
      </c>
      <c r="BG108" s="1342">
        <f t="shared" si="53"/>
        <v>5.8958039761752561E-2</v>
      </c>
      <c r="BH108" s="1342">
        <f t="shared" si="54"/>
        <v>0</v>
      </c>
      <c r="BI108" s="1342">
        <f t="shared" si="55"/>
        <v>0</v>
      </c>
      <c r="BJ108" s="1342">
        <f t="shared" si="56"/>
        <v>0</v>
      </c>
      <c r="BK108" s="1342">
        <f t="shared" si="57"/>
        <v>0.49471723366188541</v>
      </c>
      <c r="BL108" s="1342">
        <f t="shared" si="58"/>
        <v>1</v>
      </c>
      <c r="BM108" s="1237">
        <f t="shared" si="87"/>
        <v>0.19892488097366726</v>
      </c>
      <c r="BN108" s="713">
        <f t="shared" si="59"/>
        <v>0.26585903447659598</v>
      </c>
      <c r="BO108" s="713">
        <f t="shared" si="59"/>
        <v>8.9228108703258049E-2</v>
      </c>
      <c r="BP108" s="713">
        <f t="shared" si="59"/>
        <v>0</v>
      </c>
      <c r="BQ108" s="713">
        <f t="shared" si="59"/>
        <v>0</v>
      </c>
      <c r="BR108" s="713">
        <f t="shared" si="59"/>
        <v>0</v>
      </c>
      <c r="BS108" s="713">
        <f t="shared" si="59"/>
        <v>0.4459879758464787</v>
      </c>
      <c r="BT108" s="1001">
        <f t="shared" si="88"/>
        <v>1</v>
      </c>
      <c r="BV108" s="671">
        <f t="shared" si="23"/>
        <v>65.219083875964103</v>
      </c>
      <c r="BW108" s="713">
        <f t="shared" si="60"/>
        <v>0.82767825110083648</v>
      </c>
      <c r="BX108" s="1338">
        <f t="shared" si="24"/>
        <v>46.973474575309503</v>
      </c>
      <c r="BY108" s="671">
        <f t="shared" si="25"/>
        <v>66.940127686884878</v>
      </c>
      <c r="BZ108" s="713">
        <f t="shared" si="61"/>
        <v>0.8231499410897829</v>
      </c>
      <c r="CA108" s="1475">
        <f t="shared" si="26"/>
        <v>48.694518386230293</v>
      </c>
      <c r="CB108" s="713">
        <f t="shared" si="27"/>
        <v>0.57369079834465153</v>
      </c>
      <c r="CC108" s="713">
        <f t="shared" si="28"/>
        <v>0.85</v>
      </c>
      <c r="CD108" s="713">
        <f t="shared" si="62"/>
        <v>0.57369079834465153</v>
      </c>
      <c r="CE108" s="1001">
        <f t="shared" si="63"/>
        <v>0.85</v>
      </c>
    </row>
    <row r="109" spans="1:83" s="4" customFormat="1">
      <c r="A109" s="100">
        <f>'Input data'!A129</f>
        <v>2031</v>
      </c>
      <c r="B109" s="1343">
        <f>'Input data'!B129</f>
        <v>66.519000000000005</v>
      </c>
      <c r="C109" s="1344">
        <f>'Input data'!C129</f>
        <v>3761.03</v>
      </c>
      <c r="D109" s="1344">
        <f>'Input data'!D129</f>
        <v>45096434.675122961</v>
      </c>
      <c r="E109" s="1237">
        <f>E108</f>
        <v>1</v>
      </c>
      <c r="F109" s="713">
        <f>F108</f>
        <v>0.36725000000000002</v>
      </c>
      <c r="G109" s="1238">
        <f>B109*F109*'Input data'!$C$9</f>
        <v>747.70306996227077</v>
      </c>
      <c r="H109" s="916">
        <f>'Input data'!I129</f>
        <v>424.26313389388866</v>
      </c>
      <c r="I109" s="1168">
        <f>'Input data'!K129</f>
        <v>28221.559403487583</v>
      </c>
      <c r="J109" s="696">
        <f t="shared" si="89"/>
        <v>45.347468189920605</v>
      </c>
      <c r="K109" s="1238">
        <f t="shared" si="66"/>
        <v>151.81543698364732</v>
      </c>
      <c r="L109" s="713">
        <f>L108</f>
        <v>0.7</v>
      </c>
      <c r="M109" s="713">
        <f t="shared" ref="M109:P124" si="91">M108</f>
        <v>0.6</v>
      </c>
      <c r="N109" s="713">
        <f t="shared" si="91"/>
        <v>0.9</v>
      </c>
      <c r="O109" s="713">
        <f t="shared" si="91"/>
        <v>0.9</v>
      </c>
      <c r="P109" s="713">
        <f t="shared" si="91"/>
        <v>0.23600000000000002</v>
      </c>
      <c r="Q109" s="654">
        <f t="shared" si="31"/>
        <v>26.499337920908175</v>
      </c>
      <c r="R109" s="673">
        <f t="shared" si="32"/>
        <v>11.668960878701492</v>
      </c>
      <c r="S109" s="673">
        <f t="shared" si="33"/>
        <v>44.441191234244087</v>
      </c>
      <c r="T109" s="673">
        <f t="shared" si="34"/>
        <v>56.256962339656091</v>
      </c>
      <c r="U109" s="802">
        <f t="shared" si="35"/>
        <v>0.67710709475193609</v>
      </c>
      <c r="V109" s="916">
        <f t="shared" si="16"/>
        <v>139.54355946826178</v>
      </c>
      <c r="W109" s="1237">
        <f t="shared" si="90"/>
        <v>0.5</v>
      </c>
      <c r="X109" s="1337">
        <f t="shared" si="17"/>
        <v>53.669159952994768</v>
      </c>
      <c r="Y109" s="1337">
        <f t="shared" si="18"/>
        <v>76.916015953074577</v>
      </c>
      <c r="Z109" s="1168">
        <f t="shared" si="70"/>
        <v>120.24688922049333</v>
      </c>
      <c r="AA109" s="1338">
        <f t="shared" si="19"/>
        <v>74.899421030572739</v>
      </c>
      <c r="AB109" s="1339">
        <f t="shared" si="36"/>
        <v>0.62288032161257645</v>
      </c>
      <c r="AC109" s="135" t="str">
        <f t="shared" si="37"/>
        <v>Policies met</v>
      </c>
      <c r="AD109" s="1353">
        <f t="shared" si="38"/>
        <v>0.62288032161257645</v>
      </c>
      <c r="AE109" s="135" t="str">
        <f t="shared" si="39"/>
        <v>No</v>
      </c>
      <c r="AF109" s="1420">
        <f t="shared" si="40"/>
        <v>159.99797660570371</v>
      </c>
      <c r="AG109" s="118">
        <f t="shared" si="41"/>
        <v>45.34746818992059</v>
      </c>
      <c r="AH109" s="158">
        <f t="shared" si="20"/>
        <v>52.624622267707196</v>
      </c>
      <c r="AI109" s="158">
        <f t="shared" si="21"/>
        <v>42.591206989330296</v>
      </c>
      <c r="AJ109" s="158">
        <f t="shared" si="22"/>
        <v>19.434679158745642</v>
      </c>
      <c r="AK109" s="158">
        <f t="shared" si="42"/>
        <v>159.99797660570371</v>
      </c>
      <c r="AL109" s="910">
        <f t="shared" si="43"/>
        <v>0</v>
      </c>
      <c r="AM109" s="805">
        <f t="shared" si="71"/>
        <v>0.28342526044359995</v>
      </c>
      <c r="AN109" s="510">
        <f t="shared" si="72"/>
        <v>0.32890804861485479</v>
      </c>
      <c r="AO109" s="510">
        <f t="shared" si="73"/>
        <v>0.26619841008546841</v>
      </c>
      <c r="AP109" s="510">
        <f t="shared" si="74"/>
        <v>0.12146828085607692</v>
      </c>
      <c r="AQ109" s="713">
        <f t="shared" si="48"/>
        <v>1</v>
      </c>
      <c r="AR109" s="916">
        <f t="shared" si="75"/>
        <v>7.7260798298907316</v>
      </c>
      <c r="AS109" s="917">
        <f t="shared" si="76"/>
        <v>12.513616510905841</v>
      </c>
      <c r="AT109" s="917">
        <f t="shared" si="77"/>
        <v>2.6735978326361458</v>
      </c>
      <c r="AU109" s="917">
        <f t="shared" si="78"/>
        <v>0</v>
      </c>
      <c r="AV109" s="917">
        <f t="shared" si="79"/>
        <v>0</v>
      </c>
      <c r="AW109" s="917">
        <f t="shared" si="80"/>
        <v>0</v>
      </c>
      <c r="AX109" s="1338">
        <f t="shared" si="81"/>
        <v>18.671514967081933</v>
      </c>
      <c r="AY109" s="917">
        <f t="shared" si="82"/>
        <v>1.5039804406728401</v>
      </c>
      <c r="AZ109" s="917">
        <f t="shared" si="83"/>
        <v>0.42276929700953958</v>
      </c>
      <c r="BA109" s="917">
        <f t="shared" si="84"/>
        <v>1.0919307448460678</v>
      </c>
      <c r="BB109" s="917">
        <f t="shared" si="85"/>
        <v>0.74397856687746566</v>
      </c>
      <c r="BC109" s="673">
        <f t="shared" si="86"/>
        <v>45.347468189920562</v>
      </c>
      <c r="BD109" s="1340">
        <f t="shared" si="50"/>
        <v>0</v>
      </c>
      <c r="BE109" s="1341">
        <f t="shared" si="51"/>
        <v>0.1703751088711942</v>
      </c>
      <c r="BF109" s="1342">
        <f t="shared" si="52"/>
        <v>0.2759496177051679</v>
      </c>
      <c r="BG109" s="1342">
        <f t="shared" si="53"/>
        <v>5.8958039761752561E-2</v>
      </c>
      <c r="BH109" s="1342">
        <f t="shared" si="54"/>
        <v>0</v>
      </c>
      <c r="BI109" s="1342">
        <f t="shared" si="55"/>
        <v>0</v>
      </c>
      <c r="BJ109" s="1342">
        <f t="shared" si="56"/>
        <v>0</v>
      </c>
      <c r="BK109" s="1342">
        <f t="shared" si="57"/>
        <v>0.49471723366188547</v>
      </c>
      <c r="BL109" s="1342">
        <f t="shared" si="58"/>
        <v>1</v>
      </c>
      <c r="BM109" s="1237">
        <f t="shared" si="87"/>
        <v>0.19892488097366726</v>
      </c>
      <c r="BN109" s="713">
        <f t="shared" si="59"/>
        <v>0.26585903447659598</v>
      </c>
      <c r="BO109" s="713">
        <f t="shared" si="59"/>
        <v>8.9228108703258049E-2</v>
      </c>
      <c r="BP109" s="713">
        <f t="shared" si="59"/>
        <v>0</v>
      </c>
      <c r="BQ109" s="713">
        <f t="shared" si="59"/>
        <v>0</v>
      </c>
      <c r="BR109" s="713">
        <f t="shared" si="59"/>
        <v>0</v>
      </c>
      <c r="BS109" s="713">
        <f t="shared" si="59"/>
        <v>0.4459879758464787</v>
      </c>
      <c r="BT109" s="1001">
        <f t="shared" si="88"/>
        <v>1</v>
      </c>
      <c r="BV109" s="671">
        <f t="shared" si="23"/>
        <v>62.22980918734369</v>
      </c>
      <c r="BW109" s="713">
        <f t="shared" si="60"/>
        <v>0.81391728164353938</v>
      </c>
      <c r="BX109" s="1338">
        <f t="shared" si="24"/>
        <v>45.096434675122964</v>
      </c>
      <c r="BY109" s="671">
        <f t="shared" si="25"/>
        <v>65.827892898451012</v>
      </c>
      <c r="BZ109" s="713">
        <f t="shared" si="61"/>
        <v>0.8051997218498429</v>
      </c>
      <c r="CA109" s="1475">
        <f t="shared" si="26"/>
        <v>48.694518386230293</v>
      </c>
      <c r="CB109" s="713">
        <f t="shared" si="27"/>
        <v>0.62288032161257645</v>
      </c>
      <c r="CC109" s="713">
        <f t="shared" si="28"/>
        <v>0.85</v>
      </c>
      <c r="CD109" s="713">
        <f t="shared" si="62"/>
        <v>0.62288032161257645</v>
      </c>
      <c r="CE109" s="1001">
        <f t="shared" si="63"/>
        <v>0.85</v>
      </c>
    </row>
    <row r="110" spans="1:83" s="4" customFormat="1">
      <c r="A110" s="100">
        <f>'Input data'!A130</f>
        <v>2032</v>
      </c>
      <c r="B110" s="1343">
        <f>'Input data'!B130</f>
        <v>67.087000000000003</v>
      </c>
      <c r="C110" s="1344">
        <f>'Input data'!C130</f>
        <v>3857.2</v>
      </c>
      <c r="D110" s="1344">
        <f>'Input data'!D130</f>
        <v>43216003.555604555</v>
      </c>
      <c r="E110" s="1237">
        <f t="shared" ref="E110:E128" si="92">E109</f>
        <v>1</v>
      </c>
      <c r="F110" s="713">
        <f t="shared" ref="F110:F128" si="93">F109</f>
        <v>0.36725000000000002</v>
      </c>
      <c r="G110" s="1238">
        <f>B110*F110*'Input data'!$C$9</f>
        <v>754.08764194529181</v>
      </c>
      <c r="H110" s="916">
        <f>'Input data'!I130</f>
        <v>424.26313389388866</v>
      </c>
      <c r="I110" s="1168">
        <f>'Input data'!K130</f>
        <v>28462.540863539311</v>
      </c>
      <c r="J110" s="940">
        <f>J95*(1-$E$6)</f>
        <v>39.432581034713571</v>
      </c>
      <c r="K110" s="1238">
        <f t="shared" si="66"/>
        <v>157.73032413885434</v>
      </c>
      <c r="L110" s="713">
        <f t="shared" ref="L110:P125" si="94">L109</f>
        <v>0.7</v>
      </c>
      <c r="M110" s="713">
        <f t="shared" si="91"/>
        <v>0.6</v>
      </c>
      <c r="N110" s="713">
        <f t="shared" si="91"/>
        <v>0.9</v>
      </c>
      <c r="O110" s="713">
        <f t="shared" si="91"/>
        <v>0.9</v>
      </c>
      <c r="P110" s="713">
        <f t="shared" si="91"/>
        <v>0.23600000000000002</v>
      </c>
      <c r="Q110" s="654">
        <f t="shared" si="31"/>
        <v>26.499337920908175</v>
      </c>
      <c r="R110" s="673">
        <f t="shared" si="32"/>
        <v>11.668960878701492</v>
      </c>
      <c r="S110" s="673">
        <f t="shared" si="33"/>
        <v>44.441191234244087</v>
      </c>
      <c r="T110" s="673">
        <f t="shared" si="34"/>
        <v>56.256962339656091</v>
      </c>
      <c r="U110" s="802">
        <f t="shared" si="35"/>
        <v>0.67710709475193609</v>
      </c>
      <c r="V110" s="916">
        <f t="shared" si="16"/>
        <v>139.54355946826178</v>
      </c>
      <c r="W110" s="1237">
        <f t="shared" si="90"/>
        <v>0.5</v>
      </c>
      <c r="X110" s="1337">
        <f t="shared" si="17"/>
        <v>53.669159952994768</v>
      </c>
      <c r="Y110" s="1337">
        <f t="shared" si="18"/>
        <v>76.916015953074577</v>
      </c>
      <c r="Z110" s="1168">
        <f t="shared" si="70"/>
        <v>120.24688922049333</v>
      </c>
      <c r="AA110" s="1338">
        <f t="shared" si="19"/>
        <v>80.814308185779765</v>
      </c>
      <c r="AB110" s="1339">
        <f t="shared" si="36"/>
        <v>0.67206984488050125</v>
      </c>
      <c r="AC110" s="135" t="str">
        <f t="shared" si="37"/>
        <v>Policies met</v>
      </c>
      <c r="AD110" s="1353">
        <f t="shared" si="38"/>
        <v>0.67206984488050125</v>
      </c>
      <c r="AE110" s="135" t="str">
        <f t="shared" si="39"/>
        <v>No</v>
      </c>
      <c r="AF110" s="1420">
        <f t="shared" si="40"/>
        <v>139.12867530930757</v>
      </c>
      <c r="AG110" s="118">
        <f t="shared" si="41"/>
        <v>39.432581034713564</v>
      </c>
      <c r="AH110" s="158">
        <f t="shared" si="20"/>
        <v>45.760541102354082</v>
      </c>
      <c r="AI110" s="158">
        <f t="shared" si="21"/>
        <v>37.035832164635039</v>
      </c>
      <c r="AJ110" s="158">
        <f t="shared" si="22"/>
        <v>16.899721007604906</v>
      </c>
      <c r="AK110" s="158">
        <f t="shared" si="42"/>
        <v>139.1286753093076</v>
      </c>
      <c r="AL110" s="910">
        <f t="shared" si="43"/>
        <v>0</v>
      </c>
      <c r="AM110" s="805">
        <f t="shared" si="71"/>
        <v>0.2834252604436</v>
      </c>
      <c r="AN110" s="510">
        <f t="shared" si="72"/>
        <v>0.32890804861485473</v>
      </c>
      <c r="AO110" s="510">
        <f t="shared" si="73"/>
        <v>0.26619841008546835</v>
      </c>
      <c r="AP110" s="510">
        <f t="shared" si="74"/>
        <v>0.1214682808560769</v>
      </c>
      <c r="AQ110" s="713">
        <f t="shared" si="48"/>
        <v>0.99999999999999989</v>
      </c>
      <c r="AR110" s="916">
        <f t="shared" si="75"/>
        <v>6.718330286861506</v>
      </c>
      <c r="AS110" s="917">
        <f t="shared" si="76"/>
        <v>10.881405661657253</v>
      </c>
      <c r="AT110" s="917">
        <f t="shared" si="77"/>
        <v>2.3248676805531701</v>
      </c>
      <c r="AU110" s="917">
        <f t="shared" si="78"/>
        <v>0</v>
      </c>
      <c r="AV110" s="917">
        <f t="shared" si="79"/>
        <v>0</v>
      </c>
      <c r="AW110" s="917">
        <f t="shared" si="80"/>
        <v>0</v>
      </c>
      <c r="AX110" s="1338">
        <f t="shared" si="81"/>
        <v>16.236099971375594</v>
      </c>
      <c r="AY110" s="917">
        <f t="shared" si="82"/>
        <v>1.307809078845948</v>
      </c>
      <c r="AZ110" s="917">
        <f t="shared" si="83"/>
        <v>0.36762547566046921</v>
      </c>
      <c r="BA110" s="917">
        <f t="shared" si="84"/>
        <v>0.94950499551831991</v>
      </c>
      <c r="BB110" s="917">
        <f t="shared" si="85"/>
        <v>0.64693788424127452</v>
      </c>
      <c r="BC110" s="673">
        <f t="shared" si="86"/>
        <v>39.432581034713529</v>
      </c>
      <c r="BD110" s="1340">
        <f t="shared" si="50"/>
        <v>0</v>
      </c>
      <c r="BE110" s="1341">
        <f t="shared" si="51"/>
        <v>0.17037510887119423</v>
      </c>
      <c r="BF110" s="1342">
        <f t="shared" si="52"/>
        <v>0.2759496177051679</v>
      </c>
      <c r="BG110" s="1342">
        <f t="shared" si="53"/>
        <v>5.8958039761752561E-2</v>
      </c>
      <c r="BH110" s="1342">
        <f t="shared" si="54"/>
        <v>0</v>
      </c>
      <c r="BI110" s="1342">
        <f t="shared" si="55"/>
        <v>0</v>
      </c>
      <c r="BJ110" s="1342">
        <f t="shared" si="56"/>
        <v>0</v>
      </c>
      <c r="BK110" s="1342">
        <f t="shared" si="57"/>
        <v>0.49471723366188552</v>
      </c>
      <c r="BL110" s="1342">
        <f t="shared" si="58"/>
        <v>1.0000000000000002</v>
      </c>
      <c r="BM110" s="1237">
        <f t="shared" si="87"/>
        <v>0.19892488097366726</v>
      </c>
      <c r="BN110" s="713">
        <f t="shared" si="59"/>
        <v>0.26585903447659598</v>
      </c>
      <c r="BO110" s="713">
        <f t="shared" si="59"/>
        <v>8.9228108703258049E-2</v>
      </c>
      <c r="BP110" s="713">
        <f t="shared" si="59"/>
        <v>0</v>
      </c>
      <c r="BQ110" s="713">
        <f t="shared" si="59"/>
        <v>0</v>
      </c>
      <c r="BR110" s="713">
        <f t="shared" si="59"/>
        <v>0</v>
      </c>
      <c r="BS110" s="713">
        <f t="shared" si="59"/>
        <v>0.4459879758464787</v>
      </c>
      <c r="BT110" s="1001">
        <f t="shared" si="88"/>
        <v>1</v>
      </c>
      <c r="BV110" s="671">
        <f t="shared" si="23"/>
        <v>59.20616019635014</v>
      </c>
      <c r="BW110" s="713">
        <f t="shared" si="60"/>
        <v>0.7987169009839189</v>
      </c>
      <c r="BX110" s="1338">
        <f t="shared" si="24"/>
        <v>43.216003555604551</v>
      </c>
      <c r="BY110" s="671">
        <f t="shared" si="25"/>
        <v>64.684675026975881</v>
      </c>
      <c r="BZ110" s="713">
        <f t="shared" si="61"/>
        <v>0.78672715161729612</v>
      </c>
      <c r="CA110" s="1475">
        <f t="shared" si="26"/>
        <v>48.694518386230293</v>
      </c>
      <c r="CB110" s="713">
        <f t="shared" si="27"/>
        <v>0.67206984488050125</v>
      </c>
      <c r="CC110" s="713">
        <f t="shared" si="28"/>
        <v>0.85</v>
      </c>
      <c r="CD110" s="713">
        <f t="shared" si="62"/>
        <v>0.67206984488050125</v>
      </c>
      <c r="CE110" s="1001">
        <f t="shared" si="63"/>
        <v>0.85</v>
      </c>
    </row>
    <row r="111" spans="1:83">
      <c r="A111" s="127">
        <f>'Input data'!A131</f>
        <v>2033</v>
      </c>
      <c r="B111" s="828">
        <f>'Input data'!B131</f>
        <v>67.659000000000006</v>
      </c>
      <c r="C111" s="238">
        <f>'Input data'!C131</f>
        <v>3964.01</v>
      </c>
      <c r="D111" s="238">
        <f>'Input data'!D131</f>
        <v>41337268.045752093</v>
      </c>
      <c r="E111" s="805">
        <f t="shared" si="92"/>
        <v>1</v>
      </c>
      <c r="F111" s="510">
        <f t="shared" si="93"/>
        <v>0.36725000000000002</v>
      </c>
      <c r="G111" s="674">
        <f>B111*F111*'Input data'!$C$9</f>
        <v>760.51717570284097</v>
      </c>
      <c r="H111" s="654">
        <f>'Input data'!I131</f>
        <v>424.26313389388866</v>
      </c>
      <c r="I111" s="672">
        <f>'Input data'!K131</f>
        <v>28705.219376126617</v>
      </c>
      <c r="J111" s="696">
        <f>J110</f>
        <v>39.432581034713571</v>
      </c>
      <c r="K111" s="674">
        <f t="shared" si="66"/>
        <v>157.73032413885434</v>
      </c>
      <c r="L111" s="510">
        <f t="shared" si="94"/>
        <v>0.7</v>
      </c>
      <c r="M111" s="510">
        <f t="shared" si="91"/>
        <v>0.6</v>
      </c>
      <c r="N111" s="510">
        <f t="shared" si="91"/>
        <v>0.9</v>
      </c>
      <c r="O111" s="510">
        <f t="shared" si="91"/>
        <v>0.9</v>
      </c>
      <c r="P111" s="510">
        <f t="shared" si="91"/>
        <v>0.23600000000000002</v>
      </c>
      <c r="Q111" s="654">
        <f t="shared" si="31"/>
        <v>26.499337920908175</v>
      </c>
      <c r="R111" s="673">
        <f t="shared" si="32"/>
        <v>11.668960878701492</v>
      </c>
      <c r="S111" s="673">
        <f t="shared" si="33"/>
        <v>44.441191234244087</v>
      </c>
      <c r="T111" s="673">
        <f t="shared" si="34"/>
        <v>56.256962339656091</v>
      </c>
      <c r="U111" s="802">
        <f t="shared" si="35"/>
        <v>0.67710709475193609</v>
      </c>
      <c r="V111" s="654">
        <f t="shared" si="16"/>
        <v>139.54355946826178</v>
      </c>
      <c r="W111" s="805">
        <f t="shared" si="90"/>
        <v>0.5</v>
      </c>
      <c r="X111" s="671">
        <f t="shared" si="17"/>
        <v>53.669159952994768</v>
      </c>
      <c r="Y111" s="671">
        <f t="shared" si="18"/>
        <v>76.916015953074577</v>
      </c>
      <c r="Z111" s="672">
        <f t="shared" si="70"/>
        <v>120.24688922049333</v>
      </c>
      <c r="AA111" s="696">
        <f t="shared" si="19"/>
        <v>80.814308185779765</v>
      </c>
      <c r="AB111" s="893">
        <f t="shared" si="36"/>
        <v>0.67206984488050125</v>
      </c>
      <c r="AC111" s="135" t="str">
        <f t="shared" si="37"/>
        <v>Policies met</v>
      </c>
      <c r="AD111" s="1353">
        <f t="shared" si="38"/>
        <v>0.67206984488050125</v>
      </c>
      <c r="AE111" s="135" t="str">
        <f t="shared" si="39"/>
        <v>No</v>
      </c>
      <c r="AF111" s="1420">
        <f t="shared" si="40"/>
        <v>139.12867530930757</v>
      </c>
      <c r="AG111" s="118">
        <f t="shared" si="41"/>
        <v>39.432581034713564</v>
      </c>
      <c r="AH111" s="118">
        <f t="shared" si="20"/>
        <v>45.760541102354082</v>
      </c>
      <c r="AI111" s="118">
        <f t="shared" si="21"/>
        <v>37.035832164635039</v>
      </c>
      <c r="AJ111" s="118">
        <f t="shared" si="22"/>
        <v>16.899721007604906</v>
      </c>
      <c r="AK111" s="118">
        <f t="shared" si="42"/>
        <v>139.1286753093076</v>
      </c>
      <c r="AL111" s="910">
        <f t="shared" si="43"/>
        <v>0</v>
      </c>
      <c r="AM111" s="805">
        <f t="shared" si="71"/>
        <v>0.2834252604436</v>
      </c>
      <c r="AN111" s="510">
        <f t="shared" si="72"/>
        <v>0.32890804861485473</v>
      </c>
      <c r="AO111" s="510">
        <f t="shared" si="73"/>
        <v>0.26619841008546835</v>
      </c>
      <c r="AP111" s="510">
        <f t="shared" si="74"/>
        <v>0.1214682808560769</v>
      </c>
      <c r="AQ111" s="510">
        <f t="shared" si="48"/>
        <v>0.99999999999999989</v>
      </c>
      <c r="AR111" s="916">
        <f t="shared" si="75"/>
        <v>6.718330286861506</v>
      </c>
      <c r="AS111" s="917">
        <f t="shared" si="76"/>
        <v>10.881405661657253</v>
      </c>
      <c r="AT111" s="917">
        <f t="shared" si="77"/>
        <v>2.3248676805531701</v>
      </c>
      <c r="AU111" s="917">
        <f t="shared" si="78"/>
        <v>0</v>
      </c>
      <c r="AV111" s="917">
        <f t="shared" si="79"/>
        <v>0</v>
      </c>
      <c r="AW111" s="917">
        <f t="shared" si="80"/>
        <v>0</v>
      </c>
      <c r="AX111" s="1338">
        <f t="shared" si="81"/>
        <v>16.236099971375594</v>
      </c>
      <c r="AY111" s="917">
        <f t="shared" si="82"/>
        <v>1.307809078845948</v>
      </c>
      <c r="AZ111" s="917">
        <f t="shared" si="83"/>
        <v>0.36762547566046921</v>
      </c>
      <c r="BA111" s="917">
        <f t="shared" si="84"/>
        <v>0.94950499551831991</v>
      </c>
      <c r="BB111" s="917">
        <f t="shared" si="85"/>
        <v>0.64693788424127452</v>
      </c>
      <c r="BC111" s="673">
        <f t="shared" si="86"/>
        <v>39.432581034713529</v>
      </c>
      <c r="BD111" s="922">
        <f t="shared" si="50"/>
        <v>0</v>
      </c>
      <c r="BE111" s="840">
        <f t="shared" si="51"/>
        <v>0.17037510887119423</v>
      </c>
      <c r="BF111" s="535">
        <f t="shared" si="52"/>
        <v>0.2759496177051679</v>
      </c>
      <c r="BG111" s="535">
        <f t="shared" si="53"/>
        <v>5.8958039761752561E-2</v>
      </c>
      <c r="BH111" s="535">
        <f t="shared" si="54"/>
        <v>0</v>
      </c>
      <c r="BI111" s="535">
        <f t="shared" si="55"/>
        <v>0</v>
      </c>
      <c r="BJ111" s="535">
        <f t="shared" si="56"/>
        <v>0</v>
      </c>
      <c r="BK111" s="535">
        <f t="shared" si="57"/>
        <v>0.49471723366188552</v>
      </c>
      <c r="BL111" s="1342">
        <f t="shared" si="58"/>
        <v>1.0000000000000002</v>
      </c>
      <c r="BM111" s="1237">
        <f t="shared" si="87"/>
        <v>0.19892488097366726</v>
      </c>
      <c r="BN111" s="713">
        <f t="shared" si="59"/>
        <v>0.26585903447659598</v>
      </c>
      <c r="BO111" s="713">
        <f t="shared" si="59"/>
        <v>8.9228108703258049E-2</v>
      </c>
      <c r="BP111" s="713">
        <f t="shared" si="59"/>
        <v>0</v>
      </c>
      <c r="BQ111" s="713">
        <f t="shared" si="59"/>
        <v>0</v>
      </c>
      <c r="BR111" s="713">
        <f t="shared" si="59"/>
        <v>0</v>
      </c>
      <c r="BS111" s="713">
        <f t="shared" si="59"/>
        <v>0.4459879758464787</v>
      </c>
      <c r="BT111" s="658">
        <f t="shared" si="88"/>
        <v>1</v>
      </c>
      <c r="BV111" s="671">
        <f t="shared" si="23"/>
        <v>57.591329999368007</v>
      </c>
      <c r="BW111" s="713">
        <f t="shared" si="60"/>
        <v>0.80360178668353943</v>
      </c>
      <c r="BX111" s="696">
        <f t="shared" si="24"/>
        <v>41.33726804575209</v>
      </c>
      <c r="BY111" s="671">
        <f t="shared" si="25"/>
        <v>64.948580339846202</v>
      </c>
      <c r="BZ111" s="713">
        <f t="shared" si="61"/>
        <v>0.78697036714436519</v>
      </c>
      <c r="CA111" s="845">
        <f t="shared" si="26"/>
        <v>48.694518386230293</v>
      </c>
      <c r="CB111" s="713">
        <f t="shared" si="27"/>
        <v>0.67206984488050125</v>
      </c>
      <c r="CC111" s="713">
        <f t="shared" si="28"/>
        <v>0.85</v>
      </c>
      <c r="CD111" s="713">
        <f t="shared" si="62"/>
        <v>0.67206984488050125</v>
      </c>
      <c r="CE111" s="1001">
        <f t="shared" si="63"/>
        <v>0.85</v>
      </c>
    </row>
    <row r="112" spans="1:83">
      <c r="A112" s="127">
        <f>'Input data'!A132</f>
        <v>2034</v>
      </c>
      <c r="B112" s="828">
        <f>'Input data'!B132</f>
        <v>68.236999999999995</v>
      </c>
      <c r="C112" s="238">
        <f>'Input data'!C132</f>
        <v>4078.22</v>
      </c>
      <c r="D112" s="238">
        <f>'Input data'!D132</f>
        <v>39458532.535899624</v>
      </c>
      <c r="E112" s="805">
        <f t="shared" si="92"/>
        <v>1</v>
      </c>
      <c r="F112" s="510">
        <f t="shared" si="93"/>
        <v>0.36725000000000002</v>
      </c>
      <c r="G112" s="674">
        <f>B112*F112*'Input data'!$C$9</f>
        <v>767.01415212218251</v>
      </c>
      <c r="H112" s="654">
        <f>'Input data'!I132</f>
        <v>424.26313389388866</v>
      </c>
      <c r="I112" s="672">
        <f>'Input data'!K132</f>
        <v>28950.443467517278</v>
      </c>
      <c r="J112" s="696">
        <f t="shared" ref="J112:J128" si="95">J111</f>
        <v>39.432581034713571</v>
      </c>
      <c r="K112" s="674">
        <f t="shared" si="66"/>
        <v>157.73032413885434</v>
      </c>
      <c r="L112" s="510">
        <f t="shared" si="94"/>
        <v>0.7</v>
      </c>
      <c r="M112" s="510">
        <f t="shared" si="91"/>
        <v>0.6</v>
      </c>
      <c r="N112" s="510">
        <f t="shared" si="91"/>
        <v>0.9</v>
      </c>
      <c r="O112" s="510">
        <f t="shared" si="91"/>
        <v>0.9</v>
      </c>
      <c r="P112" s="510">
        <f t="shared" si="91"/>
        <v>0.23600000000000002</v>
      </c>
      <c r="Q112" s="654">
        <f t="shared" si="31"/>
        <v>26.499337920908175</v>
      </c>
      <c r="R112" s="673">
        <f t="shared" si="32"/>
        <v>11.668960878701492</v>
      </c>
      <c r="S112" s="673">
        <f t="shared" si="33"/>
        <v>44.441191234244087</v>
      </c>
      <c r="T112" s="673">
        <f t="shared" si="34"/>
        <v>56.256962339656091</v>
      </c>
      <c r="U112" s="802">
        <f t="shared" si="35"/>
        <v>0.67710709475193609</v>
      </c>
      <c r="V112" s="654">
        <f t="shared" si="16"/>
        <v>139.54355946826178</v>
      </c>
      <c r="W112" s="805">
        <f t="shared" si="90"/>
        <v>0.5</v>
      </c>
      <c r="X112" s="671">
        <f t="shared" si="17"/>
        <v>53.669159952994768</v>
      </c>
      <c r="Y112" s="671">
        <f t="shared" si="18"/>
        <v>76.916015953074577</v>
      </c>
      <c r="Z112" s="672">
        <f t="shared" si="70"/>
        <v>120.24688922049333</v>
      </c>
      <c r="AA112" s="696">
        <f t="shared" si="19"/>
        <v>80.814308185779765</v>
      </c>
      <c r="AB112" s="893">
        <f t="shared" si="36"/>
        <v>0.67206984488050125</v>
      </c>
      <c r="AC112" s="135" t="str">
        <f t="shared" si="37"/>
        <v>Policies met</v>
      </c>
      <c r="AD112" s="1353">
        <f t="shared" si="38"/>
        <v>0.67206984488050125</v>
      </c>
      <c r="AE112" s="135" t="str">
        <f t="shared" si="39"/>
        <v>No</v>
      </c>
      <c r="AF112" s="1420">
        <f t="shared" si="40"/>
        <v>139.12867530930757</v>
      </c>
      <c r="AG112" s="118">
        <f t="shared" si="41"/>
        <v>39.432581034713564</v>
      </c>
      <c r="AH112" s="118">
        <f t="shared" si="20"/>
        <v>45.760541102354082</v>
      </c>
      <c r="AI112" s="118">
        <f t="shared" si="21"/>
        <v>37.035832164635039</v>
      </c>
      <c r="AJ112" s="118">
        <f t="shared" si="22"/>
        <v>16.899721007604906</v>
      </c>
      <c r="AK112" s="118">
        <f t="shared" si="42"/>
        <v>139.1286753093076</v>
      </c>
      <c r="AL112" s="910">
        <f t="shared" si="43"/>
        <v>0</v>
      </c>
      <c r="AM112" s="805">
        <f t="shared" si="71"/>
        <v>0.2834252604436</v>
      </c>
      <c r="AN112" s="510">
        <f t="shared" si="72"/>
        <v>0.32890804861485473</v>
      </c>
      <c r="AO112" s="510">
        <f t="shared" si="73"/>
        <v>0.26619841008546835</v>
      </c>
      <c r="AP112" s="510">
        <f t="shared" si="74"/>
        <v>0.1214682808560769</v>
      </c>
      <c r="AQ112" s="510">
        <f t="shared" si="48"/>
        <v>0.99999999999999989</v>
      </c>
      <c r="AR112" s="916">
        <f t="shared" si="75"/>
        <v>6.718330286861506</v>
      </c>
      <c r="AS112" s="917">
        <f t="shared" si="76"/>
        <v>10.881405661657253</v>
      </c>
      <c r="AT112" s="917">
        <f t="shared" si="77"/>
        <v>2.3248676805531701</v>
      </c>
      <c r="AU112" s="917">
        <f t="shared" si="78"/>
        <v>0</v>
      </c>
      <c r="AV112" s="917">
        <f t="shared" si="79"/>
        <v>0</v>
      </c>
      <c r="AW112" s="917">
        <f t="shared" si="80"/>
        <v>0</v>
      </c>
      <c r="AX112" s="1338">
        <f t="shared" si="81"/>
        <v>16.236099971375594</v>
      </c>
      <c r="AY112" s="917">
        <f t="shared" si="82"/>
        <v>1.307809078845948</v>
      </c>
      <c r="AZ112" s="917">
        <f t="shared" si="83"/>
        <v>0.36762547566046921</v>
      </c>
      <c r="BA112" s="917">
        <f t="shared" si="84"/>
        <v>0.94950499551831991</v>
      </c>
      <c r="BB112" s="917">
        <f t="shared" si="85"/>
        <v>0.64693788424127452</v>
      </c>
      <c r="BC112" s="673">
        <f t="shared" si="86"/>
        <v>39.432581034713529</v>
      </c>
      <c r="BD112" s="922">
        <f t="shared" si="50"/>
        <v>0</v>
      </c>
      <c r="BE112" s="840">
        <f t="shared" si="51"/>
        <v>0.17037510887119423</v>
      </c>
      <c r="BF112" s="535">
        <f t="shared" si="52"/>
        <v>0.2759496177051679</v>
      </c>
      <c r="BG112" s="535">
        <f t="shared" si="53"/>
        <v>5.8958039761752561E-2</v>
      </c>
      <c r="BH112" s="535">
        <f t="shared" si="54"/>
        <v>0</v>
      </c>
      <c r="BI112" s="535">
        <f t="shared" si="55"/>
        <v>0</v>
      </c>
      <c r="BJ112" s="535">
        <f t="shared" si="56"/>
        <v>0</v>
      </c>
      <c r="BK112" s="535">
        <f t="shared" si="57"/>
        <v>0.49471723366188552</v>
      </c>
      <c r="BL112" s="1342">
        <f t="shared" si="58"/>
        <v>1.0000000000000002</v>
      </c>
      <c r="BM112" s="1237">
        <f t="shared" si="87"/>
        <v>0.19892488097366726</v>
      </c>
      <c r="BN112" s="713">
        <f t="shared" si="87"/>
        <v>0.26585903447659598</v>
      </c>
      <c r="BO112" s="713">
        <f t="shared" si="87"/>
        <v>8.9228108703258049E-2</v>
      </c>
      <c r="BP112" s="713">
        <f t="shared" si="87"/>
        <v>0</v>
      </c>
      <c r="BQ112" s="713">
        <f t="shared" si="87"/>
        <v>0</v>
      </c>
      <c r="BR112" s="713">
        <f t="shared" si="87"/>
        <v>0</v>
      </c>
      <c r="BS112" s="713">
        <f t="shared" si="87"/>
        <v>0.4459879758464787</v>
      </c>
      <c r="BT112" s="658">
        <f t="shared" si="88"/>
        <v>1</v>
      </c>
      <c r="BV112" s="671">
        <f t="shared" si="23"/>
        <v>55.990104871773084</v>
      </c>
      <c r="BW112" s="713">
        <f t="shared" si="60"/>
        <v>0.80873654338819967</v>
      </c>
      <c r="BX112" s="696">
        <f t="shared" si="24"/>
        <v>39.458532535899622</v>
      </c>
      <c r="BY112" s="671">
        <f t="shared" si="25"/>
        <v>65.226090722103748</v>
      </c>
      <c r="BZ112" s="713">
        <f t="shared" si="61"/>
        <v>0.78716506898172134</v>
      </c>
      <c r="CA112" s="845">
        <f t="shared" si="26"/>
        <v>48.694518386230293</v>
      </c>
      <c r="CB112" s="713">
        <f t="shared" si="27"/>
        <v>0.67206984488050125</v>
      </c>
      <c r="CC112" s="713">
        <f t="shared" si="28"/>
        <v>0.85</v>
      </c>
      <c r="CD112" s="713">
        <f t="shared" si="62"/>
        <v>0.67206984488050125</v>
      </c>
      <c r="CE112" s="1001">
        <f t="shared" si="63"/>
        <v>0.85</v>
      </c>
    </row>
    <row r="113" spans="1:83">
      <c r="A113" s="127">
        <f>'Input data'!A133</f>
        <v>2035</v>
      </c>
      <c r="B113" s="828">
        <f>'Input data'!B133</f>
        <v>68.819000000000003</v>
      </c>
      <c r="C113" s="238">
        <f>'Input data'!C133</f>
        <v>4200.2899999999991</v>
      </c>
      <c r="D113" s="238">
        <f>'Input data'!D133</f>
        <v>37579797.026047163</v>
      </c>
      <c r="E113" s="805">
        <f t="shared" si="92"/>
        <v>1</v>
      </c>
      <c r="F113" s="510">
        <f t="shared" si="93"/>
        <v>0.36725000000000002</v>
      </c>
      <c r="G113" s="674">
        <f>B113*F113*'Input data'!$C$9</f>
        <v>773.55609031605263</v>
      </c>
      <c r="H113" s="654">
        <f>'Input data'!I133</f>
        <v>424.26313389388866</v>
      </c>
      <c r="I113" s="672">
        <f>'Input data'!K133</f>
        <v>29197.364611443525</v>
      </c>
      <c r="J113" s="696">
        <f t="shared" si="95"/>
        <v>39.432581034713571</v>
      </c>
      <c r="K113" s="674">
        <f t="shared" si="66"/>
        <v>157.73032413885434</v>
      </c>
      <c r="L113" s="510">
        <f t="shared" si="94"/>
        <v>0.7</v>
      </c>
      <c r="M113" s="510">
        <f t="shared" si="91"/>
        <v>0.6</v>
      </c>
      <c r="N113" s="510">
        <f t="shared" si="91"/>
        <v>0.9</v>
      </c>
      <c r="O113" s="510">
        <f t="shared" si="91"/>
        <v>0.9</v>
      </c>
      <c r="P113" s="510">
        <f t="shared" si="91"/>
        <v>0.23600000000000002</v>
      </c>
      <c r="Q113" s="654">
        <f t="shared" si="31"/>
        <v>26.499337920908175</v>
      </c>
      <c r="R113" s="673">
        <f t="shared" si="32"/>
        <v>11.668960878701492</v>
      </c>
      <c r="S113" s="673">
        <f t="shared" si="33"/>
        <v>44.441191234244087</v>
      </c>
      <c r="T113" s="673">
        <f t="shared" si="34"/>
        <v>56.256962339656091</v>
      </c>
      <c r="U113" s="802">
        <f t="shared" si="35"/>
        <v>0.67710709475193609</v>
      </c>
      <c r="V113" s="654">
        <f t="shared" si="16"/>
        <v>139.54355946826178</v>
      </c>
      <c r="W113" s="805">
        <f t="shared" si="90"/>
        <v>0.5</v>
      </c>
      <c r="X113" s="671">
        <f t="shared" si="17"/>
        <v>53.669159952994768</v>
      </c>
      <c r="Y113" s="671">
        <f t="shared" si="18"/>
        <v>76.916015953074577</v>
      </c>
      <c r="Z113" s="672">
        <f t="shared" si="70"/>
        <v>120.24688922049333</v>
      </c>
      <c r="AA113" s="696">
        <f t="shared" si="19"/>
        <v>80.814308185779765</v>
      </c>
      <c r="AB113" s="893">
        <f t="shared" si="36"/>
        <v>0.67206984488050125</v>
      </c>
      <c r="AC113" s="135" t="str">
        <f t="shared" si="37"/>
        <v>Policies met</v>
      </c>
      <c r="AD113" s="1353">
        <f t="shared" si="38"/>
        <v>0.67206984488050125</v>
      </c>
      <c r="AE113" s="135" t="str">
        <f t="shared" si="39"/>
        <v>No</v>
      </c>
      <c r="AF113" s="1420">
        <f t="shared" si="40"/>
        <v>139.12867530930757</v>
      </c>
      <c r="AG113" s="118">
        <f t="shared" si="41"/>
        <v>39.432581034713564</v>
      </c>
      <c r="AH113" s="118">
        <f t="shared" si="20"/>
        <v>45.760541102354082</v>
      </c>
      <c r="AI113" s="118">
        <f t="shared" si="21"/>
        <v>37.035832164635039</v>
      </c>
      <c r="AJ113" s="118">
        <f t="shared" si="22"/>
        <v>16.899721007604906</v>
      </c>
      <c r="AK113" s="118">
        <f t="shared" si="42"/>
        <v>139.1286753093076</v>
      </c>
      <c r="AL113" s="910">
        <f t="shared" si="43"/>
        <v>0</v>
      </c>
      <c r="AM113" s="805">
        <f t="shared" si="71"/>
        <v>0.2834252604436</v>
      </c>
      <c r="AN113" s="510">
        <f t="shared" si="72"/>
        <v>0.32890804861485473</v>
      </c>
      <c r="AO113" s="510">
        <f t="shared" si="73"/>
        <v>0.26619841008546835</v>
      </c>
      <c r="AP113" s="510">
        <f t="shared" si="74"/>
        <v>0.1214682808560769</v>
      </c>
      <c r="AQ113" s="510">
        <f t="shared" si="48"/>
        <v>0.99999999999999989</v>
      </c>
      <c r="AR113" s="916">
        <f t="shared" si="75"/>
        <v>6.718330286861506</v>
      </c>
      <c r="AS113" s="917">
        <f t="shared" si="76"/>
        <v>10.881405661657253</v>
      </c>
      <c r="AT113" s="917">
        <f t="shared" si="77"/>
        <v>2.3248676805531701</v>
      </c>
      <c r="AU113" s="917">
        <f t="shared" si="78"/>
        <v>0</v>
      </c>
      <c r="AV113" s="917">
        <f t="shared" si="79"/>
        <v>0</v>
      </c>
      <c r="AW113" s="917">
        <f t="shared" si="80"/>
        <v>0</v>
      </c>
      <c r="AX113" s="1338">
        <f t="shared" si="81"/>
        <v>16.236099971375594</v>
      </c>
      <c r="AY113" s="917">
        <f t="shared" si="82"/>
        <v>1.307809078845948</v>
      </c>
      <c r="AZ113" s="917">
        <f t="shared" si="83"/>
        <v>0.36762547566046921</v>
      </c>
      <c r="BA113" s="917">
        <f t="shared" si="84"/>
        <v>0.94950499551831991</v>
      </c>
      <c r="BB113" s="917">
        <f t="shared" si="85"/>
        <v>0.64693788424127452</v>
      </c>
      <c r="BC113" s="673">
        <f t="shared" si="86"/>
        <v>39.432581034713529</v>
      </c>
      <c r="BD113" s="922">
        <f t="shared" si="50"/>
        <v>0</v>
      </c>
      <c r="BE113" s="840">
        <f t="shared" si="51"/>
        <v>0.17037510887119423</v>
      </c>
      <c r="BF113" s="535">
        <f t="shared" si="52"/>
        <v>0.2759496177051679</v>
      </c>
      <c r="BG113" s="535">
        <f t="shared" si="53"/>
        <v>5.8958039761752561E-2</v>
      </c>
      <c r="BH113" s="535">
        <f t="shared" si="54"/>
        <v>0</v>
      </c>
      <c r="BI113" s="535">
        <f t="shared" si="55"/>
        <v>0</v>
      </c>
      <c r="BJ113" s="535">
        <f t="shared" si="56"/>
        <v>0</v>
      </c>
      <c r="BK113" s="535">
        <f t="shared" si="57"/>
        <v>0.49471723366188552</v>
      </c>
      <c r="BL113" s="1342">
        <f t="shared" si="58"/>
        <v>1.0000000000000002</v>
      </c>
      <c r="BM113" s="1237">
        <f t="shared" si="87"/>
        <v>0.19892488097366726</v>
      </c>
      <c r="BN113" s="713">
        <f t="shared" si="87"/>
        <v>0.26585903447659598</v>
      </c>
      <c r="BO113" s="713">
        <f t="shared" si="87"/>
        <v>8.9228108703258049E-2</v>
      </c>
      <c r="BP113" s="713">
        <f t="shared" si="87"/>
        <v>0</v>
      </c>
      <c r="BQ113" s="713">
        <f t="shared" si="87"/>
        <v>0</v>
      </c>
      <c r="BR113" s="713">
        <f t="shared" si="87"/>
        <v>0</v>
      </c>
      <c r="BS113" s="713">
        <f t="shared" si="87"/>
        <v>0.4459879758464787</v>
      </c>
      <c r="BT113" s="658">
        <f t="shared" si="88"/>
        <v>1</v>
      </c>
      <c r="BV113" s="671">
        <f t="shared" si="23"/>
        <v>54.403000385508605</v>
      </c>
      <c r="BW113" s="713">
        <f t="shared" si="60"/>
        <v>0.81413181409276203</v>
      </c>
      <c r="BX113" s="696">
        <f t="shared" si="24"/>
        <v>37.57979702604716</v>
      </c>
      <c r="BY113" s="671">
        <f t="shared" si="25"/>
        <v>65.51772174569173</v>
      </c>
      <c r="BZ113" s="713">
        <f t="shared" si="61"/>
        <v>0.78730439124828855</v>
      </c>
      <c r="CA113" s="845">
        <f t="shared" si="26"/>
        <v>48.694518386230293</v>
      </c>
      <c r="CB113" s="713">
        <f t="shared" si="27"/>
        <v>0.67206984488050125</v>
      </c>
      <c r="CC113" s="713">
        <f t="shared" si="28"/>
        <v>0.85</v>
      </c>
      <c r="CD113" s="713">
        <f t="shared" si="62"/>
        <v>0.67206984488050125</v>
      </c>
      <c r="CE113" s="1001">
        <f t="shared" si="63"/>
        <v>0.85</v>
      </c>
    </row>
    <row r="114" spans="1:83">
      <c r="A114" s="127">
        <f>'Input data'!A134</f>
        <v>2036</v>
      </c>
      <c r="B114" s="828">
        <f>'Input data'!B134</f>
        <v>69.322999999999993</v>
      </c>
      <c r="C114" s="238">
        <f>'Input data'!C134</f>
        <v>4325.9699999999993</v>
      </c>
      <c r="D114" s="238">
        <f>'Input data'!D134</f>
        <v>34222489.887502141</v>
      </c>
      <c r="E114" s="805">
        <f t="shared" si="92"/>
        <v>1</v>
      </c>
      <c r="F114" s="510">
        <f t="shared" si="93"/>
        <v>0.36725000000000002</v>
      </c>
      <c r="G114" s="674">
        <f>B114*F114*'Input data'!$C$9</f>
        <v>779.22127390662058</v>
      </c>
      <c r="H114" s="654">
        <f>'Input data'!I134</f>
        <v>424.26313389388866</v>
      </c>
      <c r="I114" s="672">
        <f>'Input data'!K134</f>
        <v>29411.193230926041</v>
      </c>
      <c r="J114" s="696">
        <f t="shared" si="95"/>
        <v>39.432581034713571</v>
      </c>
      <c r="K114" s="674">
        <f t="shared" si="66"/>
        <v>157.73032413885434</v>
      </c>
      <c r="L114" s="510">
        <f t="shared" si="94"/>
        <v>0.7</v>
      </c>
      <c r="M114" s="510">
        <f t="shared" si="91"/>
        <v>0.6</v>
      </c>
      <c r="N114" s="510">
        <f t="shared" si="91"/>
        <v>0.9</v>
      </c>
      <c r="O114" s="510">
        <f t="shared" si="91"/>
        <v>0.9</v>
      </c>
      <c r="P114" s="510">
        <f t="shared" si="91"/>
        <v>0.23600000000000002</v>
      </c>
      <c r="Q114" s="654">
        <f t="shared" si="31"/>
        <v>26.499337920908175</v>
      </c>
      <c r="R114" s="673">
        <f t="shared" si="32"/>
        <v>11.668960878701492</v>
      </c>
      <c r="S114" s="673">
        <f t="shared" si="33"/>
        <v>44.441191234244087</v>
      </c>
      <c r="T114" s="673">
        <f t="shared" si="34"/>
        <v>56.256962339656091</v>
      </c>
      <c r="U114" s="802">
        <f t="shared" si="35"/>
        <v>0.67710709475193609</v>
      </c>
      <c r="V114" s="654">
        <f t="shared" si="16"/>
        <v>139.54355946826178</v>
      </c>
      <c r="W114" s="805">
        <f t="shared" si="90"/>
        <v>0.5</v>
      </c>
      <c r="X114" s="671">
        <f t="shared" si="17"/>
        <v>53.669159952994768</v>
      </c>
      <c r="Y114" s="671">
        <f t="shared" si="18"/>
        <v>76.916015953074577</v>
      </c>
      <c r="Z114" s="672">
        <f t="shared" si="70"/>
        <v>120.24688922049333</v>
      </c>
      <c r="AA114" s="696">
        <f t="shared" si="19"/>
        <v>80.814308185779765</v>
      </c>
      <c r="AB114" s="893">
        <f t="shared" si="36"/>
        <v>0.67206984488050125</v>
      </c>
      <c r="AC114" s="135" t="str">
        <f t="shared" si="37"/>
        <v>Policies met</v>
      </c>
      <c r="AD114" s="1353">
        <f t="shared" si="38"/>
        <v>0.67206984488050125</v>
      </c>
      <c r="AE114" s="135" t="str">
        <f t="shared" si="39"/>
        <v>No</v>
      </c>
      <c r="AF114" s="1420">
        <f t="shared" si="40"/>
        <v>139.12867530930757</v>
      </c>
      <c r="AG114" s="118">
        <f t="shared" si="41"/>
        <v>39.432581034713564</v>
      </c>
      <c r="AH114" s="118">
        <f t="shared" si="20"/>
        <v>45.760541102354082</v>
      </c>
      <c r="AI114" s="118">
        <f t="shared" si="21"/>
        <v>37.035832164635039</v>
      </c>
      <c r="AJ114" s="118">
        <f t="shared" si="22"/>
        <v>16.899721007604906</v>
      </c>
      <c r="AK114" s="118">
        <f t="shared" si="42"/>
        <v>139.1286753093076</v>
      </c>
      <c r="AL114" s="910">
        <f t="shared" si="43"/>
        <v>0</v>
      </c>
      <c r="AM114" s="805">
        <f t="shared" si="71"/>
        <v>0.2834252604436</v>
      </c>
      <c r="AN114" s="510">
        <f t="shared" si="72"/>
        <v>0.32890804861485473</v>
      </c>
      <c r="AO114" s="510">
        <f t="shared" si="73"/>
        <v>0.26619841008546835</v>
      </c>
      <c r="AP114" s="510">
        <f t="shared" si="74"/>
        <v>0.1214682808560769</v>
      </c>
      <c r="AQ114" s="510">
        <f t="shared" si="48"/>
        <v>0.99999999999999989</v>
      </c>
      <c r="AR114" s="916">
        <f t="shared" si="75"/>
        <v>6.718330286861506</v>
      </c>
      <c r="AS114" s="917">
        <f t="shared" si="76"/>
        <v>10.881405661657253</v>
      </c>
      <c r="AT114" s="917">
        <f t="shared" si="77"/>
        <v>2.3248676805531701</v>
      </c>
      <c r="AU114" s="917">
        <f t="shared" si="78"/>
        <v>0</v>
      </c>
      <c r="AV114" s="917">
        <f t="shared" si="79"/>
        <v>0</v>
      </c>
      <c r="AW114" s="917">
        <f t="shared" si="80"/>
        <v>0</v>
      </c>
      <c r="AX114" s="1338">
        <f t="shared" si="81"/>
        <v>16.236099971375594</v>
      </c>
      <c r="AY114" s="917">
        <f t="shared" si="82"/>
        <v>1.307809078845948</v>
      </c>
      <c r="AZ114" s="917">
        <f t="shared" si="83"/>
        <v>0.36762547566046921</v>
      </c>
      <c r="BA114" s="917">
        <f t="shared" si="84"/>
        <v>0.94950499551831991</v>
      </c>
      <c r="BB114" s="917">
        <f t="shared" si="85"/>
        <v>0.64693788424127452</v>
      </c>
      <c r="BC114" s="673">
        <f t="shared" si="86"/>
        <v>39.432581034713529</v>
      </c>
      <c r="BD114" s="922">
        <f t="shared" si="50"/>
        <v>0</v>
      </c>
      <c r="BE114" s="840">
        <f t="shared" si="51"/>
        <v>0.17037510887119423</v>
      </c>
      <c r="BF114" s="535">
        <f t="shared" si="52"/>
        <v>0.2759496177051679</v>
      </c>
      <c r="BG114" s="535">
        <f t="shared" si="53"/>
        <v>5.8958039761752561E-2</v>
      </c>
      <c r="BH114" s="535">
        <f t="shared" si="54"/>
        <v>0</v>
      </c>
      <c r="BI114" s="535">
        <f t="shared" si="55"/>
        <v>0</v>
      </c>
      <c r="BJ114" s="535">
        <f t="shared" si="56"/>
        <v>0</v>
      </c>
      <c r="BK114" s="535">
        <f t="shared" si="57"/>
        <v>0.49471723366188552</v>
      </c>
      <c r="BL114" s="1342">
        <f t="shared" si="58"/>
        <v>1.0000000000000002</v>
      </c>
      <c r="BM114" s="1237">
        <f t="shared" si="87"/>
        <v>0.19892488097366726</v>
      </c>
      <c r="BN114" s="713">
        <f t="shared" si="87"/>
        <v>0.26585903447659598</v>
      </c>
      <c r="BO114" s="713">
        <f t="shared" si="87"/>
        <v>8.9228108703258049E-2</v>
      </c>
      <c r="BP114" s="713">
        <f t="shared" si="87"/>
        <v>0</v>
      </c>
      <c r="BQ114" s="713">
        <f t="shared" si="87"/>
        <v>0</v>
      </c>
      <c r="BR114" s="713">
        <f t="shared" si="87"/>
        <v>0</v>
      </c>
      <c r="BS114" s="713">
        <f t="shared" si="87"/>
        <v>0.4459879758464787</v>
      </c>
      <c r="BT114" s="658">
        <f t="shared" si="88"/>
        <v>1</v>
      </c>
      <c r="BV114" s="671">
        <f t="shared" si="23"/>
        <v>51.332702068118067</v>
      </c>
      <c r="BW114" s="713">
        <f t="shared" si="60"/>
        <v>0.82448969342990841</v>
      </c>
      <c r="BX114" s="696">
        <f t="shared" si="24"/>
        <v>34.222489887502142</v>
      </c>
      <c r="BY114" s="671">
        <f t="shared" si="25"/>
        <v>65.804730566846203</v>
      </c>
      <c r="BZ114" s="713">
        <f t="shared" si="61"/>
        <v>0.78726905246652079</v>
      </c>
      <c r="CA114" s="845">
        <f t="shared" si="26"/>
        <v>48.694518386230293</v>
      </c>
      <c r="CB114" s="713">
        <f t="shared" si="27"/>
        <v>0.67206984488050125</v>
      </c>
      <c r="CC114" s="713">
        <f t="shared" si="28"/>
        <v>0.85</v>
      </c>
      <c r="CD114" s="713">
        <f t="shared" si="62"/>
        <v>0.67206984488050125</v>
      </c>
      <c r="CE114" s="1001">
        <f t="shared" si="63"/>
        <v>0.85</v>
      </c>
    </row>
    <row r="115" spans="1:83" s="1" customFormat="1">
      <c r="A115" s="157">
        <f>'Input data'!A135</f>
        <v>2037</v>
      </c>
      <c r="B115" s="829">
        <f>'Input data'!B135</f>
        <v>69.83</v>
      </c>
      <c r="C115" s="662">
        <f>'Input data'!C135</f>
        <v>4457.0000000000018</v>
      </c>
      <c r="D115" s="662">
        <f>'Input data'!D135</f>
        <v>30865182.748957112</v>
      </c>
      <c r="E115" s="805">
        <f t="shared" si="92"/>
        <v>1</v>
      </c>
      <c r="F115" s="510">
        <f t="shared" si="93"/>
        <v>0.36725000000000002</v>
      </c>
      <c r="G115" s="945">
        <f>B115*F115*'Input data'!$C$9</f>
        <v>784.92017882808466</v>
      </c>
      <c r="H115" s="809">
        <f>'Input data'!I135</f>
        <v>424.26313389388866</v>
      </c>
      <c r="I115" s="850">
        <f>'Input data'!K135</f>
        <v>29626.294639810243</v>
      </c>
      <c r="J115" s="696">
        <f t="shared" si="95"/>
        <v>39.432581034713571</v>
      </c>
      <c r="K115" s="674">
        <f t="shared" si="66"/>
        <v>157.73032413885434</v>
      </c>
      <c r="L115" s="498">
        <f t="shared" si="94"/>
        <v>0.7</v>
      </c>
      <c r="M115" s="498">
        <f t="shared" si="91"/>
        <v>0.6</v>
      </c>
      <c r="N115" s="498">
        <f t="shared" si="91"/>
        <v>0.9</v>
      </c>
      <c r="O115" s="498">
        <f t="shared" si="91"/>
        <v>0.9</v>
      </c>
      <c r="P115" s="498">
        <f>P114</f>
        <v>0.23600000000000002</v>
      </c>
      <c r="Q115" s="654">
        <f t="shared" si="31"/>
        <v>26.499337920908175</v>
      </c>
      <c r="R115" s="673">
        <f t="shared" si="32"/>
        <v>11.668960878701492</v>
      </c>
      <c r="S115" s="673">
        <f t="shared" si="33"/>
        <v>44.441191234244087</v>
      </c>
      <c r="T115" s="673">
        <f t="shared" si="34"/>
        <v>56.256962339656091</v>
      </c>
      <c r="U115" s="802">
        <f t="shared" si="35"/>
        <v>0.67710709475193609</v>
      </c>
      <c r="V115" s="654">
        <f t="shared" si="16"/>
        <v>139.54355946826178</v>
      </c>
      <c r="W115" s="805">
        <f t="shared" si="90"/>
        <v>0.5</v>
      </c>
      <c r="X115" s="671">
        <f t="shared" si="17"/>
        <v>53.669159952994768</v>
      </c>
      <c r="Y115" s="671">
        <f t="shared" si="18"/>
        <v>76.916015953074577</v>
      </c>
      <c r="Z115" s="672">
        <f t="shared" si="70"/>
        <v>120.24688922049333</v>
      </c>
      <c r="AA115" s="696">
        <f t="shared" si="19"/>
        <v>80.814308185779765</v>
      </c>
      <c r="AB115" s="893">
        <f t="shared" si="36"/>
        <v>0.67206984488050125</v>
      </c>
      <c r="AC115" s="135" t="str">
        <f t="shared" si="37"/>
        <v>Policies met</v>
      </c>
      <c r="AD115" s="1353">
        <f t="shared" si="38"/>
        <v>0.67206984488050125</v>
      </c>
      <c r="AE115" s="135" t="str">
        <f t="shared" si="39"/>
        <v>No</v>
      </c>
      <c r="AF115" s="1420">
        <f t="shared" si="40"/>
        <v>139.12867530930757</v>
      </c>
      <c r="AG115" s="118">
        <f t="shared" si="41"/>
        <v>39.432581034713564</v>
      </c>
      <c r="AH115" s="118">
        <f t="shared" si="20"/>
        <v>45.760541102354082</v>
      </c>
      <c r="AI115" s="118">
        <f t="shared" si="21"/>
        <v>37.035832164635039</v>
      </c>
      <c r="AJ115" s="118">
        <f t="shared" si="22"/>
        <v>16.899721007604906</v>
      </c>
      <c r="AK115" s="118">
        <f t="shared" si="42"/>
        <v>139.1286753093076</v>
      </c>
      <c r="AL115" s="910">
        <f t="shared" si="43"/>
        <v>0</v>
      </c>
      <c r="AM115" s="805">
        <f t="shared" si="71"/>
        <v>0.2834252604436</v>
      </c>
      <c r="AN115" s="510">
        <f t="shared" si="72"/>
        <v>0.32890804861485473</v>
      </c>
      <c r="AO115" s="510">
        <f t="shared" si="73"/>
        <v>0.26619841008546835</v>
      </c>
      <c r="AP115" s="510">
        <f t="shared" si="74"/>
        <v>0.1214682808560769</v>
      </c>
      <c r="AQ115" s="510">
        <f t="shared" si="48"/>
        <v>0.99999999999999989</v>
      </c>
      <c r="AR115" s="916">
        <f t="shared" si="75"/>
        <v>6.718330286861506</v>
      </c>
      <c r="AS115" s="917">
        <f t="shared" si="76"/>
        <v>10.881405661657253</v>
      </c>
      <c r="AT115" s="917">
        <f t="shared" si="77"/>
        <v>2.3248676805531701</v>
      </c>
      <c r="AU115" s="917">
        <f t="shared" si="78"/>
        <v>0</v>
      </c>
      <c r="AV115" s="917">
        <f t="shared" si="79"/>
        <v>0</v>
      </c>
      <c r="AW115" s="917">
        <f t="shared" si="80"/>
        <v>0</v>
      </c>
      <c r="AX115" s="1338">
        <f t="shared" si="81"/>
        <v>16.236099971375594</v>
      </c>
      <c r="AY115" s="917">
        <f t="shared" si="82"/>
        <v>1.307809078845948</v>
      </c>
      <c r="AZ115" s="917">
        <f t="shared" si="83"/>
        <v>0.36762547566046921</v>
      </c>
      <c r="BA115" s="917">
        <f t="shared" si="84"/>
        <v>0.94950499551831991</v>
      </c>
      <c r="BB115" s="917">
        <f t="shared" si="85"/>
        <v>0.64693788424127452</v>
      </c>
      <c r="BC115" s="673">
        <f t="shared" si="86"/>
        <v>39.432581034713529</v>
      </c>
      <c r="BD115" s="922">
        <f t="shared" si="50"/>
        <v>0</v>
      </c>
      <c r="BE115" s="840">
        <f t="shared" si="51"/>
        <v>0.17037510887119423</v>
      </c>
      <c r="BF115" s="535">
        <f t="shared" si="52"/>
        <v>0.2759496177051679</v>
      </c>
      <c r="BG115" s="535">
        <f t="shared" si="53"/>
        <v>5.8958039761752561E-2</v>
      </c>
      <c r="BH115" s="535">
        <f t="shared" si="54"/>
        <v>0</v>
      </c>
      <c r="BI115" s="535">
        <f t="shared" si="55"/>
        <v>0</v>
      </c>
      <c r="BJ115" s="535">
        <f t="shared" si="56"/>
        <v>0</v>
      </c>
      <c r="BK115" s="535">
        <f t="shared" si="57"/>
        <v>0.49471723366188552</v>
      </c>
      <c r="BL115" s="1342">
        <f t="shared" si="58"/>
        <v>1.0000000000000002</v>
      </c>
      <c r="BM115" s="1237">
        <f t="shared" si="87"/>
        <v>0.19892488097366726</v>
      </c>
      <c r="BN115" s="713">
        <f t="shared" si="87"/>
        <v>0.26585903447659598</v>
      </c>
      <c r="BO115" s="713">
        <f t="shared" si="87"/>
        <v>8.9228108703258049E-2</v>
      </c>
      <c r="BP115" s="713">
        <f t="shared" si="87"/>
        <v>0</v>
      </c>
      <c r="BQ115" s="713">
        <f t="shared" si="87"/>
        <v>0</v>
      </c>
      <c r="BR115" s="713">
        <f t="shared" si="87"/>
        <v>0</v>
      </c>
      <c r="BS115" s="713">
        <f t="shared" si="87"/>
        <v>0.4459879758464787</v>
      </c>
      <c r="BT115" s="658">
        <f t="shared" si="88"/>
        <v>1</v>
      </c>
      <c r="BV115" s="671">
        <f t="shared" si="23"/>
        <v>48.272053716583756</v>
      </c>
      <c r="BW115" s="713">
        <f t="shared" si="60"/>
        <v>0.83624642618945766</v>
      </c>
      <c r="BX115" s="696">
        <f t="shared" si="24"/>
        <v>30.865182748957114</v>
      </c>
      <c r="BY115" s="671">
        <f t="shared" si="25"/>
        <v>66.101389353856931</v>
      </c>
      <c r="BZ115" s="713">
        <f t="shared" si="61"/>
        <v>0.78719828235836653</v>
      </c>
      <c r="CA115" s="845">
        <f t="shared" si="26"/>
        <v>48.694518386230293</v>
      </c>
      <c r="CB115" s="713">
        <f t="shared" si="27"/>
        <v>0.67206984488050125</v>
      </c>
      <c r="CC115" s="713">
        <f t="shared" si="28"/>
        <v>0.85</v>
      </c>
      <c r="CD115" s="713">
        <f t="shared" si="62"/>
        <v>0.67206984488050125</v>
      </c>
      <c r="CE115" s="1001">
        <f t="shared" si="63"/>
        <v>0.85</v>
      </c>
    </row>
    <row r="116" spans="1:83">
      <c r="A116" s="127">
        <f>'Input data'!A136</f>
        <v>2038</v>
      </c>
      <c r="B116" s="828">
        <f>'Input data'!B136</f>
        <v>70.341999999999999</v>
      </c>
      <c r="C116" s="238">
        <f>'Input data'!C136</f>
        <v>4590.03</v>
      </c>
      <c r="D116" s="238">
        <f>'Input data'!D136</f>
        <v>27507875.610412091</v>
      </c>
      <c r="E116" s="805">
        <f t="shared" si="92"/>
        <v>1</v>
      </c>
      <c r="F116" s="510">
        <f t="shared" si="93"/>
        <v>0.36725000000000002</v>
      </c>
      <c r="G116" s="674">
        <f>B116*F116*'Input data'!$C$9</f>
        <v>790.6752859677091</v>
      </c>
      <c r="H116" s="654">
        <f>'Input data'!I136</f>
        <v>424.26313389388866</v>
      </c>
      <c r="I116" s="672">
        <f>'Input data'!K136</f>
        <v>29843.517364363917</v>
      </c>
      <c r="J116" s="696">
        <f t="shared" si="95"/>
        <v>39.432581034713571</v>
      </c>
      <c r="K116" s="674">
        <f t="shared" si="66"/>
        <v>157.73032413885434</v>
      </c>
      <c r="L116" s="510">
        <f t="shared" si="94"/>
        <v>0.7</v>
      </c>
      <c r="M116" s="510">
        <f t="shared" si="91"/>
        <v>0.6</v>
      </c>
      <c r="N116" s="510">
        <f t="shared" si="91"/>
        <v>0.9</v>
      </c>
      <c r="O116" s="510">
        <f t="shared" si="91"/>
        <v>0.9</v>
      </c>
      <c r="P116" s="510">
        <f t="shared" si="91"/>
        <v>0.23600000000000002</v>
      </c>
      <c r="Q116" s="654">
        <f t="shared" si="31"/>
        <v>26.499337920908175</v>
      </c>
      <c r="R116" s="673">
        <f t="shared" si="32"/>
        <v>11.668960878701492</v>
      </c>
      <c r="S116" s="673">
        <f t="shared" si="33"/>
        <v>44.441191234244087</v>
      </c>
      <c r="T116" s="673">
        <f t="shared" si="34"/>
        <v>56.256962339656091</v>
      </c>
      <c r="U116" s="802">
        <f t="shared" si="35"/>
        <v>0.67710709475193609</v>
      </c>
      <c r="V116" s="654">
        <f t="shared" si="16"/>
        <v>139.54355946826178</v>
      </c>
      <c r="W116" s="805">
        <f t="shared" si="90"/>
        <v>0.5</v>
      </c>
      <c r="X116" s="671">
        <f t="shared" si="17"/>
        <v>53.669159952994768</v>
      </c>
      <c r="Y116" s="671">
        <f t="shared" si="18"/>
        <v>76.916015953074577</v>
      </c>
      <c r="Z116" s="672">
        <f t="shared" si="70"/>
        <v>120.24688922049333</v>
      </c>
      <c r="AA116" s="696">
        <f t="shared" si="19"/>
        <v>80.814308185779765</v>
      </c>
      <c r="AB116" s="893">
        <f t="shared" si="36"/>
        <v>0.67206984488050125</v>
      </c>
      <c r="AC116" s="135" t="str">
        <f t="shared" si="37"/>
        <v>Policies met</v>
      </c>
      <c r="AD116" s="1353">
        <f t="shared" si="38"/>
        <v>0.67206984488050125</v>
      </c>
      <c r="AE116" s="135" t="str">
        <f t="shared" si="39"/>
        <v>No</v>
      </c>
      <c r="AF116" s="1420">
        <f t="shared" si="40"/>
        <v>139.12867530930757</v>
      </c>
      <c r="AG116" s="118">
        <f t="shared" si="41"/>
        <v>39.432581034713564</v>
      </c>
      <c r="AH116" s="118">
        <f t="shared" si="20"/>
        <v>45.760541102354082</v>
      </c>
      <c r="AI116" s="118">
        <f t="shared" si="21"/>
        <v>37.035832164635039</v>
      </c>
      <c r="AJ116" s="118">
        <f t="shared" si="22"/>
        <v>16.899721007604906</v>
      </c>
      <c r="AK116" s="118">
        <f t="shared" si="42"/>
        <v>139.1286753093076</v>
      </c>
      <c r="AL116" s="910">
        <f t="shared" si="43"/>
        <v>0</v>
      </c>
      <c r="AM116" s="805">
        <f t="shared" si="71"/>
        <v>0.2834252604436</v>
      </c>
      <c r="AN116" s="510">
        <f t="shared" si="72"/>
        <v>0.32890804861485473</v>
      </c>
      <c r="AO116" s="510">
        <f t="shared" si="73"/>
        <v>0.26619841008546835</v>
      </c>
      <c r="AP116" s="510">
        <f t="shared" si="74"/>
        <v>0.1214682808560769</v>
      </c>
      <c r="AQ116" s="510">
        <f t="shared" si="48"/>
        <v>0.99999999999999989</v>
      </c>
      <c r="AR116" s="916">
        <f t="shared" si="75"/>
        <v>6.718330286861506</v>
      </c>
      <c r="AS116" s="917">
        <f t="shared" si="76"/>
        <v>10.881405661657253</v>
      </c>
      <c r="AT116" s="917">
        <f t="shared" si="77"/>
        <v>2.3248676805531701</v>
      </c>
      <c r="AU116" s="917">
        <f t="shared" si="78"/>
        <v>0</v>
      </c>
      <c r="AV116" s="917">
        <f t="shared" si="79"/>
        <v>0</v>
      </c>
      <c r="AW116" s="917">
        <f t="shared" si="80"/>
        <v>0</v>
      </c>
      <c r="AX116" s="1338">
        <f t="shared" si="81"/>
        <v>16.236099971375594</v>
      </c>
      <c r="AY116" s="917">
        <f t="shared" si="82"/>
        <v>1.307809078845948</v>
      </c>
      <c r="AZ116" s="917">
        <f t="shared" si="83"/>
        <v>0.36762547566046921</v>
      </c>
      <c r="BA116" s="917">
        <f t="shared" si="84"/>
        <v>0.94950499551831991</v>
      </c>
      <c r="BB116" s="917">
        <f t="shared" si="85"/>
        <v>0.64693788424127452</v>
      </c>
      <c r="BC116" s="673">
        <f t="shared" si="86"/>
        <v>39.432581034713529</v>
      </c>
      <c r="BD116" s="922">
        <f t="shared" si="50"/>
        <v>0</v>
      </c>
      <c r="BE116" s="840">
        <f t="shared" si="51"/>
        <v>0.17037510887119423</v>
      </c>
      <c r="BF116" s="535">
        <f t="shared" si="52"/>
        <v>0.2759496177051679</v>
      </c>
      <c r="BG116" s="535">
        <f t="shared" si="53"/>
        <v>5.8958039761752561E-2</v>
      </c>
      <c r="BH116" s="535">
        <f t="shared" si="54"/>
        <v>0</v>
      </c>
      <c r="BI116" s="535">
        <f t="shared" si="55"/>
        <v>0</v>
      </c>
      <c r="BJ116" s="535">
        <f t="shared" si="56"/>
        <v>0</v>
      </c>
      <c r="BK116" s="535">
        <f t="shared" si="57"/>
        <v>0.49471723366188552</v>
      </c>
      <c r="BL116" s="1342">
        <f t="shared" si="58"/>
        <v>1.0000000000000002</v>
      </c>
      <c r="BM116" s="1237">
        <f t="shared" si="87"/>
        <v>0.19892488097366726</v>
      </c>
      <c r="BN116" s="713">
        <f t="shared" si="87"/>
        <v>0.26585903447659598</v>
      </c>
      <c r="BO116" s="713">
        <f t="shared" si="87"/>
        <v>8.9228108703258049E-2</v>
      </c>
      <c r="BP116" s="713">
        <f t="shared" si="87"/>
        <v>0</v>
      </c>
      <c r="BQ116" s="713">
        <f t="shared" si="87"/>
        <v>0</v>
      </c>
      <c r="BR116" s="713">
        <f t="shared" si="87"/>
        <v>0</v>
      </c>
      <c r="BS116" s="713">
        <f t="shared" si="87"/>
        <v>0.4459879758464787</v>
      </c>
      <c r="BT116" s="658">
        <f t="shared" si="88"/>
        <v>1</v>
      </c>
      <c r="BV116" s="671">
        <f t="shared" si="23"/>
        <v>45.215552440138261</v>
      </c>
      <c r="BW116" s="713">
        <f t="shared" si="60"/>
        <v>0.84976438030340973</v>
      </c>
      <c r="BX116" s="696">
        <f t="shared" si="24"/>
        <v>27.507875610412093</v>
      </c>
      <c r="BY116" s="671">
        <f t="shared" si="25"/>
        <v>66.402195215956453</v>
      </c>
      <c r="BZ116" s="713">
        <f t="shared" si="61"/>
        <v>0.78712202397753595</v>
      </c>
      <c r="CA116" s="845">
        <f t="shared" si="26"/>
        <v>48.694518386230293</v>
      </c>
      <c r="CB116" s="713">
        <f t="shared" si="27"/>
        <v>0.67206984488050125</v>
      </c>
      <c r="CC116" s="713">
        <f t="shared" si="28"/>
        <v>0.85</v>
      </c>
      <c r="CD116" s="713">
        <f t="shared" si="62"/>
        <v>0.67206984488050125</v>
      </c>
      <c r="CE116" s="1001">
        <f t="shared" si="63"/>
        <v>0.85</v>
      </c>
    </row>
    <row r="117" spans="1:83">
      <c r="A117" s="127">
        <f>'Input data'!A137</f>
        <v>2039</v>
      </c>
      <c r="B117" s="828">
        <f>'Input data'!B137</f>
        <v>70.856999999999999</v>
      </c>
      <c r="C117" s="238">
        <f>'Input data'!C137</f>
        <v>4728.5300000000007</v>
      </c>
      <c r="D117" s="238">
        <f>'Input data'!D137</f>
        <v>24152264.081533</v>
      </c>
      <c r="E117" s="805">
        <f t="shared" si="92"/>
        <v>1</v>
      </c>
      <c r="F117" s="510">
        <f t="shared" si="93"/>
        <v>0.36725000000000002</v>
      </c>
      <c r="G117" s="674">
        <f>B117*F117*'Input data'!$C$9</f>
        <v>796.46411443823001</v>
      </c>
      <c r="H117" s="654">
        <f>'Input data'!I137</f>
        <v>424.26313389388866</v>
      </c>
      <c r="I117" s="672">
        <f>'Input data'!K137</f>
        <v>30062.01287831927</v>
      </c>
      <c r="J117" s="696">
        <f t="shared" si="95"/>
        <v>39.432581034713571</v>
      </c>
      <c r="K117" s="674">
        <f t="shared" si="66"/>
        <v>157.73032413885434</v>
      </c>
      <c r="L117" s="510">
        <f t="shared" si="94"/>
        <v>0.7</v>
      </c>
      <c r="M117" s="510">
        <f t="shared" si="91"/>
        <v>0.6</v>
      </c>
      <c r="N117" s="510">
        <f t="shared" si="91"/>
        <v>0.9</v>
      </c>
      <c r="O117" s="510">
        <f t="shared" si="91"/>
        <v>0.9</v>
      </c>
      <c r="P117" s="510">
        <f t="shared" si="91"/>
        <v>0.23600000000000002</v>
      </c>
      <c r="Q117" s="654">
        <f t="shared" si="31"/>
        <v>26.499337920908175</v>
      </c>
      <c r="R117" s="673">
        <f t="shared" si="32"/>
        <v>11.668960878701492</v>
      </c>
      <c r="S117" s="673">
        <f t="shared" si="33"/>
        <v>44.441191234244087</v>
      </c>
      <c r="T117" s="673">
        <f t="shared" si="34"/>
        <v>56.256962339656091</v>
      </c>
      <c r="U117" s="802">
        <f t="shared" si="35"/>
        <v>0.67710709475193609</v>
      </c>
      <c r="V117" s="654">
        <f t="shared" si="16"/>
        <v>139.54355946826178</v>
      </c>
      <c r="W117" s="805">
        <f t="shared" si="90"/>
        <v>0.5</v>
      </c>
      <c r="X117" s="671">
        <f t="shared" si="17"/>
        <v>53.669159952994768</v>
      </c>
      <c r="Y117" s="671">
        <f t="shared" si="18"/>
        <v>76.916015953074577</v>
      </c>
      <c r="Z117" s="672">
        <f t="shared" si="70"/>
        <v>120.24688922049333</v>
      </c>
      <c r="AA117" s="696">
        <f t="shared" si="19"/>
        <v>80.814308185779765</v>
      </c>
      <c r="AB117" s="893">
        <f t="shared" si="36"/>
        <v>0.67206984488050125</v>
      </c>
      <c r="AC117" s="135" t="str">
        <f t="shared" si="37"/>
        <v>Policies met</v>
      </c>
      <c r="AD117" s="1353">
        <f t="shared" si="38"/>
        <v>0.67206984488050125</v>
      </c>
      <c r="AE117" s="135" t="str">
        <f t="shared" si="39"/>
        <v>No</v>
      </c>
      <c r="AF117" s="1420">
        <f t="shared" si="40"/>
        <v>139.12867530930757</v>
      </c>
      <c r="AG117" s="118">
        <f t="shared" si="41"/>
        <v>39.432581034713564</v>
      </c>
      <c r="AH117" s="118">
        <f t="shared" si="20"/>
        <v>45.760541102354082</v>
      </c>
      <c r="AI117" s="118">
        <f t="shared" si="21"/>
        <v>37.035832164635039</v>
      </c>
      <c r="AJ117" s="118">
        <f t="shared" si="22"/>
        <v>16.899721007604906</v>
      </c>
      <c r="AK117" s="118">
        <f t="shared" si="42"/>
        <v>139.1286753093076</v>
      </c>
      <c r="AL117" s="910">
        <f t="shared" si="43"/>
        <v>0</v>
      </c>
      <c r="AM117" s="805">
        <f t="shared" si="71"/>
        <v>0.2834252604436</v>
      </c>
      <c r="AN117" s="510">
        <f t="shared" si="72"/>
        <v>0.32890804861485473</v>
      </c>
      <c r="AO117" s="510">
        <f t="shared" si="73"/>
        <v>0.26619841008546835</v>
      </c>
      <c r="AP117" s="510">
        <f t="shared" si="74"/>
        <v>0.1214682808560769</v>
      </c>
      <c r="AQ117" s="510">
        <f t="shared" si="48"/>
        <v>0.99999999999999989</v>
      </c>
      <c r="AR117" s="916">
        <f t="shared" si="75"/>
        <v>6.718330286861506</v>
      </c>
      <c r="AS117" s="917">
        <f t="shared" si="76"/>
        <v>10.881405661657253</v>
      </c>
      <c r="AT117" s="917">
        <f t="shared" si="77"/>
        <v>2.3248676805531701</v>
      </c>
      <c r="AU117" s="917">
        <f t="shared" si="78"/>
        <v>0</v>
      </c>
      <c r="AV117" s="917">
        <f t="shared" si="79"/>
        <v>0</v>
      </c>
      <c r="AW117" s="917">
        <f t="shared" si="80"/>
        <v>0</v>
      </c>
      <c r="AX117" s="1338">
        <f t="shared" si="81"/>
        <v>16.236099971375594</v>
      </c>
      <c r="AY117" s="917">
        <f t="shared" si="82"/>
        <v>1.307809078845948</v>
      </c>
      <c r="AZ117" s="917">
        <f t="shared" si="83"/>
        <v>0.36762547566046921</v>
      </c>
      <c r="BA117" s="917">
        <f t="shared" si="84"/>
        <v>0.94950499551831991</v>
      </c>
      <c r="BB117" s="917">
        <f t="shared" si="85"/>
        <v>0.64693788424127452</v>
      </c>
      <c r="BC117" s="673">
        <f t="shared" si="86"/>
        <v>39.432581034713529</v>
      </c>
      <c r="BD117" s="922">
        <f t="shared" si="50"/>
        <v>0</v>
      </c>
      <c r="BE117" s="840">
        <f t="shared" si="51"/>
        <v>0.17037510887119423</v>
      </c>
      <c r="BF117" s="535">
        <f t="shared" si="52"/>
        <v>0.2759496177051679</v>
      </c>
      <c r="BG117" s="535">
        <f t="shared" si="53"/>
        <v>5.8958039761752561E-2</v>
      </c>
      <c r="BH117" s="535">
        <f t="shared" si="54"/>
        <v>0</v>
      </c>
      <c r="BI117" s="535">
        <f t="shared" si="55"/>
        <v>0</v>
      </c>
      <c r="BJ117" s="535">
        <f t="shared" si="56"/>
        <v>0</v>
      </c>
      <c r="BK117" s="535">
        <f t="shared" si="57"/>
        <v>0.49471723366188552</v>
      </c>
      <c r="BL117" s="1342">
        <f t="shared" si="58"/>
        <v>1.0000000000000002</v>
      </c>
      <c r="BM117" s="1237">
        <f t="shared" si="87"/>
        <v>0.19892488097366726</v>
      </c>
      <c r="BN117" s="713">
        <f t="shared" si="87"/>
        <v>0.26585903447659598</v>
      </c>
      <c r="BO117" s="713">
        <f t="shared" si="87"/>
        <v>8.9228108703258049E-2</v>
      </c>
      <c r="BP117" s="713">
        <f t="shared" si="87"/>
        <v>0</v>
      </c>
      <c r="BQ117" s="713">
        <f t="shared" si="87"/>
        <v>0</v>
      </c>
      <c r="BR117" s="713">
        <f t="shared" si="87"/>
        <v>0</v>
      </c>
      <c r="BS117" s="713">
        <f t="shared" si="87"/>
        <v>0.4459879758464787</v>
      </c>
      <c r="BT117" s="658">
        <f t="shared" si="88"/>
        <v>1</v>
      </c>
      <c r="BV117" s="671">
        <f t="shared" si="23"/>
        <v>45.975519156901633</v>
      </c>
      <c r="BW117" s="713">
        <f t="shared" si="60"/>
        <v>0.83257020027781348</v>
      </c>
      <c r="BX117" s="696">
        <f t="shared" si="24"/>
        <v>24.152264081533001</v>
      </c>
      <c r="BY117" s="671">
        <f t="shared" si="25"/>
        <v>66.712858129814961</v>
      </c>
      <c r="BZ117" s="713">
        <f t="shared" si="61"/>
        <v>0.78701016505842702</v>
      </c>
      <c r="CA117" s="845">
        <f t="shared" si="26"/>
        <v>48.694518386230293</v>
      </c>
      <c r="CB117" s="713">
        <f t="shared" si="27"/>
        <v>0.67206984488050125</v>
      </c>
      <c r="CC117" s="713">
        <f t="shared" si="28"/>
        <v>0.78005755371651353</v>
      </c>
      <c r="CD117" s="713">
        <f t="shared" si="62"/>
        <v>0.67206984488050125</v>
      </c>
      <c r="CE117" s="1001">
        <f t="shared" si="63"/>
        <v>0.85</v>
      </c>
    </row>
    <row r="118" spans="1:83">
      <c r="A118" s="127">
        <f>'Input data'!A138</f>
        <v>2040</v>
      </c>
      <c r="B118" s="828">
        <f>'Input data'!B138</f>
        <v>71.375</v>
      </c>
      <c r="C118" s="238">
        <f>'Input data'!C138</f>
        <v>4875.51</v>
      </c>
      <c r="D118" s="238">
        <f>'Input data'!D138</f>
        <v>20794956.942987975</v>
      </c>
      <c r="E118" s="805">
        <f t="shared" si="92"/>
        <v>1</v>
      </c>
      <c r="F118" s="510">
        <f t="shared" si="93"/>
        <v>0.36725000000000002</v>
      </c>
      <c r="G118" s="674">
        <f>B118*F118*'Input data'!$C$9</f>
        <v>802.28666423964694</v>
      </c>
      <c r="H118" s="654">
        <f>'Input data'!I138</f>
        <v>424.26313389388866</v>
      </c>
      <c r="I118" s="672">
        <f>'Input data'!K138</f>
        <v>30281.781181676302</v>
      </c>
      <c r="J118" s="696">
        <f t="shared" si="95"/>
        <v>39.432581034713571</v>
      </c>
      <c r="K118" s="674">
        <f t="shared" si="66"/>
        <v>157.73032413885434</v>
      </c>
      <c r="L118" s="510">
        <f t="shared" si="94"/>
        <v>0.7</v>
      </c>
      <c r="M118" s="510">
        <f t="shared" si="91"/>
        <v>0.6</v>
      </c>
      <c r="N118" s="510">
        <f t="shared" si="91"/>
        <v>0.9</v>
      </c>
      <c r="O118" s="510">
        <f t="shared" si="91"/>
        <v>0.9</v>
      </c>
      <c r="P118" s="510">
        <f t="shared" si="91"/>
        <v>0.23600000000000002</v>
      </c>
      <c r="Q118" s="654">
        <f t="shared" si="31"/>
        <v>26.499337920908175</v>
      </c>
      <c r="R118" s="673">
        <f t="shared" si="32"/>
        <v>11.668960878701492</v>
      </c>
      <c r="S118" s="673">
        <f t="shared" si="33"/>
        <v>44.441191234244087</v>
      </c>
      <c r="T118" s="673">
        <f t="shared" si="34"/>
        <v>56.256962339656091</v>
      </c>
      <c r="U118" s="802">
        <f t="shared" si="35"/>
        <v>0.67710709475193609</v>
      </c>
      <c r="V118" s="654">
        <f t="shared" si="16"/>
        <v>139.54355946826178</v>
      </c>
      <c r="W118" s="805">
        <f t="shared" si="90"/>
        <v>0.5</v>
      </c>
      <c r="X118" s="671">
        <f t="shared" si="17"/>
        <v>53.669159952994768</v>
      </c>
      <c r="Y118" s="671">
        <f t="shared" si="18"/>
        <v>76.916015953074577</v>
      </c>
      <c r="Z118" s="672">
        <f t="shared" si="70"/>
        <v>120.24688922049333</v>
      </c>
      <c r="AA118" s="696">
        <f t="shared" si="19"/>
        <v>80.814308185779765</v>
      </c>
      <c r="AB118" s="893">
        <f t="shared" si="36"/>
        <v>0.67206984488050125</v>
      </c>
      <c r="AC118" s="135" t="str">
        <f t="shared" si="37"/>
        <v>Policies met</v>
      </c>
      <c r="AD118" s="1353">
        <f t="shared" si="38"/>
        <v>0.67206984488050125</v>
      </c>
      <c r="AE118" s="135" t="str">
        <f t="shared" si="39"/>
        <v>No</v>
      </c>
      <c r="AF118" s="1420">
        <f t="shared" si="40"/>
        <v>139.12867530930757</v>
      </c>
      <c r="AG118" s="118">
        <f t="shared" si="41"/>
        <v>39.432581034713564</v>
      </c>
      <c r="AH118" s="118">
        <f t="shared" si="20"/>
        <v>45.760541102354082</v>
      </c>
      <c r="AI118" s="118">
        <f t="shared" si="21"/>
        <v>37.035832164635039</v>
      </c>
      <c r="AJ118" s="118">
        <f t="shared" si="22"/>
        <v>16.899721007604906</v>
      </c>
      <c r="AK118" s="118">
        <f t="shared" si="42"/>
        <v>139.1286753093076</v>
      </c>
      <c r="AL118" s="910">
        <f t="shared" si="43"/>
        <v>0</v>
      </c>
      <c r="AM118" s="805">
        <f t="shared" si="71"/>
        <v>0.2834252604436</v>
      </c>
      <c r="AN118" s="510">
        <f t="shared" si="72"/>
        <v>0.32890804861485473</v>
      </c>
      <c r="AO118" s="510">
        <f t="shared" si="73"/>
        <v>0.26619841008546835</v>
      </c>
      <c r="AP118" s="510">
        <f t="shared" si="74"/>
        <v>0.1214682808560769</v>
      </c>
      <c r="AQ118" s="510">
        <f t="shared" si="48"/>
        <v>0.99999999999999989</v>
      </c>
      <c r="AR118" s="916">
        <f t="shared" si="75"/>
        <v>6.718330286861506</v>
      </c>
      <c r="AS118" s="917">
        <f t="shared" si="76"/>
        <v>10.881405661657253</v>
      </c>
      <c r="AT118" s="917">
        <f t="shared" si="77"/>
        <v>2.3248676805531701</v>
      </c>
      <c r="AU118" s="917">
        <f t="shared" si="78"/>
        <v>0</v>
      </c>
      <c r="AV118" s="917">
        <f t="shared" si="79"/>
        <v>0</v>
      </c>
      <c r="AW118" s="917">
        <f t="shared" si="80"/>
        <v>0</v>
      </c>
      <c r="AX118" s="1338">
        <f t="shared" si="81"/>
        <v>16.236099971375594</v>
      </c>
      <c r="AY118" s="917">
        <f t="shared" si="82"/>
        <v>1.307809078845948</v>
      </c>
      <c r="AZ118" s="917">
        <f t="shared" si="83"/>
        <v>0.36762547566046921</v>
      </c>
      <c r="BA118" s="917">
        <f t="shared" si="84"/>
        <v>0.94950499551831991</v>
      </c>
      <c r="BB118" s="917">
        <f t="shared" si="85"/>
        <v>0.64693788424127452</v>
      </c>
      <c r="BC118" s="673">
        <f t="shared" si="86"/>
        <v>39.432581034713529</v>
      </c>
      <c r="BD118" s="922">
        <f t="shared" si="50"/>
        <v>0</v>
      </c>
      <c r="BE118" s="840">
        <f t="shared" si="51"/>
        <v>0.17037510887119423</v>
      </c>
      <c r="BF118" s="535">
        <f t="shared" si="52"/>
        <v>0.2759496177051679</v>
      </c>
      <c r="BG118" s="535">
        <f t="shared" si="53"/>
        <v>5.8958039761752561E-2</v>
      </c>
      <c r="BH118" s="535">
        <f t="shared" si="54"/>
        <v>0</v>
      </c>
      <c r="BI118" s="535">
        <f t="shared" si="55"/>
        <v>0</v>
      </c>
      <c r="BJ118" s="535">
        <f t="shared" si="56"/>
        <v>0</v>
      </c>
      <c r="BK118" s="535">
        <f t="shared" si="57"/>
        <v>0.49471723366188552</v>
      </c>
      <c r="BL118" s="1342">
        <f t="shared" si="58"/>
        <v>1.0000000000000002</v>
      </c>
      <c r="BM118" s="1237">
        <f t="shared" si="87"/>
        <v>0.19892488097366726</v>
      </c>
      <c r="BN118" s="713">
        <f t="shared" si="87"/>
        <v>0.26585903447659598</v>
      </c>
      <c r="BO118" s="713">
        <f t="shared" si="87"/>
        <v>8.9228108703258049E-2</v>
      </c>
      <c r="BP118" s="713">
        <f t="shared" si="87"/>
        <v>0</v>
      </c>
      <c r="BQ118" s="713">
        <f t="shared" si="87"/>
        <v>0</v>
      </c>
      <c r="BR118" s="713">
        <f t="shared" si="87"/>
        <v>0</v>
      </c>
      <c r="BS118" s="713">
        <f t="shared" si="87"/>
        <v>0.4459879758464787</v>
      </c>
      <c r="BT118" s="658">
        <f t="shared" si="88"/>
        <v>1</v>
      </c>
      <c r="BV118" s="671">
        <f t="shared" si="23"/>
        <v>46.841942196849203</v>
      </c>
      <c r="BW118" s="713">
        <f t="shared" si="60"/>
        <v>0.81548052429422202</v>
      </c>
      <c r="BX118" s="696">
        <f t="shared" si="24"/>
        <v>20.794956942987973</v>
      </c>
      <c r="BY118" s="671">
        <f t="shared" si="25"/>
        <v>67.038572500159361</v>
      </c>
      <c r="BZ118" s="713">
        <f t="shared" si="61"/>
        <v>0.78684038553282265</v>
      </c>
      <c r="CA118" s="845">
        <f t="shared" si="26"/>
        <v>48.694518386230293</v>
      </c>
      <c r="CB118" s="713">
        <f t="shared" si="27"/>
        <v>0.67206984488050125</v>
      </c>
      <c r="CC118" s="713">
        <f t="shared" si="28"/>
        <v>0.71267236731830419</v>
      </c>
      <c r="CD118" s="713">
        <f t="shared" si="62"/>
        <v>0.67206984488050125</v>
      </c>
      <c r="CE118" s="1001">
        <f t="shared" si="63"/>
        <v>0.85</v>
      </c>
    </row>
    <row r="119" spans="1:83">
      <c r="A119" s="127">
        <f>'Input data'!A139</f>
        <v>2041</v>
      </c>
      <c r="B119" s="828">
        <f>'Input data'!B139</f>
        <v>71.819000000000003</v>
      </c>
      <c r="C119" s="238">
        <f>'Input data'!C139</f>
        <v>5028.54</v>
      </c>
      <c r="D119" s="238">
        <f>'Input data'!D139</f>
        <v>19523249.693539102</v>
      </c>
      <c r="E119" s="805">
        <f t="shared" si="92"/>
        <v>1</v>
      </c>
      <c r="F119" s="510">
        <f t="shared" si="93"/>
        <v>0.36725000000000002</v>
      </c>
      <c r="G119" s="674">
        <f>B119*F119*'Input data'!$C$9</f>
        <v>807.27742121229016</v>
      </c>
      <c r="H119" s="654">
        <f>'Input data'!I139</f>
        <v>424.26313389388866</v>
      </c>
      <c r="I119" s="672">
        <f>'Input data'!K139</f>
        <v>30470.15401312519</v>
      </c>
      <c r="J119" s="696">
        <f t="shared" si="95"/>
        <v>39.432581034713571</v>
      </c>
      <c r="K119" s="674">
        <f t="shared" si="66"/>
        <v>157.73032413885434</v>
      </c>
      <c r="L119" s="510">
        <f t="shared" si="94"/>
        <v>0.7</v>
      </c>
      <c r="M119" s="510">
        <f t="shared" si="91"/>
        <v>0.6</v>
      </c>
      <c r="N119" s="510">
        <f t="shared" si="91"/>
        <v>0.9</v>
      </c>
      <c r="O119" s="510">
        <f t="shared" si="91"/>
        <v>0.9</v>
      </c>
      <c r="P119" s="510">
        <f t="shared" si="91"/>
        <v>0.23600000000000002</v>
      </c>
      <c r="Q119" s="654">
        <f t="shared" si="31"/>
        <v>26.499337920908175</v>
      </c>
      <c r="R119" s="673">
        <f t="shared" si="32"/>
        <v>11.668960878701492</v>
      </c>
      <c r="S119" s="673">
        <f t="shared" si="33"/>
        <v>44.441191234244087</v>
      </c>
      <c r="T119" s="673">
        <f t="shared" si="34"/>
        <v>56.256962339656091</v>
      </c>
      <c r="U119" s="802">
        <f t="shared" si="35"/>
        <v>0.67710709475193609</v>
      </c>
      <c r="V119" s="654">
        <f t="shared" si="16"/>
        <v>139.54355946826178</v>
      </c>
      <c r="W119" s="805">
        <f t="shared" si="90"/>
        <v>0.5</v>
      </c>
      <c r="X119" s="671">
        <f t="shared" si="17"/>
        <v>53.669159952994768</v>
      </c>
      <c r="Y119" s="671">
        <f t="shared" si="18"/>
        <v>76.916015953074577</v>
      </c>
      <c r="Z119" s="672">
        <f t="shared" si="70"/>
        <v>120.24688922049333</v>
      </c>
      <c r="AA119" s="696">
        <f t="shared" si="19"/>
        <v>80.814308185779765</v>
      </c>
      <c r="AB119" s="893">
        <f t="shared" si="36"/>
        <v>0.67206984488050125</v>
      </c>
      <c r="AC119" s="135" t="str">
        <f t="shared" si="37"/>
        <v>Policies met</v>
      </c>
      <c r="AD119" s="1353">
        <f t="shared" si="38"/>
        <v>0.67206984488050125</v>
      </c>
      <c r="AE119" s="135" t="str">
        <f t="shared" si="39"/>
        <v>No</v>
      </c>
      <c r="AF119" s="1420">
        <f t="shared" si="40"/>
        <v>139.12867530930757</v>
      </c>
      <c r="AG119" s="118">
        <f t="shared" si="41"/>
        <v>39.432581034713564</v>
      </c>
      <c r="AH119" s="118">
        <f t="shared" si="20"/>
        <v>45.760541102354082</v>
      </c>
      <c r="AI119" s="118">
        <f t="shared" si="21"/>
        <v>37.035832164635039</v>
      </c>
      <c r="AJ119" s="118">
        <f t="shared" si="22"/>
        <v>16.899721007604906</v>
      </c>
      <c r="AK119" s="118">
        <f t="shared" si="42"/>
        <v>139.1286753093076</v>
      </c>
      <c r="AL119" s="910">
        <f t="shared" si="43"/>
        <v>0</v>
      </c>
      <c r="AM119" s="805">
        <f t="shared" si="71"/>
        <v>0.2834252604436</v>
      </c>
      <c r="AN119" s="510">
        <f t="shared" si="72"/>
        <v>0.32890804861485473</v>
      </c>
      <c r="AO119" s="510">
        <f t="shared" si="73"/>
        <v>0.26619841008546835</v>
      </c>
      <c r="AP119" s="510">
        <f t="shared" si="74"/>
        <v>0.1214682808560769</v>
      </c>
      <c r="AQ119" s="510">
        <f t="shared" si="48"/>
        <v>0.99999999999999989</v>
      </c>
      <c r="AR119" s="916">
        <f t="shared" si="75"/>
        <v>6.718330286861506</v>
      </c>
      <c r="AS119" s="917">
        <f t="shared" si="76"/>
        <v>10.881405661657253</v>
      </c>
      <c r="AT119" s="917">
        <f t="shared" si="77"/>
        <v>2.3248676805531701</v>
      </c>
      <c r="AU119" s="917">
        <f t="shared" si="78"/>
        <v>0</v>
      </c>
      <c r="AV119" s="917">
        <f t="shared" si="79"/>
        <v>0</v>
      </c>
      <c r="AW119" s="917">
        <f t="shared" si="80"/>
        <v>0</v>
      </c>
      <c r="AX119" s="1338">
        <f t="shared" si="81"/>
        <v>16.236099971375594</v>
      </c>
      <c r="AY119" s="917">
        <f t="shared" si="82"/>
        <v>1.307809078845948</v>
      </c>
      <c r="AZ119" s="917">
        <f t="shared" si="83"/>
        <v>0.36762547566046921</v>
      </c>
      <c r="BA119" s="917">
        <f t="shared" si="84"/>
        <v>0.94950499551831991</v>
      </c>
      <c r="BB119" s="917">
        <f t="shared" si="85"/>
        <v>0.64693788424127452</v>
      </c>
      <c r="BC119" s="673">
        <f t="shared" si="86"/>
        <v>39.432581034713529</v>
      </c>
      <c r="BD119" s="922">
        <f t="shared" si="50"/>
        <v>0</v>
      </c>
      <c r="BE119" s="840">
        <f t="shared" si="51"/>
        <v>0.17037510887119423</v>
      </c>
      <c r="BF119" s="535">
        <f t="shared" si="52"/>
        <v>0.2759496177051679</v>
      </c>
      <c r="BG119" s="535">
        <f t="shared" si="53"/>
        <v>5.8958039761752561E-2</v>
      </c>
      <c r="BH119" s="535">
        <f t="shared" si="54"/>
        <v>0</v>
      </c>
      <c r="BI119" s="535">
        <f t="shared" si="55"/>
        <v>0</v>
      </c>
      <c r="BJ119" s="535">
        <f t="shared" si="56"/>
        <v>0</v>
      </c>
      <c r="BK119" s="535">
        <f t="shared" si="57"/>
        <v>0.49471723366188552</v>
      </c>
      <c r="BL119" s="1342">
        <f t="shared" si="58"/>
        <v>1.0000000000000002</v>
      </c>
      <c r="BM119" s="1237">
        <f t="shared" si="87"/>
        <v>0.19892488097366726</v>
      </c>
      <c r="BN119" s="713">
        <f t="shared" si="87"/>
        <v>0.26585903447659598</v>
      </c>
      <c r="BO119" s="713">
        <f t="shared" si="87"/>
        <v>8.9228108703258049E-2</v>
      </c>
      <c r="BP119" s="713">
        <f t="shared" si="87"/>
        <v>0</v>
      </c>
      <c r="BQ119" s="713">
        <f t="shared" si="87"/>
        <v>0</v>
      </c>
      <c r="BR119" s="713">
        <f t="shared" si="87"/>
        <v>0</v>
      </c>
      <c r="BS119" s="713">
        <f t="shared" si="87"/>
        <v>0.4459879758464787</v>
      </c>
      <c r="BT119" s="658">
        <f t="shared" si="88"/>
        <v>1</v>
      </c>
      <c r="BV119" s="671">
        <f t="shared" si="23"/>
        <v>47.908485794879859</v>
      </c>
      <c r="BW119" s="713">
        <f t="shared" si="60"/>
        <v>0.80511470795873352</v>
      </c>
      <c r="BX119" s="696">
        <f t="shared" si="24"/>
        <v>19.523249693539103</v>
      </c>
      <c r="BY119" s="671">
        <f t="shared" si="25"/>
        <v>67.364431929460494</v>
      </c>
      <c r="BZ119" s="713">
        <f t="shared" si="61"/>
        <v>0.78649178849059465</v>
      </c>
      <c r="CA119" s="845">
        <f t="shared" si="26"/>
        <v>48.694518386230293</v>
      </c>
      <c r="CB119" s="713">
        <f t="shared" si="27"/>
        <v>0.67206984488050125</v>
      </c>
      <c r="CC119" s="713">
        <f t="shared" si="28"/>
        <v>0.6820665212020679</v>
      </c>
      <c r="CD119" s="713">
        <f t="shared" si="62"/>
        <v>0.67206984488050125</v>
      </c>
      <c r="CE119" s="1001">
        <f t="shared" si="63"/>
        <v>0.85</v>
      </c>
    </row>
    <row r="120" spans="1:83">
      <c r="A120" s="127">
        <f>'Input data'!A140</f>
        <v>2042</v>
      </c>
      <c r="B120" s="828">
        <f>'Input data'!B140</f>
        <v>72.265000000000001</v>
      </c>
      <c r="C120" s="238">
        <f>'Input data'!C140</f>
        <v>5188.1000000000004</v>
      </c>
      <c r="D120" s="238">
        <f>'Input data'!D140</f>
        <v>18251542.444090229</v>
      </c>
      <c r="E120" s="805">
        <f t="shared" si="92"/>
        <v>1</v>
      </c>
      <c r="F120" s="510">
        <f t="shared" si="93"/>
        <v>0.36725000000000002</v>
      </c>
      <c r="G120" s="674">
        <f>B120*F120*'Input data'!$C$9</f>
        <v>812.29065907219729</v>
      </c>
      <c r="H120" s="654">
        <f>'Input data'!I140</f>
        <v>424.26313389388866</v>
      </c>
      <c r="I120" s="672">
        <f>'Input data'!K140</f>
        <v>30659.375370841866</v>
      </c>
      <c r="J120" s="696">
        <f t="shared" si="95"/>
        <v>39.432581034713571</v>
      </c>
      <c r="K120" s="674">
        <f t="shared" si="66"/>
        <v>157.73032413885434</v>
      </c>
      <c r="L120" s="510">
        <f t="shared" si="94"/>
        <v>0.7</v>
      </c>
      <c r="M120" s="510">
        <f t="shared" si="91"/>
        <v>0.6</v>
      </c>
      <c r="N120" s="510">
        <f t="shared" si="91"/>
        <v>0.9</v>
      </c>
      <c r="O120" s="510">
        <f t="shared" si="91"/>
        <v>0.9</v>
      </c>
      <c r="P120" s="510">
        <f t="shared" si="91"/>
        <v>0.23600000000000002</v>
      </c>
      <c r="Q120" s="654">
        <f t="shared" si="31"/>
        <v>26.499337920908175</v>
      </c>
      <c r="R120" s="673">
        <f t="shared" si="32"/>
        <v>11.668960878701492</v>
      </c>
      <c r="S120" s="673">
        <f t="shared" si="33"/>
        <v>44.441191234244087</v>
      </c>
      <c r="T120" s="673">
        <f t="shared" si="34"/>
        <v>56.256962339656091</v>
      </c>
      <c r="U120" s="802">
        <f t="shared" si="35"/>
        <v>0.67710709475193609</v>
      </c>
      <c r="V120" s="654">
        <f t="shared" si="16"/>
        <v>139.54355946826178</v>
      </c>
      <c r="W120" s="805">
        <f t="shared" si="90"/>
        <v>0.5</v>
      </c>
      <c r="X120" s="671">
        <f t="shared" si="17"/>
        <v>53.669159952994768</v>
      </c>
      <c r="Y120" s="671">
        <f t="shared" si="18"/>
        <v>76.916015953074577</v>
      </c>
      <c r="Z120" s="672">
        <f t="shared" si="70"/>
        <v>120.24688922049333</v>
      </c>
      <c r="AA120" s="696">
        <f t="shared" si="19"/>
        <v>80.814308185779765</v>
      </c>
      <c r="AB120" s="893">
        <f t="shared" si="36"/>
        <v>0.67206984488050125</v>
      </c>
      <c r="AC120" s="135" t="str">
        <f t="shared" si="37"/>
        <v>Policies met</v>
      </c>
      <c r="AD120" s="1353">
        <f t="shared" si="38"/>
        <v>0.67206984488050125</v>
      </c>
      <c r="AE120" s="135" t="str">
        <f t="shared" si="39"/>
        <v>No</v>
      </c>
      <c r="AF120" s="1420">
        <f t="shared" si="40"/>
        <v>139.12867530930757</v>
      </c>
      <c r="AG120" s="118">
        <f t="shared" si="41"/>
        <v>39.432581034713564</v>
      </c>
      <c r="AH120" s="118">
        <f t="shared" si="20"/>
        <v>45.760541102354082</v>
      </c>
      <c r="AI120" s="118">
        <f t="shared" si="21"/>
        <v>37.035832164635039</v>
      </c>
      <c r="AJ120" s="118">
        <f t="shared" si="22"/>
        <v>16.899721007604906</v>
      </c>
      <c r="AK120" s="118">
        <f t="shared" si="42"/>
        <v>139.1286753093076</v>
      </c>
      <c r="AL120" s="910">
        <f t="shared" si="43"/>
        <v>0</v>
      </c>
      <c r="AM120" s="805">
        <f t="shared" si="71"/>
        <v>0.2834252604436</v>
      </c>
      <c r="AN120" s="510">
        <f t="shared" si="72"/>
        <v>0.32890804861485473</v>
      </c>
      <c r="AO120" s="510">
        <f t="shared" si="73"/>
        <v>0.26619841008546835</v>
      </c>
      <c r="AP120" s="510">
        <f t="shared" si="74"/>
        <v>0.1214682808560769</v>
      </c>
      <c r="AQ120" s="510">
        <f t="shared" si="48"/>
        <v>0.99999999999999989</v>
      </c>
      <c r="AR120" s="916">
        <f t="shared" si="75"/>
        <v>6.718330286861506</v>
      </c>
      <c r="AS120" s="917">
        <f t="shared" si="76"/>
        <v>10.881405661657253</v>
      </c>
      <c r="AT120" s="917">
        <f t="shared" si="77"/>
        <v>2.3248676805531701</v>
      </c>
      <c r="AU120" s="917">
        <f t="shared" si="78"/>
        <v>0</v>
      </c>
      <c r="AV120" s="917">
        <f t="shared" si="79"/>
        <v>0</v>
      </c>
      <c r="AW120" s="917">
        <f t="shared" si="80"/>
        <v>0</v>
      </c>
      <c r="AX120" s="1338">
        <f t="shared" si="81"/>
        <v>16.236099971375594</v>
      </c>
      <c r="AY120" s="917">
        <f t="shared" si="82"/>
        <v>1.307809078845948</v>
      </c>
      <c r="AZ120" s="917">
        <f t="shared" si="83"/>
        <v>0.36762547566046921</v>
      </c>
      <c r="BA120" s="917">
        <f t="shared" si="84"/>
        <v>0.94950499551831991</v>
      </c>
      <c r="BB120" s="917">
        <f t="shared" si="85"/>
        <v>0.64693788424127452</v>
      </c>
      <c r="BC120" s="673">
        <f t="shared" si="86"/>
        <v>39.432581034713529</v>
      </c>
      <c r="BD120" s="922">
        <f t="shared" si="50"/>
        <v>0</v>
      </c>
      <c r="BE120" s="840">
        <f t="shared" si="51"/>
        <v>0.17037510887119423</v>
      </c>
      <c r="BF120" s="535">
        <f t="shared" si="52"/>
        <v>0.2759496177051679</v>
      </c>
      <c r="BG120" s="535">
        <f t="shared" si="53"/>
        <v>5.8958039761752561E-2</v>
      </c>
      <c r="BH120" s="535">
        <f t="shared" si="54"/>
        <v>0</v>
      </c>
      <c r="BI120" s="535">
        <f t="shared" si="55"/>
        <v>0</v>
      </c>
      <c r="BJ120" s="535">
        <f t="shared" si="56"/>
        <v>0</v>
      </c>
      <c r="BK120" s="535">
        <f t="shared" si="57"/>
        <v>0.49471723366188552</v>
      </c>
      <c r="BL120" s="1342">
        <f t="shared" si="58"/>
        <v>1.0000000000000002</v>
      </c>
      <c r="BM120" s="1237">
        <f t="shared" si="87"/>
        <v>0.19892488097366726</v>
      </c>
      <c r="BN120" s="713">
        <f t="shared" si="87"/>
        <v>0.26585903447659598</v>
      </c>
      <c r="BO120" s="713">
        <f t="shared" si="87"/>
        <v>8.9228108703258049E-2</v>
      </c>
      <c r="BP120" s="713">
        <f t="shared" si="87"/>
        <v>0</v>
      </c>
      <c r="BQ120" s="713">
        <f t="shared" si="87"/>
        <v>0</v>
      </c>
      <c r="BR120" s="713">
        <f t="shared" si="87"/>
        <v>0</v>
      </c>
      <c r="BS120" s="713">
        <f t="shared" si="87"/>
        <v>0.4459879758464787</v>
      </c>
      <c r="BT120" s="658">
        <f t="shared" si="88"/>
        <v>1</v>
      </c>
      <c r="BV120" s="671">
        <f t="shared" si="23"/>
        <v>49.022519317246825</v>
      </c>
      <c r="BW120" s="713">
        <f t="shared" si="60"/>
        <v>0.79502034703665969</v>
      </c>
      <c r="BX120" s="696">
        <f t="shared" si="24"/>
        <v>18.25154244409023</v>
      </c>
      <c r="BY120" s="671">
        <f t="shared" si="25"/>
        <v>67.701838540652787</v>
      </c>
      <c r="BZ120" s="713">
        <f t="shared" si="61"/>
        <v>0.78610132014633283</v>
      </c>
      <c r="CA120" s="845">
        <f t="shared" si="26"/>
        <v>48.694518386230293</v>
      </c>
      <c r="CB120" s="713">
        <f t="shared" si="27"/>
        <v>0.67206984488050125</v>
      </c>
      <c r="CC120" s="713">
        <f t="shared" si="28"/>
        <v>0.65291390992733356</v>
      </c>
      <c r="CD120" s="713">
        <f t="shared" si="62"/>
        <v>0.67206984488050125</v>
      </c>
      <c r="CE120" s="1001">
        <f t="shared" si="63"/>
        <v>0.85</v>
      </c>
    </row>
    <row r="121" spans="1:83">
      <c r="A121" s="127">
        <f>'Input data'!A141</f>
        <v>2043</v>
      </c>
      <c r="B121" s="828">
        <f>'Input data'!B141</f>
        <v>72.713999999999999</v>
      </c>
      <c r="C121" s="238">
        <f>'Input data'!C141</f>
        <v>5353.7899999999991</v>
      </c>
      <c r="D121" s="238">
        <f>'Input data'!D141</f>
        <v>16979835.194641355</v>
      </c>
      <c r="E121" s="805">
        <f t="shared" si="92"/>
        <v>1</v>
      </c>
      <c r="F121" s="510">
        <f t="shared" si="93"/>
        <v>0.36725000000000002</v>
      </c>
      <c r="G121" s="674">
        <f>B121*F121*'Input data'!$C$9</f>
        <v>817.33761826300088</v>
      </c>
      <c r="H121" s="654">
        <f>'Input data'!I141</f>
        <v>424.26313389388866</v>
      </c>
      <c r="I121" s="672">
        <f>'Input data'!K141</f>
        <v>30849.869517960218</v>
      </c>
      <c r="J121" s="696">
        <f t="shared" si="95"/>
        <v>39.432581034713571</v>
      </c>
      <c r="K121" s="674">
        <f t="shared" si="66"/>
        <v>157.73032413885434</v>
      </c>
      <c r="L121" s="510">
        <f t="shared" si="94"/>
        <v>0.7</v>
      </c>
      <c r="M121" s="510">
        <f t="shared" si="91"/>
        <v>0.6</v>
      </c>
      <c r="N121" s="510">
        <f t="shared" si="91"/>
        <v>0.9</v>
      </c>
      <c r="O121" s="510">
        <f t="shared" si="91"/>
        <v>0.9</v>
      </c>
      <c r="P121" s="510">
        <f t="shared" si="91"/>
        <v>0.23600000000000002</v>
      </c>
      <c r="Q121" s="654">
        <f t="shared" si="31"/>
        <v>26.499337920908175</v>
      </c>
      <c r="R121" s="673">
        <f t="shared" si="32"/>
        <v>11.668960878701492</v>
      </c>
      <c r="S121" s="673">
        <f t="shared" si="33"/>
        <v>44.441191234244087</v>
      </c>
      <c r="T121" s="673">
        <f t="shared" si="34"/>
        <v>56.256962339656091</v>
      </c>
      <c r="U121" s="802">
        <f t="shared" si="35"/>
        <v>0.67710709475193609</v>
      </c>
      <c r="V121" s="654">
        <f t="shared" si="16"/>
        <v>139.54355946826178</v>
      </c>
      <c r="W121" s="805">
        <f t="shared" si="90"/>
        <v>0.5</v>
      </c>
      <c r="X121" s="671">
        <f t="shared" si="17"/>
        <v>53.669159952994768</v>
      </c>
      <c r="Y121" s="671">
        <f t="shared" si="18"/>
        <v>76.916015953074577</v>
      </c>
      <c r="Z121" s="672">
        <f t="shared" si="70"/>
        <v>120.24688922049333</v>
      </c>
      <c r="AA121" s="696">
        <f t="shared" si="19"/>
        <v>80.814308185779765</v>
      </c>
      <c r="AB121" s="893">
        <f t="shared" si="36"/>
        <v>0.67206984488050125</v>
      </c>
      <c r="AC121" s="135" t="str">
        <f t="shared" si="37"/>
        <v>Policies met</v>
      </c>
      <c r="AD121" s="1353">
        <f t="shared" si="38"/>
        <v>0.67206984488050125</v>
      </c>
      <c r="AE121" s="135" t="str">
        <f t="shared" si="39"/>
        <v>No</v>
      </c>
      <c r="AF121" s="1420">
        <f t="shared" si="40"/>
        <v>139.12867530930757</v>
      </c>
      <c r="AG121" s="118">
        <f t="shared" si="41"/>
        <v>39.432581034713564</v>
      </c>
      <c r="AH121" s="118">
        <f t="shared" si="20"/>
        <v>45.760541102354082</v>
      </c>
      <c r="AI121" s="118">
        <f t="shared" si="21"/>
        <v>37.035832164635039</v>
      </c>
      <c r="AJ121" s="118">
        <f t="shared" si="22"/>
        <v>16.899721007604906</v>
      </c>
      <c r="AK121" s="118">
        <f t="shared" si="42"/>
        <v>139.1286753093076</v>
      </c>
      <c r="AL121" s="910">
        <f t="shared" si="43"/>
        <v>0</v>
      </c>
      <c r="AM121" s="805">
        <f t="shared" si="44"/>
        <v>0.2834252604436</v>
      </c>
      <c r="AN121" s="510">
        <f t="shared" si="45"/>
        <v>0.32890804861485473</v>
      </c>
      <c r="AO121" s="510">
        <f t="shared" si="46"/>
        <v>0.26619841008546835</v>
      </c>
      <c r="AP121" s="510">
        <f t="shared" si="47"/>
        <v>0.1214682808560769</v>
      </c>
      <c r="AQ121" s="510">
        <f t="shared" si="48"/>
        <v>0.99999999999999989</v>
      </c>
      <c r="AR121" s="916">
        <f t="shared" si="75"/>
        <v>6.718330286861506</v>
      </c>
      <c r="AS121" s="917">
        <f t="shared" si="76"/>
        <v>10.881405661657253</v>
      </c>
      <c r="AT121" s="917">
        <f t="shared" si="77"/>
        <v>2.3248676805531701</v>
      </c>
      <c r="AU121" s="917">
        <f t="shared" si="78"/>
        <v>0</v>
      </c>
      <c r="AV121" s="917">
        <f t="shared" si="79"/>
        <v>0</v>
      </c>
      <c r="AW121" s="917">
        <f t="shared" si="80"/>
        <v>0</v>
      </c>
      <c r="AX121" s="1338">
        <f t="shared" si="81"/>
        <v>16.236099971375594</v>
      </c>
      <c r="AY121" s="917">
        <f t="shared" si="82"/>
        <v>1.307809078845948</v>
      </c>
      <c r="AZ121" s="917">
        <f t="shared" si="83"/>
        <v>0.36762547566046921</v>
      </c>
      <c r="BA121" s="917">
        <f t="shared" si="84"/>
        <v>0.94950499551831991</v>
      </c>
      <c r="BB121" s="917">
        <f t="shared" si="85"/>
        <v>0.64693788424127452</v>
      </c>
      <c r="BC121" s="673">
        <f t="shared" si="86"/>
        <v>39.432581034713529</v>
      </c>
      <c r="BD121" s="922">
        <f t="shared" si="50"/>
        <v>0</v>
      </c>
      <c r="BE121" s="840">
        <f t="shared" si="51"/>
        <v>0.17037510887119423</v>
      </c>
      <c r="BF121" s="535">
        <f t="shared" si="52"/>
        <v>0.2759496177051679</v>
      </c>
      <c r="BG121" s="535">
        <f t="shared" si="53"/>
        <v>5.8958039761752561E-2</v>
      </c>
      <c r="BH121" s="535">
        <f t="shared" si="54"/>
        <v>0</v>
      </c>
      <c r="BI121" s="535">
        <f t="shared" si="55"/>
        <v>0</v>
      </c>
      <c r="BJ121" s="535">
        <f t="shared" si="56"/>
        <v>0</v>
      </c>
      <c r="BK121" s="535">
        <f t="shared" si="57"/>
        <v>0.49471723366188552</v>
      </c>
      <c r="BL121" s="1342">
        <f t="shared" si="58"/>
        <v>1.0000000000000002</v>
      </c>
      <c r="BM121" s="1237">
        <f t="shared" si="87"/>
        <v>0.19892488097366726</v>
      </c>
      <c r="BN121" s="713">
        <f t="shared" si="87"/>
        <v>0.26585903447659598</v>
      </c>
      <c r="BO121" s="713">
        <f t="shared" si="87"/>
        <v>8.9228108703258049E-2</v>
      </c>
      <c r="BP121" s="713">
        <f t="shared" si="87"/>
        <v>0</v>
      </c>
      <c r="BQ121" s="713">
        <f t="shared" si="87"/>
        <v>0</v>
      </c>
      <c r="BR121" s="713">
        <f t="shared" si="87"/>
        <v>0</v>
      </c>
      <c r="BS121" s="713">
        <f t="shared" si="87"/>
        <v>0.4459879758464787</v>
      </c>
      <c r="BT121" s="658">
        <f t="shared" si="88"/>
        <v>1</v>
      </c>
      <c r="BV121" s="671">
        <f t="shared" si="23"/>
        <v>50.181289906898819</v>
      </c>
      <c r="BW121" s="713">
        <f t="shared" si="60"/>
        <v>0.78522772456567103</v>
      </c>
      <c r="BX121" s="696">
        <f t="shared" si="24"/>
        <v>16.979835194641357</v>
      </c>
      <c r="BY121" s="671">
        <f t="shared" si="25"/>
        <v>68.050241176069065</v>
      </c>
      <c r="BZ121" s="713">
        <f t="shared" si="61"/>
        <v>0.78567464074495208</v>
      </c>
      <c r="CA121" s="845">
        <f t="shared" si="26"/>
        <v>48.694518386230293</v>
      </c>
      <c r="CB121" s="713">
        <f t="shared" si="27"/>
        <v>0.67206984488050125</v>
      </c>
      <c r="CC121" s="713">
        <f t="shared" si="28"/>
        <v>0.62521022322364217</v>
      </c>
      <c r="CD121" s="713">
        <f t="shared" si="62"/>
        <v>0.67206984488050125</v>
      </c>
      <c r="CE121" s="1001">
        <f t="shared" si="63"/>
        <v>0.85</v>
      </c>
    </row>
    <row r="122" spans="1:83">
      <c r="A122" s="127">
        <f>'Input data'!A142</f>
        <v>2044</v>
      </c>
      <c r="B122" s="828">
        <f>'Input data'!B142</f>
        <v>73.165000000000006</v>
      </c>
      <c r="C122" s="238">
        <f>'Input data'!C142</f>
        <v>5526.5000000000018</v>
      </c>
      <c r="D122" s="238">
        <f>'Input data'!D142</f>
        <v>15708127.94519248</v>
      </c>
      <c r="E122" s="805">
        <f t="shared" si="92"/>
        <v>1</v>
      </c>
      <c r="F122" s="510">
        <f t="shared" si="93"/>
        <v>0.36725000000000002</v>
      </c>
      <c r="G122" s="674">
        <f>B122*F122*'Input data'!$C$9</f>
        <v>822.4070583410687</v>
      </c>
      <c r="H122" s="654">
        <f>'Input data'!I142</f>
        <v>424.26313389388866</v>
      </c>
      <c r="I122" s="672">
        <f>'Input data'!K142</f>
        <v>31041.212191346367</v>
      </c>
      <c r="J122" s="696">
        <f t="shared" si="95"/>
        <v>39.432581034713571</v>
      </c>
      <c r="K122" s="674">
        <f t="shared" si="66"/>
        <v>157.73032413885434</v>
      </c>
      <c r="L122" s="510">
        <f t="shared" si="94"/>
        <v>0.7</v>
      </c>
      <c r="M122" s="510">
        <f t="shared" si="91"/>
        <v>0.6</v>
      </c>
      <c r="N122" s="510">
        <f t="shared" si="91"/>
        <v>0.9</v>
      </c>
      <c r="O122" s="510">
        <f t="shared" si="91"/>
        <v>0.9</v>
      </c>
      <c r="P122" s="510">
        <f t="shared" si="91"/>
        <v>0.23600000000000002</v>
      </c>
      <c r="Q122" s="654">
        <f t="shared" si="31"/>
        <v>26.499337920908175</v>
      </c>
      <c r="R122" s="673">
        <f t="shared" si="32"/>
        <v>11.668960878701492</v>
      </c>
      <c r="S122" s="673">
        <f t="shared" si="33"/>
        <v>44.441191234244087</v>
      </c>
      <c r="T122" s="673">
        <f t="shared" si="34"/>
        <v>56.256962339656091</v>
      </c>
      <c r="U122" s="802">
        <f t="shared" si="35"/>
        <v>0.67710709475193609</v>
      </c>
      <c r="V122" s="654">
        <f t="shared" si="16"/>
        <v>139.54355946826178</v>
      </c>
      <c r="W122" s="805">
        <f t="shared" si="90"/>
        <v>0.5</v>
      </c>
      <c r="X122" s="671">
        <f t="shared" si="17"/>
        <v>53.669159952994768</v>
      </c>
      <c r="Y122" s="671">
        <f t="shared" si="18"/>
        <v>76.916015953074577</v>
      </c>
      <c r="Z122" s="672">
        <f t="shared" si="70"/>
        <v>120.24688922049333</v>
      </c>
      <c r="AA122" s="696">
        <f t="shared" si="19"/>
        <v>80.814308185779765</v>
      </c>
      <c r="AB122" s="893">
        <f t="shared" si="36"/>
        <v>0.67206984488050125</v>
      </c>
      <c r="AC122" s="135" t="str">
        <f t="shared" si="37"/>
        <v>Policies met</v>
      </c>
      <c r="AD122" s="1353">
        <f t="shared" si="38"/>
        <v>0.67206984488050125</v>
      </c>
      <c r="AE122" s="135" t="str">
        <f t="shared" si="39"/>
        <v>No</v>
      </c>
      <c r="AF122" s="1420">
        <f t="shared" si="40"/>
        <v>139.12867530930757</v>
      </c>
      <c r="AG122" s="118">
        <f t="shared" si="41"/>
        <v>39.432581034713564</v>
      </c>
      <c r="AH122" s="118">
        <f t="shared" si="20"/>
        <v>45.760541102354082</v>
      </c>
      <c r="AI122" s="118">
        <f t="shared" si="21"/>
        <v>37.035832164635039</v>
      </c>
      <c r="AJ122" s="118">
        <f t="shared" si="22"/>
        <v>16.899721007604906</v>
      </c>
      <c r="AK122" s="118">
        <f t="shared" si="42"/>
        <v>139.1286753093076</v>
      </c>
      <c r="AL122" s="910">
        <f t="shared" si="43"/>
        <v>0</v>
      </c>
      <c r="AM122" s="805">
        <f t="shared" si="44"/>
        <v>0.2834252604436</v>
      </c>
      <c r="AN122" s="510">
        <f t="shared" si="45"/>
        <v>0.32890804861485473</v>
      </c>
      <c r="AO122" s="510">
        <f t="shared" si="46"/>
        <v>0.26619841008546835</v>
      </c>
      <c r="AP122" s="510">
        <f t="shared" si="47"/>
        <v>0.1214682808560769</v>
      </c>
      <c r="AQ122" s="510">
        <f t="shared" si="48"/>
        <v>0.99999999999999989</v>
      </c>
      <c r="AR122" s="916">
        <f t="shared" si="75"/>
        <v>6.718330286861506</v>
      </c>
      <c r="AS122" s="917">
        <f t="shared" si="76"/>
        <v>10.881405661657253</v>
      </c>
      <c r="AT122" s="917">
        <f t="shared" si="77"/>
        <v>2.3248676805531701</v>
      </c>
      <c r="AU122" s="917">
        <f t="shared" si="78"/>
        <v>0</v>
      </c>
      <c r="AV122" s="917">
        <f t="shared" si="79"/>
        <v>0</v>
      </c>
      <c r="AW122" s="917">
        <f t="shared" si="80"/>
        <v>0</v>
      </c>
      <c r="AX122" s="1338">
        <f t="shared" si="81"/>
        <v>16.236099971375594</v>
      </c>
      <c r="AY122" s="917">
        <f t="shared" si="82"/>
        <v>1.307809078845948</v>
      </c>
      <c r="AZ122" s="917">
        <f t="shared" si="83"/>
        <v>0.36762547566046921</v>
      </c>
      <c r="BA122" s="917">
        <f t="shared" si="84"/>
        <v>0.94950499551831991</v>
      </c>
      <c r="BB122" s="917">
        <f t="shared" si="85"/>
        <v>0.64693788424127452</v>
      </c>
      <c r="BC122" s="673">
        <f t="shared" si="49"/>
        <v>39.432581034713529</v>
      </c>
      <c r="BD122" s="922">
        <f t="shared" si="50"/>
        <v>0</v>
      </c>
      <c r="BE122" s="840">
        <f t="shared" si="51"/>
        <v>0.17037510887119423</v>
      </c>
      <c r="BF122" s="535">
        <f t="shared" si="52"/>
        <v>0.2759496177051679</v>
      </c>
      <c r="BG122" s="535">
        <f t="shared" si="53"/>
        <v>5.8958039761752561E-2</v>
      </c>
      <c r="BH122" s="535">
        <f t="shared" si="54"/>
        <v>0</v>
      </c>
      <c r="BI122" s="535">
        <f t="shared" si="55"/>
        <v>0</v>
      </c>
      <c r="BJ122" s="535">
        <f t="shared" si="56"/>
        <v>0</v>
      </c>
      <c r="BK122" s="535">
        <f t="shared" si="57"/>
        <v>0.49471723366188552</v>
      </c>
      <c r="BL122" s="1342">
        <f t="shared" si="58"/>
        <v>1.0000000000000002</v>
      </c>
      <c r="BM122" s="1237">
        <f t="shared" si="87"/>
        <v>0.19892488097366726</v>
      </c>
      <c r="BN122" s="713">
        <f t="shared" si="87"/>
        <v>0.26585903447659598</v>
      </c>
      <c r="BO122" s="713">
        <f t="shared" si="87"/>
        <v>8.9228108703258049E-2</v>
      </c>
      <c r="BP122" s="713">
        <f t="shared" si="87"/>
        <v>0</v>
      </c>
      <c r="BQ122" s="713">
        <f t="shared" si="87"/>
        <v>0</v>
      </c>
      <c r="BR122" s="713">
        <f t="shared" si="87"/>
        <v>0</v>
      </c>
      <c r="BS122" s="713">
        <f t="shared" si="87"/>
        <v>0.4459879758464787</v>
      </c>
      <c r="BT122" s="658">
        <f t="shared" si="88"/>
        <v>1</v>
      </c>
      <c r="BV122" s="671">
        <f t="shared" si="23"/>
        <v>51.391093103402163</v>
      </c>
      <c r="BW122" s="713">
        <f t="shared" si="60"/>
        <v>0.7757037971396038</v>
      </c>
      <c r="BX122" s="696">
        <f t="shared" si="24"/>
        <v>15.70812794519248</v>
      </c>
      <c r="BY122" s="671">
        <f t="shared" si="25"/>
        <v>68.411036594146012</v>
      </c>
      <c r="BZ122" s="713">
        <f t="shared" si="61"/>
        <v>0.7852041902626834</v>
      </c>
      <c r="CA122" s="845">
        <f t="shared" si="26"/>
        <v>48.694518386230293</v>
      </c>
      <c r="CB122" s="713">
        <f t="shared" si="27"/>
        <v>0.67206984488050125</v>
      </c>
      <c r="CC122" s="713">
        <f t="shared" si="28"/>
        <v>0.59888070839722707</v>
      </c>
      <c r="CD122" s="713">
        <f t="shared" si="62"/>
        <v>0.67206984488050125</v>
      </c>
      <c r="CE122" s="1001">
        <f t="shared" si="63"/>
        <v>0.85</v>
      </c>
    </row>
    <row r="123" spans="1:83">
      <c r="A123" s="127">
        <f>'Input data'!A143</f>
        <v>2045</v>
      </c>
      <c r="B123" s="828">
        <f>'Input data'!B143</f>
        <v>73.62</v>
      </c>
      <c r="C123" s="238">
        <f>'Input data'!C143</f>
        <v>5709.93</v>
      </c>
      <c r="D123" s="238">
        <f>'Input data'!D143</f>
        <v>14436420.695743607</v>
      </c>
      <c r="E123" s="805">
        <f t="shared" si="92"/>
        <v>1</v>
      </c>
      <c r="F123" s="510">
        <f t="shared" si="93"/>
        <v>0.36725000000000002</v>
      </c>
      <c r="G123" s="674">
        <f>B123*F123*'Input data'!$C$9</f>
        <v>827.52146019366455</v>
      </c>
      <c r="H123" s="654">
        <f>'Input data'!I143</f>
        <v>424.26313389388866</v>
      </c>
      <c r="I123" s="672">
        <f>'Input data'!K143</f>
        <v>31234.251917268084</v>
      </c>
      <c r="J123" s="696">
        <f t="shared" si="95"/>
        <v>39.432581034713571</v>
      </c>
      <c r="K123" s="674">
        <f t="shared" si="66"/>
        <v>157.73032413885434</v>
      </c>
      <c r="L123" s="510">
        <f t="shared" si="94"/>
        <v>0.7</v>
      </c>
      <c r="M123" s="510">
        <f t="shared" si="91"/>
        <v>0.6</v>
      </c>
      <c r="N123" s="510">
        <f t="shared" si="91"/>
        <v>0.9</v>
      </c>
      <c r="O123" s="510">
        <f t="shared" si="91"/>
        <v>0.9</v>
      </c>
      <c r="P123" s="510">
        <f t="shared" si="91"/>
        <v>0.23600000000000002</v>
      </c>
      <c r="Q123" s="654">
        <f t="shared" si="31"/>
        <v>26.499337920908175</v>
      </c>
      <c r="R123" s="673">
        <f t="shared" si="32"/>
        <v>11.668960878701492</v>
      </c>
      <c r="S123" s="673">
        <f t="shared" si="33"/>
        <v>44.441191234244087</v>
      </c>
      <c r="T123" s="673">
        <f t="shared" si="34"/>
        <v>56.256962339656091</v>
      </c>
      <c r="U123" s="802">
        <f t="shared" si="35"/>
        <v>0.67710709475193609</v>
      </c>
      <c r="V123" s="654">
        <f t="shared" si="16"/>
        <v>139.54355946826178</v>
      </c>
      <c r="W123" s="805">
        <f t="shared" si="90"/>
        <v>0.5</v>
      </c>
      <c r="X123" s="671">
        <f t="shared" si="17"/>
        <v>53.669159952994768</v>
      </c>
      <c r="Y123" s="671">
        <f t="shared" si="18"/>
        <v>76.916015953074577</v>
      </c>
      <c r="Z123" s="672">
        <f t="shared" si="70"/>
        <v>120.24688922049333</v>
      </c>
      <c r="AA123" s="696">
        <f t="shared" si="19"/>
        <v>80.814308185779765</v>
      </c>
      <c r="AB123" s="893">
        <f t="shared" si="36"/>
        <v>0.67206984488050125</v>
      </c>
      <c r="AC123" s="135" t="str">
        <f t="shared" si="37"/>
        <v>Policies met</v>
      </c>
      <c r="AD123" s="1353">
        <f t="shared" si="38"/>
        <v>0.67206984488050125</v>
      </c>
      <c r="AE123" s="135" t="str">
        <f t="shared" si="39"/>
        <v>No</v>
      </c>
      <c r="AF123" s="1420">
        <f t="shared" si="40"/>
        <v>139.12867530930757</v>
      </c>
      <c r="AG123" s="118">
        <f t="shared" si="41"/>
        <v>39.432581034713564</v>
      </c>
      <c r="AH123" s="118">
        <f t="shared" si="20"/>
        <v>45.760541102354082</v>
      </c>
      <c r="AI123" s="118">
        <f t="shared" si="21"/>
        <v>37.035832164635039</v>
      </c>
      <c r="AJ123" s="118">
        <f t="shared" si="22"/>
        <v>16.899721007604906</v>
      </c>
      <c r="AK123" s="118">
        <f t="shared" si="42"/>
        <v>139.1286753093076</v>
      </c>
      <c r="AL123" s="910">
        <f t="shared" si="43"/>
        <v>0</v>
      </c>
      <c r="AM123" s="805">
        <f t="shared" si="44"/>
        <v>0.2834252604436</v>
      </c>
      <c r="AN123" s="510">
        <f t="shared" si="45"/>
        <v>0.32890804861485473</v>
      </c>
      <c r="AO123" s="510">
        <f t="shared" si="46"/>
        <v>0.26619841008546835</v>
      </c>
      <c r="AP123" s="510">
        <f t="shared" si="47"/>
        <v>0.1214682808560769</v>
      </c>
      <c r="AQ123" s="510">
        <f t="shared" si="48"/>
        <v>0.99999999999999989</v>
      </c>
      <c r="AR123" s="916">
        <f t="shared" si="75"/>
        <v>6.718330286861506</v>
      </c>
      <c r="AS123" s="917">
        <f t="shared" si="76"/>
        <v>10.881405661657253</v>
      </c>
      <c r="AT123" s="917">
        <f t="shared" si="77"/>
        <v>2.3248676805531701</v>
      </c>
      <c r="AU123" s="917">
        <f t="shared" si="78"/>
        <v>0</v>
      </c>
      <c r="AV123" s="917">
        <f t="shared" si="79"/>
        <v>0</v>
      </c>
      <c r="AW123" s="917">
        <f t="shared" si="80"/>
        <v>0</v>
      </c>
      <c r="AX123" s="1338">
        <f t="shared" si="81"/>
        <v>16.236099971375594</v>
      </c>
      <c r="AY123" s="917">
        <f t="shared" si="82"/>
        <v>1.307809078845948</v>
      </c>
      <c r="AZ123" s="917">
        <f t="shared" si="83"/>
        <v>0.36762547566046921</v>
      </c>
      <c r="BA123" s="917">
        <f t="shared" si="84"/>
        <v>0.94950499551831991</v>
      </c>
      <c r="BB123" s="917">
        <f t="shared" si="85"/>
        <v>0.64693788424127452</v>
      </c>
      <c r="BC123" s="673">
        <f t="shared" si="49"/>
        <v>39.432581034713529</v>
      </c>
      <c r="BD123" s="922">
        <f t="shared" si="50"/>
        <v>0</v>
      </c>
      <c r="BE123" s="840">
        <f t="shared" si="51"/>
        <v>0.17037510887119423</v>
      </c>
      <c r="BF123" s="535">
        <f t="shared" si="52"/>
        <v>0.2759496177051679</v>
      </c>
      <c r="BG123" s="535">
        <f t="shared" si="53"/>
        <v>5.8958039761752561E-2</v>
      </c>
      <c r="BH123" s="535">
        <f t="shared" si="54"/>
        <v>0</v>
      </c>
      <c r="BI123" s="535">
        <f t="shared" si="55"/>
        <v>0</v>
      </c>
      <c r="BJ123" s="535">
        <f t="shared" si="56"/>
        <v>0</v>
      </c>
      <c r="BK123" s="535">
        <f t="shared" si="57"/>
        <v>0.49471723366188552</v>
      </c>
      <c r="BL123" s="1342">
        <f t="shared" si="58"/>
        <v>1.0000000000000002</v>
      </c>
      <c r="BM123" s="1237">
        <f t="shared" si="87"/>
        <v>0.19892488097366726</v>
      </c>
      <c r="BN123" s="713">
        <f t="shared" si="87"/>
        <v>0.26585903447659598</v>
      </c>
      <c r="BO123" s="713">
        <f t="shared" si="87"/>
        <v>8.9228108703258049E-2</v>
      </c>
      <c r="BP123" s="713">
        <f t="shared" si="87"/>
        <v>0</v>
      </c>
      <c r="BQ123" s="713">
        <f t="shared" si="87"/>
        <v>0</v>
      </c>
      <c r="BR123" s="713">
        <f t="shared" si="87"/>
        <v>0</v>
      </c>
      <c r="BS123" s="713">
        <f t="shared" si="87"/>
        <v>0.4459879758464787</v>
      </c>
      <c r="BT123" s="658">
        <f t="shared" si="88"/>
        <v>1</v>
      </c>
      <c r="BV123" s="671">
        <f t="shared" si="23"/>
        <v>52.678958032077809</v>
      </c>
      <c r="BW123" s="713">
        <f t="shared" si="60"/>
        <v>0.7663262452727585</v>
      </c>
      <c r="BX123" s="696">
        <f t="shared" si="24"/>
        <v>14.436420695743607</v>
      </c>
      <c r="BY123" s="671">
        <f t="shared" si="25"/>
        <v>68.790888200901932</v>
      </c>
      <c r="BZ123" s="713">
        <f t="shared" si="61"/>
        <v>0.78466741329346978</v>
      </c>
      <c r="CA123" s="845">
        <f t="shared" si="26"/>
        <v>48.694518386230293</v>
      </c>
      <c r="CB123" s="713">
        <f t="shared" si="27"/>
        <v>0.67206984488050125</v>
      </c>
      <c r="CC123" s="713">
        <f t="shared" si="28"/>
        <v>0.57376665571865815</v>
      </c>
      <c r="CD123" s="713">
        <f t="shared" si="62"/>
        <v>0.67206984488050125</v>
      </c>
      <c r="CE123" s="1001">
        <f t="shared" si="63"/>
        <v>0.85</v>
      </c>
    </row>
    <row r="124" spans="1:83">
      <c r="A124" s="127">
        <f>'Input data'!A144</f>
        <v>2046</v>
      </c>
      <c r="B124" s="828">
        <f>'Input data'!B144</f>
        <v>73.995000000000005</v>
      </c>
      <c r="C124" s="238">
        <f>'Input data'!C144</f>
        <v>5902.43</v>
      </c>
      <c r="D124" s="238">
        <f>'Input data'!D144</f>
        <v>13163017.836628802</v>
      </c>
      <c r="E124" s="805">
        <f t="shared" si="92"/>
        <v>1</v>
      </c>
      <c r="F124" s="510">
        <f t="shared" si="93"/>
        <v>0.36725000000000002</v>
      </c>
      <c r="G124" s="674">
        <f>B124*F124*'Input data'!$C$9</f>
        <v>831.73662655569433</v>
      </c>
      <c r="H124" s="654">
        <f>'Input data'!I144</f>
        <v>424.26313389388866</v>
      </c>
      <c r="I124" s="672">
        <f>'Input data'!K144</f>
        <v>31393.350592478295</v>
      </c>
      <c r="J124" s="696">
        <f t="shared" si="95"/>
        <v>39.432581034713571</v>
      </c>
      <c r="K124" s="674">
        <f t="shared" si="66"/>
        <v>157.73032413885434</v>
      </c>
      <c r="L124" s="510">
        <f t="shared" si="94"/>
        <v>0.7</v>
      </c>
      <c r="M124" s="510">
        <f t="shared" si="91"/>
        <v>0.6</v>
      </c>
      <c r="N124" s="510">
        <f t="shared" si="91"/>
        <v>0.9</v>
      </c>
      <c r="O124" s="510">
        <f t="shared" si="91"/>
        <v>0.9</v>
      </c>
      <c r="P124" s="510">
        <f t="shared" si="91"/>
        <v>0.23600000000000002</v>
      </c>
      <c r="Q124" s="654">
        <f t="shared" si="31"/>
        <v>26.499337920908175</v>
      </c>
      <c r="R124" s="673">
        <f t="shared" si="32"/>
        <v>11.668960878701492</v>
      </c>
      <c r="S124" s="673">
        <f t="shared" si="33"/>
        <v>44.441191234244087</v>
      </c>
      <c r="T124" s="673">
        <f t="shared" si="34"/>
        <v>56.256962339656091</v>
      </c>
      <c r="U124" s="802">
        <f t="shared" si="35"/>
        <v>0.67710709475193609</v>
      </c>
      <c r="V124" s="654">
        <f t="shared" si="16"/>
        <v>139.54355946826178</v>
      </c>
      <c r="W124" s="805">
        <f t="shared" si="90"/>
        <v>0.5</v>
      </c>
      <c r="X124" s="671">
        <f t="shared" si="17"/>
        <v>53.669159952994768</v>
      </c>
      <c r="Y124" s="671">
        <f t="shared" si="18"/>
        <v>76.916015953074577</v>
      </c>
      <c r="Z124" s="672">
        <f t="shared" si="70"/>
        <v>120.24688922049333</v>
      </c>
      <c r="AA124" s="696">
        <f t="shared" si="19"/>
        <v>80.814308185779765</v>
      </c>
      <c r="AB124" s="893">
        <f t="shared" si="36"/>
        <v>0.67206984488050125</v>
      </c>
      <c r="AC124" s="135" t="str">
        <f t="shared" si="37"/>
        <v>Policies met</v>
      </c>
      <c r="AD124" s="1353">
        <f t="shared" si="38"/>
        <v>0.67206984488050125</v>
      </c>
      <c r="AE124" s="135" t="str">
        <f t="shared" si="39"/>
        <v>No</v>
      </c>
      <c r="AF124" s="1420">
        <f t="shared" si="40"/>
        <v>139.12867530930757</v>
      </c>
      <c r="AG124" s="118">
        <f t="shared" si="41"/>
        <v>39.432581034713564</v>
      </c>
      <c r="AH124" s="118">
        <f t="shared" si="20"/>
        <v>45.760541102354082</v>
      </c>
      <c r="AI124" s="118">
        <f t="shared" si="21"/>
        <v>37.035832164635039</v>
      </c>
      <c r="AJ124" s="118">
        <f t="shared" si="22"/>
        <v>16.899721007604906</v>
      </c>
      <c r="AK124" s="118">
        <f t="shared" si="42"/>
        <v>139.1286753093076</v>
      </c>
      <c r="AL124" s="910">
        <f t="shared" si="43"/>
        <v>0</v>
      </c>
      <c r="AM124" s="805">
        <f t="shared" si="44"/>
        <v>0.2834252604436</v>
      </c>
      <c r="AN124" s="510">
        <f t="shared" si="45"/>
        <v>0.32890804861485473</v>
      </c>
      <c r="AO124" s="510">
        <f t="shared" si="46"/>
        <v>0.26619841008546835</v>
      </c>
      <c r="AP124" s="510">
        <f t="shared" si="47"/>
        <v>0.1214682808560769</v>
      </c>
      <c r="AQ124" s="510">
        <f t="shared" si="48"/>
        <v>0.99999999999999989</v>
      </c>
      <c r="AR124" s="916">
        <f t="shared" si="75"/>
        <v>6.718330286861506</v>
      </c>
      <c r="AS124" s="917">
        <f t="shared" si="76"/>
        <v>10.881405661657253</v>
      </c>
      <c r="AT124" s="917">
        <f t="shared" si="77"/>
        <v>2.3248676805531701</v>
      </c>
      <c r="AU124" s="917">
        <f t="shared" si="78"/>
        <v>0</v>
      </c>
      <c r="AV124" s="917">
        <f t="shared" si="79"/>
        <v>0</v>
      </c>
      <c r="AW124" s="917">
        <f t="shared" si="80"/>
        <v>0</v>
      </c>
      <c r="AX124" s="1338">
        <f t="shared" si="81"/>
        <v>16.236099971375594</v>
      </c>
      <c r="AY124" s="917">
        <f t="shared" si="82"/>
        <v>1.307809078845948</v>
      </c>
      <c r="AZ124" s="917">
        <f t="shared" si="83"/>
        <v>0.36762547566046921</v>
      </c>
      <c r="BA124" s="917">
        <f t="shared" si="84"/>
        <v>0.94950499551831991</v>
      </c>
      <c r="BB124" s="917">
        <f t="shared" si="85"/>
        <v>0.64693788424127452</v>
      </c>
      <c r="BC124" s="673">
        <f t="shared" si="49"/>
        <v>39.432581034713529</v>
      </c>
      <c r="BD124" s="922">
        <f t="shared" si="50"/>
        <v>0</v>
      </c>
      <c r="BE124" s="840">
        <f t="shared" si="51"/>
        <v>0.17037510887119423</v>
      </c>
      <c r="BF124" s="535">
        <f t="shared" si="52"/>
        <v>0.2759496177051679</v>
      </c>
      <c r="BG124" s="535">
        <f t="shared" si="53"/>
        <v>5.8958039761752561E-2</v>
      </c>
      <c r="BH124" s="535">
        <f t="shared" si="54"/>
        <v>0</v>
      </c>
      <c r="BI124" s="535">
        <f t="shared" si="55"/>
        <v>0</v>
      </c>
      <c r="BJ124" s="535">
        <f t="shared" si="56"/>
        <v>0</v>
      </c>
      <c r="BK124" s="535">
        <f t="shared" si="57"/>
        <v>0.49471723366188552</v>
      </c>
      <c r="BL124" s="1342">
        <f t="shared" si="58"/>
        <v>1.0000000000000002</v>
      </c>
      <c r="BM124" s="1237">
        <f t="shared" si="87"/>
        <v>0.19892488097366726</v>
      </c>
      <c r="BN124" s="713">
        <f t="shared" si="87"/>
        <v>0.26585903447659598</v>
      </c>
      <c r="BO124" s="713">
        <f t="shared" si="87"/>
        <v>8.9228108703258049E-2</v>
      </c>
      <c r="BP124" s="713">
        <f t="shared" si="87"/>
        <v>0</v>
      </c>
      <c r="BQ124" s="713">
        <f t="shared" si="87"/>
        <v>0</v>
      </c>
      <c r="BR124" s="713">
        <f t="shared" si="87"/>
        <v>0</v>
      </c>
      <c r="BS124" s="713">
        <f t="shared" si="87"/>
        <v>0.4459879758464787</v>
      </c>
      <c r="BT124" s="658">
        <f t="shared" si="88"/>
        <v>1</v>
      </c>
      <c r="BV124" s="671">
        <f t="shared" si="23"/>
        <v>54.021132935113719</v>
      </c>
      <c r="BW124" s="713">
        <f t="shared" si="60"/>
        <v>0.75699021444823655</v>
      </c>
      <c r="BX124" s="696">
        <f t="shared" si="24"/>
        <v>13.163017836628802</v>
      </c>
      <c r="BY124" s="671">
        <f t="shared" si="25"/>
        <v>69.175261756448222</v>
      </c>
      <c r="BZ124" s="713">
        <f t="shared" si="61"/>
        <v>0.78392897808228323</v>
      </c>
      <c r="CA124" s="845">
        <f t="shared" si="26"/>
        <v>48.694518386230293</v>
      </c>
      <c r="CB124" s="713">
        <f t="shared" si="27"/>
        <v>0.67206984488050125</v>
      </c>
      <c r="CC124" s="713">
        <f t="shared" si="28"/>
        <v>0.5499184514241563</v>
      </c>
      <c r="CD124" s="713">
        <f t="shared" si="62"/>
        <v>0.67206984488050125</v>
      </c>
      <c r="CE124" s="1001">
        <f t="shared" si="63"/>
        <v>0.85</v>
      </c>
    </row>
    <row r="125" spans="1:83" s="1" customFormat="1">
      <c r="A125" s="157">
        <f>'Input data'!A145</f>
        <v>2047</v>
      </c>
      <c r="B125" s="829">
        <f>'Input data'!B145</f>
        <v>74.373000000000005</v>
      </c>
      <c r="C125" s="662">
        <f>'Input data'!C145</f>
        <v>6104.119999999999</v>
      </c>
      <c r="D125" s="662">
        <f>'Input data'!D145</f>
        <v>11891310.587179929</v>
      </c>
      <c r="E125" s="805">
        <f t="shared" si="92"/>
        <v>1</v>
      </c>
      <c r="F125" s="510">
        <f t="shared" si="93"/>
        <v>0.36725000000000002</v>
      </c>
      <c r="G125" s="945">
        <f>B125*F125*'Input data'!$C$9</f>
        <v>835.98551424862012</v>
      </c>
      <c r="H125" s="809">
        <f>'Input data'!I145</f>
        <v>424.26313389388866</v>
      </c>
      <c r="I125" s="850">
        <f>'Input data'!K145</f>
        <v>31553.722057090185</v>
      </c>
      <c r="J125" s="696">
        <f t="shared" si="95"/>
        <v>39.432581034713571</v>
      </c>
      <c r="K125" s="674">
        <f t="shared" si="66"/>
        <v>157.73032413885434</v>
      </c>
      <c r="L125" s="498">
        <f t="shared" si="94"/>
        <v>0.7</v>
      </c>
      <c r="M125" s="498">
        <f t="shared" si="94"/>
        <v>0.6</v>
      </c>
      <c r="N125" s="498">
        <f t="shared" si="94"/>
        <v>0.9</v>
      </c>
      <c r="O125" s="498">
        <f t="shared" si="94"/>
        <v>0.9</v>
      </c>
      <c r="P125" s="498">
        <f t="shared" si="94"/>
        <v>0.23600000000000002</v>
      </c>
      <c r="Q125" s="654">
        <f t="shared" si="31"/>
        <v>26.499337920908175</v>
      </c>
      <c r="R125" s="673">
        <f t="shared" si="32"/>
        <v>11.668960878701492</v>
      </c>
      <c r="S125" s="673">
        <f t="shared" si="33"/>
        <v>44.441191234244087</v>
      </c>
      <c r="T125" s="673">
        <f t="shared" si="34"/>
        <v>56.256962339656091</v>
      </c>
      <c r="U125" s="802">
        <f t="shared" si="35"/>
        <v>0.67710709475193609</v>
      </c>
      <c r="V125" s="654">
        <f t="shared" si="16"/>
        <v>139.54355946826178</v>
      </c>
      <c r="W125" s="805">
        <f t="shared" si="90"/>
        <v>0.5</v>
      </c>
      <c r="X125" s="671">
        <f t="shared" si="17"/>
        <v>53.669159952994768</v>
      </c>
      <c r="Y125" s="671">
        <f t="shared" si="18"/>
        <v>76.916015953074577</v>
      </c>
      <c r="Z125" s="672">
        <f t="shared" si="70"/>
        <v>120.24688922049333</v>
      </c>
      <c r="AA125" s="696">
        <f t="shared" si="19"/>
        <v>80.814308185779765</v>
      </c>
      <c r="AB125" s="893">
        <f t="shared" si="36"/>
        <v>0.67206984488050125</v>
      </c>
      <c r="AC125" s="135" t="str">
        <f t="shared" si="37"/>
        <v>Policies met</v>
      </c>
      <c r="AD125" s="1353">
        <f t="shared" si="38"/>
        <v>0.67206984488050125</v>
      </c>
      <c r="AE125" s="135" t="str">
        <f t="shared" si="39"/>
        <v>No</v>
      </c>
      <c r="AF125" s="1420">
        <f t="shared" si="40"/>
        <v>139.12867530930757</v>
      </c>
      <c r="AG125" s="118">
        <f t="shared" si="41"/>
        <v>39.432581034713564</v>
      </c>
      <c r="AH125" s="118">
        <f t="shared" si="20"/>
        <v>45.760541102354082</v>
      </c>
      <c r="AI125" s="118">
        <f t="shared" si="21"/>
        <v>37.035832164635039</v>
      </c>
      <c r="AJ125" s="118">
        <f t="shared" si="22"/>
        <v>16.899721007604906</v>
      </c>
      <c r="AK125" s="118">
        <f t="shared" si="42"/>
        <v>139.1286753093076</v>
      </c>
      <c r="AL125" s="910">
        <f t="shared" si="43"/>
        <v>0</v>
      </c>
      <c r="AM125" s="805">
        <f t="shared" si="44"/>
        <v>0.2834252604436</v>
      </c>
      <c r="AN125" s="510">
        <f t="shared" si="45"/>
        <v>0.32890804861485473</v>
      </c>
      <c r="AO125" s="510">
        <f t="shared" si="46"/>
        <v>0.26619841008546835</v>
      </c>
      <c r="AP125" s="510">
        <f t="shared" si="47"/>
        <v>0.1214682808560769</v>
      </c>
      <c r="AQ125" s="510">
        <f t="shared" si="48"/>
        <v>0.99999999999999989</v>
      </c>
      <c r="AR125" s="916">
        <f t="shared" si="75"/>
        <v>6.718330286861506</v>
      </c>
      <c r="AS125" s="917">
        <f t="shared" si="76"/>
        <v>10.881405661657253</v>
      </c>
      <c r="AT125" s="917">
        <f t="shared" si="77"/>
        <v>2.3248676805531701</v>
      </c>
      <c r="AU125" s="917">
        <f t="shared" si="78"/>
        <v>0</v>
      </c>
      <c r="AV125" s="917">
        <f t="shared" si="79"/>
        <v>0</v>
      </c>
      <c r="AW125" s="917">
        <f t="shared" si="80"/>
        <v>0</v>
      </c>
      <c r="AX125" s="1338">
        <f t="shared" si="81"/>
        <v>16.236099971375594</v>
      </c>
      <c r="AY125" s="917">
        <f t="shared" si="82"/>
        <v>1.307809078845948</v>
      </c>
      <c r="AZ125" s="917">
        <f t="shared" si="83"/>
        <v>0.36762547566046921</v>
      </c>
      <c r="BA125" s="917">
        <f t="shared" si="84"/>
        <v>0.94950499551831991</v>
      </c>
      <c r="BB125" s="917">
        <f t="shared" si="85"/>
        <v>0.64693788424127452</v>
      </c>
      <c r="BC125" s="673">
        <f t="shared" si="49"/>
        <v>39.432581034713529</v>
      </c>
      <c r="BD125" s="922">
        <f t="shared" si="50"/>
        <v>0</v>
      </c>
      <c r="BE125" s="840">
        <f t="shared" si="51"/>
        <v>0.17037510887119423</v>
      </c>
      <c r="BF125" s="535">
        <f t="shared" si="52"/>
        <v>0.2759496177051679</v>
      </c>
      <c r="BG125" s="535">
        <f t="shared" si="53"/>
        <v>5.8958039761752561E-2</v>
      </c>
      <c r="BH125" s="535">
        <f t="shared" si="54"/>
        <v>0</v>
      </c>
      <c r="BI125" s="535">
        <f t="shared" si="55"/>
        <v>0</v>
      </c>
      <c r="BJ125" s="535">
        <f t="shared" si="56"/>
        <v>0</v>
      </c>
      <c r="BK125" s="535">
        <f t="shared" si="57"/>
        <v>0.49471723366188552</v>
      </c>
      <c r="BL125" s="1342">
        <f t="shared" si="58"/>
        <v>1.0000000000000002</v>
      </c>
      <c r="BM125" s="1237">
        <f t="shared" si="87"/>
        <v>0.19892488097366726</v>
      </c>
      <c r="BN125" s="713">
        <f t="shared" si="87"/>
        <v>0.26585903447659598</v>
      </c>
      <c r="BO125" s="713">
        <f t="shared" si="87"/>
        <v>8.9228108703258049E-2</v>
      </c>
      <c r="BP125" s="713">
        <f t="shared" si="87"/>
        <v>0</v>
      </c>
      <c r="BQ125" s="713">
        <f t="shared" si="87"/>
        <v>0</v>
      </c>
      <c r="BR125" s="713">
        <f t="shared" si="87"/>
        <v>0</v>
      </c>
      <c r="BS125" s="713">
        <f t="shared" si="87"/>
        <v>0.4459879758464787</v>
      </c>
      <c r="BT125" s="658">
        <f t="shared" si="88"/>
        <v>1</v>
      </c>
      <c r="BV125" s="671">
        <f t="shared" si="23"/>
        <v>55.43030410420684</v>
      </c>
      <c r="BW125" s="713">
        <f t="shared" si="60"/>
        <v>0.74791555399401666</v>
      </c>
      <c r="BX125" s="696">
        <f t="shared" si="24"/>
        <v>11.891310587179929</v>
      </c>
      <c r="BY125" s="671">
        <f t="shared" si="25"/>
        <v>69.57591202673828</v>
      </c>
      <c r="BZ125" s="713">
        <f t="shared" si="61"/>
        <v>0.78313840382997202</v>
      </c>
      <c r="CA125" s="845">
        <f t="shared" si="26"/>
        <v>48.694518386230293</v>
      </c>
      <c r="CB125" s="713">
        <f t="shared" si="27"/>
        <v>0.67206984488050125</v>
      </c>
      <c r="CC125" s="713">
        <f t="shared" si="28"/>
        <v>0.52736401101028396</v>
      </c>
      <c r="CD125" s="713">
        <f t="shared" si="62"/>
        <v>0.67206984488050125</v>
      </c>
      <c r="CE125" s="1001">
        <f t="shared" si="63"/>
        <v>0.85</v>
      </c>
    </row>
    <row r="126" spans="1:83">
      <c r="A126" s="127">
        <f>'Input data'!A146</f>
        <v>2048</v>
      </c>
      <c r="B126" s="828">
        <f>'Input data'!B146</f>
        <v>74.753</v>
      </c>
      <c r="C126" s="238">
        <f>'Input data'!C146</f>
        <v>6308.13</v>
      </c>
      <c r="D126" s="238">
        <f>'Input data'!D146</f>
        <v>10619603.337731058</v>
      </c>
      <c r="E126" s="805">
        <f t="shared" si="92"/>
        <v>1</v>
      </c>
      <c r="F126" s="510">
        <f t="shared" si="93"/>
        <v>0.36725000000000002</v>
      </c>
      <c r="G126" s="674">
        <f>B126*F126*'Input data'!$C$9</f>
        <v>840.25688282881026</v>
      </c>
      <c r="H126" s="654">
        <f>'Input data'!I146</f>
        <v>424.26313389388866</v>
      </c>
      <c r="I126" s="672">
        <f>'Input data'!K146</f>
        <v>31714.94204796986</v>
      </c>
      <c r="J126" s="696">
        <f t="shared" si="95"/>
        <v>39.432581034713571</v>
      </c>
      <c r="K126" s="674">
        <f t="shared" si="66"/>
        <v>157.73032413885434</v>
      </c>
      <c r="L126" s="510">
        <f t="shared" ref="L126:P128" si="96">L125</f>
        <v>0.7</v>
      </c>
      <c r="M126" s="510">
        <f t="shared" si="96"/>
        <v>0.6</v>
      </c>
      <c r="N126" s="510">
        <f t="shared" si="96"/>
        <v>0.9</v>
      </c>
      <c r="O126" s="510">
        <f t="shared" si="96"/>
        <v>0.9</v>
      </c>
      <c r="P126" s="510">
        <f t="shared" si="96"/>
        <v>0.23600000000000002</v>
      </c>
      <c r="Q126" s="654">
        <f t="shared" si="31"/>
        <v>26.499337920908175</v>
      </c>
      <c r="R126" s="673">
        <f t="shared" si="32"/>
        <v>11.668960878701492</v>
      </c>
      <c r="S126" s="673">
        <f t="shared" si="33"/>
        <v>44.441191234244087</v>
      </c>
      <c r="T126" s="673">
        <f t="shared" si="34"/>
        <v>56.256962339656091</v>
      </c>
      <c r="U126" s="802">
        <f t="shared" si="35"/>
        <v>0.67710709475193609</v>
      </c>
      <c r="V126" s="654">
        <f t="shared" si="16"/>
        <v>139.54355946826178</v>
      </c>
      <c r="W126" s="805">
        <f t="shared" si="90"/>
        <v>0.5</v>
      </c>
      <c r="X126" s="671">
        <f t="shared" si="17"/>
        <v>53.669159952994768</v>
      </c>
      <c r="Y126" s="671">
        <f t="shared" si="18"/>
        <v>76.916015953074577</v>
      </c>
      <c r="Z126" s="672">
        <f t="shared" si="70"/>
        <v>120.24688922049333</v>
      </c>
      <c r="AA126" s="696">
        <f t="shared" si="19"/>
        <v>80.814308185779765</v>
      </c>
      <c r="AB126" s="893">
        <f t="shared" si="36"/>
        <v>0.67206984488050125</v>
      </c>
      <c r="AC126" s="135" t="str">
        <f t="shared" si="37"/>
        <v>Policies met</v>
      </c>
      <c r="AD126" s="1353">
        <f t="shared" si="38"/>
        <v>0.67206984488050125</v>
      </c>
      <c r="AE126" s="135" t="str">
        <f t="shared" si="39"/>
        <v>No</v>
      </c>
      <c r="AF126" s="1420">
        <f t="shared" si="40"/>
        <v>139.12867530930757</v>
      </c>
      <c r="AG126" s="118">
        <f t="shared" si="41"/>
        <v>39.432581034713564</v>
      </c>
      <c r="AH126" s="118">
        <f t="shared" si="20"/>
        <v>45.760541102354082</v>
      </c>
      <c r="AI126" s="118">
        <f t="shared" si="21"/>
        <v>37.035832164635039</v>
      </c>
      <c r="AJ126" s="118">
        <f t="shared" si="22"/>
        <v>16.899721007604906</v>
      </c>
      <c r="AK126" s="118">
        <f t="shared" si="42"/>
        <v>139.1286753093076</v>
      </c>
      <c r="AL126" s="910">
        <f t="shared" si="43"/>
        <v>0</v>
      </c>
      <c r="AM126" s="805">
        <f t="shared" si="44"/>
        <v>0.2834252604436</v>
      </c>
      <c r="AN126" s="510">
        <f t="shared" si="45"/>
        <v>0.32890804861485473</v>
      </c>
      <c r="AO126" s="510">
        <f t="shared" si="46"/>
        <v>0.26619841008546835</v>
      </c>
      <c r="AP126" s="510">
        <f t="shared" si="47"/>
        <v>0.1214682808560769</v>
      </c>
      <c r="AQ126" s="510">
        <f t="shared" si="48"/>
        <v>0.99999999999999989</v>
      </c>
      <c r="AR126" s="916">
        <f t="shared" si="75"/>
        <v>6.718330286861506</v>
      </c>
      <c r="AS126" s="917">
        <f t="shared" si="76"/>
        <v>10.881405661657253</v>
      </c>
      <c r="AT126" s="917">
        <f t="shared" si="77"/>
        <v>2.3248676805531701</v>
      </c>
      <c r="AU126" s="917">
        <f t="shared" si="78"/>
        <v>0</v>
      </c>
      <c r="AV126" s="917">
        <f t="shared" si="79"/>
        <v>0</v>
      </c>
      <c r="AW126" s="917">
        <f t="shared" si="80"/>
        <v>0</v>
      </c>
      <c r="AX126" s="1338">
        <f t="shared" si="81"/>
        <v>16.236099971375594</v>
      </c>
      <c r="AY126" s="917">
        <f t="shared" si="82"/>
        <v>1.307809078845948</v>
      </c>
      <c r="AZ126" s="917">
        <f t="shared" si="83"/>
        <v>0.36762547566046921</v>
      </c>
      <c r="BA126" s="917">
        <f t="shared" si="84"/>
        <v>0.94950499551831991</v>
      </c>
      <c r="BB126" s="917">
        <f t="shared" si="85"/>
        <v>0.64693788424127452</v>
      </c>
      <c r="BC126" s="673">
        <f t="shared" si="49"/>
        <v>39.432581034713529</v>
      </c>
      <c r="BD126" s="922">
        <f t="shared" si="50"/>
        <v>0</v>
      </c>
      <c r="BE126" s="840">
        <f t="shared" si="51"/>
        <v>0.17037510887119423</v>
      </c>
      <c r="BF126" s="535">
        <f t="shared" si="52"/>
        <v>0.2759496177051679</v>
      </c>
      <c r="BG126" s="535">
        <f t="shared" si="53"/>
        <v>5.8958039761752561E-2</v>
      </c>
      <c r="BH126" s="535">
        <f t="shared" si="54"/>
        <v>0</v>
      </c>
      <c r="BI126" s="535">
        <f t="shared" si="55"/>
        <v>0</v>
      </c>
      <c r="BJ126" s="535">
        <f t="shared" si="56"/>
        <v>0</v>
      </c>
      <c r="BK126" s="535">
        <f t="shared" si="57"/>
        <v>0.49471723366188552</v>
      </c>
      <c r="BL126" s="1342">
        <f t="shared" si="58"/>
        <v>1.0000000000000002</v>
      </c>
      <c r="BM126" s="1237">
        <f t="shared" si="87"/>
        <v>0.19892488097366726</v>
      </c>
      <c r="BN126" s="713">
        <f t="shared" si="87"/>
        <v>0.26585903447659598</v>
      </c>
      <c r="BO126" s="713">
        <f t="shared" si="87"/>
        <v>8.9228108703258049E-2</v>
      </c>
      <c r="BP126" s="713">
        <f t="shared" si="87"/>
        <v>0</v>
      </c>
      <c r="BQ126" s="713">
        <f t="shared" si="87"/>
        <v>0</v>
      </c>
      <c r="BR126" s="713">
        <f t="shared" si="87"/>
        <v>0</v>
      </c>
      <c r="BS126" s="713">
        <f t="shared" si="87"/>
        <v>0.4459879758464787</v>
      </c>
      <c r="BT126" s="658">
        <f t="shared" si="88"/>
        <v>1</v>
      </c>
      <c r="BV126" s="671">
        <f t="shared" si="23"/>
        <v>56.856527047864482</v>
      </c>
      <c r="BW126" s="713">
        <f t="shared" si="60"/>
        <v>0.73931272849614882</v>
      </c>
      <c r="BX126" s="696">
        <f t="shared" si="24"/>
        <v>10.619603337731057</v>
      </c>
      <c r="BY126" s="671">
        <f t="shared" si="25"/>
        <v>69.980844215165178</v>
      </c>
      <c r="BZ126" s="713">
        <f t="shared" si="61"/>
        <v>0.78234452786340936</v>
      </c>
      <c r="CA126" s="845">
        <f t="shared" si="26"/>
        <v>48.694518386230293</v>
      </c>
      <c r="CB126" s="713">
        <f t="shared" si="27"/>
        <v>0.67206984488050125</v>
      </c>
      <c r="CC126" s="713">
        <f t="shared" si="28"/>
        <v>0.50620283457389159</v>
      </c>
      <c r="CD126" s="713">
        <f t="shared" si="62"/>
        <v>0.67206984488050125</v>
      </c>
      <c r="CE126" s="1001">
        <f t="shared" si="63"/>
        <v>0.85</v>
      </c>
    </row>
    <row r="127" spans="1:83">
      <c r="A127" s="127">
        <f>'Input data'!A147</f>
        <v>2049</v>
      </c>
      <c r="B127" s="828">
        <f>'Input data'!B147</f>
        <v>75.134</v>
      </c>
      <c r="C127" s="238">
        <f>'Input data'!C147</f>
        <v>6522.2000000000007</v>
      </c>
      <c r="D127" s="238">
        <f>'Input data'!D147</f>
        <v>9347896.0882821828</v>
      </c>
      <c r="E127" s="805">
        <f t="shared" si="92"/>
        <v>1</v>
      </c>
      <c r="F127" s="510">
        <f t="shared" si="93"/>
        <v>0.36725000000000002</v>
      </c>
      <c r="G127" s="674">
        <f>B127*F127*'Input data'!$C$9</f>
        <v>844.5394918526323</v>
      </c>
      <c r="H127" s="654">
        <f>'Input data'!I147</f>
        <v>424.26313389388866</v>
      </c>
      <c r="I127" s="672">
        <f>'Input data'!K147</f>
        <v>31876.586301983432</v>
      </c>
      <c r="J127" s="696">
        <f t="shared" si="95"/>
        <v>39.432581034713571</v>
      </c>
      <c r="K127" s="674">
        <f t="shared" si="66"/>
        <v>157.73032413885434</v>
      </c>
      <c r="L127" s="510">
        <f t="shared" si="96"/>
        <v>0.7</v>
      </c>
      <c r="M127" s="510">
        <f t="shared" si="96"/>
        <v>0.6</v>
      </c>
      <c r="N127" s="510">
        <f t="shared" si="96"/>
        <v>0.9</v>
      </c>
      <c r="O127" s="510">
        <f t="shared" si="96"/>
        <v>0.9</v>
      </c>
      <c r="P127" s="510">
        <f t="shared" si="96"/>
        <v>0.23600000000000002</v>
      </c>
      <c r="Q127" s="654">
        <f t="shared" si="31"/>
        <v>26.499337920908175</v>
      </c>
      <c r="R127" s="673">
        <f t="shared" si="32"/>
        <v>11.668960878701492</v>
      </c>
      <c r="S127" s="673">
        <f t="shared" si="33"/>
        <v>44.441191234244087</v>
      </c>
      <c r="T127" s="673">
        <f t="shared" si="34"/>
        <v>56.256962339656091</v>
      </c>
      <c r="U127" s="802">
        <f t="shared" si="35"/>
        <v>0.67710709475193609</v>
      </c>
      <c r="V127" s="654">
        <f t="shared" si="16"/>
        <v>139.54355946826178</v>
      </c>
      <c r="W127" s="805">
        <f t="shared" si="90"/>
        <v>0.5</v>
      </c>
      <c r="X127" s="671">
        <f t="shared" si="17"/>
        <v>53.669159952994768</v>
      </c>
      <c r="Y127" s="671">
        <f t="shared" si="18"/>
        <v>76.916015953074577</v>
      </c>
      <c r="Z127" s="672">
        <f t="shared" si="70"/>
        <v>120.24688922049333</v>
      </c>
      <c r="AA127" s="696">
        <f t="shared" si="19"/>
        <v>80.814308185779765</v>
      </c>
      <c r="AB127" s="893">
        <f t="shared" si="36"/>
        <v>0.67206984488050125</v>
      </c>
      <c r="AC127" s="135" t="str">
        <f t="shared" si="37"/>
        <v>Policies met</v>
      </c>
      <c r="AD127" s="1353">
        <f t="shared" si="38"/>
        <v>0.67206984488050125</v>
      </c>
      <c r="AE127" s="135" t="str">
        <f t="shared" si="39"/>
        <v>No</v>
      </c>
      <c r="AF127" s="1420">
        <f t="shared" si="40"/>
        <v>139.12867530930757</v>
      </c>
      <c r="AG127" s="118">
        <f t="shared" si="41"/>
        <v>39.432581034713564</v>
      </c>
      <c r="AH127" s="118">
        <f t="shared" si="20"/>
        <v>45.760541102354082</v>
      </c>
      <c r="AI127" s="118">
        <f t="shared" si="21"/>
        <v>37.035832164635039</v>
      </c>
      <c r="AJ127" s="118">
        <f t="shared" si="22"/>
        <v>16.899721007604906</v>
      </c>
      <c r="AK127" s="118">
        <f t="shared" si="42"/>
        <v>139.1286753093076</v>
      </c>
      <c r="AL127" s="910">
        <f t="shared" si="43"/>
        <v>0</v>
      </c>
      <c r="AM127" s="805">
        <f t="shared" si="44"/>
        <v>0.2834252604436</v>
      </c>
      <c r="AN127" s="510">
        <f t="shared" si="45"/>
        <v>0.32890804861485473</v>
      </c>
      <c r="AO127" s="510">
        <f t="shared" si="46"/>
        <v>0.26619841008546835</v>
      </c>
      <c r="AP127" s="510">
        <f t="shared" si="47"/>
        <v>0.1214682808560769</v>
      </c>
      <c r="AQ127" s="510">
        <f t="shared" si="48"/>
        <v>0.99999999999999989</v>
      </c>
      <c r="AR127" s="916">
        <f t="shared" si="75"/>
        <v>6.718330286861506</v>
      </c>
      <c r="AS127" s="917">
        <f t="shared" si="76"/>
        <v>10.881405661657253</v>
      </c>
      <c r="AT127" s="917">
        <f t="shared" si="77"/>
        <v>2.3248676805531701</v>
      </c>
      <c r="AU127" s="917">
        <f t="shared" si="78"/>
        <v>0</v>
      </c>
      <c r="AV127" s="917">
        <f t="shared" si="79"/>
        <v>0</v>
      </c>
      <c r="AW127" s="917">
        <f t="shared" si="80"/>
        <v>0</v>
      </c>
      <c r="AX127" s="1338">
        <f t="shared" si="81"/>
        <v>16.236099971375594</v>
      </c>
      <c r="AY127" s="917">
        <f t="shared" si="82"/>
        <v>1.307809078845948</v>
      </c>
      <c r="AZ127" s="917">
        <f t="shared" si="83"/>
        <v>0.36762547566046921</v>
      </c>
      <c r="BA127" s="917">
        <f t="shared" si="84"/>
        <v>0.94950499551831991</v>
      </c>
      <c r="BB127" s="917">
        <f t="shared" si="85"/>
        <v>0.64693788424127452</v>
      </c>
      <c r="BC127" s="673">
        <f t="shared" si="49"/>
        <v>39.432581034713529</v>
      </c>
      <c r="BD127" s="922">
        <f t="shared" si="50"/>
        <v>0</v>
      </c>
      <c r="BE127" s="840">
        <f t="shared" si="51"/>
        <v>0.17037510887119423</v>
      </c>
      <c r="BF127" s="535">
        <f t="shared" si="52"/>
        <v>0.2759496177051679</v>
      </c>
      <c r="BG127" s="535">
        <f t="shared" si="53"/>
        <v>5.8958039761752561E-2</v>
      </c>
      <c r="BH127" s="535">
        <f t="shared" si="54"/>
        <v>0</v>
      </c>
      <c r="BI127" s="535">
        <f t="shared" si="55"/>
        <v>0</v>
      </c>
      <c r="BJ127" s="535">
        <f t="shared" si="56"/>
        <v>0</v>
      </c>
      <c r="BK127" s="535">
        <f t="shared" si="57"/>
        <v>0.49471723366188552</v>
      </c>
      <c r="BL127" s="1342">
        <f t="shared" si="58"/>
        <v>1.0000000000000002</v>
      </c>
      <c r="BM127" s="1237">
        <f t="shared" si="87"/>
        <v>0.19892488097366726</v>
      </c>
      <c r="BN127" s="713">
        <f t="shared" si="87"/>
        <v>0.26585903447659598</v>
      </c>
      <c r="BO127" s="713">
        <f t="shared" si="87"/>
        <v>8.9228108703258049E-2</v>
      </c>
      <c r="BP127" s="713">
        <f t="shared" si="87"/>
        <v>0</v>
      </c>
      <c r="BQ127" s="713">
        <f t="shared" si="87"/>
        <v>0</v>
      </c>
      <c r="BR127" s="713">
        <f t="shared" si="87"/>
        <v>0</v>
      </c>
      <c r="BS127" s="713">
        <f t="shared" si="87"/>
        <v>0.4459879758464787</v>
      </c>
      <c r="BT127" s="658">
        <f t="shared" si="88"/>
        <v>1</v>
      </c>
      <c r="BV127" s="671">
        <f t="shared" si="23"/>
        <v>58.355622561219775</v>
      </c>
      <c r="BW127" s="713">
        <f t="shared" si="60"/>
        <v>0.73093304892195665</v>
      </c>
      <c r="BX127" s="696">
        <f t="shared" si="24"/>
        <v>9.347896088282182</v>
      </c>
      <c r="BY127" s="671">
        <f t="shared" si="25"/>
        <v>70.403276233780105</v>
      </c>
      <c r="BZ127" s="713">
        <f t="shared" si="61"/>
        <v>0.78149115310275541</v>
      </c>
      <c r="CA127" s="845">
        <f t="shared" si="26"/>
        <v>48.694518386230293</v>
      </c>
      <c r="CB127" s="713">
        <f t="shared" si="27"/>
        <v>0.67206984488050125</v>
      </c>
      <c r="CC127" s="713">
        <f t="shared" si="28"/>
        <v>0.48619044852324067</v>
      </c>
      <c r="CD127" s="713">
        <f t="shared" si="62"/>
        <v>0.67206984488050125</v>
      </c>
      <c r="CE127" s="1001">
        <f t="shared" si="63"/>
        <v>0.85</v>
      </c>
    </row>
    <row r="128" spans="1:83" ht="15.75" thickBot="1">
      <c r="A128" s="172">
        <f>'Input data'!A148</f>
        <v>2050</v>
      </c>
      <c r="B128" s="831">
        <f>'Input data'!B148</f>
        <v>75.518000000000001</v>
      </c>
      <c r="C128" s="241">
        <f>'Input data'!C148</f>
        <v>6747.1300000000019</v>
      </c>
      <c r="D128" s="241">
        <f>'Input data'!D148</f>
        <v>8077884.4484992418</v>
      </c>
      <c r="E128" s="806">
        <f t="shared" si="92"/>
        <v>1</v>
      </c>
      <c r="F128" s="807">
        <f t="shared" si="93"/>
        <v>0.36725000000000002</v>
      </c>
      <c r="G128" s="825">
        <f>B128*F128*'Input data'!$C$9</f>
        <v>848.8558222073508</v>
      </c>
      <c r="H128" s="810">
        <f>'Input data'!I148</f>
        <v>424.26313389388866</v>
      </c>
      <c r="I128" s="834">
        <f>'Input data'!K148</f>
        <v>32039.503345398683</v>
      </c>
      <c r="J128" s="849">
        <f t="shared" si="95"/>
        <v>39.432581034713571</v>
      </c>
      <c r="K128" s="825">
        <f t="shared" si="66"/>
        <v>157.73032413885434</v>
      </c>
      <c r="L128" s="807">
        <f t="shared" si="96"/>
        <v>0.7</v>
      </c>
      <c r="M128" s="807">
        <f t="shared" si="96"/>
        <v>0.6</v>
      </c>
      <c r="N128" s="807">
        <f t="shared" si="96"/>
        <v>0.9</v>
      </c>
      <c r="O128" s="807">
        <f t="shared" si="96"/>
        <v>0.9</v>
      </c>
      <c r="P128" s="807">
        <f t="shared" si="96"/>
        <v>0.23600000000000002</v>
      </c>
      <c r="Q128" s="654">
        <f t="shared" si="31"/>
        <v>26.499337920908175</v>
      </c>
      <c r="R128" s="673">
        <f t="shared" si="32"/>
        <v>11.668960878701492</v>
      </c>
      <c r="S128" s="673">
        <f t="shared" si="33"/>
        <v>44.441191234244087</v>
      </c>
      <c r="T128" s="673">
        <f t="shared" si="34"/>
        <v>56.256962339656091</v>
      </c>
      <c r="U128" s="802">
        <f t="shared" si="35"/>
        <v>0.67710709475193609</v>
      </c>
      <c r="V128" s="810">
        <f t="shared" si="16"/>
        <v>139.54355946826178</v>
      </c>
      <c r="W128" s="806">
        <f t="shared" si="90"/>
        <v>0.5</v>
      </c>
      <c r="X128" s="837">
        <f t="shared" si="17"/>
        <v>53.669159952994768</v>
      </c>
      <c r="Y128" s="837">
        <f t="shared" si="18"/>
        <v>76.916015953074577</v>
      </c>
      <c r="Z128" s="834">
        <f t="shared" si="70"/>
        <v>120.24688922049333</v>
      </c>
      <c r="AA128" s="849">
        <f t="shared" si="19"/>
        <v>80.814308185779765</v>
      </c>
      <c r="AB128" s="894">
        <f t="shared" si="36"/>
        <v>0.67206984488050125</v>
      </c>
      <c r="AC128" s="1390" t="str">
        <f t="shared" si="37"/>
        <v>Policies met</v>
      </c>
      <c r="AD128" s="1362">
        <f t="shared" si="38"/>
        <v>0.67206984488050125</v>
      </c>
      <c r="AE128" s="1390" t="str">
        <f t="shared" si="39"/>
        <v>No</v>
      </c>
      <c r="AF128" s="1421">
        <f t="shared" si="40"/>
        <v>139.12867530930757</v>
      </c>
      <c r="AG128" s="121">
        <f t="shared" si="41"/>
        <v>39.432581034713564</v>
      </c>
      <c r="AH128" s="121">
        <f t="shared" si="20"/>
        <v>45.760541102354082</v>
      </c>
      <c r="AI128" s="121">
        <f t="shared" si="21"/>
        <v>37.035832164635039</v>
      </c>
      <c r="AJ128" s="121">
        <f t="shared" si="22"/>
        <v>16.899721007604906</v>
      </c>
      <c r="AK128" s="121">
        <f t="shared" si="42"/>
        <v>139.1286753093076</v>
      </c>
      <c r="AL128" s="911">
        <f t="shared" si="43"/>
        <v>0</v>
      </c>
      <c r="AM128" s="806">
        <f t="shared" si="44"/>
        <v>0.2834252604436</v>
      </c>
      <c r="AN128" s="807">
        <f t="shared" si="45"/>
        <v>0.32890804861485473</v>
      </c>
      <c r="AO128" s="807">
        <f t="shared" si="46"/>
        <v>0.26619841008546835</v>
      </c>
      <c r="AP128" s="807">
        <f t="shared" si="47"/>
        <v>0.1214682808560769</v>
      </c>
      <c r="AQ128" s="807">
        <f t="shared" si="48"/>
        <v>0.99999999999999989</v>
      </c>
      <c r="AR128" s="918">
        <f t="shared" si="75"/>
        <v>6.718330286861506</v>
      </c>
      <c r="AS128" s="919">
        <f t="shared" si="76"/>
        <v>10.881405661657253</v>
      </c>
      <c r="AT128" s="919">
        <f t="shared" si="77"/>
        <v>2.3248676805531701</v>
      </c>
      <c r="AU128" s="919">
        <f t="shared" si="78"/>
        <v>0</v>
      </c>
      <c r="AV128" s="919">
        <f t="shared" si="79"/>
        <v>0</v>
      </c>
      <c r="AW128" s="919">
        <f t="shared" si="80"/>
        <v>0</v>
      </c>
      <c r="AX128" s="1494">
        <f t="shared" si="81"/>
        <v>16.236099971375594</v>
      </c>
      <c r="AY128" s="919">
        <f t="shared" si="82"/>
        <v>1.307809078845948</v>
      </c>
      <c r="AZ128" s="919">
        <f t="shared" si="83"/>
        <v>0.36762547566046921</v>
      </c>
      <c r="BA128" s="919">
        <f t="shared" si="84"/>
        <v>0.94950499551831991</v>
      </c>
      <c r="BB128" s="919">
        <f t="shared" si="85"/>
        <v>0.64693788424127452</v>
      </c>
      <c r="BC128" s="814">
        <f t="shared" si="49"/>
        <v>39.432581034713529</v>
      </c>
      <c r="BD128" s="923">
        <f t="shared" si="50"/>
        <v>0</v>
      </c>
      <c r="BE128" s="848">
        <f t="shared" si="51"/>
        <v>0.17037510887119423</v>
      </c>
      <c r="BF128" s="859">
        <f t="shared" si="52"/>
        <v>0.2759496177051679</v>
      </c>
      <c r="BG128" s="859">
        <f t="shared" si="53"/>
        <v>5.8958039761752561E-2</v>
      </c>
      <c r="BH128" s="859">
        <f t="shared" si="54"/>
        <v>0</v>
      </c>
      <c r="BI128" s="859">
        <f t="shared" si="55"/>
        <v>0</v>
      </c>
      <c r="BJ128" s="859">
        <f t="shared" si="56"/>
        <v>0</v>
      </c>
      <c r="BK128" s="859">
        <f t="shared" si="57"/>
        <v>0.49471723366188552</v>
      </c>
      <c r="BL128" s="1347">
        <f t="shared" si="58"/>
        <v>1.0000000000000002</v>
      </c>
      <c r="BM128" s="1241">
        <f t="shared" si="87"/>
        <v>0.19892488097366726</v>
      </c>
      <c r="BN128" s="1012">
        <f t="shared" si="87"/>
        <v>0.26585903447659598</v>
      </c>
      <c r="BO128" s="1012">
        <f t="shared" si="87"/>
        <v>8.9228108703258049E-2</v>
      </c>
      <c r="BP128" s="1012">
        <f t="shared" si="87"/>
        <v>0</v>
      </c>
      <c r="BQ128" s="1012">
        <f t="shared" si="87"/>
        <v>0</v>
      </c>
      <c r="BR128" s="1012">
        <f t="shared" si="87"/>
        <v>0</v>
      </c>
      <c r="BS128" s="1012">
        <f t="shared" si="87"/>
        <v>0.4459879758464787</v>
      </c>
      <c r="BT128" s="808">
        <f t="shared" si="88"/>
        <v>1</v>
      </c>
      <c r="BV128" s="837">
        <f t="shared" si="23"/>
        <v>59.933788381040593</v>
      </c>
      <c r="BW128" s="1012">
        <f t="shared" si="60"/>
        <v>0.72277857084154584</v>
      </c>
      <c r="BX128" s="849">
        <f t="shared" si="24"/>
        <v>8.0778844484992423</v>
      </c>
      <c r="BY128" s="837">
        <f t="shared" si="25"/>
        <v>70.8448669126185</v>
      </c>
      <c r="BZ128" s="1012">
        <f t="shared" si="61"/>
        <v>0.78057803150418648</v>
      </c>
      <c r="CA128" s="846">
        <f t="shared" si="26"/>
        <v>48.694518386230293</v>
      </c>
      <c r="CB128" s="1012">
        <f t="shared" si="27"/>
        <v>0.67206984488050125</v>
      </c>
      <c r="CC128" s="1012">
        <f t="shared" si="28"/>
        <v>0.46731576769954508</v>
      </c>
      <c r="CD128" s="1012">
        <f t="shared" si="62"/>
        <v>0.67206984488050125</v>
      </c>
      <c r="CE128" s="1004">
        <f t="shared" si="63"/>
        <v>0.85</v>
      </c>
    </row>
    <row r="129" spans="1:45">
      <c r="AM129" s="672"/>
      <c r="AN129" s="779"/>
      <c r="AO129" s="779"/>
      <c r="AP129" s="779"/>
      <c r="AS129" s="114"/>
    </row>
    <row r="130" spans="1:45" ht="23.25">
      <c r="A130" s="865" t="s">
        <v>768</v>
      </c>
      <c r="AM130" s="672"/>
      <c r="AO130" s="779"/>
      <c r="AS130" s="114"/>
    </row>
    <row r="131" spans="1:45" ht="15.75" thickBot="1">
      <c r="AM131" s="672"/>
    </row>
    <row r="132" spans="1:45" ht="21.6" customHeight="1" thickBot="1">
      <c r="A132" s="1593" t="s">
        <v>688</v>
      </c>
      <c r="B132" s="1594"/>
      <c r="C132" s="1594"/>
      <c r="D132" s="1595"/>
      <c r="E132" s="1621" t="s">
        <v>690</v>
      </c>
      <c r="F132" s="1622"/>
      <c r="G132" s="1622"/>
      <c r="H132" s="1622"/>
      <c r="I132" s="1623"/>
      <c r="J132" s="1624" t="s">
        <v>691</v>
      </c>
      <c r="K132" s="1625"/>
      <c r="L132" s="1626"/>
      <c r="M132" s="1627" t="s">
        <v>698</v>
      </c>
      <c r="N132" s="1629" t="s">
        <v>696</v>
      </c>
      <c r="O132" s="1670"/>
      <c r="P132" s="1602" t="s">
        <v>675</v>
      </c>
      <c r="Q132" s="1604" t="s">
        <v>681</v>
      </c>
      <c r="R132" s="1604" t="s">
        <v>661</v>
      </c>
      <c r="S132" s="1604" t="s">
        <v>729</v>
      </c>
      <c r="T132" s="1606" t="s">
        <v>731</v>
      </c>
      <c r="U132" s="1604" t="s">
        <v>730</v>
      </c>
      <c r="V132" s="1606" t="s">
        <v>733</v>
      </c>
      <c r="W132" s="1609" t="s">
        <v>699</v>
      </c>
      <c r="X132" s="1676" t="s">
        <v>672</v>
      </c>
      <c r="Y132" s="1676"/>
      <c r="Z132" s="1676"/>
      <c r="AA132" s="1676"/>
      <c r="AB132" s="1676"/>
      <c r="AC132" s="1676"/>
      <c r="AD132" s="1676"/>
      <c r="AE132" s="1676"/>
      <c r="AF132" s="1676"/>
      <c r="AG132" s="1676"/>
      <c r="AH132" s="1676"/>
      <c r="AI132" s="1676"/>
      <c r="AJ132" s="1677"/>
      <c r="AM132" s="672"/>
    </row>
    <row r="133" spans="1:45" ht="51.6" customHeight="1">
      <c r="A133" s="1619" t="s">
        <v>217</v>
      </c>
      <c r="B133" s="884" t="s">
        <v>218</v>
      </c>
      <c r="C133" s="884" t="s">
        <v>464</v>
      </c>
      <c r="D133" s="644" t="s">
        <v>724</v>
      </c>
      <c r="E133" s="886" t="s">
        <v>551</v>
      </c>
      <c r="F133" s="885" t="s">
        <v>555</v>
      </c>
      <c r="G133" s="885" t="s">
        <v>677</v>
      </c>
      <c r="H133" s="887" t="s">
        <v>680</v>
      </c>
      <c r="I133" s="887" t="s">
        <v>721</v>
      </c>
      <c r="J133" s="634" t="s">
        <v>367</v>
      </c>
      <c r="K133" s="1329" t="s">
        <v>367</v>
      </c>
      <c r="L133" s="888" t="s">
        <v>693</v>
      </c>
      <c r="M133" s="1628"/>
      <c r="N133" s="639" t="s">
        <v>694</v>
      </c>
      <c r="O133" s="642" t="s">
        <v>695</v>
      </c>
      <c r="P133" s="1603"/>
      <c r="Q133" s="1605"/>
      <c r="R133" s="1605"/>
      <c r="S133" s="1605"/>
      <c r="T133" s="1607"/>
      <c r="U133" s="1605"/>
      <c r="V133" s="1607"/>
      <c r="W133" s="1610"/>
      <c r="X133" s="1360" t="s">
        <v>549</v>
      </c>
      <c r="Y133" s="901" t="s">
        <v>565</v>
      </c>
      <c r="Z133" s="901" t="s">
        <v>428</v>
      </c>
      <c r="AA133" s="901" t="s">
        <v>429</v>
      </c>
      <c r="AB133" s="901" t="s">
        <v>553</v>
      </c>
      <c r="AC133" s="901" t="s">
        <v>225</v>
      </c>
      <c r="AD133" s="905" t="s">
        <v>671</v>
      </c>
      <c r="AE133" s="900" t="s">
        <v>549</v>
      </c>
      <c r="AF133" s="901" t="s">
        <v>565</v>
      </c>
      <c r="AG133" s="901" t="s">
        <v>428</v>
      </c>
      <c r="AH133" s="901" t="s">
        <v>429</v>
      </c>
      <c r="AI133" s="901" t="s">
        <v>553</v>
      </c>
      <c r="AJ133" s="902" t="s">
        <v>225</v>
      </c>
      <c r="AM133" s="672"/>
    </row>
    <row r="134" spans="1:45" ht="30" customHeight="1" thickBot="1">
      <c r="A134" s="1631"/>
      <c r="B134" s="567" t="s">
        <v>232</v>
      </c>
      <c r="C134" s="568" t="s">
        <v>558</v>
      </c>
      <c r="D134" s="605" t="s">
        <v>556</v>
      </c>
      <c r="E134" s="1356" t="s">
        <v>689</v>
      </c>
      <c r="F134" s="1357" t="s">
        <v>689</v>
      </c>
      <c r="G134" s="1357" t="str">
        <f>F134</f>
        <v>Gg/GDP ZAR billion</v>
      </c>
      <c r="H134" s="1358" t="str">
        <f>G134</f>
        <v>Gg/GDP ZAR billion</v>
      </c>
      <c r="I134" s="1358" t="s">
        <v>692</v>
      </c>
      <c r="J134" s="889" t="s">
        <v>229</v>
      </c>
      <c r="K134" s="890" t="s">
        <v>692</v>
      </c>
      <c r="L134" s="892" t="s">
        <v>692</v>
      </c>
      <c r="M134" s="1359" t="s">
        <v>692</v>
      </c>
      <c r="N134" s="868" t="s">
        <v>229</v>
      </c>
      <c r="O134" s="870" t="s">
        <v>670</v>
      </c>
      <c r="P134" s="895" t="s">
        <v>670</v>
      </c>
      <c r="Q134" s="896" t="s">
        <v>670</v>
      </c>
      <c r="R134" s="896" t="s">
        <v>670</v>
      </c>
      <c r="S134" s="1411" t="s">
        <v>28</v>
      </c>
      <c r="T134" s="1608"/>
      <c r="U134" s="1411" t="s">
        <v>28</v>
      </c>
      <c r="V134" s="1608"/>
      <c r="W134" s="1366" t="s">
        <v>692</v>
      </c>
      <c r="X134" s="1410" t="s">
        <v>228</v>
      </c>
      <c r="Y134" s="1367" t="s">
        <v>228</v>
      </c>
      <c r="Z134" s="1367" t="s">
        <v>228</v>
      </c>
      <c r="AA134" s="1367" t="s">
        <v>228</v>
      </c>
      <c r="AB134" s="1367" t="s">
        <v>228</v>
      </c>
      <c r="AC134" s="1367" t="s">
        <v>228</v>
      </c>
      <c r="AD134" s="1368" t="s">
        <v>669</v>
      </c>
      <c r="AE134" s="908" t="s">
        <v>229</v>
      </c>
      <c r="AF134" s="903" t="s">
        <v>229</v>
      </c>
      <c r="AG134" s="903" t="s">
        <v>229</v>
      </c>
      <c r="AH134" s="903" t="s">
        <v>229</v>
      </c>
      <c r="AI134" s="903" t="s">
        <v>229</v>
      </c>
      <c r="AJ134" s="906" t="s">
        <v>229</v>
      </c>
      <c r="AM134" s="672"/>
    </row>
    <row r="135" spans="1:45">
      <c r="A135" s="934">
        <f>'Input data'!A115</f>
        <v>2017</v>
      </c>
      <c r="B135" s="935">
        <f>'Input data'!B115</f>
        <v>56.521999999999998</v>
      </c>
      <c r="C135" s="936">
        <f>'Input data'!C115</f>
        <v>3120.54</v>
      </c>
      <c r="D135" s="937">
        <f>'Input data'!D115</f>
        <v>49995051</v>
      </c>
      <c r="E135" s="812">
        <f>'Input data'!J115</f>
        <v>11.504772374209397</v>
      </c>
      <c r="F135" s="813">
        <f>'Input data'!L115/C95</f>
        <v>27.526054267727826</v>
      </c>
      <c r="G135" s="851">
        <f>F135*B11</f>
        <v>23.573842715560573</v>
      </c>
      <c r="H135" s="696">
        <f t="shared" ref="H135:H168" si="97">E135*$B$12+I135*$E$80-G135</f>
        <v>0</v>
      </c>
      <c r="I135" s="1351">
        <f t="shared" ref="I135:I168" si="98">D135/1000/C135</f>
        <v>16.021281893518431</v>
      </c>
      <c r="J135" s="805">
        <f>H17</f>
        <v>6.154773859516615E-2</v>
      </c>
      <c r="K135" s="696">
        <f>(I135)*J135</f>
        <v>0.98607366994174095</v>
      </c>
      <c r="L135" s="673">
        <f t="shared" ref="L135:L168" si="99">(E135)*$C$12*$G$12</f>
        <v>0.96248877021284696</v>
      </c>
      <c r="M135" s="802">
        <f>L135+K135</f>
        <v>1.9485624401545878</v>
      </c>
      <c r="N135" s="805">
        <v>0</v>
      </c>
      <c r="O135" s="1407">
        <f t="shared" ref="O135:O168" si="100">N135*E135*($C$84)*$B$12</f>
        <v>0</v>
      </c>
      <c r="P135" s="861">
        <f>O135+(K135-I135*$J$135)</f>
        <v>0</v>
      </c>
      <c r="Q135" s="696">
        <f t="shared" ref="Q135:Q168" si="101">E135*$B$12+I135*(1-$H$80)-P135</f>
        <v>23.573842715560573</v>
      </c>
      <c r="R135" s="673">
        <f t="shared" ref="R135:R168" si="102">Q135-G135</f>
        <v>0</v>
      </c>
      <c r="S135" s="1353">
        <f>R135/(Q135-(I135-K135))</f>
        <v>0</v>
      </c>
      <c r="T135" s="135" t="str">
        <f>IF(AND(S135&gt;=0,S135&lt;=0.85),"Policies met","Policies not met")</f>
        <v>Policies met</v>
      </c>
      <c r="U135" s="1353">
        <f>IF(S135&lt;=0,0,IF(S135&gt;=0.85,0.85,S135))</f>
        <v>0</v>
      </c>
      <c r="V135" s="135" t="str">
        <f>IF(AND(S135&gt;=0,S135&lt;=0.85),"No","Yes")</f>
        <v>No</v>
      </c>
      <c r="W135" s="1354">
        <f>($E$135)*(1-U135)+I135</f>
        <v>27.526054267727829</v>
      </c>
      <c r="X135" s="696">
        <f>Q135-U135*(Q135-(I135-K135))</f>
        <v>23.573842715560573</v>
      </c>
      <c r="Y135" s="118">
        <f>(L135)*(1-U135)+K135</f>
        <v>1.9485624401545878</v>
      </c>
      <c r="Z135" s="673">
        <f>($C$12*$H$12*$E$135+O135)*(1-U135)</f>
        <v>1.9789482589551808</v>
      </c>
      <c r="AA135" s="673">
        <f>$F$135*$D$11*(1-U135)</f>
        <v>0</v>
      </c>
      <c r="AB135" s="673">
        <f>$E$135*$E$12*(1-U135)</f>
        <v>2.4700853057483641E-2</v>
      </c>
      <c r="AC135" s="673">
        <f>SUM(X135:AB135)</f>
        <v>27.526054267727829</v>
      </c>
      <c r="AD135" s="674">
        <f t="shared" ref="AD135:AD153" si="103">AC135-W135</f>
        <v>0</v>
      </c>
      <c r="AE135" s="891">
        <f>X135/AC135</f>
        <v>0.85641924869700925</v>
      </c>
      <c r="AF135" s="803">
        <f>Y135/AC135</f>
        <v>7.0789747822270571E-2</v>
      </c>
      <c r="AG135" s="803">
        <f>Z135/AC135</f>
        <v>7.1893640828694608E-2</v>
      </c>
      <c r="AH135" s="803">
        <f>AB135/AC135</f>
        <v>8.9736265202541149E-4</v>
      </c>
      <c r="AI135" s="803">
        <f>AB135/AC135</f>
        <v>8.9736265202541149E-4</v>
      </c>
      <c r="AJ135" s="907">
        <f>SUM(AE135:AI135)</f>
        <v>1.0008973626520252</v>
      </c>
      <c r="AM135" s="672"/>
    </row>
    <row r="136" spans="1:45">
      <c r="A136" s="127">
        <f>'Input data'!A116</f>
        <v>2018</v>
      </c>
      <c r="B136" s="828">
        <f>'Input data'!B116</f>
        <v>57.436</v>
      </c>
      <c r="C136" s="238">
        <f>'Input data'!C116</f>
        <v>3152.24</v>
      </c>
      <c r="D136" s="239">
        <f>'Input data'!D116</f>
        <v>48694518.38623029</v>
      </c>
      <c r="E136" s="654">
        <f>'Input data'!J116</f>
        <v>11.504772374209397</v>
      </c>
      <c r="F136" s="673">
        <f>'Input data'!L116/C96</f>
        <v>26.95236468514711</v>
      </c>
      <c r="G136" s="696">
        <f>G135*0.94</f>
        <v>22.159412152626938</v>
      </c>
      <c r="H136" s="696">
        <f t="shared" si="97"/>
        <v>0.87605027681636471</v>
      </c>
      <c r="I136" s="1351">
        <f t="shared" si="98"/>
        <v>15.447592310937711</v>
      </c>
      <c r="J136" s="805">
        <f>($J$148-$J$135)/($A$148-$A$135)+J135</f>
        <v>8.7582527933999524E-2</v>
      </c>
      <c r="K136" s="696">
        <f>(I136)*J136</f>
        <v>1.3529391850857384</v>
      </c>
      <c r="L136" s="673">
        <f t="shared" si="99"/>
        <v>0.96248877021284696</v>
      </c>
      <c r="M136" s="802">
        <f t="shared" ref="M136:M168" si="104">L136+K136</f>
        <v>2.3154279552985852</v>
      </c>
      <c r="N136" s="805">
        <v>0.05</v>
      </c>
      <c r="O136" s="1407">
        <f t="shared" si="100"/>
        <v>0.10361992776035385</v>
      </c>
      <c r="P136" s="861">
        <f>O136+(K136-I136*$J$135)</f>
        <v>0.50579473936779951</v>
      </c>
      <c r="Q136" s="696">
        <f t="shared" si="101"/>
        <v>22.529667690075502</v>
      </c>
      <c r="R136" s="673">
        <f t="shared" si="102"/>
        <v>0.3702555374485641</v>
      </c>
      <c r="S136" s="1353">
        <f>R136/(Q136-(I136-K136))</f>
        <v>4.389506794913843E-2</v>
      </c>
      <c r="T136" s="135" t="str">
        <f t="shared" ref="T136:T168" si="105">IF(AND(S136&gt;=0,S136&lt;=0.85),"Policies met","Policies not met")</f>
        <v>Policies met</v>
      </c>
      <c r="U136" s="1353">
        <f t="shared" ref="U136:U168" si="106">IF(S136&lt;=0,0,IF(S136&gt;=0.85,0.85,S136))</f>
        <v>4.389506794913843E-2</v>
      </c>
      <c r="V136" s="135" t="str">
        <f t="shared" ref="V136:V168" si="107">IF(AND(S136&gt;=0,S136&lt;=0.85),"No","Yes")</f>
        <v>No</v>
      </c>
      <c r="W136" s="1354">
        <f t="shared" ref="W136:W168" si="108">($E$135)*(1-U136)+I136</f>
        <v>26.447361920041814</v>
      </c>
      <c r="X136" s="696">
        <f t="shared" ref="X136:X168" si="109">Q136-U136*(Q136-(I136-K136))</f>
        <v>22.159412152626938</v>
      </c>
      <c r="Y136" s="118">
        <f t="shared" ref="Y136:Y168" si="110">(L136)*(1-U136)+K136</f>
        <v>2.2731794453298098</v>
      </c>
      <c r="Z136" s="673">
        <f t="shared" ref="Z136:Z168" si="111">($C$12*$H$12*$E$135+O136)*(1-U136)</f>
        <v>1.9911537146509424</v>
      </c>
      <c r="AA136" s="673">
        <f t="shared" ref="AA136:AA168" si="112">$F$135*$D$11*(1-U136)</f>
        <v>0</v>
      </c>
      <c r="AB136" s="673">
        <f t="shared" ref="AB136:AB168" si="113">$E$135*$E$12*(1-U136)</f>
        <v>2.3616607434123714E-2</v>
      </c>
      <c r="AC136" s="673">
        <f t="shared" ref="AC136:AC168" si="114">SUM(X136:AB136)</f>
        <v>26.447361920041814</v>
      </c>
      <c r="AD136" s="847">
        <f t="shared" si="103"/>
        <v>0</v>
      </c>
      <c r="AE136" s="805">
        <f t="shared" ref="AE136:AE168" si="115">X136/AC136</f>
        <v>0.83786852615475926</v>
      </c>
      <c r="AF136" s="510">
        <f t="shared" ref="AF136:AF168" si="116">Y136/AC136</f>
        <v>8.5951084732091718E-2</v>
      </c>
      <c r="AG136" s="510">
        <f t="shared" ref="AG136:AG168" si="117">Z136/AC136</f>
        <v>7.5287422642409021E-2</v>
      </c>
      <c r="AH136" s="510">
        <f t="shared" ref="AH136:AH168" si="118">AB136/AC136</f>
        <v>8.9296647074001904E-4</v>
      </c>
      <c r="AI136" s="510">
        <f t="shared" ref="AI136:AI167" si="119">AB136/AC136</f>
        <v>8.9296647074001904E-4</v>
      </c>
      <c r="AJ136" s="658">
        <f t="shared" ref="AJ136:AJ168" si="120">SUM(AE136:AI136)</f>
        <v>1.00089296647074</v>
      </c>
      <c r="AM136" s="672"/>
    </row>
    <row r="137" spans="1:45">
      <c r="A137" s="127">
        <f>'Input data'!A117</f>
        <v>2019</v>
      </c>
      <c r="B137" s="828">
        <f>'Input data'!B117</f>
        <v>58.365000000000002</v>
      </c>
      <c r="C137" s="238">
        <f>'Input data'!C117</f>
        <v>3179.2899999999995</v>
      </c>
      <c r="D137" s="239">
        <f>'Input data'!D117</f>
        <v>47939972.084890619</v>
      </c>
      <c r="E137" s="654">
        <f>'Input data'!J117</f>
        <v>11.504772374209397</v>
      </c>
      <c r="F137" s="673">
        <f>'Input data'!L117/C97</f>
        <v>26.583601950904391</v>
      </c>
      <c r="G137" s="696">
        <f>G135*0.89</f>
        <v>20.98072001684891</v>
      </c>
      <c r="H137" s="696">
        <f t="shared" si="97"/>
        <v>1.708676190722489</v>
      </c>
      <c r="I137" s="1351">
        <f t="shared" si="98"/>
        <v>15.078829576694995</v>
      </c>
      <c r="J137" s="805">
        <f t="shared" ref="J137:J147" si="121">($J$148-$J$135)/($A$148-$A$135)+J136</f>
        <v>0.11361731727283289</v>
      </c>
      <c r="K137" s="696">
        <f t="shared" ref="K137:K168" si="122">(I137)*J137</f>
        <v>1.7132161641183317</v>
      </c>
      <c r="L137" s="673">
        <f t="shared" si="99"/>
        <v>0.96248877021284696</v>
      </c>
      <c r="M137" s="802">
        <f t="shared" si="104"/>
        <v>2.6757049343311787</v>
      </c>
      <c r="N137" s="805">
        <v>0.1</v>
      </c>
      <c r="O137" s="1407">
        <f t="shared" si="100"/>
        <v>0.2072398555207077</v>
      </c>
      <c r="P137" s="861">
        <f t="shared" ref="P137:P168" si="123">O137+(K137-I137*$J$135)</f>
        <v>0.99238815853155593</v>
      </c>
      <c r="Q137" s="696">
        <f t="shared" si="101"/>
        <v>21.697008049039844</v>
      </c>
      <c r="R137" s="673">
        <f t="shared" si="102"/>
        <v>0.71628803219093484</v>
      </c>
      <c r="S137" s="1353">
        <f t="shared" ref="S137:S168" si="124">R137/(Q137-(I137-K137))</f>
        <v>8.597456529739074E-2</v>
      </c>
      <c r="T137" s="135" t="str">
        <f t="shared" si="105"/>
        <v>Policies met</v>
      </c>
      <c r="U137" s="1353">
        <f t="shared" si="106"/>
        <v>8.597456529739074E-2</v>
      </c>
      <c r="V137" s="135" t="str">
        <f t="shared" si="107"/>
        <v>No</v>
      </c>
      <c r="W137" s="1354">
        <f t="shared" si="108"/>
        <v>25.594484147186307</v>
      </c>
      <c r="X137" s="696">
        <f t="shared" si="109"/>
        <v>20.98072001684891</v>
      </c>
      <c r="Y137" s="118">
        <f t="shared" si="110"/>
        <v>2.5929553807085091</v>
      </c>
      <c r="Z137" s="673">
        <f t="shared" si="111"/>
        <v>1.9982315416755014</v>
      </c>
      <c r="AA137" s="673">
        <f t="shared" si="112"/>
        <v>0</v>
      </c>
      <c r="AB137" s="673">
        <f t="shared" si="113"/>
        <v>2.257720795339176E-2</v>
      </c>
      <c r="AC137" s="673">
        <f t="shared" si="114"/>
        <v>25.594484147186314</v>
      </c>
      <c r="AD137" s="847">
        <f t="shared" si="103"/>
        <v>0</v>
      </c>
      <c r="AE137" s="805">
        <f t="shared" si="115"/>
        <v>0.81973599843602973</v>
      </c>
      <c r="AF137" s="510">
        <f t="shared" si="116"/>
        <v>0.10130914793192115</v>
      </c>
      <c r="AG137" s="510">
        <f t="shared" si="117"/>
        <v>7.8072741383817798E-2</v>
      </c>
      <c r="AH137" s="510">
        <f t="shared" si="118"/>
        <v>8.821122482311778E-4</v>
      </c>
      <c r="AI137" s="510">
        <f t="shared" si="119"/>
        <v>8.821122482311778E-4</v>
      </c>
      <c r="AJ137" s="658">
        <f t="shared" si="120"/>
        <v>1.000882112248231</v>
      </c>
    </row>
    <row r="138" spans="1:45">
      <c r="A138" s="127">
        <f>'Input data'!A118</f>
        <v>2020</v>
      </c>
      <c r="B138" s="828">
        <f>'Input data'!B118</f>
        <v>59.308999999999997</v>
      </c>
      <c r="C138" s="238">
        <f>'Input data'!C118</f>
        <v>2948.9199999999987</v>
      </c>
      <c r="D138" s="239">
        <f>'Input data'!D118</f>
        <v>45386383.927997284</v>
      </c>
      <c r="E138" s="654">
        <f>'Input data'!J118</f>
        <v>11.504772374209397</v>
      </c>
      <c r="F138" s="673">
        <f>'Input data'!L118/C98</f>
        <v>26.895621881146617</v>
      </c>
      <c r="G138" s="696">
        <f>G135*0.81</f>
        <v>19.094812599604065</v>
      </c>
      <c r="H138" s="696">
        <f t="shared" si="97"/>
        <v>3.8873994171065256</v>
      </c>
      <c r="I138" s="1351">
        <f t="shared" si="98"/>
        <v>15.390849506937219</v>
      </c>
      <c r="J138" s="805">
        <f t="shared" si="121"/>
        <v>0.13965210661166627</v>
      </c>
      <c r="K138" s="696">
        <f t="shared" si="122"/>
        <v>2.1493645561869079</v>
      </c>
      <c r="L138" s="673">
        <f t="shared" si="99"/>
        <v>0.96248877021284696</v>
      </c>
      <c r="M138" s="802">
        <f t="shared" si="104"/>
        <v>3.1118533263997548</v>
      </c>
      <c r="N138" s="805">
        <f>($N$140-$N$135)/($A$100-$A$95)+N137</f>
        <v>0.2</v>
      </c>
      <c r="O138" s="1407">
        <f t="shared" si="100"/>
        <v>0.4144797110414154</v>
      </c>
      <c r="P138" s="861">
        <f t="shared" si="123"/>
        <v>1.6165722850178095</v>
      </c>
      <c r="Q138" s="696">
        <f t="shared" si="101"/>
        <v>21.365639731692781</v>
      </c>
      <c r="R138" s="673">
        <f t="shared" si="102"/>
        <v>2.2708271320887157</v>
      </c>
      <c r="S138" s="1353">
        <f t="shared" si="124"/>
        <v>0.27951549340438347</v>
      </c>
      <c r="T138" s="135" t="str">
        <f t="shared" si="105"/>
        <v>Policies met</v>
      </c>
      <c r="U138" s="1353">
        <f t="shared" si="106"/>
        <v>0.27951549340438347</v>
      </c>
      <c r="V138" s="135" t="str">
        <f t="shared" si="107"/>
        <v>No</v>
      </c>
      <c r="W138" s="1354">
        <f t="shared" si="108"/>
        <v>23.679859754464353</v>
      </c>
      <c r="X138" s="696">
        <f t="shared" si="109"/>
        <v>19.094812599604065</v>
      </c>
      <c r="Y138" s="118">
        <f t="shared" si="110"/>
        <v>2.8428228028975324</v>
      </c>
      <c r="Z138" s="673">
        <f t="shared" si="111"/>
        <v>1.7244277700351456</v>
      </c>
      <c r="AA138" s="673">
        <f t="shared" si="112"/>
        <v>0</v>
      </c>
      <c r="AB138" s="673">
        <f t="shared" si="113"/>
        <v>1.7796581927611927E-2</v>
      </c>
      <c r="AC138" s="673">
        <f t="shared" si="114"/>
        <v>23.679859754464356</v>
      </c>
      <c r="AD138" s="847">
        <f t="shared" si="103"/>
        <v>0</v>
      </c>
      <c r="AE138" s="805">
        <f t="shared" si="115"/>
        <v>0.80637355109352482</v>
      </c>
      <c r="AF138" s="510">
        <f t="shared" si="116"/>
        <v>0.12005234964964588</v>
      </c>
      <c r="AG138" s="510">
        <f t="shared" si="117"/>
        <v>7.2822549960839186E-2</v>
      </c>
      <c r="AH138" s="510">
        <f t="shared" si="118"/>
        <v>7.5154929599009735E-4</v>
      </c>
      <c r="AI138" s="510">
        <f t="shared" si="119"/>
        <v>7.5154929599009735E-4</v>
      </c>
      <c r="AJ138" s="658">
        <f t="shared" si="120"/>
        <v>1.00075154929599</v>
      </c>
    </row>
    <row r="139" spans="1:45">
      <c r="A139" s="127">
        <f>'Input data'!A119</f>
        <v>2021</v>
      </c>
      <c r="B139" s="828">
        <f>'Input data'!B119</f>
        <v>59.991999999999997</v>
      </c>
      <c r="C139" s="238">
        <f>'Input data'!C119</f>
        <v>3014.38</v>
      </c>
      <c r="D139" s="239">
        <f>'Input data'!D119</f>
        <v>45579683.429913521</v>
      </c>
      <c r="E139" s="654">
        <f>'Input data'!J119</f>
        <v>11.504772374209397</v>
      </c>
      <c r="F139" s="673">
        <f>'Input data'!L119/C99</f>
        <v>26.625521393879616</v>
      </c>
      <c r="G139" s="696">
        <f>G135*0.65</f>
        <v>15.322997765114373</v>
      </c>
      <c r="H139" s="696">
        <f t="shared" si="97"/>
        <v>7.4057378385139572</v>
      </c>
      <c r="I139" s="1351">
        <f t="shared" si="98"/>
        <v>15.120749019670221</v>
      </c>
      <c r="J139" s="805">
        <f t="shared" si="121"/>
        <v>0.16568689595049965</v>
      </c>
      <c r="K139" s="696">
        <f t="shared" si="122"/>
        <v>2.5053099695157197</v>
      </c>
      <c r="L139" s="673">
        <f t="shared" si="99"/>
        <v>0.96248877021284696</v>
      </c>
      <c r="M139" s="802">
        <f t="shared" si="104"/>
        <v>3.4677987397285666</v>
      </c>
      <c r="N139" s="805">
        <v>0.4</v>
      </c>
      <c r="O139" s="1407">
        <f t="shared" si="100"/>
        <v>0.8289594220828308</v>
      </c>
      <c r="P139" s="861">
        <f t="shared" si="123"/>
        <v>2.4036214835727727</v>
      </c>
      <c r="Q139" s="696">
        <f t="shared" si="101"/>
        <v>20.325114120055556</v>
      </c>
      <c r="R139" s="673">
        <f t="shared" si="102"/>
        <v>5.0021163549411831</v>
      </c>
      <c r="S139" s="1353">
        <f t="shared" si="124"/>
        <v>0.64881026886200277</v>
      </c>
      <c r="T139" s="135" t="str">
        <f t="shared" si="105"/>
        <v>Policies met</v>
      </c>
      <c r="U139" s="1353">
        <f t="shared" si="106"/>
        <v>0.64881026886200277</v>
      </c>
      <c r="V139" s="135" t="str">
        <f t="shared" si="107"/>
        <v>No</v>
      </c>
      <c r="W139" s="1354">
        <f t="shared" si="108"/>
        <v>19.161106936572679</v>
      </c>
      <c r="X139" s="696">
        <f t="shared" si="109"/>
        <v>15.322997765114373</v>
      </c>
      <c r="Y139" s="118">
        <f t="shared" si="110"/>
        <v>2.843326141950111</v>
      </c>
      <c r="Z139" s="673">
        <f t="shared" si="111"/>
        <v>0.98610834356405652</v>
      </c>
      <c r="AA139" s="673">
        <f t="shared" si="112"/>
        <v>0</v>
      </c>
      <c r="AB139" s="673">
        <f t="shared" si="113"/>
        <v>8.6746859441368569E-3</v>
      </c>
      <c r="AC139" s="673">
        <f t="shared" si="114"/>
        <v>19.161106936572676</v>
      </c>
      <c r="AD139" s="847">
        <f t="shared" si="103"/>
        <v>0</v>
      </c>
      <c r="AE139" s="805">
        <f t="shared" si="115"/>
        <v>0.79969272212908904</v>
      </c>
      <c r="AF139" s="510">
        <f t="shared" si="116"/>
        <v>0.14839049494176526</v>
      </c>
      <c r="AG139" s="510">
        <f t="shared" si="117"/>
        <v>5.1464059296171358E-2</v>
      </c>
      <c r="AH139" s="510">
        <f t="shared" si="118"/>
        <v>4.5272363297443646E-4</v>
      </c>
      <c r="AI139" s="510">
        <f t="shared" si="119"/>
        <v>4.5272363297443646E-4</v>
      </c>
      <c r="AJ139" s="658">
        <f t="shared" si="120"/>
        <v>1.0004527236329743</v>
      </c>
    </row>
    <row r="140" spans="1:45">
      <c r="A140" s="127">
        <f>'Input data'!A120</f>
        <v>2022</v>
      </c>
      <c r="B140" s="829">
        <f>'Input data'!B120</f>
        <v>60.682000000000002</v>
      </c>
      <c r="C140" s="662">
        <f>'Input data'!C120</f>
        <v>3077.2</v>
      </c>
      <c r="D140" s="830">
        <f>'Input data'!D120</f>
        <v>45460990.75329829</v>
      </c>
      <c r="E140" s="809">
        <f>'Input data'!J120</f>
        <v>11.504772374209397</v>
      </c>
      <c r="F140" s="673">
        <f>'Input data'!L120/C100</f>
        <v>26.278264754717096</v>
      </c>
      <c r="G140" s="940">
        <f>G135*(1-E4)</f>
        <v>11.786921357780287</v>
      </c>
      <c r="H140" s="696">
        <f t="shared" si="97"/>
        <v>10.615930467538128</v>
      </c>
      <c r="I140" s="1351">
        <f t="shared" si="98"/>
        <v>14.773492380507699</v>
      </c>
      <c r="J140" s="805">
        <f t="shared" si="121"/>
        <v>0.19172168528933303</v>
      </c>
      <c r="K140" s="696">
        <f t="shared" si="122"/>
        <v>2.8323988568000567</v>
      </c>
      <c r="L140" s="673">
        <f t="shared" si="99"/>
        <v>0.96248877021284696</v>
      </c>
      <c r="M140" s="802">
        <f t="shared" si="104"/>
        <v>3.7948876270129035</v>
      </c>
      <c r="N140" s="804">
        <f>$E$26</f>
        <v>0.5</v>
      </c>
      <c r="O140" s="1407">
        <f t="shared" si="100"/>
        <v>1.0361992776035385</v>
      </c>
      <c r="P140" s="861">
        <f t="shared" si="123"/>
        <v>2.9593230872304286</v>
      </c>
      <c r="Q140" s="696">
        <f t="shared" si="101"/>
        <v>19.443528738087984</v>
      </c>
      <c r="R140" s="673">
        <f t="shared" si="102"/>
        <v>7.6566073803076975</v>
      </c>
      <c r="S140" s="1353">
        <f t="shared" si="124"/>
        <v>1.0205496164274561</v>
      </c>
      <c r="T140" s="135" t="str">
        <f t="shared" si="105"/>
        <v>Policies not met</v>
      </c>
      <c r="U140" s="1353">
        <f t="shared" si="106"/>
        <v>0.85</v>
      </c>
      <c r="V140" s="135" t="str">
        <f t="shared" si="107"/>
        <v>Yes</v>
      </c>
      <c r="W140" s="1354">
        <f t="shared" si="108"/>
        <v>16.49920823663911</v>
      </c>
      <c r="X140" s="696">
        <f t="shared" si="109"/>
        <v>13.066458805864695</v>
      </c>
      <c r="Y140" s="118">
        <f t="shared" si="110"/>
        <v>2.9767721723319838</v>
      </c>
      <c r="Z140" s="673">
        <f t="shared" si="111"/>
        <v>0.45227213048380793</v>
      </c>
      <c r="AA140" s="673">
        <f t="shared" si="112"/>
        <v>0</v>
      </c>
      <c r="AB140" s="673">
        <f t="shared" si="113"/>
        <v>3.7051279586225467E-3</v>
      </c>
      <c r="AC140" s="673">
        <f t="shared" si="114"/>
        <v>16.49920823663911</v>
      </c>
      <c r="AD140" s="847">
        <f t="shared" si="103"/>
        <v>0</v>
      </c>
      <c r="AE140" s="805">
        <f t="shared" si="115"/>
        <v>0.79194459627756864</v>
      </c>
      <c r="AF140" s="510">
        <f t="shared" si="116"/>
        <v>0.18041909221568517</v>
      </c>
      <c r="AG140" s="510">
        <f t="shared" si="117"/>
        <v>2.7411747521282018E-2</v>
      </c>
      <c r="AH140" s="510">
        <f t="shared" si="118"/>
        <v>2.2456398546414624E-4</v>
      </c>
      <c r="AI140" s="510">
        <f t="shared" si="119"/>
        <v>2.2456398546414624E-4</v>
      </c>
      <c r="AJ140" s="658">
        <f t="shared" si="120"/>
        <v>1.0002245639854641</v>
      </c>
    </row>
    <row r="141" spans="1:45">
      <c r="A141" s="127">
        <f>'Input data'!A121</f>
        <v>2023</v>
      </c>
      <c r="B141" s="828">
        <f>'Input data'!B121</f>
        <v>61.381</v>
      </c>
      <c r="C141" s="238">
        <f>'Input data'!C121</f>
        <v>3140.61</v>
      </c>
      <c r="D141" s="239">
        <f>'Input data'!D121</f>
        <v>45566118.552586071</v>
      </c>
      <c r="E141" s="654">
        <f>'Input data'!J121</f>
        <v>11.504772374209397</v>
      </c>
      <c r="F141" s="673">
        <f>'Input data'!L121/C101</f>
        <v>26.013456531932281</v>
      </c>
      <c r="G141" s="696">
        <f>($G$145-$G$140)/($A$145-$A$140)+G140</f>
        <v>11.079706076313469</v>
      </c>
      <c r="H141" s="696">
        <f t="shared" si="97"/>
        <v>11.074635873493941</v>
      </c>
      <c r="I141" s="1351">
        <f t="shared" si="98"/>
        <v>14.508684157722884</v>
      </c>
      <c r="J141" s="805">
        <f t="shared" si="121"/>
        <v>0.21775647462816641</v>
      </c>
      <c r="K141" s="696">
        <f t="shared" si="122"/>
        <v>3.1593599136792632</v>
      </c>
      <c r="L141" s="673">
        <f t="shared" si="99"/>
        <v>0.96248877021284696</v>
      </c>
      <c r="M141" s="802">
        <f t="shared" si="104"/>
        <v>4.12184868389211</v>
      </c>
      <c r="N141" s="805">
        <f>($N$145-$N$140)/($A$105-$A$100)+N140</f>
        <v>0.5</v>
      </c>
      <c r="O141" s="1407">
        <f t="shared" si="100"/>
        <v>1.0361992776035385</v>
      </c>
      <c r="P141" s="861">
        <f t="shared" si="123"/>
        <v>3.3025824913834452</v>
      </c>
      <c r="Q141" s="696">
        <f t="shared" si="101"/>
        <v>18.851759458423963</v>
      </c>
      <c r="R141" s="673">
        <f t="shared" si="102"/>
        <v>7.772053382110494</v>
      </c>
      <c r="S141" s="1353">
        <f t="shared" si="124"/>
        <v>1.0359374203209859</v>
      </c>
      <c r="T141" s="135" t="str">
        <f t="shared" si="105"/>
        <v>Policies not met</v>
      </c>
      <c r="U141" s="1353">
        <f t="shared" si="106"/>
        <v>0.85</v>
      </c>
      <c r="V141" s="135" t="str">
        <f t="shared" si="107"/>
        <v>Yes</v>
      </c>
      <c r="W141" s="1354">
        <f t="shared" si="108"/>
        <v>16.234400013854295</v>
      </c>
      <c r="X141" s="696">
        <f t="shared" si="109"/>
        <v>12.474689526200674</v>
      </c>
      <c r="Y141" s="118">
        <f t="shared" si="110"/>
        <v>3.3037332292111903</v>
      </c>
      <c r="Z141" s="673">
        <f t="shared" si="111"/>
        <v>0.45227213048380793</v>
      </c>
      <c r="AA141" s="673">
        <f t="shared" si="112"/>
        <v>0</v>
      </c>
      <c r="AB141" s="673">
        <f t="shared" si="113"/>
        <v>3.7051279586225467E-3</v>
      </c>
      <c r="AC141" s="673">
        <f t="shared" si="114"/>
        <v>16.234400013854295</v>
      </c>
      <c r="AD141" s="847">
        <f t="shared" si="103"/>
        <v>0</v>
      </c>
      <c r="AE141" s="805">
        <f t="shared" si="115"/>
        <v>0.76841087539760533</v>
      </c>
      <c r="AF141" s="510">
        <f t="shared" si="116"/>
        <v>0.20350202202679576</v>
      </c>
      <c r="AG141" s="510">
        <f t="shared" si="117"/>
        <v>2.7858875603523559E-2</v>
      </c>
      <c r="AH141" s="510">
        <f t="shared" si="118"/>
        <v>2.2822697207538456E-4</v>
      </c>
      <c r="AI141" s="510">
        <f t="shared" si="119"/>
        <v>2.2822697207538456E-4</v>
      </c>
      <c r="AJ141" s="658">
        <f t="shared" si="120"/>
        <v>1.0002282269720755</v>
      </c>
    </row>
    <row r="142" spans="1:45">
      <c r="A142" s="127">
        <f>'Input data'!A122</f>
        <v>2024</v>
      </c>
      <c r="B142" s="828">
        <f>'Input data'!B122</f>
        <v>62.088000000000001</v>
      </c>
      <c r="C142" s="238">
        <f>'Input data'!C122</f>
        <v>3201.77</v>
      </c>
      <c r="D142" s="239">
        <f>'Input data'!D122</f>
        <v>45550858.065592684</v>
      </c>
      <c r="E142" s="654">
        <f>'Input data'!J122</f>
        <v>11.504772374209397</v>
      </c>
      <c r="F142" s="673">
        <f>'Input data'!L122/C102</f>
        <v>25.731546335359852</v>
      </c>
      <c r="G142" s="696">
        <f t="shared" ref="G142:G144" si="125">($G$145-$G$140)/($A$145-$A$140)+G141</f>
        <v>10.372490794846652</v>
      </c>
      <c r="H142" s="696">
        <f t="shared" si="97"/>
        <v>11.517291893474283</v>
      </c>
      <c r="I142" s="1351">
        <f t="shared" si="98"/>
        <v>14.226773961150453</v>
      </c>
      <c r="J142" s="805">
        <f t="shared" si="121"/>
        <v>0.24379126396699979</v>
      </c>
      <c r="K142" s="696">
        <f t="shared" si="122"/>
        <v>3.4683632061616696</v>
      </c>
      <c r="L142" s="673">
        <f t="shared" si="99"/>
        <v>0.96248877021284696</v>
      </c>
      <c r="M142" s="802">
        <f t="shared" si="104"/>
        <v>4.4308519763745169</v>
      </c>
      <c r="N142" s="805">
        <f>($N$145-$N$140)/($A$105-$A$100)+N141</f>
        <v>0.5</v>
      </c>
      <c r="O142" s="1407">
        <f t="shared" si="100"/>
        <v>1.0361992776035385</v>
      </c>
      <c r="P142" s="861">
        <f t="shared" si="123"/>
        <v>3.6289367189518034</v>
      </c>
      <c r="Q142" s="696">
        <f t="shared" si="101"/>
        <v>18.260845969369132</v>
      </c>
      <c r="R142" s="673">
        <f t="shared" si="102"/>
        <v>7.8883551745224807</v>
      </c>
      <c r="S142" s="1353">
        <f t="shared" si="124"/>
        <v>1.0514392925916132</v>
      </c>
      <c r="T142" s="135" t="str">
        <f t="shared" si="105"/>
        <v>Policies not met</v>
      </c>
      <c r="U142" s="1353">
        <f t="shared" si="106"/>
        <v>0.85</v>
      </c>
      <c r="V142" s="135" t="str">
        <f t="shared" si="107"/>
        <v>Yes</v>
      </c>
      <c r="W142" s="1354">
        <f t="shared" si="108"/>
        <v>15.952489817281863</v>
      </c>
      <c r="X142" s="696">
        <f t="shared" si="109"/>
        <v>11.883776037145836</v>
      </c>
      <c r="Y142" s="118">
        <f t="shared" si="110"/>
        <v>3.6127365216935967</v>
      </c>
      <c r="Z142" s="673">
        <f t="shared" si="111"/>
        <v>0.45227213048380793</v>
      </c>
      <c r="AA142" s="673">
        <f t="shared" si="112"/>
        <v>0</v>
      </c>
      <c r="AB142" s="673">
        <f t="shared" si="113"/>
        <v>3.7051279586225467E-3</v>
      </c>
      <c r="AC142" s="673">
        <f t="shared" si="114"/>
        <v>15.952489817281863</v>
      </c>
      <c r="AD142" s="847">
        <f t="shared" si="103"/>
        <v>0</v>
      </c>
      <c r="AE142" s="805">
        <f t="shared" si="115"/>
        <v>0.74494804091783495</v>
      </c>
      <c r="AF142" s="510">
        <f t="shared" si="116"/>
        <v>0.22646850510945313</v>
      </c>
      <c r="AG142" s="510">
        <f t="shared" si="117"/>
        <v>2.8351193805110378E-2</v>
      </c>
      <c r="AH142" s="510">
        <f t="shared" si="118"/>
        <v>2.3226016760146483E-4</v>
      </c>
      <c r="AI142" s="510">
        <f t="shared" si="119"/>
        <v>2.3226016760146483E-4</v>
      </c>
      <c r="AJ142" s="658">
        <f t="shared" si="120"/>
        <v>1.0002322601676015</v>
      </c>
    </row>
    <row r="143" spans="1:45">
      <c r="A143" s="127">
        <f>'Input data'!A123</f>
        <v>2025</v>
      </c>
      <c r="B143" s="828">
        <f>'Input data'!B123</f>
        <v>62.802999999999997</v>
      </c>
      <c r="C143" s="238">
        <f>'Input data'!C123</f>
        <v>3265.54</v>
      </c>
      <c r="D143" s="239">
        <f>'Input data'!D123</f>
        <v>46410532.166220129</v>
      </c>
      <c r="E143" s="654">
        <f>'Input data'!J123</f>
        <v>11.504772374209397</v>
      </c>
      <c r="F143" s="673">
        <f>'Input data'!L123/C103</f>
        <v>25.716979900750225</v>
      </c>
      <c r="G143" s="673">
        <f t="shared" si="125"/>
        <v>9.665275513379834</v>
      </c>
      <c r="H143" s="696">
        <f t="shared" si="97"/>
        <v>12.210837271441092</v>
      </c>
      <c r="I143" s="1351">
        <f t="shared" si="98"/>
        <v>14.212207526540826</v>
      </c>
      <c r="J143" s="805">
        <f t="shared" si="121"/>
        <v>0.26982605330583315</v>
      </c>
      <c r="K143" s="696">
        <f t="shared" si="122"/>
        <v>3.8348238656499682</v>
      </c>
      <c r="L143" s="673">
        <f t="shared" si="99"/>
        <v>0.96248877021284696</v>
      </c>
      <c r="M143" s="802">
        <f t="shared" si="104"/>
        <v>4.7973126358628155</v>
      </c>
      <c r="N143" s="805">
        <f>($N$145-$N$140)/($A$105-$A$100)+N142</f>
        <v>0.5</v>
      </c>
      <c r="O143" s="1407">
        <f t="shared" si="100"/>
        <v>1.0361992776035385</v>
      </c>
      <c r="P143" s="861">
        <f t="shared" si="123"/>
        <v>3.9962939095497187</v>
      </c>
      <c r="Q143" s="696">
        <f t="shared" si="101"/>
        <v>17.879818875271205</v>
      </c>
      <c r="R143" s="673">
        <f t="shared" si="102"/>
        <v>8.214543361891371</v>
      </c>
      <c r="S143" s="1353">
        <f t="shared" si="124"/>
        <v>1.0949169339238127</v>
      </c>
      <c r="T143" s="135" t="str">
        <f t="shared" si="105"/>
        <v>Policies not met</v>
      </c>
      <c r="U143" s="1353">
        <f t="shared" si="106"/>
        <v>0.85</v>
      </c>
      <c r="V143" s="135" t="str">
        <f t="shared" si="107"/>
        <v>Yes</v>
      </c>
      <c r="W143" s="1354">
        <f t="shared" si="108"/>
        <v>15.937923382672237</v>
      </c>
      <c r="X143" s="696">
        <f t="shared" si="109"/>
        <v>11.50274894304791</v>
      </c>
      <c r="Y143" s="118">
        <f t="shared" si="110"/>
        <v>3.9791971811818954</v>
      </c>
      <c r="Z143" s="673">
        <f t="shared" si="111"/>
        <v>0.45227213048380793</v>
      </c>
      <c r="AA143" s="673">
        <f t="shared" si="112"/>
        <v>0</v>
      </c>
      <c r="AB143" s="673">
        <f t="shared" si="113"/>
        <v>3.7051279586225467E-3</v>
      </c>
      <c r="AC143" s="673">
        <f t="shared" si="114"/>
        <v>15.937923382672237</v>
      </c>
      <c r="AD143" s="847">
        <f t="shared" si="103"/>
        <v>0</v>
      </c>
      <c r="AE143" s="805">
        <f t="shared" si="115"/>
        <v>0.72172193747359437</v>
      </c>
      <c r="AF143" s="510">
        <f t="shared" si="116"/>
        <v>0.24966848476057374</v>
      </c>
      <c r="AG143" s="510">
        <f t="shared" si="117"/>
        <v>2.8377105324494136E-2</v>
      </c>
      <c r="AH143" s="510">
        <f t="shared" si="118"/>
        <v>2.3247244133766976E-4</v>
      </c>
      <c r="AI143" s="510">
        <f t="shared" si="119"/>
        <v>2.3247244133766976E-4</v>
      </c>
      <c r="AJ143" s="658">
        <f t="shared" si="120"/>
        <v>1.0002324724413374</v>
      </c>
    </row>
    <row r="144" spans="1:45">
      <c r="A144" s="127">
        <f>'Input data'!A124</f>
        <v>2026</v>
      </c>
      <c r="B144" s="828">
        <f>'Input data'!B124</f>
        <v>63.420999999999999</v>
      </c>
      <c r="C144" s="238">
        <f>'Input data'!C124</f>
        <v>3341.28</v>
      </c>
      <c r="D144" s="239">
        <f>'Input data'!D124</f>
        <v>46524138.013837561</v>
      </c>
      <c r="E144" s="654">
        <f>'Input data'!J124</f>
        <v>11.504772374209397</v>
      </c>
      <c r="F144" s="673">
        <f>'Input data'!L124/C104</f>
        <v>25.42881885155866</v>
      </c>
      <c r="G144" s="673">
        <f t="shared" si="125"/>
        <v>8.9580602319130165</v>
      </c>
      <c r="H144" s="696">
        <f t="shared" si="97"/>
        <v>12.6476271646453</v>
      </c>
      <c r="I144" s="1351">
        <f t="shared" si="98"/>
        <v>13.924046477349266</v>
      </c>
      <c r="J144" s="805">
        <f t="shared" si="121"/>
        <v>0.2958608426446665</v>
      </c>
      <c r="K144" s="696">
        <f t="shared" si="122"/>
        <v>4.119580123812054</v>
      </c>
      <c r="L144" s="673">
        <f t="shared" si="99"/>
        <v>0.96248877021284696</v>
      </c>
      <c r="M144" s="802">
        <f t="shared" si="104"/>
        <v>5.0820688940249008</v>
      </c>
      <c r="N144" s="805">
        <f>($N$145-$N$140)/($A$105-$A$100)+N143</f>
        <v>0.5</v>
      </c>
      <c r="O144" s="1407">
        <f t="shared" si="100"/>
        <v>1.0361992776035385</v>
      </c>
      <c r="P144" s="861">
        <f t="shared" si="123"/>
        <v>4.2987858286407556</v>
      </c>
      <c r="Q144" s="696">
        <f t="shared" si="101"/>
        <v>17.30690156791756</v>
      </c>
      <c r="R144" s="673">
        <f t="shared" si="102"/>
        <v>8.3488413360045435</v>
      </c>
      <c r="S144" s="1353">
        <f t="shared" si="124"/>
        <v>1.1128175182375237</v>
      </c>
      <c r="T144" s="135" t="str">
        <f t="shared" si="105"/>
        <v>Policies not met</v>
      </c>
      <c r="U144" s="1353">
        <f t="shared" si="106"/>
        <v>0.85</v>
      </c>
      <c r="V144" s="135" t="str">
        <f t="shared" si="107"/>
        <v>Yes</v>
      </c>
      <c r="W144" s="1354">
        <f t="shared" si="108"/>
        <v>15.649762333480677</v>
      </c>
      <c r="X144" s="696">
        <f t="shared" si="109"/>
        <v>10.929831635694264</v>
      </c>
      <c r="Y144" s="118">
        <f t="shared" si="110"/>
        <v>4.2639534393439806</v>
      </c>
      <c r="Z144" s="673">
        <f t="shared" si="111"/>
        <v>0.45227213048380793</v>
      </c>
      <c r="AA144" s="673">
        <f t="shared" si="112"/>
        <v>0</v>
      </c>
      <c r="AB144" s="673">
        <f t="shared" si="113"/>
        <v>3.7051279586225467E-3</v>
      </c>
      <c r="AC144" s="673">
        <f t="shared" si="114"/>
        <v>15.649762333480675</v>
      </c>
      <c r="AD144" s="847">
        <f t="shared" si="103"/>
        <v>0</v>
      </c>
      <c r="AE144" s="805">
        <f t="shared" si="115"/>
        <v>0.69840240399761722</v>
      </c>
      <c r="AF144" s="510">
        <f t="shared" si="116"/>
        <v>0.27246122646998894</v>
      </c>
      <c r="AG144" s="510">
        <f t="shared" si="117"/>
        <v>2.8899616546650634E-2</v>
      </c>
      <c r="AH144" s="510">
        <f t="shared" si="118"/>
        <v>2.3675298574316986E-4</v>
      </c>
      <c r="AI144" s="510">
        <f t="shared" si="119"/>
        <v>2.3675298574316986E-4</v>
      </c>
      <c r="AJ144" s="658">
        <f t="shared" si="120"/>
        <v>1.0002367529857432</v>
      </c>
    </row>
    <row r="145" spans="1:36">
      <c r="A145" s="127">
        <f>'Input data'!A125</f>
        <v>2027</v>
      </c>
      <c r="B145" s="829">
        <f>'Input data'!B125</f>
        <v>64.046000000000006</v>
      </c>
      <c r="C145" s="662">
        <f>'Input data'!C125</f>
        <v>3416.2799999999997</v>
      </c>
      <c r="D145" s="830">
        <f>'Input data'!D125</f>
        <v>46636048.251789063</v>
      </c>
      <c r="E145" s="809">
        <f>'Input data'!J125</f>
        <v>11.504772374209397</v>
      </c>
      <c r="F145" s="673">
        <f>'Input data'!L125/C105</f>
        <v>25.155892379533629</v>
      </c>
      <c r="G145" s="938">
        <f>G135*(1-E5)</f>
        <v>8.2508449504462007</v>
      </c>
      <c r="H145" s="696">
        <f t="shared" si="97"/>
        <v>13.098713981242977</v>
      </c>
      <c r="I145" s="1351">
        <f t="shared" si="98"/>
        <v>13.651120005324232</v>
      </c>
      <c r="J145" s="805">
        <f t="shared" si="121"/>
        <v>0.32189563198349985</v>
      </c>
      <c r="K145" s="696">
        <f t="shared" si="122"/>
        <v>4.394235901396442</v>
      </c>
      <c r="L145" s="673">
        <f t="shared" si="99"/>
        <v>0.96248877021284696</v>
      </c>
      <c r="M145" s="802">
        <f t="shared" si="104"/>
        <v>5.3567246716092889</v>
      </c>
      <c r="N145" s="804">
        <f>$C$27</f>
        <v>0.5</v>
      </c>
      <c r="O145" s="1407">
        <f t="shared" si="100"/>
        <v>1.0361992776035385</v>
      </c>
      <c r="P145" s="861">
        <f t="shared" si="123"/>
        <v>4.5902396133810415</v>
      </c>
      <c r="Q145" s="696">
        <f t="shared" si="101"/>
        <v>16.759319318308137</v>
      </c>
      <c r="R145" s="673">
        <f t="shared" si="102"/>
        <v>8.5084743678619361</v>
      </c>
      <c r="S145" s="1353">
        <f t="shared" si="124"/>
        <v>1.1340950137834256</v>
      </c>
      <c r="T145" s="135" t="str">
        <f t="shared" si="105"/>
        <v>Policies not met</v>
      </c>
      <c r="U145" s="1353">
        <f t="shared" si="106"/>
        <v>0.85</v>
      </c>
      <c r="V145" s="135" t="str">
        <f t="shared" si="107"/>
        <v>Yes</v>
      </c>
      <c r="W145" s="1354">
        <f t="shared" si="108"/>
        <v>15.376835861455643</v>
      </c>
      <c r="X145" s="696">
        <f t="shared" si="109"/>
        <v>10.382249386084842</v>
      </c>
      <c r="Y145" s="118">
        <f t="shared" si="110"/>
        <v>4.5386092169283687</v>
      </c>
      <c r="Z145" s="673">
        <f t="shared" si="111"/>
        <v>0.45227213048380793</v>
      </c>
      <c r="AA145" s="673">
        <f t="shared" si="112"/>
        <v>0</v>
      </c>
      <c r="AB145" s="673">
        <f t="shared" si="113"/>
        <v>3.7051279586225467E-3</v>
      </c>
      <c r="AC145" s="673">
        <f t="shared" si="114"/>
        <v>15.376835861455643</v>
      </c>
      <c r="AD145" s="847">
        <f t="shared" si="103"/>
        <v>0</v>
      </c>
      <c r="AE145" s="805">
        <f t="shared" si="115"/>
        <v>0.6751876315536095</v>
      </c>
      <c r="AF145" s="510">
        <f t="shared" si="116"/>
        <v>0.29515885178335532</v>
      </c>
      <c r="AG145" s="510">
        <f t="shared" si="117"/>
        <v>2.9412561502168089E-2</v>
      </c>
      <c r="AH145" s="510">
        <f t="shared" si="118"/>
        <v>2.4095516086700312E-4</v>
      </c>
      <c r="AI145" s="510">
        <f t="shared" si="119"/>
        <v>2.4095516086700312E-4</v>
      </c>
      <c r="AJ145" s="658">
        <f t="shared" si="120"/>
        <v>1.0002409551608669</v>
      </c>
    </row>
    <row r="146" spans="1:36">
      <c r="A146" s="127">
        <f>'Input data'!A126</f>
        <v>2028</v>
      </c>
      <c r="B146" s="828">
        <f>'Input data'!B126</f>
        <v>64.676000000000002</v>
      </c>
      <c r="C146" s="238">
        <f>'Input data'!C126</f>
        <v>3494.8800000000006</v>
      </c>
      <c r="D146" s="239">
        <f>'Input data'!D126</f>
        <v>46747958.489740558</v>
      </c>
      <c r="E146" s="654">
        <f>'Input data'!J126</f>
        <v>11.504772374209397</v>
      </c>
      <c r="F146" s="673">
        <f>'Input data'!L126/C106</f>
        <v>24.880899305531948</v>
      </c>
      <c r="G146" s="673">
        <f>($G$150-$G$145)/($A$150-$A$145)+G145</f>
        <v>7.5436296689793831</v>
      </c>
      <c r="H146" s="696">
        <f t="shared" si="97"/>
        <v>13.547861390542247</v>
      </c>
      <c r="I146" s="1351">
        <f t="shared" si="98"/>
        <v>13.376126931322549</v>
      </c>
      <c r="J146" s="805">
        <f t="shared" si="121"/>
        <v>0.34793042132233321</v>
      </c>
      <c r="K146" s="696">
        <f t="shared" si="122"/>
        <v>4.6539614788760622</v>
      </c>
      <c r="L146" s="673">
        <f t="shared" si="99"/>
        <v>0.96248877021284696</v>
      </c>
      <c r="M146" s="802">
        <f t="shared" si="104"/>
        <v>5.616450249088909</v>
      </c>
      <c r="N146" s="805">
        <f>N145</f>
        <v>0.5</v>
      </c>
      <c r="O146" s="1407">
        <f t="shared" si="100"/>
        <v>1.0361992776035385</v>
      </c>
      <c r="P146" s="861">
        <f t="shared" si="123"/>
        <v>4.8668903926947982</v>
      </c>
      <c r="Q146" s="696">
        <f t="shared" si="101"/>
        <v>16.224600666826831</v>
      </c>
      <c r="R146" s="673">
        <f t="shared" si="102"/>
        <v>8.6809709978474476</v>
      </c>
      <c r="S146" s="1353">
        <f t="shared" si="124"/>
        <v>1.1570870990272779</v>
      </c>
      <c r="T146" s="135" t="str">
        <f t="shared" si="105"/>
        <v>Policies not met</v>
      </c>
      <c r="U146" s="1353">
        <f t="shared" si="106"/>
        <v>0.85</v>
      </c>
      <c r="V146" s="135" t="str">
        <f t="shared" si="107"/>
        <v>Yes</v>
      </c>
      <c r="W146" s="1354">
        <f t="shared" si="108"/>
        <v>15.101842787453959</v>
      </c>
      <c r="X146" s="696">
        <f t="shared" si="109"/>
        <v>9.8475307346035379</v>
      </c>
      <c r="Y146" s="118">
        <f t="shared" si="110"/>
        <v>4.7983347944079888</v>
      </c>
      <c r="Z146" s="673">
        <f t="shared" si="111"/>
        <v>0.45227213048380793</v>
      </c>
      <c r="AA146" s="673">
        <f t="shared" si="112"/>
        <v>0</v>
      </c>
      <c r="AB146" s="673">
        <f t="shared" si="113"/>
        <v>3.7051279586225467E-3</v>
      </c>
      <c r="AC146" s="673">
        <f t="shared" si="114"/>
        <v>15.101842787453958</v>
      </c>
      <c r="AD146" s="847">
        <f t="shared" si="103"/>
        <v>0</v>
      </c>
      <c r="AE146" s="805">
        <f t="shared" si="115"/>
        <v>0.65207477479400699</v>
      </c>
      <c r="AF146" s="510">
        <f t="shared" si="116"/>
        <v>0.31773174055250164</v>
      </c>
      <c r="AG146" s="510">
        <f t="shared" si="117"/>
        <v>2.9948141882362767E-2</v>
      </c>
      <c r="AH146" s="510">
        <f t="shared" si="118"/>
        <v>2.4534277112860873E-4</v>
      </c>
      <c r="AI146" s="510">
        <f t="shared" si="119"/>
        <v>2.4534277112860873E-4</v>
      </c>
      <c r="AJ146" s="658">
        <f t="shared" si="120"/>
        <v>1.0002453427711286</v>
      </c>
    </row>
    <row r="147" spans="1:36">
      <c r="A147" s="127">
        <f>'Input data'!A127</f>
        <v>2029</v>
      </c>
      <c r="B147" s="828">
        <f>'Input data'!B127</f>
        <v>65.313000000000002</v>
      </c>
      <c r="C147" s="238">
        <f>'Input data'!C127</f>
        <v>3576.08</v>
      </c>
      <c r="D147" s="239">
        <f>'Input data'!D127</f>
        <v>46861564.337357998</v>
      </c>
      <c r="E147" s="654">
        <f>'Input data'!J127</f>
        <v>11.504772374209397</v>
      </c>
      <c r="F147" s="673">
        <f>'Input data'!L127/C107</f>
        <v>24.608943516174339</v>
      </c>
      <c r="G147" s="673">
        <f t="shared" ref="G147:G149" si="126">($G$150-$G$145)/($A$150-$A$145)+G146</f>
        <v>6.8364143875125656</v>
      </c>
      <c r="H147" s="696">
        <f t="shared" si="97"/>
        <v>13.999859146484287</v>
      </c>
      <c r="I147" s="1351">
        <f t="shared" si="98"/>
        <v>13.104171141964944</v>
      </c>
      <c r="J147" s="805">
        <f t="shared" si="121"/>
        <v>0.37396521066116656</v>
      </c>
      <c r="K147" s="696">
        <f t="shared" si="122"/>
        <v>4.9005041216449001</v>
      </c>
      <c r="L147" s="673">
        <f t="shared" si="99"/>
        <v>0.96248877021284696</v>
      </c>
      <c r="M147" s="802">
        <f t="shared" si="104"/>
        <v>5.862992891857747</v>
      </c>
      <c r="N147" s="805">
        <f t="shared" ref="N147:N168" si="127">N146</f>
        <v>0.5</v>
      </c>
      <c r="O147" s="1407">
        <f t="shared" si="100"/>
        <v>1.0361992776035385</v>
      </c>
      <c r="P147" s="861">
        <f t="shared" si="123"/>
        <v>5.1301712992964603</v>
      </c>
      <c r="Q147" s="696">
        <f t="shared" si="101"/>
        <v>15.706102234700392</v>
      </c>
      <c r="R147" s="673">
        <f t="shared" si="102"/>
        <v>8.8696878471878264</v>
      </c>
      <c r="S147" s="1353">
        <f t="shared" si="124"/>
        <v>1.1822411781959525</v>
      </c>
      <c r="T147" s="135" t="str">
        <f t="shared" si="105"/>
        <v>Policies not met</v>
      </c>
      <c r="U147" s="1353">
        <f t="shared" si="106"/>
        <v>0.85</v>
      </c>
      <c r="V147" s="135" t="str">
        <f t="shared" si="107"/>
        <v>Yes</v>
      </c>
      <c r="W147" s="1354">
        <f t="shared" si="108"/>
        <v>14.829886998096354</v>
      </c>
      <c r="X147" s="696">
        <f t="shared" si="109"/>
        <v>9.3290323024770956</v>
      </c>
      <c r="Y147" s="118">
        <f t="shared" si="110"/>
        <v>5.0448774371768268</v>
      </c>
      <c r="Z147" s="673">
        <f t="shared" si="111"/>
        <v>0.45227213048380793</v>
      </c>
      <c r="AA147" s="673">
        <f t="shared" si="112"/>
        <v>0</v>
      </c>
      <c r="AB147" s="673">
        <f t="shared" si="113"/>
        <v>3.7051279586225467E-3</v>
      </c>
      <c r="AC147" s="673">
        <f t="shared" si="114"/>
        <v>14.829886998096352</v>
      </c>
      <c r="AD147" s="847">
        <f t="shared" si="103"/>
        <v>0</v>
      </c>
      <c r="AE147" s="805">
        <f t="shared" si="115"/>
        <v>0.62906968230267857</v>
      </c>
      <c r="AF147" s="510">
        <f t="shared" si="116"/>
        <v>0.34018313408756357</v>
      </c>
      <c r="AG147" s="510">
        <f t="shared" si="117"/>
        <v>3.0497341654853075E-2</v>
      </c>
      <c r="AH147" s="510">
        <f t="shared" si="118"/>
        <v>2.4984195490485923E-4</v>
      </c>
      <c r="AI147" s="510">
        <f t="shared" si="119"/>
        <v>2.4984195490485923E-4</v>
      </c>
      <c r="AJ147" s="658">
        <f t="shared" si="120"/>
        <v>1.0002498419549049</v>
      </c>
    </row>
    <row r="148" spans="1:36">
      <c r="A148" s="127">
        <f>'Input data'!A128</f>
        <v>2030</v>
      </c>
      <c r="B148" s="829">
        <f>'Input data'!B128</f>
        <v>65.956000000000003</v>
      </c>
      <c r="C148" s="662">
        <f>'Input data'!C128</f>
        <v>3660.12</v>
      </c>
      <c r="D148" s="830">
        <f>'Input data'!D128</f>
        <v>46973474.5753095</v>
      </c>
      <c r="E148" s="809">
        <f>'Input data'!J128</f>
        <v>11.504772374209397</v>
      </c>
      <c r="F148" s="673">
        <f>'Input data'!L128/C108</f>
        <v>24.338634262701987</v>
      </c>
      <c r="G148" s="673">
        <f t="shared" si="126"/>
        <v>6.129199106045748</v>
      </c>
      <c r="H148" s="696">
        <f t="shared" si="97"/>
        <v>14.45340209775132</v>
      </c>
      <c r="I148" s="1351">
        <f t="shared" si="98"/>
        <v>12.83386188849259</v>
      </c>
      <c r="J148" s="804">
        <f>$H$19</f>
        <v>0.4</v>
      </c>
      <c r="K148" s="696">
        <f t="shared" si="122"/>
        <v>5.1335447553970361</v>
      </c>
      <c r="L148" s="673">
        <f t="shared" si="99"/>
        <v>0.96248877021284696</v>
      </c>
      <c r="M148" s="802">
        <f t="shared" si="104"/>
        <v>6.096033525609883</v>
      </c>
      <c r="N148" s="805">
        <f t="shared" si="127"/>
        <v>0.5</v>
      </c>
      <c r="O148" s="1407">
        <f t="shared" si="100"/>
        <v>1.0361992776035385</v>
      </c>
      <c r="P148" s="861">
        <f t="shared" si="123"/>
        <v>5.3798488563211668</v>
      </c>
      <c r="Q148" s="696">
        <f t="shared" si="101"/>
        <v>15.202752347475901</v>
      </c>
      <c r="R148" s="673">
        <f t="shared" si="102"/>
        <v>9.0735532414301527</v>
      </c>
      <c r="S148" s="1353">
        <f t="shared" si="124"/>
        <v>1.2094144077430158</v>
      </c>
      <c r="T148" s="135" t="str">
        <f t="shared" si="105"/>
        <v>Policies not met</v>
      </c>
      <c r="U148" s="1353">
        <f t="shared" si="106"/>
        <v>0.85</v>
      </c>
      <c r="V148" s="135" t="str">
        <f t="shared" si="107"/>
        <v>Yes</v>
      </c>
      <c r="W148" s="1354">
        <f t="shared" si="108"/>
        <v>14.559577744624001</v>
      </c>
      <c r="X148" s="696">
        <f t="shared" si="109"/>
        <v>8.8256824152526061</v>
      </c>
      <c r="Y148" s="118">
        <f t="shared" si="110"/>
        <v>5.2779180709289628</v>
      </c>
      <c r="Z148" s="673">
        <f t="shared" si="111"/>
        <v>0.45227213048380793</v>
      </c>
      <c r="AA148" s="673">
        <f t="shared" si="112"/>
        <v>0</v>
      </c>
      <c r="AB148" s="673">
        <f t="shared" si="113"/>
        <v>3.7051279586225467E-3</v>
      </c>
      <c r="AC148" s="673">
        <f t="shared" si="114"/>
        <v>14.559577744624001</v>
      </c>
      <c r="AD148" s="847">
        <f t="shared" si="103"/>
        <v>0</v>
      </c>
      <c r="AE148" s="805">
        <f t="shared" si="115"/>
        <v>0.60617708631772738</v>
      </c>
      <c r="AF148" s="510">
        <f t="shared" si="116"/>
        <v>0.36250488602787873</v>
      </c>
      <c r="AG148" s="510">
        <f t="shared" si="117"/>
        <v>3.106354720011063E-2</v>
      </c>
      <c r="AH148" s="510">
        <f t="shared" si="118"/>
        <v>2.5448045428313559E-4</v>
      </c>
      <c r="AI148" s="510">
        <f t="shared" si="119"/>
        <v>2.5448045428313559E-4</v>
      </c>
      <c r="AJ148" s="658">
        <f t="shared" si="120"/>
        <v>1.000254480454283</v>
      </c>
    </row>
    <row r="149" spans="1:36">
      <c r="A149" s="127">
        <f>'Input data'!A129</f>
        <v>2031</v>
      </c>
      <c r="B149" s="828">
        <f>'Input data'!B129</f>
        <v>66.519000000000005</v>
      </c>
      <c r="C149" s="238">
        <f>'Input data'!C129</f>
        <v>3761.03</v>
      </c>
      <c r="D149" s="239">
        <f>'Input data'!D129</f>
        <v>45096434.675122961</v>
      </c>
      <c r="E149" s="654">
        <f>'Input data'!J129</f>
        <v>11.504772374209397</v>
      </c>
      <c r="F149" s="673">
        <f>'Input data'!L129/C109</f>
        <v>23.495220383165176</v>
      </c>
      <c r="G149" s="673">
        <f t="shared" si="126"/>
        <v>5.4219838245789305</v>
      </c>
      <c r="H149" s="696">
        <f t="shared" si="97"/>
        <v>14.369113716666597</v>
      </c>
      <c r="I149" s="1351">
        <f t="shared" si="98"/>
        <v>11.990448008955781</v>
      </c>
      <c r="J149" s="805">
        <f>J148</f>
        <v>0.4</v>
      </c>
      <c r="K149" s="696">
        <f t="shared" si="122"/>
        <v>4.7961792035823123</v>
      </c>
      <c r="L149" s="673">
        <f t="shared" si="99"/>
        <v>0.96248877021284696</v>
      </c>
      <c r="M149" s="802">
        <f t="shared" si="104"/>
        <v>5.7586679737951592</v>
      </c>
      <c r="N149" s="805">
        <f t="shared" si="127"/>
        <v>0.5</v>
      </c>
      <c r="O149" s="1407">
        <f t="shared" si="100"/>
        <v>1.0361992776035385</v>
      </c>
      <c r="P149" s="861">
        <f t="shared" si="123"/>
        <v>5.0943935214917095</v>
      </c>
      <c r="Q149" s="696">
        <f t="shared" si="101"/>
        <v>14.696704019753817</v>
      </c>
      <c r="R149" s="673">
        <f t="shared" si="102"/>
        <v>9.2747201951748863</v>
      </c>
      <c r="S149" s="1353">
        <f t="shared" si="124"/>
        <v>1.2362279620085885</v>
      </c>
      <c r="T149" s="135" t="str">
        <f t="shared" si="105"/>
        <v>Policies not met</v>
      </c>
      <c r="U149" s="1353">
        <f t="shared" si="106"/>
        <v>0.85</v>
      </c>
      <c r="V149" s="135" t="str">
        <f t="shared" si="107"/>
        <v>Yes</v>
      </c>
      <c r="W149" s="1354">
        <f t="shared" si="108"/>
        <v>13.716163865087191</v>
      </c>
      <c r="X149" s="696">
        <f t="shared" si="109"/>
        <v>8.3196340875305204</v>
      </c>
      <c r="Y149" s="118">
        <f t="shared" si="110"/>
        <v>4.940552519114239</v>
      </c>
      <c r="Z149" s="673">
        <f t="shared" si="111"/>
        <v>0.45227213048380793</v>
      </c>
      <c r="AA149" s="673">
        <f t="shared" si="112"/>
        <v>0</v>
      </c>
      <c r="AB149" s="673">
        <f t="shared" si="113"/>
        <v>3.7051279586225467E-3</v>
      </c>
      <c r="AC149" s="673">
        <f t="shared" si="114"/>
        <v>13.716163865087189</v>
      </c>
      <c r="AD149" s="847">
        <f t="shared" si="103"/>
        <v>0</v>
      </c>
      <c r="AE149" s="805">
        <f t="shared" si="115"/>
        <v>0.60655691849141047</v>
      </c>
      <c r="AF149" s="510">
        <f t="shared" si="116"/>
        <v>0.36019929243407545</v>
      </c>
      <c r="AG149" s="510">
        <f t="shared" si="117"/>
        <v>3.2973660487901513E-2</v>
      </c>
      <c r="AH149" s="510">
        <f t="shared" si="118"/>
        <v>2.7012858661258014E-4</v>
      </c>
      <c r="AI149" s="510">
        <f t="shared" si="119"/>
        <v>2.7012858661258014E-4</v>
      </c>
      <c r="AJ149" s="658">
        <f t="shared" si="120"/>
        <v>1.0002701285866127</v>
      </c>
    </row>
    <row r="150" spans="1:36">
      <c r="A150" s="127">
        <f>'Input data'!A130</f>
        <v>2032</v>
      </c>
      <c r="B150" s="828">
        <f>'Input data'!B130</f>
        <v>67.087000000000003</v>
      </c>
      <c r="C150" s="238">
        <f>'Input data'!C130</f>
        <v>3857.2</v>
      </c>
      <c r="D150" s="239">
        <f>'Input data'!D130</f>
        <v>43216003.555604555</v>
      </c>
      <c r="E150" s="654">
        <f>'Input data'!J130</f>
        <v>11.504772374209397</v>
      </c>
      <c r="F150" s="673">
        <f>'Input data'!L130/C110</f>
        <v>22.708755459246355</v>
      </c>
      <c r="G150" s="939">
        <f>G135*(1-E6)</f>
        <v>4.7147685431121138</v>
      </c>
      <c r="H150" s="696">
        <f t="shared" si="97"/>
        <v>14.33826921176621</v>
      </c>
      <c r="I150" s="1351">
        <f t="shared" si="98"/>
        <v>11.203983085036958</v>
      </c>
      <c r="J150" s="805">
        <f t="shared" ref="J150:J168" si="128">J149</f>
        <v>0.4</v>
      </c>
      <c r="K150" s="696">
        <f t="shared" si="122"/>
        <v>4.4815932340147837</v>
      </c>
      <c r="L150" s="673">
        <f t="shared" si="99"/>
        <v>0.96248877021284696</v>
      </c>
      <c r="M150" s="802">
        <f t="shared" si="104"/>
        <v>5.4440820042276306</v>
      </c>
      <c r="N150" s="805">
        <f t="shared" si="127"/>
        <v>0.5</v>
      </c>
      <c r="O150" s="1407">
        <f t="shared" si="100"/>
        <v>1.0361992776035385</v>
      </c>
      <c r="P150" s="861">
        <f t="shared" si="123"/>
        <v>4.8282126894758042</v>
      </c>
      <c r="Q150" s="696">
        <f t="shared" si="101"/>
        <v>14.22482506540252</v>
      </c>
      <c r="R150" s="673">
        <f t="shared" si="102"/>
        <v>9.5100565222904052</v>
      </c>
      <c r="S150" s="1353">
        <f t="shared" si="124"/>
        <v>1.2675959539193271</v>
      </c>
      <c r="T150" s="135" t="str">
        <f t="shared" si="105"/>
        <v>Policies not met</v>
      </c>
      <c r="U150" s="1353">
        <f t="shared" si="106"/>
        <v>0.85</v>
      </c>
      <c r="V150" s="135" t="str">
        <f t="shared" si="107"/>
        <v>Yes</v>
      </c>
      <c r="W150" s="1354">
        <f t="shared" si="108"/>
        <v>12.929698941168368</v>
      </c>
      <c r="X150" s="696">
        <f t="shared" si="109"/>
        <v>7.8477551331792261</v>
      </c>
      <c r="Y150" s="118">
        <f t="shared" si="110"/>
        <v>4.6259665495467104</v>
      </c>
      <c r="Z150" s="673">
        <f t="shared" si="111"/>
        <v>0.45227213048380793</v>
      </c>
      <c r="AA150" s="673">
        <f t="shared" si="112"/>
        <v>0</v>
      </c>
      <c r="AB150" s="673">
        <f t="shared" si="113"/>
        <v>3.7051279586225467E-3</v>
      </c>
      <c r="AC150" s="673">
        <f t="shared" si="114"/>
        <v>12.929698941168368</v>
      </c>
      <c r="AD150" s="847">
        <f t="shared" si="103"/>
        <v>0</v>
      </c>
      <c r="AE150" s="805">
        <f t="shared" si="115"/>
        <v>0.60695575116539247</v>
      </c>
      <c r="AF150" s="510">
        <f t="shared" si="116"/>
        <v>0.35777836518819156</v>
      </c>
      <c r="AG150" s="510">
        <f t="shared" si="117"/>
        <v>3.4979324154545181E-2</v>
      </c>
      <c r="AH150" s="510">
        <f t="shared" si="118"/>
        <v>2.8655949187071634E-4</v>
      </c>
      <c r="AI150" s="510">
        <f t="shared" si="119"/>
        <v>2.8655949187071634E-4</v>
      </c>
      <c r="AJ150" s="658">
        <f t="shared" si="120"/>
        <v>1.0002865594918706</v>
      </c>
    </row>
    <row r="151" spans="1:36">
      <c r="A151" s="127">
        <f>'Input data'!A131</f>
        <v>2033</v>
      </c>
      <c r="B151" s="828">
        <f>'Input data'!B131</f>
        <v>67.659000000000006</v>
      </c>
      <c r="C151" s="238">
        <f>'Input data'!C131</f>
        <v>3964.01</v>
      </c>
      <c r="D151" s="239">
        <f>'Input data'!D131</f>
        <v>41337268.045752093</v>
      </c>
      <c r="E151" s="654">
        <f>'Input data'!J131</f>
        <v>11.504772374209397</v>
      </c>
      <c r="F151" s="673">
        <f>'Input data'!L131/C111</f>
        <v>21.932916613439893</v>
      </c>
      <c r="G151" s="673">
        <f>G150</f>
        <v>4.7147685431121138</v>
      </c>
      <c r="H151" s="696">
        <f t="shared" si="97"/>
        <v>13.610181492433419</v>
      </c>
      <c r="I151" s="1351">
        <f t="shared" si="98"/>
        <v>10.428144239230498</v>
      </c>
      <c r="J151" s="805">
        <f t="shared" si="128"/>
        <v>0.4</v>
      </c>
      <c r="K151" s="696">
        <f t="shared" si="122"/>
        <v>4.1712576956921996</v>
      </c>
      <c r="L151" s="673">
        <f t="shared" si="99"/>
        <v>0.96248877021284696</v>
      </c>
      <c r="M151" s="802">
        <f t="shared" si="104"/>
        <v>5.1337464659050465</v>
      </c>
      <c r="N151" s="805">
        <f t="shared" si="127"/>
        <v>0.5</v>
      </c>
      <c r="O151" s="1407">
        <f t="shared" si="100"/>
        <v>1.0361992776035385</v>
      </c>
      <c r="P151" s="861">
        <f t="shared" si="123"/>
        <v>4.5656282776268915</v>
      </c>
      <c r="Q151" s="696">
        <f t="shared" si="101"/>
        <v>13.759321757918642</v>
      </c>
      <c r="R151" s="673">
        <f t="shared" si="102"/>
        <v>9.0445532148065269</v>
      </c>
      <c r="S151" s="1353">
        <f t="shared" si="124"/>
        <v>1.2055489926084693</v>
      </c>
      <c r="T151" s="135" t="str">
        <f t="shared" si="105"/>
        <v>Policies not met</v>
      </c>
      <c r="U151" s="1353">
        <f t="shared" si="106"/>
        <v>0.85</v>
      </c>
      <c r="V151" s="135" t="str">
        <f t="shared" si="107"/>
        <v>Yes</v>
      </c>
      <c r="W151" s="1354">
        <f t="shared" si="108"/>
        <v>12.153860095361908</v>
      </c>
      <c r="X151" s="696">
        <f t="shared" si="109"/>
        <v>7.3822518256953504</v>
      </c>
      <c r="Y151" s="118">
        <f t="shared" si="110"/>
        <v>4.3156310112241263</v>
      </c>
      <c r="Z151" s="673">
        <f t="shared" si="111"/>
        <v>0.45227213048380793</v>
      </c>
      <c r="AA151" s="673">
        <f t="shared" si="112"/>
        <v>0</v>
      </c>
      <c r="AB151" s="673">
        <f t="shared" si="113"/>
        <v>3.7051279586225467E-3</v>
      </c>
      <c r="AC151" s="673">
        <f t="shared" si="114"/>
        <v>12.153860095361907</v>
      </c>
      <c r="AD151" s="847">
        <f t="shared" si="103"/>
        <v>0</v>
      </c>
      <c r="AE151" s="805">
        <f t="shared" si="115"/>
        <v>0.60739976993091493</v>
      </c>
      <c r="AF151" s="510">
        <f t="shared" si="116"/>
        <v>0.3550831569034627</v>
      </c>
      <c r="AG151" s="510">
        <f t="shared" si="117"/>
        <v>3.7212221214920987E-2</v>
      </c>
      <c r="AH151" s="510">
        <f t="shared" si="118"/>
        <v>3.0485195070136428E-4</v>
      </c>
      <c r="AI151" s="510">
        <f t="shared" si="119"/>
        <v>3.0485195070136428E-4</v>
      </c>
      <c r="AJ151" s="658">
        <f t="shared" si="120"/>
        <v>1.0003048519507014</v>
      </c>
    </row>
    <row r="152" spans="1:36">
      <c r="A152" s="127">
        <f>'Input data'!A132</f>
        <v>2034</v>
      </c>
      <c r="B152" s="828">
        <f>'Input data'!B132</f>
        <v>68.236999999999995</v>
      </c>
      <c r="C152" s="238">
        <f>'Input data'!C132</f>
        <v>4078.22</v>
      </c>
      <c r="D152" s="239">
        <f>'Input data'!D132</f>
        <v>39458532.535899624</v>
      </c>
      <c r="E152" s="654">
        <f>'Input data'!J132</f>
        <v>11.504772374209397</v>
      </c>
      <c r="F152" s="673">
        <f>'Input data'!L132/C112</f>
        <v>21.180202472610077</v>
      </c>
      <c r="G152" s="673">
        <f t="shared" ref="G152:G168" si="129">G151</f>
        <v>4.7147685431121138</v>
      </c>
      <c r="H152" s="696">
        <f t="shared" si="97"/>
        <v>12.903795204780284</v>
      </c>
      <c r="I152" s="1351">
        <f t="shared" si="98"/>
        <v>9.6754300984006818</v>
      </c>
      <c r="J152" s="805">
        <f t="shared" si="128"/>
        <v>0.4</v>
      </c>
      <c r="K152" s="696">
        <f t="shared" si="122"/>
        <v>3.870172039360273</v>
      </c>
      <c r="L152" s="673">
        <f t="shared" si="99"/>
        <v>0.96248877021284696</v>
      </c>
      <c r="M152" s="802">
        <f t="shared" si="104"/>
        <v>4.8326608095731203</v>
      </c>
      <c r="N152" s="805">
        <f t="shared" si="127"/>
        <v>0.5</v>
      </c>
      <c r="O152" s="1407">
        <f t="shared" si="100"/>
        <v>1.0361992776035385</v>
      </c>
      <c r="P152" s="861">
        <f t="shared" si="123"/>
        <v>4.3108704744716437</v>
      </c>
      <c r="Q152" s="696">
        <f t="shared" si="101"/>
        <v>13.307693273420755</v>
      </c>
      <c r="R152" s="673">
        <f t="shared" si="102"/>
        <v>8.592924730308642</v>
      </c>
      <c r="S152" s="1353">
        <f t="shared" si="124"/>
        <v>1.1453514072121664</v>
      </c>
      <c r="T152" s="135" t="str">
        <f t="shared" si="105"/>
        <v>Policies not met</v>
      </c>
      <c r="U152" s="1353">
        <f t="shared" si="106"/>
        <v>0.85</v>
      </c>
      <c r="V152" s="135" t="str">
        <f t="shared" si="107"/>
        <v>Yes</v>
      </c>
      <c r="W152" s="1354">
        <f t="shared" si="108"/>
        <v>11.401145954532092</v>
      </c>
      <c r="X152" s="696">
        <f t="shared" si="109"/>
        <v>6.9306233411974603</v>
      </c>
      <c r="Y152" s="118">
        <f t="shared" si="110"/>
        <v>4.0145453548922001</v>
      </c>
      <c r="Z152" s="673">
        <f t="shared" si="111"/>
        <v>0.45227213048380793</v>
      </c>
      <c r="AA152" s="673">
        <f t="shared" si="112"/>
        <v>0</v>
      </c>
      <c r="AB152" s="673">
        <f t="shared" si="113"/>
        <v>3.7051279586225467E-3</v>
      </c>
      <c r="AC152" s="673">
        <f t="shared" si="114"/>
        <v>11.40114595453209</v>
      </c>
      <c r="AD152" s="847">
        <f t="shared" si="103"/>
        <v>0</v>
      </c>
      <c r="AE152" s="805">
        <f t="shared" si="115"/>
        <v>0.60788830954685358</v>
      </c>
      <c r="AF152" s="510">
        <f t="shared" si="116"/>
        <v>0.35211770561505451</v>
      </c>
      <c r="AG152" s="510">
        <f t="shared" si="117"/>
        <v>3.966900628125232E-2</v>
      </c>
      <c r="AH152" s="510">
        <f t="shared" si="118"/>
        <v>3.2497855683969335E-4</v>
      </c>
      <c r="AI152" s="510">
        <f t="shared" si="119"/>
        <v>3.2497855683969335E-4</v>
      </c>
      <c r="AJ152" s="658">
        <f t="shared" si="120"/>
        <v>1.00032497855684</v>
      </c>
    </row>
    <row r="153" spans="1:36">
      <c r="A153" s="127">
        <f>'Input data'!A133</f>
        <v>2035</v>
      </c>
      <c r="B153" s="828">
        <f>'Input data'!B133</f>
        <v>68.819000000000003</v>
      </c>
      <c r="C153" s="238">
        <f>'Input data'!C133</f>
        <v>4200.2899999999991</v>
      </c>
      <c r="D153" s="239">
        <f>'Input data'!D133</f>
        <v>37579797.026047163</v>
      </c>
      <c r="E153" s="654">
        <f>'Input data'!J133</f>
        <v>11.504772374209397</v>
      </c>
      <c r="F153" s="673">
        <f>'Input data'!L133/C113</f>
        <v>20.451725328897567</v>
      </c>
      <c r="G153" s="673">
        <f t="shared" si="129"/>
        <v>4.7147685431121138</v>
      </c>
      <c r="H153" s="696">
        <f t="shared" si="97"/>
        <v>12.220154181881544</v>
      </c>
      <c r="I153" s="1351">
        <f t="shared" si="98"/>
        <v>8.9469529546881699</v>
      </c>
      <c r="J153" s="805">
        <f t="shared" si="128"/>
        <v>0.4</v>
      </c>
      <c r="K153" s="696">
        <f t="shared" si="122"/>
        <v>3.5787811818752679</v>
      </c>
      <c r="L153" s="673">
        <f t="shared" si="99"/>
        <v>0.96248877021284696</v>
      </c>
      <c r="M153" s="802">
        <f t="shared" si="104"/>
        <v>4.5412699520881148</v>
      </c>
      <c r="N153" s="805">
        <f t="shared" si="127"/>
        <v>0.5</v>
      </c>
      <c r="O153" s="1407">
        <f t="shared" si="100"/>
        <v>1.0361992776035385</v>
      </c>
      <c r="P153" s="861">
        <f t="shared" si="123"/>
        <v>4.0643157378004098</v>
      </c>
      <c r="Q153" s="696">
        <f t="shared" si="101"/>
        <v>12.870606987193248</v>
      </c>
      <c r="R153" s="673">
        <f t="shared" si="102"/>
        <v>8.1558384440811338</v>
      </c>
      <c r="S153" s="1353">
        <f t="shared" si="124"/>
        <v>1.0870921522185719</v>
      </c>
      <c r="T153" s="135" t="str">
        <f t="shared" si="105"/>
        <v>Policies not met</v>
      </c>
      <c r="U153" s="1353">
        <f t="shared" si="106"/>
        <v>0.85</v>
      </c>
      <c r="V153" s="135" t="str">
        <f t="shared" si="107"/>
        <v>Yes</v>
      </c>
      <c r="W153" s="1354">
        <f t="shared" si="108"/>
        <v>10.67266881081958</v>
      </c>
      <c r="X153" s="696">
        <f t="shared" si="109"/>
        <v>6.4935370549699538</v>
      </c>
      <c r="Y153" s="118">
        <f t="shared" si="110"/>
        <v>3.7231544974071951</v>
      </c>
      <c r="Z153" s="673">
        <f t="shared" si="111"/>
        <v>0.45227213048380793</v>
      </c>
      <c r="AA153" s="673">
        <f t="shared" si="112"/>
        <v>0</v>
      </c>
      <c r="AB153" s="673">
        <f t="shared" si="113"/>
        <v>3.7051279586225467E-3</v>
      </c>
      <c r="AC153" s="673">
        <f t="shared" si="114"/>
        <v>10.67266881081958</v>
      </c>
      <c r="AD153" s="847">
        <f t="shared" si="103"/>
        <v>0</v>
      </c>
      <c r="AE153" s="805">
        <f t="shared" si="115"/>
        <v>0.60842673656162105</v>
      </c>
      <c r="AF153" s="510">
        <f t="shared" si="116"/>
        <v>0.34884943620032421</v>
      </c>
      <c r="AG153" s="510">
        <f t="shared" si="117"/>
        <v>4.2376666839442273E-2</v>
      </c>
      <c r="AH153" s="510">
        <f t="shared" si="118"/>
        <v>3.4716039861242736E-4</v>
      </c>
      <c r="AI153" s="510">
        <f t="shared" si="119"/>
        <v>3.4716039861242736E-4</v>
      </c>
      <c r="AJ153" s="658">
        <f t="shared" si="120"/>
        <v>1.0003471603986123</v>
      </c>
    </row>
    <row r="154" spans="1:36">
      <c r="A154" s="127">
        <f>'Input data'!A134</f>
        <v>2036</v>
      </c>
      <c r="B154" s="828">
        <f>'Input data'!B134</f>
        <v>69.322999999999993</v>
      </c>
      <c r="C154" s="238">
        <f>'Input data'!C134</f>
        <v>4325.9699999999993</v>
      </c>
      <c r="D154" s="239">
        <f>'Input data'!D134</f>
        <v>34222489.887502141</v>
      </c>
      <c r="E154" s="654">
        <f>'Input data'!J134</f>
        <v>11.504772374209397</v>
      </c>
      <c r="F154" s="673">
        <f>'Input data'!L134/C114</f>
        <v>19.415712553522276</v>
      </c>
      <c r="G154" s="673">
        <f t="shared" si="129"/>
        <v>4.7147685431121138</v>
      </c>
      <c r="H154" s="696">
        <f t="shared" si="97"/>
        <v>11.247905649986304</v>
      </c>
      <c r="I154" s="1351">
        <f t="shared" si="98"/>
        <v>7.9109401793128811</v>
      </c>
      <c r="J154" s="805">
        <f t="shared" si="128"/>
        <v>0.4</v>
      </c>
      <c r="K154" s="696">
        <f t="shared" si="122"/>
        <v>3.1643760717251528</v>
      </c>
      <c r="L154" s="673">
        <f t="shared" si="99"/>
        <v>0.96248877021284696</v>
      </c>
      <c r="M154" s="802">
        <f t="shared" si="104"/>
        <v>4.1268648419379996</v>
      </c>
      <c r="N154" s="805">
        <f t="shared" si="127"/>
        <v>0.5</v>
      </c>
      <c r="O154" s="1407">
        <f t="shared" si="100"/>
        <v>1.0361992776035385</v>
      </c>
      <c r="P154" s="861">
        <f t="shared" si="123"/>
        <v>3.7136748711303449</v>
      </c>
      <c r="Q154" s="696">
        <f t="shared" si="101"/>
        <v>12.248999321968075</v>
      </c>
      <c r="R154" s="673">
        <f t="shared" si="102"/>
        <v>7.534230778855961</v>
      </c>
      <c r="S154" s="1353">
        <f t="shared" si="124"/>
        <v>1.0042380325277145</v>
      </c>
      <c r="T154" s="135" t="str">
        <f t="shared" si="105"/>
        <v>Policies not met</v>
      </c>
      <c r="U154" s="1353">
        <f t="shared" si="106"/>
        <v>0.85</v>
      </c>
      <c r="V154" s="135" t="str">
        <f t="shared" si="107"/>
        <v>Yes</v>
      </c>
      <c r="W154" s="1354">
        <f t="shared" si="108"/>
        <v>9.6366560354442914</v>
      </c>
      <c r="X154" s="696">
        <f t="shared" si="109"/>
        <v>5.8719293897447802</v>
      </c>
      <c r="Y154" s="118">
        <f t="shared" si="110"/>
        <v>3.3087493872570799</v>
      </c>
      <c r="Z154" s="673">
        <f t="shared" si="111"/>
        <v>0.45227213048380793</v>
      </c>
      <c r="AA154" s="673">
        <f t="shared" si="112"/>
        <v>0</v>
      </c>
      <c r="AB154" s="673">
        <f t="shared" si="113"/>
        <v>3.7051279586225467E-3</v>
      </c>
      <c r="AC154" s="673">
        <f t="shared" si="114"/>
        <v>9.6366560354442914</v>
      </c>
      <c r="AD154" s="847">
        <f>AC154-W154</f>
        <v>0</v>
      </c>
      <c r="AE154" s="805">
        <f t="shared" si="115"/>
        <v>0.60933267392209656</v>
      </c>
      <c r="AF154" s="510">
        <f t="shared" si="116"/>
        <v>0.34335036708659822</v>
      </c>
      <c r="AG154" s="510">
        <f t="shared" si="117"/>
        <v>4.6932476246980236E-2</v>
      </c>
      <c r="AH154" s="510">
        <f t="shared" si="118"/>
        <v>3.8448274432488077E-4</v>
      </c>
      <c r="AI154" s="510">
        <f t="shared" si="119"/>
        <v>3.8448274432488077E-4</v>
      </c>
      <c r="AJ154" s="658">
        <f t="shared" si="120"/>
        <v>1.0003844827443249</v>
      </c>
    </row>
    <row r="155" spans="1:36">
      <c r="A155" s="127">
        <f>'Input data'!A135</f>
        <v>2037</v>
      </c>
      <c r="B155" s="829">
        <f>'Input data'!B135</f>
        <v>69.83</v>
      </c>
      <c r="C155" s="662">
        <f>'Input data'!C135</f>
        <v>4457.0000000000018</v>
      </c>
      <c r="D155" s="830">
        <f>'Input data'!D135</f>
        <v>30865182.748957112</v>
      </c>
      <c r="E155" s="809">
        <f>'Input data'!J135</f>
        <v>11.504772374209397</v>
      </c>
      <c r="F155" s="673">
        <f>'Input data'!L135/C115</f>
        <v>18.429875077587699</v>
      </c>
      <c r="G155" s="673">
        <f t="shared" si="129"/>
        <v>4.7147685431121138</v>
      </c>
      <c r="H155" s="696">
        <f t="shared" si="97"/>
        <v>10.322744241317867</v>
      </c>
      <c r="I155" s="1351">
        <f t="shared" si="98"/>
        <v>6.9251027033783039</v>
      </c>
      <c r="J155" s="804">
        <f t="shared" si="128"/>
        <v>0.4</v>
      </c>
      <c r="K155" s="696">
        <f t="shared" si="122"/>
        <v>2.7700410813513217</v>
      </c>
      <c r="L155" s="673">
        <f t="shared" si="99"/>
        <v>0.96248877021284696</v>
      </c>
      <c r="M155" s="802">
        <f t="shared" si="104"/>
        <v>3.7325298515641685</v>
      </c>
      <c r="N155" s="805">
        <f t="shared" si="127"/>
        <v>0.5</v>
      </c>
      <c r="O155" s="1407">
        <f t="shared" si="100"/>
        <v>1.0361992776035385</v>
      </c>
      <c r="P155" s="861">
        <f t="shared" si="123"/>
        <v>3.3800159480226535</v>
      </c>
      <c r="Q155" s="696">
        <f t="shared" si="101"/>
        <v>11.657496836407329</v>
      </c>
      <c r="R155" s="673">
        <f t="shared" si="102"/>
        <v>6.9427282932952155</v>
      </c>
      <c r="S155" s="1353">
        <f t="shared" si="124"/>
        <v>0.92539663388064863</v>
      </c>
      <c r="T155" s="135" t="str">
        <f t="shared" si="105"/>
        <v>Policies not met</v>
      </c>
      <c r="U155" s="1353">
        <f t="shared" si="106"/>
        <v>0.85</v>
      </c>
      <c r="V155" s="135" t="str">
        <f t="shared" si="107"/>
        <v>Yes</v>
      </c>
      <c r="W155" s="1354">
        <f t="shared" si="108"/>
        <v>8.6508185595097142</v>
      </c>
      <c r="X155" s="696">
        <f t="shared" si="109"/>
        <v>5.2804269041840346</v>
      </c>
      <c r="Y155" s="118">
        <f t="shared" si="110"/>
        <v>2.9144143968832488</v>
      </c>
      <c r="Z155" s="673">
        <f t="shared" si="111"/>
        <v>0.45227213048380793</v>
      </c>
      <c r="AA155" s="673">
        <f t="shared" si="112"/>
        <v>0</v>
      </c>
      <c r="AB155" s="673">
        <f t="shared" si="113"/>
        <v>3.7051279586225467E-3</v>
      </c>
      <c r="AC155" s="673">
        <f t="shared" si="114"/>
        <v>8.6508185595097142</v>
      </c>
      <c r="AD155" s="847">
        <f t="shared" ref="AD155:AD168" si="130">AC155-W155</f>
        <v>0</v>
      </c>
      <c r="AE155" s="805">
        <f t="shared" si="115"/>
        <v>0.61039621486215789</v>
      </c>
      <c r="AF155" s="510">
        <f t="shared" si="116"/>
        <v>0.33689463914134193</v>
      </c>
      <c r="AG155" s="510">
        <f t="shared" si="117"/>
        <v>5.2280848034505591E-2</v>
      </c>
      <c r="AH155" s="510">
        <f t="shared" si="118"/>
        <v>4.2829796199453927E-4</v>
      </c>
      <c r="AI155" s="510">
        <f t="shared" si="119"/>
        <v>4.2829796199453927E-4</v>
      </c>
      <c r="AJ155" s="658">
        <f t="shared" si="120"/>
        <v>1.0004282979619945</v>
      </c>
    </row>
    <row r="156" spans="1:36">
      <c r="A156" s="127">
        <f>'Input data'!A136</f>
        <v>2038</v>
      </c>
      <c r="B156" s="828">
        <f>'Input data'!B136</f>
        <v>70.341999999999999</v>
      </c>
      <c r="C156" s="238">
        <f>'Input data'!C136</f>
        <v>4590.03</v>
      </c>
      <c r="D156" s="239">
        <f>'Input data'!D136</f>
        <v>27507875.610412091</v>
      </c>
      <c r="E156" s="654">
        <f>'Input data'!J136</f>
        <v>11.504772374209397</v>
      </c>
      <c r="F156" s="673">
        <f>'Input data'!L136/C116</f>
        <v>17.497734426834782</v>
      </c>
      <c r="G156" s="673">
        <f t="shared" si="129"/>
        <v>4.7147685431121138</v>
      </c>
      <c r="H156" s="696">
        <f t="shared" si="97"/>
        <v>9.447974739671416</v>
      </c>
      <c r="I156" s="1351">
        <f t="shared" si="98"/>
        <v>5.9929620526253844</v>
      </c>
      <c r="J156" s="805">
        <f t="shared" si="128"/>
        <v>0.4</v>
      </c>
      <c r="K156" s="696">
        <f t="shared" si="122"/>
        <v>2.3971848210501538</v>
      </c>
      <c r="L156" s="673">
        <f t="shared" si="99"/>
        <v>0.96248877021284696</v>
      </c>
      <c r="M156" s="802">
        <f t="shared" si="104"/>
        <v>3.3596735912630007</v>
      </c>
      <c r="N156" s="805">
        <f t="shared" si="127"/>
        <v>0.5</v>
      </c>
      <c r="O156" s="1407">
        <f t="shared" si="100"/>
        <v>1.0361992776035385</v>
      </c>
      <c r="P156" s="861">
        <f t="shared" si="123"/>
        <v>3.0645308368279549</v>
      </c>
      <c r="Q156" s="696">
        <f t="shared" si="101"/>
        <v>11.098212445955575</v>
      </c>
      <c r="R156" s="673">
        <f t="shared" si="102"/>
        <v>6.3834439028434611</v>
      </c>
      <c r="S156" s="1353">
        <f t="shared" si="124"/>
        <v>0.85084958689252665</v>
      </c>
      <c r="T156" s="135" t="str">
        <f t="shared" si="105"/>
        <v>Policies not met</v>
      </c>
      <c r="U156" s="1353">
        <f t="shared" si="106"/>
        <v>0.85</v>
      </c>
      <c r="V156" s="135" t="str">
        <f t="shared" si="107"/>
        <v>Yes</v>
      </c>
      <c r="W156" s="1354">
        <f t="shared" si="108"/>
        <v>7.7186779087567938</v>
      </c>
      <c r="X156" s="696">
        <f t="shared" si="109"/>
        <v>4.721142513732282</v>
      </c>
      <c r="Y156" s="118">
        <f t="shared" si="110"/>
        <v>2.541558136582081</v>
      </c>
      <c r="Z156" s="673">
        <f t="shared" si="111"/>
        <v>0.45227213048380793</v>
      </c>
      <c r="AA156" s="673">
        <f t="shared" si="112"/>
        <v>0</v>
      </c>
      <c r="AB156" s="673">
        <f t="shared" si="113"/>
        <v>3.7051279586225467E-3</v>
      </c>
      <c r="AC156" s="673">
        <f t="shared" si="114"/>
        <v>7.7186779087567929</v>
      </c>
      <c r="AD156" s="847">
        <f t="shared" si="130"/>
        <v>0</v>
      </c>
      <c r="AE156" s="805">
        <f t="shared" si="115"/>
        <v>0.61165170635973487</v>
      </c>
      <c r="AF156" s="510">
        <f t="shared" si="116"/>
        <v>0.32927376509631251</v>
      </c>
      <c r="AG156" s="510">
        <f t="shared" si="117"/>
        <v>5.8594507483037732E-2</v>
      </c>
      <c r="AH156" s="510">
        <f t="shared" si="118"/>
        <v>4.8002106091499187E-4</v>
      </c>
      <c r="AI156" s="510">
        <f t="shared" si="119"/>
        <v>4.8002106091499187E-4</v>
      </c>
      <c r="AJ156" s="658">
        <f t="shared" si="120"/>
        <v>1.000480021060915</v>
      </c>
    </row>
    <row r="157" spans="1:36">
      <c r="A157" s="127">
        <f>'Input data'!A137</f>
        <v>2039</v>
      </c>
      <c r="B157" s="828">
        <f>'Input data'!B137</f>
        <v>70.856999999999999</v>
      </c>
      <c r="C157" s="238">
        <f>'Input data'!C137</f>
        <v>4728.5300000000007</v>
      </c>
      <c r="D157" s="239">
        <f>'Input data'!D137</f>
        <v>24152264.081533</v>
      </c>
      <c r="E157" s="654">
        <f>'Input data'!J137</f>
        <v>11.504772374209397</v>
      </c>
      <c r="F157" s="673">
        <f>'Input data'!L137/C117</f>
        <v>16.612546689172611</v>
      </c>
      <c r="G157" s="673">
        <f t="shared" si="129"/>
        <v>4.7147685431121138</v>
      </c>
      <c r="H157" s="696">
        <f t="shared" si="97"/>
        <v>8.6172683054945232</v>
      </c>
      <c r="I157" s="1351">
        <f t="shared" si="98"/>
        <v>5.107774314963212</v>
      </c>
      <c r="J157" s="805">
        <f t="shared" si="128"/>
        <v>0.4</v>
      </c>
      <c r="K157" s="696">
        <f t="shared" si="122"/>
        <v>2.0431097259852851</v>
      </c>
      <c r="L157" s="673">
        <f t="shared" si="99"/>
        <v>0.96248877021284696</v>
      </c>
      <c r="M157" s="802">
        <f t="shared" si="104"/>
        <v>3.0055984961981319</v>
      </c>
      <c r="N157" s="805">
        <f t="shared" si="127"/>
        <v>0.5</v>
      </c>
      <c r="O157" s="1407">
        <f t="shared" si="100"/>
        <v>1.0361992776035385</v>
      </c>
      <c r="P157" s="861">
        <f t="shared" si="123"/>
        <v>2.7649370452483639</v>
      </c>
      <c r="Q157" s="696">
        <f t="shared" si="101"/>
        <v>10.567099803358275</v>
      </c>
      <c r="R157" s="673">
        <f t="shared" si="102"/>
        <v>5.852331260246161</v>
      </c>
      <c r="S157" s="1353">
        <f t="shared" si="124"/>
        <v>0.78005755371651353</v>
      </c>
      <c r="T157" s="135" t="str">
        <f t="shared" si="105"/>
        <v>Policies met</v>
      </c>
      <c r="U157" s="1353">
        <f t="shared" si="106"/>
        <v>0.78005755371651353</v>
      </c>
      <c r="V157" s="135" t="str">
        <f t="shared" si="107"/>
        <v>No</v>
      </c>
      <c r="W157" s="1354">
        <f t="shared" si="108"/>
        <v>7.6381620948815012</v>
      </c>
      <c r="X157" s="696">
        <f t="shared" si="109"/>
        <v>4.7147685431121138</v>
      </c>
      <c r="Y157" s="118">
        <f t="shared" si="110"/>
        <v>2.2548018606262832</v>
      </c>
      <c r="Z157" s="673">
        <f t="shared" si="111"/>
        <v>0.66315892509635266</v>
      </c>
      <c r="AA157" s="673">
        <f t="shared" si="112"/>
        <v>0</v>
      </c>
      <c r="AB157" s="673">
        <f t="shared" si="113"/>
        <v>5.4327660467518883E-3</v>
      </c>
      <c r="AC157" s="673">
        <f t="shared" si="114"/>
        <v>7.6381620948815012</v>
      </c>
      <c r="AD157" s="847">
        <f t="shared" si="130"/>
        <v>0</v>
      </c>
      <c r="AE157" s="805">
        <f t="shared" si="115"/>
        <v>0.61726479283171831</v>
      </c>
      <c r="AF157" s="510">
        <f t="shared" si="116"/>
        <v>0.29520214845103576</v>
      </c>
      <c r="AG157" s="510">
        <f t="shared" si="117"/>
        <v>8.6821792580279208E-2</v>
      </c>
      <c r="AH157" s="510">
        <f t="shared" si="118"/>
        <v>7.112661369667061E-4</v>
      </c>
      <c r="AI157" s="510">
        <f t="shared" si="119"/>
        <v>7.112661369667061E-4</v>
      </c>
      <c r="AJ157" s="658">
        <f t="shared" si="120"/>
        <v>1.0007112661369668</v>
      </c>
    </row>
    <row r="158" spans="1:36">
      <c r="A158" s="127">
        <f>'Input data'!A138</f>
        <v>2040</v>
      </c>
      <c r="B158" s="828">
        <f>'Input data'!B138</f>
        <v>71.375</v>
      </c>
      <c r="C158" s="238">
        <f>'Input data'!C138</f>
        <v>4875.51</v>
      </c>
      <c r="D158" s="239">
        <f>'Input data'!D138</f>
        <v>20794956.942987975</v>
      </c>
      <c r="E158" s="654">
        <f>'Input data'!J138</f>
        <v>11.504772374209397</v>
      </c>
      <c r="F158" s="673">
        <f>'Input data'!L138/C118</f>
        <v>15.769958363570094</v>
      </c>
      <c r="G158" s="673">
        <f t="shared" si="129"/>
        <v>4.7147685431121138</v>
      </c>
      <c r="H158" s="696">
        <f t="shared" si="97"/>
        <v>7.8265393858995305</v>
      </c>
      <c r="I158" s="1351">
        <f t="shared" si="98"/>
        <v>4.2651859893606971</v>
      </c>
      <c r="J158" s="805">
        <f t="shared" si="128"/>
        <v>0.4</v>
      </c>
      <c r="K158" s="696">
        <f t="shared" si="122"/>
        <v>1.706074395744279</v>
      </c>
      <c r="L158" s="673">
        <f t="shared" si="99"/>
        <v>0.96248877021284696</v>
      </c>
      <c r="M158" s="802">
        <f t="shared" si="104"/>
        <v>2.6685631659571261</v>
      </c>
      <c r="N158" s="805">
        <f t="shared" si="127"/>
        <v>0.5</v>
      </c>
      <c r="O158" s="1407">
        <f t="shared" si="100"/>
        <v>1.0361992776035385</v>
      </c>
      <c r="P158" s="861">
        <f t="shared" si="123"/>
        <v>2.4797611210148802</v>
      </c>
      <c r="Q158" s="696">
        <f t="shared" si="101"/>
        <v>10.061546807996764</v>
      </c>
      <c r="R158" s="673">
        <f t="shared" si="102"/>
        <v>5.3467782648846507</v>
      </c>
      <c r="S158" s="1353">
        <f t="shared" si="124"/>
        <v>0.71267236731830419</v>
      </c>
      <c r="T158" s="135" t="str">
        <f t="shared" si="105"/>
        <v>Policies met</v>
      </c>
      <c r="U158" s="1353">
        <f t="shared" si="106"/>
        <v>0.71267236731830419</v>
      </c>
      <c r="V158" s="135" t="str">
        <f t="shared" si="107"/>
        <v>No</v>
      </c>
      <c r="W158" s="1354">
        <f t="shared" si="108"/>
        <v>7.5708250001840565</v>
      </c>
      <c r="X158" s="696">
        <f t="shared" si="109"/>
        <v>4.7147685431121138</v>
      </c>
      <c r="Y158" s="118">
        <f t="shared" si="110"/>
        <v>1.982624015572253</v>
      </c>
      <c r="Z158" s="673">
        <f t="shared" si="111"/>
        <v>0.86633520386546359</v>
      </c>
      <c r="AA158" s="673">
        <f t="shared" si="112"/>
        <v>0</v>
      </c>
      <c r="AB158" s="673">
        <f t="shared" si="113"/>
        <v>7.0972376342252029E-3</v>
      </c>
      <c r="AC158" s="673">
        <f t="shared" si="114"/>
        <v>7.5708250001840556</v>
      </c>
      <c r="AD158" s="847">
        <f t="shared" si="130"/>
        <v>0</v>
      </c>
      <c r="AE158" s="805">
        <f t="shared" si="115"/>
        <v>0.62275492340629879</v>
      </c>
      <c r="AF158" s="510">
        <f t="shared" si="116"/>
        <v>0.26187687808449583</v>
      </c>
      <c r="AG158" s="510">
        <f t="shared" si="117"/>
        <v>0.11443075277058999</v>
      </c>
      <c r="AH158" s="510">
        <f t="shared" si="118"/>
        <v>9.3744573861536372E-4</v>
      </c>
      <c r="AI158" s="510">
        <f t="shared" si="119"/>
        <v>9.3744573861536372E-4</v>
      </c>
      <c r="AJ158" s="658">
        <f t="shared" si="120"/>
        <v>1.0009374457386153</v>
      </c>
    </row>
    <row r="159" spans="1:36">
      <c r="A159" s="127">
        <f>'Input data'!A139</f>
        <v>2041</v>
      </c>
      <c r="B159" s="828">
        <f>'Input data'!B139</f>
        <v>71.819000000000003</v>
      </c>
      <c r="C159" s="238">
        <f>'Input data'!C139</f>
        <v>5028.54</v>
      </c>
      <c r="D159" s="239">
        <f>'Input data'!D139</f>
        <v>19523249.693539102</v>
      </c>
      <c r="E159" s="654">
        <f>'Input data'!J139</f>
        <v>11.504772374209397</v>
      </c>
      <c r="F159" s="673">
        <f>'Input data'!L139/C119</f>
        <v>15.387261067456164</v>
      </c>
      <c r="G159" s="673">
        <f t="shared" si="129"/>
        <v>4.7147685431121138</v>
      </c>
      <c r="H159" s="696">
        <f t="shared" si="97"/>
        <v>7.4673962429278982</v>
      </c>
      <c r="I159" s="1351">
        <f t="shared" si="98"/>
        <v>3.8824886932467679</v>
      </c>
      <c r="J159" s="805">
        <f t="shared" si="128"/>
        <v>0.4</v>
      </c>
      <c r="K159" s="696">
        <f t="shared" si="122"/>
        <v>1.5529954772987073</v>
      </c>
      <c r="L159" s="673">
        <f t="shared" si="99"/>
        <v>0.96248877021284696</v>
      </c>
      <c r="M159" s="802">
        <f t="shared" si="104"/>
        <v>2.5154842475115542</v>
      </c>
      <c r="N159" s="805">
        <f t="shared" si="127"/>
        <v>0.5</v>
      </c>
      <c r="O159" s="1407">
        <f t="shared" si="100"/>
        <v>1.0361992776035385</v>
      </c>
      <c r="P159" s="861">
        <f t="shared" si="123"/>
        <v>2.3502363557116057</v>
      </c>
      <c r="Q159" s="696">
        <f t="shared" si="101"/>
        <v>9.8319284303284071</v>
      </c>
      <c r="R159" s="673">
        <f t="shared" si="102"/>
        <v>5.1171598872162933</v>
      </c>
      <c r="S159" s="1353">
        <f t="shared" si="124"/>
        <v>0.6820665212020679</v>
      </c>
      <c r="T159" s="135" t="str">
        <f t="shared" si="105"/>
        <v>Policies met</v>
      </c>
      <c r="U159" s="1353">
        <f t="shared" si="106"/>
        <v>0.6820665212020679</v>
      </c>
      <c r="V159" s="135" t="str">
        <f t="shared" si="107"/>
        <v>No</v>
      </c>
      <c r="W159" s="1354">
        <f t="shared" si="108"/>
        <v>7.5402409969575057</v>
      </c>
      <c r="X159" s="696">
        <f t="shared" si="109"/>
        <v>4.7147685431121138</v>
      </c>
      <c r="Y159" s="118">
        <f t="shared" si="110"/>
        <v>1.8590028803164214</v>
      </c>
      <c r="Z159" s="673">
        <f t="shared" si="111"/>
        <v>0.9586163453871287</v>
      </c>
      <c r="AA159" s="673">
        <f t="shared" si="112"/>
        <v>0</v>
      </c>
      <c r="AB159" s="673">
        <f t="shared" si="113"/>
        <v>7.8532281418423108E-3</v>
      </c>
      <c r="AC159" s="673">
        <f t="shared" si="114"/>
        <v>7.5402409969575066</v>
      </c>
      <c r="AD159" s="847">
        <f t="shared" si="130"/>
        <v>0</v>
      </c>
      <c r="AE159" s="805">
        <f t="shared" si="115"/>
        <v>0.62528088227080891</v>
      </c>
      <c r="AF159" s="510">
        <f t="shared" si="116"/>
        <v>0.24654422598250247</v>
      </c>
      <c r="AG159" s="510">
        <f t="shared" si="117"/>
        <v>0.12713338284199818</v>
      </c>
      <c r="AH159" s="510">
        <f t="shared" si="118"/>
        <v>1.0415089046903268E-3</v>
      </c>
      <c r="AI159" s="510">
        <f t="shared" si="119"/>
        <v>1.0415089046903268E-3</v>
      </c>
      <c r="AJ159" s="658">
        <f t="shared" si="120"/>
        <v>1.0010415089046902</v>
      </c>
    </row>
    <row r="160" spans="1:36">
      <c r="A160" s="127">
        <f>'Input data'!A140</f>
        <v>2042</v>
      </c>
      <c r="B160" s="828">
        <f>'Input data'!B140</f>
        <v>72.265000000000001</v>
      </c>
      <c r="C160" s="238">
        <f>'Input data'!C140</f>
        <v>5188.1000000000004</v>
      </c>
      <c r="D160" s="239">
        <f>'Input data'!D140</f>
        <v>18251542.444090229</v>
      </c>
      <c r="E160" s="654">
        <f>'Input data'!J140</f>
        <v>11.504772374209397</v>
      </c>
      <c r="F160" s="673">
        <f>'Input data'!L140/C120</f>
        <v>15.02273510509165</v>
      </c>
      <c r="G160" s="673">
        <f t="shared" si="129"/>
        <v>4.7147685431121138</v>
      </c>
      <c r="H160" s="696">
        <f t="shared" si="97"/>
        <v>7.1253060292061479</v>
      </c>
      <c r="I160" s="1351">
        <f t="shared" si="98"/>
        <v>3.517962730882255</v>
      </c>
      <c r="J160" s="805">
        <f t="shared" si="128"/>
        <v>0.4</v>
      </c>
      <c r="K160" s="696">
        <f t="shared" si="122"/>
        <v>1.4071850923529021</v>
      </c>
      <c r="L160" s="673">
        <f t="shared" si="99"/>
        <v>0.96248877021284696</v>
      </c>
      <c r="M160" s="802">
        <f t="shared" si="104"/>
        <v>2.3696738625657492</v>
      </c>
      <c r="N160" s="805">
        <f t="shared" si="127"/>
        <v>0.5</v>
      </c>
      <c r="O160" s="1407">
        <f t="shared" si="100"/>
        <v>1.0361992776035385</v>
      </c>
      <c r="P160" s="861">
        <f t="shared" si="123"/>
        <v>2.2268617194085625</v>
      </c>
      <c r="Q160" s="696">
        <f t="shared" si="101"/>
        <v>9.6132128529096992</v>
      </c>
      <c r="R160" s="673">
        <f t="shared" si="102"/>
        <v>4.8984443097975854</v>
      </c>
      <c r="S160" s="1353">
        <f t="shared" si="124"/>
        <v>0.65291390992733356</v>
      </c>
      <c r="T160" s="135" t="str">
        <f t="shared" si="105"/>
        <v>Policies met</v>
      </c>
      <c r="U160" s="1353">
        <f t="shared" si="106"/>
        <v>0.65291390992733356</v>
      </c>
      <c r="V160" s="135" t="str">
        <f t="shared" si="107"/>
        <v>No</v>
      </c>
      <c r="W160" s="1354">
        <f t="shared" si="108"/>
        <v>7.511109191422622</v>
      </c>
      <c r="X160" s="696">
        <f t="shared" si="109"/>
        <v>4.7147685431121138</v>
      </c>
      <c r="Y160" s="118">
        <f t="shared" si="110"/>
        <v>1.7412515563449282</v>
      </c>
      <c r="Z160" s="673">
        <f t="shared" si="111"/>
        <v>1.0465157694563978</v>
      </c>
      <c r="AA160" s="673">
        <f t="shared" si="112"/>
        <v>0</v>
      </c>
      <c r="AB160" s="673">
        <f t="shared" si="113"/>
        <v>8.5733225091814656E-3</v>
      </c>
      <c r="AC160" s="673">
        <f t="shared" si="114"/>
        <v>7.5111091914226211</v>
      </c>
      <c r="AD160" s="847">
        <f t="shared" si="130"/>
        <v>0</v>
      </c>
      <c r="AE160" s="805">
        <f t="shared" si="115"/>
        <v>0.62770603155339377</v>
      </c>
      <c r="AF160" s="510">
        <f t="shared" si="116"/>
        <v>0.23182349130716487</v>
      </c>
      <c r="AG160" s="510">
        <f t="shared" si="117"/>
        <v>0.13932905817045982</v>
      </c>
      <c r="AH160" s="510">
        <f t="shared" si="118"/>
        <v>1.1414189689815518E-3</v>
      </c>
      <c r="AI160" s="510">
        <f t="shared" si="119"/>
        <v>1.1414189689815518E-3</v>
      </c>
      <c r="AJ160" s="658">
        <f t="shared" si="120"/>
        <v>1.0011414189689816</v>
      </c>
    </row>
    <row r="161" spans="1:36">
      <c r="A161" s="127">
        <f>'Input data'!A141</f>
        <v>2043</v>
      </c>
      <c r="B161" s="828">
        <f>'Input data'!B141</f>
        <v>72.713999999999999</v>
      </c>
      <c r="C161" s="238">
        <f>'Input data'!C141</f>
        <v>5353.7899999999991</v>
      </c>
      <c r="D161" s="239">
        <f>'Input data'!D141</f>
        <v>16979835.194641355</v>
      </c>
      <c r="E161" s="654">
        <f>'Input data'!J141</f>
        <v>11.504772374209397</v>
      </c>
      <c r="F161" s="673">
        <f>'Input data'!L141/C121</f>
        <v>14.676326580601758</v>
      </c>
      <c r="G161" s="673">
        <f t="shared" si="129"/>
        <v>4.7147685431121138</v>
      </c>
      <c r="H161" s="696">
        <f t="shared" si="97"/>
        <v>6.8002181660286967</v>
      </c>
      <c r="I161" s="1351">
        <f t="shared" si="98"/>
        <v>3.1715542063923614</v>
      </c>
      <c r="J161" s="805">
        <f t="shared" si="128"/>
        <v>0.4</v>
      </c>
      <c r="K161" s="696">
        <f t="shared" si="122"/>
        <v>1.2686216825569447</v>
      </c>
      <c r="L161" s="673">
        <f t="shared" si="99"/>
        <v>0.96248877021284696</v>
      </c>
      <c r="M161" s="802">
        <f t="shared" si="104"/>
        <v>2.2311104527697916</v>
      </c>
      <c r="N161" s="805">
        <f t="shared" si="127"/>
        <v>0.5</v>
      </c>
      <c r="O161" s="1407">
        <f t="shared" si="100"/>
        <v>1.0361992776035385</v>
      </c>
      <c r="P161" s="861">
        <f t="shared" si="123"/>
        <v>2.1096189709250464</v>
      </c>
      <c r="Q161" s="696">
        <f t="shared" si="101"/>
        <v>9.4053677382157641</v>
      </c>
      <c r="R161" s="673">
        <f t="shared" si="102"/>
        <v>4.6905991951036503</v>
      </c>
      <c r="S161" s="1353">
        <f t="shared" si="124"/>
        <v>0.62521022322364217</v>
      </c>
      <c r="T161" s="135" t="str">
        <f t="shared" si="105"/>
        <v>Policies met</v>
      </c>
      <c r="U161" s="1353">
        <f t="shared" si="106"/>
        <v>0.62521022322364217</v>
      </c>
      <c r="V161" s="135" t="str">
        <f t="shared" si="107"/>
        <v>No</v>
      </c>
      <c r="W161" s="1354">
        <f t="shared" si="108"/>
        <v>7.4834252763851099</v>
      </c>
      <c r="X161" s="696">
        <f t="shared" si="109"/>
        <v>4.7147685431121138</v>
      </c>
      <c r="Y161" s="118">
        <f t="shared" si="110"/>
        <v>1.6293526338947688</v>
      </c>
      <c r="Z161" s="673">
        <f t="shared" si="111"/>
        <v>1.1300464721746275</v>
      </c>
      <c r="AA161" s="673">
        <f t="shared" si="112"/>
        <v>0</v>
      </c>
      <c r="AB161" s="673">
        <f t="shared" si="113"/>
        <v>9.2576272035999104E-3</v>
      </c>
      <c r="AC161" s="673">
        <f t="shared" si="114"/>
        <v>7.4834252763851099</v>
      </c>
      <c r="AD161" s="847">
        <f t="shared" si="130"/>
        <v>0</v>
      </c>
      <c r="AE161" s="805">
        <f t="shared" si="115"/>
        <v>0.63002814473075042</v>
      </c>
      <c r="AF161" s="510">
        <f t="shared" si="116"/>
        <v>0.21772818912702932</v>
      </c>
      <c r="AG161" s="510">
        <f t="shared" si="117"/>
        <v>0.15100658193790367</v>
      </c>
      <c r="AH161" s="510">
        <f t="shared" si="118"/>
        <v>1.2370842043166407E-3</v>
      </c>
      <c r="AI161" s="510">
        <f t="shared" si="119"/>
        <v>1.2370842043166407E-3</v>
      </c>
      <c r="AJ161" s="658">
        <f t="shared" si="120"/>
        <v>1.0012370842043166</v>
      </c>
    </row>
    <row r="162" spans="1:36">
      <c r="A162" s="127">
        <f>'Input data'!A142</f>
        <v>2044</v>
      </c>
      <c r="B162" s="828">
        <f>'Input data'!B142</f>
        <v>73.165000000000006</v>
      </c>
      <c r="C162" s="238">
        <f>'Input data'!C142</f>
        <v>5526.5000000000018</v>
      </c>
      <c r="D162" s="239">
        <f>'Input data'!D142</f>
        <v>15708127.94519248</v>
      </c>
      <c r="E162" s="654">
        <f>'Input data'!J142</f>
        <v>11.504772374209397</v>
      </c>
      <c r="F162" s="673">
        <f>'Input data'!L142/C122</f>
        <v>14.347100781916351</v>
      </c>
      <c r="G162" s="673">
        <f t="shared" si="129"/>
        <v>4.7147685431121138</v>
      </c>
      <c r="H162" s="696">
        <f t="shared" si="97"/>
        <v>6.4912554707395609</v>
      </c>
      <c r="I162" s="1351">
        <f t="shared" si="98"/>
        <v>2.8423284077069528</v>
      </c>
      <c r="J162" s="805">
        <f t="shared" si="128"/>
        <v>0.4</v>
      </c>
      <c r="K162" s="696">
        <f t="shared" si="122"/>
        <v>1.1369313630827811</v>
      </c>
      <c r="L162" s="673">
        <f t="shared" si="99"/>
        <v>0.96248877021284696</v>
      </c>
      <c r="M162" s="802">
        <f t="shared" si="104"/>
        <v>2.0994201332956282</v>
      </c>
      <c r="N162" s="805">
        <f t="shared" si="127"/>
        <v>0.5</v>
      </c>
      <c r="O162" s="1407">
        <f t="shared" si="100"/>
        <v>1.0361992776035385</v>
      </c>
      <c r="P162" s="861">
        <f t="shared" si="123"/>
        <v>1.9981917548471571</v>
      </c>
      <c r="Q162" s="696">
        <f t="shared" si="101"/>
        <v>9.2078322590045172</v>
      </c>
      <c r="R162" s="673">
        <f t="shared" si="102"/>
        <v>4.4930637158924034</v>
      </c>
      <c r="S162" s="1353">
        <f t="shared" si="124"/>
        <v>0.59888070839722707</v>
      </c>
      <c r="T162" s="135" t="str">
        <f t="shared" si="105"/>
        <v>Policies met</v>
      </c>
      <c r="U162" s="1353">
        <f t="shared" si="106"/>
        <v>0.59888070839722707</v>
      </c>
      <c r="V162" s="135" t="str">
        <f t="shared" si="107"/>
        <v>No</v>
      </c>
      <c r="W162" s="1354">
        <f t="shared" si="108"/>
        <v>7.4571145525009781</v>
      </c>
      <c r="X162" s="696">
        <f t="shared" si="109"/>
        <v>4.7147685431121138</v>
      </c>
      <c r="Y162" s="118">
        <f t="shared" si="110"/>
        <v>1.5230041767661824</v>
      </c>
      <c r="Z162" s="673">
        <f t="shared" si="111"/>
        <v>1.2094338439422794</v>
      </c>
      <c r="AA162" s="673">
        <f t="shared" si="112"/>
        <v>0</v>
      </c>
      <c r="AB162" s="673">
        <f t="shared" si="113"/>
        <v>9.9079886804020259E-3</v>
      </c>
      <c r="AC162" s="673">
        <f t="shared" si="114"/>
        <v>7.4571145525009772</v>
      </c>
      <c r="AD162" s="847">
        <f t="shared" si="130"/>
        <v>0</v>
      </c>
      <c r="AE162" s="805">
        <f t="shared" si="115"/>
        <v>0.6322510550050312</v>
      </c>
      <c r="AF162" s="510">
        <f t="shared" si="116"/>
        <v>0.20423505178090567</v>
      </c>
      <c r="AG162" s="510">
        <f t="shared" si="117"/>
        <v>0.16218523068505872</v>
      </c>
      <c r="AH162" s="510">
        <f t="shared" si="118"/>
        <v>1.3286625290044754E-3</v>
      </c>
      <c r="AI162" s="510">
        <f t="shared" si="119"/>
        <v>1.3286625290044754E-3</v>
      </c>
      <c r="AJ162" s="658">
        <f t="shared" si="120"/>
        <v>1.0013286625290045</v>
      </c>
    </row>
    <row r="163" spans="1:36">
      <c r="A163" s="127">
        <f>'Input data'!A143</f>
        <v>2045</v>
      </c>
      <c r="B163" s="828">
        <f>'Input data'!B143</f>
        <v>73.62</v>
      </c>
      <c r="C163" s="238">
        <f>'Input data'!C143</f>
        <v>5709.93</v>
      </c>
      <c r="D163" s="239">
        <f>'Input data'!D143</f>
        <v>14436420.695743607</v>
      </c>
      <c r="E163" s="654">
        <f>'Input data'!J143</f>
        <v>11.504772374209397</v>
      </c>
      <c r="F163" s="673">
        <f>'Input data'!L143/C123</f>
        <v>14.033073193263855</v>
      </c>
      <c r="G163" s="673">
        <f t="shared" si="129"/>
        <v>4.7147685431121138</v>
      </c>
      <c r="H163" s="696">
        <f t="shared" si="97"/>
        <v>6.1965555700251178</v>
      </c>
      <c r="I163" s="1351">
        <f t="shared" si="98"/>
        <v>2.5283008190544556</v>
      </c>
      <c r="J163" s="805">
        <f t="shared" si="128"/>
        <v>0.4</v>
      </c>
      <c r="K163" s="696">
        <f t="shared" si="122"/>
        <v>1.0113203276217824</v>
      </c>
      <c r="L163" s="673">
        <f t="shared" si="99"/>
        <v>0.96248877021284696</v>
      </c>
      <c r="M163" s="802">
        <f t="shared" si="104"/>
        <v>1.9738090978346294</v>
      </c>
      <c r="N163" s="805">
        <f t="shared" si="127"/>
        <v>0.5</v>
      </c>
      <c r="O163" s="1407">
        <f t="shared" si="100"/>
        <v>1.0361992776035385</v>
      </c>
      <c r="P163" s="861">
        <f t="shared" si="123"/>
        <v>1.8919084073242127</v>
      </c>
      <c r="Q163" s="696">
        <f t="shared" si="101"/>
        <v>9.0194157058130191</v>
      </c>
      <c r="R163" s="673">
        <f t="shared" si="102"/>
        <v>4.3046471627009053</v>
      </c>
      <c r="S163" s="1353">
        <f t="shared" si="124"/>
        <v>0.57376665571865815</v>
      </c>
      <c r="T163" s="135" t="str">
        <f t="shared" si="105"/>
        <v>Policies met</v>
      </c>
      <c r="U163" s="1353">
        <f t="shared" si="106"/>
        <v>0.57376665571865815</v>
      </c>
      <c r="V163" s="135" t="str">
        <f t="shared" si="107"/>
        <v>No</v>
      </c>
      <c r="W163" s="1354">
        <f t="shared" si="108"/>
        <v>7.4320184233093194</v>
      </c>
      <c r="X163" s="696">
        <f t="shared" si="109"/>
        <v>4.7147685431121138</v>
      </c>
      <c r="Y163" s="118">
        <f t="shared" si="110"/>
        <v>1.4215651349828402</v>
      </c>
      <c r="Z163" s="673">
        <f t="shared" si="111"/>
        <v>1.2851564180090722</v>
      </c>
      <c r="AA163" s="673">
        <f t="shared" si="112"/>
        <v>0</v>
      </c>
      <c r="AB163" s="673">
        <f t="shared" si="113"/>
        <v>1.052832720529326E-2</v>
      </c>
      <c r="AC163" s="673">
        <f t="shared" si="114"/>
        <v>7.4320184233093194</v>
      </c>
      <c r="AD163" s="847">
        <f t="shared" si="130"/>
        <v>0</v>
      </c>
      <c r="AE163" s="805">
        <f t="shared" si="115"/>
        <v>0.63438601394272753</v>
      </c>
      <c r="AF163" s="510">
        <f t="shared" si="116"/>
        <v>0.19127578189584837</v>
      </c>
      <c r="AG163" s="510">
        <f t="shared" si="117"/>
        <v>0.17292158668207652</v>
      </c>
      <c r="AH163" s="510">
        <f t="shared" si="118"/>
        <v>1.4166174793475849E-3</v>
      </c>
      <c r="AI163" s="510">
        <f t="shared" si="119"/>
        <v>1.4166174793475849E-3</v>
      </c>
      <c r="AJ163" s="658">
        <f t="shared" si="120"/>
        <v>1.0014166174793475</v>
      </c>
    </row>
    <row r="164" spans="1:36">
      <c r="A164" s="127">
        <f>'Input data'!A144</f>
        <v>2046</v>
      </c>
      <c r="B164" s="828">
        <f>'Input data'!B144</f>
        <v>73.995000000000005</v>
      </c>
      <c r="C164" s="238">
        <f>'Input data'!C144</f>
        <v>5902.43</v>
      </c>
      <c r="D164" s="239">
        <f>'Input data'!D144</f>
        <v>13163017.836628802</v>
      </c>
      <c r="E164" s="654">
        <f>'Input data'!J144</f>
        <v>11.504772374209397</v>
      </c>
      <c r="F164" s="673">
        <f>'Input data'!L144/C124</f>
        <v>13.734873847099173</v>
      </c>
      <c r="G164" s="673">
        <f t="shared" si="129"/>
        <v>4.7147685431121138</v>
      </c>
      <c r="H164" s="696">
        <f t="shared" si="97"/>
        <v>5.9167097192674314</v>
      </c>
      <c r="I164" s="1351">
        <f t="shared" si="98"/>
        <v>2.2301014728897761</v>
      </c>
      <c r="J164" s="805">
        <f t="shared" si="128"/>
        <v>0.4</v>
      </c>
      <c r="K164" s="696">
        <f t="shared" si="122"/>
        <v>0.89204058915591045</v>
      </c>
      <c r="L164" s="673">
        <f t="shared" si="99"/>
        <v>0.96248877021284696</v>
      </c>
      <c r="M164" s="802">
        <f t="shared" si="104"/>
        <v>1.8545293593687573</v>
      </c>
      <c r="N164" s="805">
        <f t="shared" si="127"/>
        <v>0.5</v>
      </c>
      <c r="O164" s="1407">
        <f t="shared" si="100"/>
        <v>1.0361992776035385</v>
      </c>
      <c r="P164" s="861">
        <f t="shared" si="123"/>
        <v>1.7909821642653339</v>
      </c>
      <c r="Q164" s="696">
        <f t="shared" si="101"/>
        <v>8.8404960981142118</v>
      </c>
      <c r="R164" s="673">
        <f t="shared" si="102"/>
        <v>4.125727555002098</v>
      </c>
      <c r="S164" s="1353">
        <f t="shared" si="124"/>
        <v>0.5499184514241563</v>
      </c>
      <c r="T164" s="135" t="str">
        <f t="shared" si="105"/>
        <v>Policies met</v>
      </c>
      <c r="U164" s="1353">
        <f t="shared" si="106"/>
        <v>0.5499184514241563</v>
      </c>
      <c r="V164" s="135" t="str">
        <f t="shared" si="107"/>
        <v>No</v>
      </c>
      <c r="W164" s="1354">
        <f t="shared" si="108"/>
        <v>7.4081872390865282</v>
      </c>
      <c r="X164" s="696">
        <f t="shared" si="109"/>
        <v>4.7147685431121138</v>
      </c>
      <c r="Y164" s="118">
        <f t="shared" si="110"/>
        <v>1.325239025340168</v>
      </c>
      <c r="Z164" s="673">
        <f t="shared" si="111"/>
        <v>1.3570622724389885</v>
      </c>
      <c r="AA164" s="673">
        <f t="shared" si="112"/>
        <v>0</v>
      </c>
      <c r="AB164" s="673">
        <f t="shared" si="113"/>
        <v>1.1117398195256601E-2</v>
      </c>
      <c r="AC164" s="673">
        <f t="shared" si="114"/>
        <v>7.4081872390865273</v>
      </c>
      <c r="AD164" s="847">
        <f t="shared" si="130"/>
        <v>0</v>
      </c>
      <c r="AE164" s="805">
        <f t="shared" si="115"/>
        <v>0.63642675204487298</v>
      </c>
      <c r="AF164" s="510">
        <f t="shared" si="116"/>
        <v>0.17888843553359995</v>
      </c>
      <c r="AG164" s="510">
        <f t="shared" si="117"/>
        <v>0.18318412165380449</v>
      </c>
      <c r="AH164" s="510">
        <f t="shared" si="118"/>
        <v>1.5006907677224748E-3</v>
      </c>
      <c r="AI164" s="510">
        <f t="shared" si="119"/>
        <v>1.5006907677224748E-3</v>
      </c>
      <c r="AJ164" s="658">
        <f t="shared" si="120"/>
        <v>1.0015006907677224</v>
      </c>
    </row>
    <row r="165" spans="1:36">
      <c r="A165" s="127">
        <f>'Input data'!A145</f>
        <v>2047</v>
      </c>
      <c r="B165" s="829">
        <f>'Input data'!B145</f>
        <v>74.373000000000005</v>
      </c>
      <c r="C165" s="662">
        <f>'Input data'!C145</f>
        <v>6104.119999999999</v>
      </c>
      <c r="D165" s="830">
        <f>'Input data'!D145</f>
        <v>11891310.587179929</v>
      </c>
      <c r="E165" s="809">
        <f>'Input data'!J145</f>
        <v>11.504772374209397</v>
      </c>
      <c r="F165" s="673">
        <f>'Input data'!L145/C125</f>
        <v>13.452851800429709</v>
      </c>
      <c r="G165" s="673">
        <f t="shared" si="129"/>
        <v>4.7147685431121138</v>
      </c>
      <c r="H165" s="696">
        <f t="shared" si="97"/>
        <v>5.6520454918044534</v>
      </c>
      <c r="I165" s="1351">
        <f t="shared" si="98"/>
        <v>1.948079426220312</v>
      </c>
      <c r="J165" s="804">
        <f t="shared" si="128"/>
        <v>0.4</v>
      </c>
      <c r="K165" s="696">
        <f t="shared" si="122"/>
        <v>0.77923177048812486</v>
      </c>
      <c r="L165" s="673">
        <f t="shared" si="99"/>
        <v>0.96248877021284696</v>
      </c>
      <c r="M165" s="802">
        <f t="shared" si="104"/>
        <v>1.7417205407009719</v>
      </c>
      <c r="N165" s="805">
        <f t="shared" si="127"/>
        <v>0.5</v>
      </c>
      <c r="O165" s="1407">
        <f t="shared" si="100"/>
        <v>1.0361992776035385</v>
      </c>
      <c r="P165" s="861">
        <f t="shared" si="123"/>
        <v>1.6955311648040343</v>
      </c>
      <c r="Q165" s="696">
        <f t="shared" si="101"/>
        <v>8.6712828701125328</v>
      </c>
      <c r="R165" s="673">
        <f t="shared" si="102"/>
        <v>3.9565143270004191</v>
      </c>
      <c r="S165" s="1353">
        <f t="shared" si="124"/>
        <v>0.52736401101028396</v>
      </c>
      <c r="T165" s="135" t="str">
        <f t="shared" si="105"/>
        <v>Policies met</v>
      </c>
      <c r="U165" s="1353">
        <f t="shared" si="106"/>
        <v>0.52736401101028396</v>
      </c>
      <c r="V165" s="135" t="str">
        <f t="shared" si="107"/>
        <v>No</v>
      </c>
      <c r="W165" s="1354">
        <f t="shared" si="108"/>
        <v>7.3856488954063337</v>
      </c>
      <c r="X165" s="696">
        <f t="shared" si="109"/>
        <v>4.7147685431121147</v>
      </c>
      <c r="Y165" s="118">
        <f t="shared" si="110"/>
        <v>1.2341386022891694</v>
      </c>
      <c r="Z165" s="673">
        <f t="shared" si="111"/>
        <v>1.4250672378913363</v>
      </c>
      <c r="AA165" s="673">
        <f t="shared" si="112"/>
        <v>0</v>
      </c>
      <c r="AB165" s="673">
        <f t="shared" si="113"/>
        <v>1.1674512113713433E-2</v>
      </c>
      <c r="AC165" s="673">
        <f t="shared" si="114"/>
        <v>7.3856488954063337</v>
      </c>
      <c r="AD165" s="847">
        <f t="shared" si="130"/>
        <v>0</v>
      </c>
      <c r="AE165" s="805">
        <f t="shared" si="115"/>
        <v>0.63836889755815074</v>
      </c>
      <c r="AF165" s="510">
        <f t="shared" si="116"/>
        <v>0.16709954937835847</v>
      </c>
      <c r="AG165" s="510">
        <f t="shared" si="117"/>
        <v>0.19295085077462701</v>
      </c>
      <c r="AH165" s="510">
        <f t="shared" si="118"/>
        <v>1.580702288863833E-3</v>
      </c>
      <c r="AI165" s="510">
        <f t="shared" si="119"/>
        <v>1.580702288863833E-3</v>
      </c>
      <c r="AJ165" s="658">
        <f t="shared" si="120"/>
        <v>1.0015807022888639</v>
      </c>
    </row>
    <row r="166" spans="1:36">
      <c r="A166" s="127">
        <f>'Input data'!A146</f>
        <v>2048</v>
      </c>
      <c r="B166" s="828">
        <f>'Input data'!B146</f>
        <v>74.753</v>
      </c>
      <c r="C166" s="238">
        <f>'Input data'!C146</f>
        <v>6308.13</v>
      </c>
      <c r="D166" s="239">
        <f>'Input data'!D146</f>
        <v>10619603.337731058</v>
      </c>
      <c r="E166" s="654">
        <f>'Input data'!J146</f>
        <v>11.504772374209397</v>
      </c>
      <c r="F166" s="673">
        <f>'Input data'!L146/C126</f>
        <v>13.188251208306198</v>
      </c>
      <c r="G166" s="673">
        <f t="shared" si="129"/>
        <v>4.7147685431121138</v>
      </c>
      <c r="H166" s="696">
        <f t="shared" si="97"/>
        <v>5.4037304677570868</v>
      </c>
      <c r="I166" s="1351">
        <f t="shared" si="98"/>
        <v>1.6834788340968017</v>
      </c>
      <c r="J166" s="805">
        <f t="shared" si="128"/>
        <v>0.4</v>
      </c>
      <c r="K166" s="696">
        <f t="shared" si="122"/>
        <v>0.67339153363872073</v>
      </c>
      <c r="L166" s="673">
        <f t="shared" si="99"/>
        <v>0.96248877021284696</v>
      </c>
      <c r="M166" s="802">
        <f t="shared" si="104"/>
        <v>1.6358803038515677</v>
      </c>
      <c r="N166" s="805">
        <f t="shared" si="127"/>
        <v>0.5</v>
      </c>
      <c r="O166" s="1407">
        <f t="shared" si="100"/>
        <v>1.0361992776035385</v>
      </c>
      <c r="P166" s="861">
        <f t="shared" si="123"/>
        <v>1.6059764960307743</v>
      </c>
      <c r="Q166" s="696">
        <f t="shared" si="101"/>
        <v>8.5125225148384267</v>
      </c>
      <c r="R166" s="673">
        <f t="shared" si="102"/>
        <v>3.7977539717263129</v>
      </c>
      <c r="S166" s="1353">
        <f t="shared" si="124"/>
        <v>0.50620283457389159</v>
      </c>
      <c r="T166" s="135" t="str">
        <f t="shared" si="105"/>
        <v>Policies met</v>
      </c>
      <c r="U166" s="1353">
        <f t="shared" si="106"/>
        <v>0.50620283457389159</v>
      </c>
      <c r="V166" s="135" t="str">
        <f t="shared" si="107"/>
        <v>No</v>
      </c>
      <c r="W166" s="1354">
        <f t="shared" si="108"/>
        <v>7.3645028213540007</v>
      </c>
      <c r="X166" s="696">
        <f t="shared" si="109"/>
        <v>4.7147685431121138</v>
      </c>
      <c r="Y166" s="118">
        <f t="shared" si="110"/>
        <v>1.1486657601242856</v>
      </c>
      <c r="Z166" s="673">
        <f t="shared" si="111"/>
        <v>1.488871306894209</v>
      </c>
      <c r="AA166" s="673">
        <f t="shared" si="112"/>
        <v>0</v>
      </c>
      <c r="AB166" s="673">
        <f t="shared" si="113"/>
        <v>1.2197211223392245E-2</v>
      </c>
      <c r="AC166" s="673">
        <f t="shared" si="114"/>
        <v>7.3645028213540007</v>
      </c>
      <c r="AD166" s="847">
        <f t="shared" si="130"/>
        <v>0</v>
      </c>
      <c r="AE166" s="805">
        <f t="shared" si="115"/>
        <v>0.6402018788615631</v>
      </c>
      <c r="AF166" s="510">
        <f t="shared" si="116"/>
        <v>0.15597329351190303</v>
      </c>
      <c r="AG166" s="510">
        <f t="shared" si="117"/>
        <v>0.20216861110801673</v>
      </c>
      <c r="AH166" s="510">
        <f t="shared" si="118"/>
        <v>1.6562165185170948E-3</v>
      </c>
      <c r="AI166" s="510">
        <f t="shared" si="119"/>
        <v>1.6562165185170948E-3</v>
      </c>
      <c r="AJ166" s="658">
        <f t="shared" si="120"/>
        <v>1.001656216518517</v>
      </c>
    </row>
    <row r="167" spans="1:36">
      <c r="A167" s="127">
        <f>'Input data'!A147</f>
        <v>2049</v>
      </c>
      <c r="B167" s="828">
        <f>'Input data'!B147</f>
        <v>75.134</v>
      </c>
      <c r="C167" s="238">
        <f>'Input data'!C147</f>
        <v>6522.2000000000007</v>
      </c>
      <c r="D167" s="239">
        <f>'Input data'!D147</f>
        <v>9347896.0882821828</v>
      </c>
      <c r="E167" s="654">
        <f>'Input data'!J147</f>
        <v>11.504772374209397</v>
      </c>
      <c r="F167" s="673">
        <f>'Input data'!L147/C127</f>
        <v>12.938015158589236</v>
      </c>
      <c r="G167" s="673">
        <f t="shared" si="129"/>
        <v>4.7147685431121138</v>
      </c>
      <c r="H167" s="696">
        <f t="shared" si="97"/>
        <v>5.1688958810151915</v>
      </c>
      <c r="I167" s="1351">
        <f t="shared" si="98"/>
        <v>1.4332427843798383</v>
      </c>
      <c r="J167" s="805">
        <f t="shared" si="128"/>
        <v>0.4</v>
      </c>
      <c r="K167" s="696">
        <f t="shared" si="122"/>
        <v>0.57329711375193537</v>
      </c>
      <c r="L167" s="673">
        <f t="shared" si="99"/>
        <v>0.96248877021284696</v>
      </c>
      <c r="M167" s="802">
        <f t="shared" si="104"/>
        <v>1.5357858839647824</v>
      </c>
      <c r="N167" s="805">
        <f t="shared" si="127"/>
        <v>0.5</v>
      </c>
      <c r="O167" s="1407">
        <f t="shared" si="100"/>
        <v>1.0361992776035385</v>
      </c>
      <c r="P167" s="861">
        <f t="shared" si="123"/>
        <v>1.5212835391190556</v>
      </c>
      <c r="Q167" s="696">
        <f t="shared" si="101"/>
        <v>8.3623808850082497</v>
      </c>
      <c r="R167" s="673">
        <f t="shared" si="102"/>
        <v>3.6476123418961359</v>
      </c>
      <c r="S167" s="1353">
        <f t="shared" si="124"/>
        <v>0.48619044852324067</v>
      </c>
      <c r="T167" s="135" t="str">
        <f t="shared" si="105"/>
        <v>Policies met</v>
      </c>
      <c r="U167" s="1353">
        <f t="shared" si="106"/>
        <v>0.48619044852324067</v>
      </c>
      <c r="V167" s="135" t="str">
        <f t="shared" si="107"/>
        <v>No</v>
      </c>
      <c r="W167" s="1354">
        <f t="shared" si="108"/>
        <v>7.3445047178145799</v>
      </c>
      <c r="X167" s="696">
        <f t="shared" si="109"/>
        <v>4.7147685431121138</v>
      </c>
      <c r="Y167" s="118">
        <f t="shared" si="110"/>
        <v>1.067833037076416</v>
      </c>
      <c r="Z167" s="673">
        <f t="shared" si="111"/>
        <v>1.5492116033954912</v>
      </c>
      <c r="AA167" s="673">
        <f t="shared" si="112"/>
        <v>0</v>
      </c>
      <c r="AB167" s="673">
        <f t="shared" si="113"/>
        <v>1.2691534230559008E-2</v>
      </c>
      <c r="AC167" s="673">
        <f t="shared" si="114"/>
        <v>7.3445047178145799</v>
      </c>
      <c r="AD167" s="847">
        <f t="shared" si="130"/>
        <v>0</v>
      </c>
      <c r="AE167" s="805">
        <f t="shared" si="115"/>
        <v>0.6419450629088892</v>
      </c>
      <c r="AF167" s="510">
        <f t="shared" si="116"/>
        <v>0.14539210989766493</v>
      </c>
      <c r="AG167" s="510">
        <f t="shared" si="117"/>
        <v>0.21093479586687125</v>
      </c>
      <c r="AH167" s="510">
        <f t="shared" si="118"/>
        <v>1.7280313265746643E-3</v>
      </c>
      <c r="AI167" s="510">
        <f t="shared" si="119"/>
        <v>1.7280313265746643E-3</v>
      </c>
      <c r="AJ167" s="658">
        <f t="shared" si="120"/>
        <v>1.0017280313265746</v>
      </c>
    </row>
    <row r="168" spans="1:36" ht="15.75" thickBot="1">
      <c r="A168" s="172">
        <f>'Input data'!A148</f>
        <v>2050</v>
      </c>
      <c r="B168" s="831">
        <f>'Input data'!B148</f>
        <v>75.518000000000001</v>
      </c>
      <c r="C168" s="241">
        <f>'Input data'!C148</f>
        <v>6747.1300000000019</v>
      </c>
      <c r="D168" s="242">
        <f>'Input data'!D148</f>
        <v>8077884.4484992418</v>
      </c>
      <c r="E168" s="810">
        <f>'Input data'!J148</f>
        <v>11.504772374209397</v>
      </c>
      <c r="F168" s="814">
        <f>'Input data'!L148/C128</f>
        <v>12.702005041802764</v>
      </c>
      <c r="G168" s="814">
        <f t="shared" si="129"/>
        <v>4.7147685431121138</v>
      </c>
      <c r="H168" s="849">
        <f t="shared" si="97"/>
        <v>4.9474116532025088</v>
      </c>
      <c r="I168" s="1352">
        <f t="shared" si="98"/>
        <v>1.1972326675933678</v>
      </c>
      <c r="J168" s="806">
        <f t="shared" si="128"/>
        <v>0.4</v>
      </c>
      <c r="K168" s="849">
        <f t="shared" si="122"/>
        <v>0.47889306703734713</v>
      </c>
      <c r="L168" s="814">
        <f t="shared" si="99"/>
        <v>0.96248877021284696</v>
      </c>
      <c r="M168" s="811">
        <f t="shared" si="104"/>
        <v>1.4413818372501941</v>
      </c>
      <c r="N168" s="806">
        <f t="shared" si="127"/>
        <v>0.5</v>
      </c>
      <c r="O168" s="1408">
        <f t="shared" si="100"/>
        <v>1.0361992776035385</v>
      </c>
      <c r="P168" s="862">
        <f t="shared" si="123"/>
        <v>1.4414053813782557</v>
      </c>
      <c r="Q168" s="849">
        <f t="shared" si="101"/>
        <v>8.220774814936366</v>
      </c>
      <c r="R168" s="814">
        <f t="shared" si="102"/>
        <v>3.5060062718242522</v>
      </c>
      <c r="S168" s="1362">
        <f t="shared" si="124"/>
        <v>0.46731576769954508</v>
      </c>
      <c r="T168" s="1390" t="str">
        <f t="shared" si="105"/>
        <v>Policies met</v>
      </c>
      <c r="U168" s="1362">
        <f t="shared" si="106"/>
        <v>0.46731576769954508</v>
      </c>
      <c r="V168" s="1390" t="str">
        <f t="shared" si="107"/>
        <v>No</v>
      </c>
      <c r="W168" s="1355">
        <f t="shared" si="108"/>
        <v>7.3256435075405824</v>
      </c>
      <c r="X168" s="849">
        <f t="shared" si="109"/>
        <v>4.7147685431121138</v>
      </c>
      <c r="Y168" s="121">
        <f t="shared" si="110"/>
        <v>0.99159565869598643</v>
      </c>
      <c r="Z168" s="814">
        <f t="shared" si="111"/>
        <v>1.6061215507843891</v>
      </c>
      <c r="AA168" s="814">
        <f t="shared" si="112"/>
        <v>0</v>
      </c>
      <c r="AB168" s="814">
        <f t="shared" si="113"/>
        <v>1.3157754948092019E-2</v>
      </c>
      <c r="AC168" s="814">
        <f t="shared" si="114"/>
        <v>7.3256435075405806</v>
      </c>
      <c r="AD168" s="860">
        <f t="shared" si="130"/>
        <v>0</v>
      </c>
      <c r="AE168" s="806">
        <f t="shared" si="115"/>
        <v>0.64359786799057483</v>
      </c>
      <c r="AF168" s="807">
        <f t="shared" si="116"/>
        <v>0.13535952953147351</v>
      </c>
      <c r="AG168" s="807">
        <f t="shared" si="117"/>
        <v>0.21924647972988903</v>
      </c>
      <c r="AH168" s="807">
        <f t="shared" si="118"/>
        <v>1.7961227480627756E-3</v>
      </c>
      <c r="AI168" s="807">
        <f>AB168/AC168</f>
        <v>1.7961227480627756E-3</v>
      </c>
      <c r="AJ168" s="808">
        <f t="shared" si="120"/>
        <v>1.0017961227480627</v>
      </c>
    </row>
    <row r="170" spans="1:36" ht="23.25">
      <c r="A170" s="865" t="s">
        <v>767</v>
      </c>
    </row>
    <row r="171" spans="1:36" ht="24" thickBot="1">
      <c r="A171" s="865"/>
    </row>
    <row r="172" spans="1:36" ht="21.6" customHeight="1" thickBot="1">
      <c r="A172" s="1593" t="s">
        <v>688</v>
      </c>
      <c r="B172" s="1594"/>
      <c r="C172" s="1594"/>
      <c r="D172" s="1595"/>
      <c r="E172" s="1621" t="s">
        <v>690</v>
      </c>
      <c r="F172" s="1622"/>
      <c r="G172" s="1622"/>
      <c r="H172" s="1622"/>
      <c r="I172" s="1623"/>
      <c r="J172" s="1624" t="s">
        <v>691</v>
      </c>
      <c r="K172" s="1625"/>
      <c r="L172" s="1626"/>
      <c r="M172" s="1627" t="s">
        <v>698</v>
      </c>
      <c r="N172" s="1629" t="s">
        <v>696</v>
      </c>
      <c r="O172" s="1670"/>
      <c r="P172" s="1602" t="s">
        <v>675</v>
      </c>
      <c r="Q172" s="1602" t="s">
        <v>681</v>
      </c>
      <c r="R172" s="1604" t="s">
        <v>661</v>
      </c>
      <c r="S172" s="1604" t="s">
        <v>729</v>
      </c>
      <c r="T172" s="1606" t="s">
        <v>731</v>
      </c>
      <c r="U172" s="1604" t="s">
        <v>730</v>
      </c>
      <c r="V172" s="1606" t="s">
        <v>733</v>
      </c>
      <c r="W172" s="1609" t="s">
        <v>732</v>
      </c>
      <c r="X172" s="1675" t="s">
        <v>672</v>
      </c>
      <c r="Y172" s="1676"/>
      <c r="Z172" s="1676"/>
      <c r="AA172" s="1676"/>
      <c r="AB172" s="1676"/>
      <c r="AC172" s="1676"/>
      <c r="AD172" s="1676"/>
      <c r="AE172" s="1676"/>
      <c r="AF172" s="1676"/>
      <c r="AG172" s="1676"/>
      <c r="AH172" s="1676"/>
      <c r="AI172" s="1676"/>
      <c r="AJ172" s="1677"/>
    </row>
    <row r="173" spans="1:36" ht="43.15" customHeight="1">
      <c r="A173" s="1619" t="s">
        <v>217</v>
      </c>
      <c r="B173" s="884" t="s">
        <v>218</v>
      </c>
      <c r="C173" s="884" t="s">
        <v>464</v>
      </c>
      <c r="D173" s="579" t="s">
        <v>725</v>
      </c>
      <c r="E173" s="886" t="s">
        <v>551</v>
      </c>
      <c r="F173" s="885" t="s">
        <v>555</v>
      </c>
      <c r="G173" s="885" t="s">
        <v>677</v>
      </c>
      <c r="H173" s="887" t="s">
        <v>680</v>
      </c>
      <c r="I173" s="887" t="s">
        <v>721</v>
      </c>
      <c r="J173" s="634" t="s">
        <v>367</v>
      </c>
      <c r="K173" s="1400" t="s">
        <v>367</v>
      </c>
      <c r="L173" s="888" t="s">
        <v>693</v>
      </c>
      <c r="M173" s="1628"/>
      <c r="N173" s="639" t="s">
        <v>694</v>
      </c>
      <c r="O173" s="642" t="s">
        <v>695</v>
      </c>
      <c r="P173" s="1603"/>
      <c r="Q173" s="1603"/>
      <c r="R173" s="1605"/>
      <c r="S173" s="1605"/>
      <c r="T173" s="1607"/>
      <c r="U173" s="1605"/>
      <c r="V173" s="1607"/>
      <c r="W173" s="1610"/>
      <c r="X173" s="900" t="s">
        <v>549</v>
      </c>
      <c r="Y173" s="901" t="s">
        <v>565</v>
      </c>
      <c r="Z173" s="901" t="s">
        <v>428</v>
      </c>
      <c r="AA173" s="901" t="s">
        <v>429</v>
      </c>
      <c r="AB173" s="901" t="s">
        <v>553</v>
      </c>
      <c r="AC173" s="901" t="s">
        <v>225</v>
      </c>
      <c r="AD173" s="905" t="s">
        <v>671</v>
      </c>
      <c r="AE173" s="900" t="s">
        <v>549</v>
      </c>
      <c r="AF173" s="901" t="s">
        <v>565</v>
      </c>
      <c r="AG173" s="901" t="s">
        <v>428</v>
      </c>
      <c r="AH173" s="901" t="s">
        <v>429</v>
      </c>
      <c r="AI173" s="901" t="s">
        <v>553</v>
      </c>
      <c r="AJ173" s="902" t="s">
        <v>225</v>
      </c>
    </row>
    <row r="174" spans="1:36" ht="36.6" customHeight="1" thickBot="1">
      <c r="A174" s="1631"/>
      <c r="B174" s="567" t="s">
        <v>232</v>
      </c>
      <c r="C174" s="568" t="s">
        <v>558</v>
      </c>
      <c r="D174" s="605" t="s">
        <v>556</v>
      </c>
      <c r="E174" s="1433" t="s">
        <v>689</v>
      </c>
      <c r="F174" s="1434" t="s">
        <v>689</v>
      </c>
      <c r="G174" s="1434" t="str">
        <f>F174</f>
        <v>Gg/GDP ZAR billion</v>
      </c>
      <c r="H174" s="1435" t="str">
        <f>G174</f>
        <v>Gg/GDP ZAR billion</v>
      </c>
      <c r="I174" s="1435" t="s">
        <v>692</v>
      </c>
      <c r="J174" s="889" t="s">
        <v>229</v>
      </c>
      <c r="K174" s="890" t="s">
        <v>692</v>
      </c>
      <c r="L174" s="892" t="s">
        <v>692</v>
      </c>
      <c r="M174" s="1359" t="s">
        <v>692</v>
      </c>
      <c r="N174" s="868" t="s">
        <v>229</v>
      </c>
      <c r="O174" s="870" t="s">
        <v>670</v>
      </c>
      <c r="P174" s="1414" t="s">
        <v>670</v>
      </c>
      <c r="Q174" s="895" t="s">
        <v>670</v>
      </c>
      <c r="R174" s="896" t="s">
        <v>670</v>
      </c>
      <c r="S174" s="1411" t="s">
        <v>28</v>
      </c>
      <c r="T174" s="1608"/>
      <c r="U174" s="1411" t="s">
        <v>28</v>
      </c>
      <c r="V174" s="1608"/>
      <c r="W174" s="1366" t="s">
        <v>692</v>
      </c>
      <c r="X174" s="192" t="s">
        <v>228</v>
      </c>
      <c r="Y174" s="1367" t="s">
        <v>228</v>
      </c>
      <c r="Z174" s="1367" t="s">
        <v>228</v>
      </c>
      <c r="AA174" s="1367" t="s">
        <v>228</v>
      </c>
      <c r="AB174" s="1367" t="s">
        <v>228</v>
      </c>
      <c r="AC174" s="1367" t="s">
        <v>228</v>
      </c>
      <c r="AD174" s="1368" t="s">
        <v>669</v>
      </c>
      <c r="AE174" s="908" t="s">
        <v>229</v>
      </c>
      <c r="AF174" s="903" t="s">
        <v>229</v>
      </c>
      <c r="AG174" s="903" t="s">
        <v>229</v>
      </c>
      <c r="AH174" s="903" t="s">
        <v>229</v>
      </c>
      <c r="AI174" s="903" t="s">
        <v>229</v>
      </c>
      <c r="AJ174" s="906" t="s">
        <v>229</v>
      </c>
    </row>
    <row r="175" spans="1:36">
      <c r="A175" s="127">
        <f>'Input data'!A115</f>
        <v>2017</v>
      </c>
      <c r="B175" s="828">
        <f>'Input data'!B115</f>
        <v>56.521999999999998</v>
      </c>
      <c r="C175" s="238">
        <f>'Input data'!C115</f>
        <v>3120.54</v>
      </c>
      <c r="D175" s="238">
        <f>'Input data'!E115</f>
        <v>49995051</v>
      </c>
      <c r="E175" s="813">
        <f>'Input data'!J115</f>
        <v>11.504772374209397</v>
      </c>
      <c r="F175" s="813">
        <f>'Input data'!L115/C135</f>
        <v>27.526054267727826</v>
      </c>
      <c r="G175" s="851">
        <f>F175*B11</f>
        <v>23.573842715560573</v>
      </c>
      <c r="H175" s="851">
        <f t="shared" ref="H175:H208" si="131">E175*$B$12+I175*$E$80-G175</f>
        <v>0</v>
      </c>
      <c r="I175" s="1436">
        <f t="shared" ref="I175:I208" si="132">D175/1000/C175</f>
        <v>16.021281893518431</v>
      </c>
      <c r="J175" s="510">
        <f>H17</f>
        <v>6.154773859516615E-2</v>
      </c>
      <c r="K175" s="696">
        <f>(I175)*J175</f>
        <v>0.98607366994174095</v>
      </c>
      <c r="L175" s="673">
        <f t="shared" ref="L175:L208" si="133">(E175)*$C$12*$G$12</f>
        <v>0.96248877021284696</v>
      </c>
      <c r="M175" s="802">
        <f>L175+K175</f>
        <v>1.9485624401545878</v>
      </c>
      <c r="N175" s="805">
        <v>0</v>
      </c>
      <c r="O175" s="847">
        <f t="shared" ref="O175:O208" si="134">N175*E175*($C$84)*$B$12</f>
        <v>0</v>
      </c>
      <c r="P175" s="861">
        <f>O175+(K175-I175*$J$135)</f>
        <v>0</v>
      </c>
      <c r="Q175" s="861">
        <f t="shared" ref="Q175:Q208" si="135">E175*$B$12+I175*(1-$H$80)-P175</f>
        <v>23.573842715560573</v>
      </c>
      <c r="R175" s="673">
        <f>Q175-G175</f>
        <v>0</v>
      </c>
      <c r="S175" s="1353">
        <f>R175/(Q175-(I175-K175))</f>
        <v>0</v>
      </c>
      <c r="T175" s="135" t="str">
        <f>IF(AND(S175&gt;=0,S175&lt;=0.85),"Policies met","Policies not met")</f>
        <v>Policies met</v>
      </c>
      <c r="U175" s="1353">
        <f>IF(S175&lt;=0,0,IF(S175&gt;=0.85,0.85,S175))</f>
        <v>0</v>
      </c>
      <c r="V175" s="135" t="str">
        <f>IF(AND(S175&gt;=0,S175&lt;=0.85),"No","Yes")</f>
        <v>No</v>
      </c>
      <c r="W175" s="1354">
        <f>($E$135)*(1-U175)+I175</f>
        <v>27.526054267727829</v>
      </c>
      <c r="X175" s="696">
        <f>Q175-U175*(Q175-(I175-K175))</f>
        <v>23.573842715560573</v>
      </c>
      <c r="Y175" s="118">
        <f>(L175)*(1-U175)+K175</f>
        <v>1.9485624401545878</v>
      </c>
      <c r="Z175" s="673">
        <f>($C$12*$H$12*$E$135+O175)*(1-U175)</f>
        <v>1.9789482589551808</v>
      </c>
      <c r="AA175" s="673">
        <f>$F$135*$D$11*(1-U175)</f>
        <v>0</v>
      </c>
      <c r="AB175" s="673">
        <f>$E$135*$E$12*(1-U175)</f>
        <v>2.4700853057483641E-2</v>
      </c>
      <c r="AC175" s="673">
        <f>SUM(X175:AB175)</f>
        <v>27.526054267727829</v>
      </c>
      <c r="AD175" s="674">
        <f t="shared" ref="AD175:AD193" si="136">AC175-W175</f>
        <v>0</v>
      </c>
      <c r="AE175" s="891">
        <f>X175/AC175</f>
        <v>0.85641924869700925</v>
      </c>
      <c r="AF175" s="803">
        <f>Y175/AC175</f>
        <v>7.0789747822270571E-2</v>
      </c>
      <c r="AG175" s="803">
        <f>Z175/AC175</f>
        <v>7.1893640828694608E-2</v>
      </c>
      <c r="AH175" s="803">
        <f>AB175/AC175</f>
        <v>8.9736265202541149E-4</v>
      </c>
      <c r="AI175" s="803">
        <f>AB175/AC175</f>
        <v>8.9736265202541149E-4</v>
      </c>
      <c r="AJ175" s="907">
        <f>SUM(AE175:AI175)</f>
        <v>1.0008973626520252</v>
      </c>
    </row>
    <row r="176" spans="1:36">
      <c r="A176" s="127">
        <f>'Input data'!A116</f>
        <v>2018</v>
      </c>
      <c r="B176" s="828">
        <f>'Input data'!B116</f>
        <v>57.436</v>
      </c>
      <c r="C176" s="238">
        <f>'Input data'!C116</f>
        <v>3152.24</v>
      </c>
      <c r="D176" s="238">
        <f>'Input data'!E116</f>
        <v>48694518.38623029</v>
      </c>
      <c r="E176" s="673">
        <f>'Input data'!J116</f>
        <v>11.504772374209397</v>
      </c>
      <c r="F176" s="673">
        <f>'Input data'!L116/C136</f>
        <v>26.95236468514711</v>
      </c>
      <c r="G176" s="696">
        <f>G175*0.94</f>
        <v>22.159412152626938</v>
      </c>
      <c r="H176" s="696">
        <f t="shared" si="131"/>
        <v>0.87605027681636471</v>
      </c>
      <c r="I176" s="1351">
        <f t="shared" si="132"/>
        <v>15.447592310937711</v>
      </c>
      <c r="J176" s="805">
        <f>($J$188-$J$175)/($A$188-$A$175)+J175</f>
        <v>8.7582527933999524E-2</v>
      </c>
      <c r="K176" s="696">
        <f>(I176)*J176</f>
        <v>1.3529391850857384</v>
      </c>
      <c r="L176" s="673">
        <f t="shared" si="133"/>
        <v>0.96248877021284696</v>
      </c>
      <c r="M176" s="802">
        <f t="shared" ref="M176:M208" si="137">L176+K176</f>
        <v>2.3154279552985852</v>
      </c>
      <c r="N176" s="805">
        <v>0.05</v>
      </c>
      <c r="O176" s="847">
        <f t="shared" si="134"/>
        <v>0.10361992776035385</v>
      </c>
      <c r="P176" s="861">
        <f>O176+(K176-I176*$J$135)</f>
        <v>0.50579473936779951</v>
      </c>
      <c r="Q176" s="861">
        <f t="shared" si="135"/>
        <v>22.529667690075502</v>
      </c>
      <c r="R176" s="673">
        <f t="shared" ref="R176:R208" si="138">Q176-G176</f>
        <v>0.3702555374485641</v>
      </c>
      <c r="S176" s="1353">
        <f>R176/(Q176-(I176-K176))</f>
        <v>4.389506794913843E-2</v>
      </c>
      <c r="T176" s="135" t="str">
        <f t="shared" ref="T176:T208" si="139">IF(AND(S176&gt;=0,S176&lt;=0.85),"Policies met","Policies not met")</f>
        <v>Policies met</v>
      </c>
      <c r="U176" s="1353">
        <f t="shared" ref="U176:U208" si="140">IF(S176&lt;=0,0,IF(S176&gt;=0.85,0.85,S176))</f>
        <v>4.389506794913843E-2</v>
      </c>
      <c r="V176" s="135" t="str">
        <f t="shared" ref="V176:V208" si="141">IF(AND(S176&gt;=0,S176&lt;=0.85),"No","Yes")</f>
        <v>No</v>
      </c>
      <c r="W176" s="1354">
        <f t="shared" ref="W176:W208" si="142">($E$135)*(1-U176)+I176</f>
        <v>26.447361920041814</v>
      </c>
      <c r="X176" s="696">
        <f t="shared" ref="X176:X208" si="143">Q176-U176*(Q176-(I176-K176))</f>
        <v>22.159412152626938</v>
      </c>
      <c r="Y176" s="118">
        <f t="shared" ref="Y176:Y208" si="144">(L176)*(1-U176)+K176</f>
        <v>2.2731794453298098</v>
      </c>
      <c r="Z176" s="673">
        <f t="shared" ref="Z176:Z208" si="145">($C$12*$H$12*$E$135+O176)*(1-U176)</f>
        <v>1.9911537146509424</v>
      </c>
      <c r="AA176" s="673">
        <f t="shared" ref="AA176:AA208" si="146">$F$135*$D$11*(1-U176)</f>
        <v>0</v>
      </c>
      <c r="AB176" s="673">
        <f t="shared" ref="AB176:AB208" si="147">$E$135*$E$12*(1-U176)</f>
        <v>2.3616607434123714E-2</v>
      </c>
      <c r="AC176" s="673">
        <f t="shared" ref="AC176:AC208" si="148">SUM(X176:AB176)</f>
        <v>26.447361920041814</v>
      </c>
      <c r="AD176" s="847">
        <f t="shared" si="136"/>
        <v>0</v>
      </c>
      <c r="AE176" s="805">
        <f t="shared" ref="AE176:AE208" si="149">X176/AC176</f>
        <v>0.83786852615475926</v>
      </c>
      <c r="AF176" s="510">
        <f t="shared" ref="AF176:AF208" si="150">Y176/AC176</f>
        <v>8.5951084732091718E-2</v>
      </c>
      <c r="AG176" s="510">
        <f t="shared" ref="AG176:AG208" si="151">Z176/AC176</f>
        <v>7.5287422642409021E-2</v>
      </c>
      <c r="AH176" s="510">
        <f t="shared" ref="AH176:AH208" si="152">AB176/AC176</f>
        <v>8.9296647074001904E-4</v>
      </c>
      <c r="AI176" s="510">
        <f t="shared" ref="AI176:AI207" si="153">AB176/AC176</f>
        <v>8.9296647074001904E-4</v>
      </c>
      <c r="AJ176" s="658">
        <f t="shared" ref="AJ176:AJ208" si="154">SUM(AE176:AI176)</f>
        <v>1.00089296647074</v>
      </c>
    </row>
    <row r="177" spans="1:36">
      <c r="A177" s="127">
        <f>'Input data'!A117</f>
        <v>2019</v>
      </c>
      <c r="B177" s="828">
        <f>'Input data'!B117</f>
        <v>58.365000000000002</v>
      </c>
      <c r="C177" s="238">
        <f>'Input data'!C117</f>
        <v>3179.2899999999995</v>
      </c>
      <c r="D177" s="238">
        <f>'Input data'!E117</f>
        <v>48694518.38623029</v>
      </c>
      <c r="E177" s="673">
        <f>'Input data'!J117</f>
        <v>11.504772374209397</v>
      </c>
      <c r="F177" s="673">
        <f>'Input data'!L117/C137</f>
        <v>26.583601950904391</v>
      </c>
      <c r="G177" s="696">
        <f>G175*0.89</f>
        <v>20.98072001684891</v>
      </c>
      <c r="H177" s="696">
        <f t="shared" si="131"/>
        <v>1.9314006615404544</v>
      </c>
      <c r="I177" s="1351">
        <f t="shared" si="132"/>
        <v>15.316161276961301</v>
      </c>
      <c r="J177" s="805">
        <f t="shared" ref="J177:J187" si="155">($J$188-$J$175)/($A$188-$A$175)+J176</f>
        <v>0.11361731727283289</v>
      </c>
      <c r="K177" s="696">
        <f t="shared" ref="K177:K208" si="156">(I177)*J177</f>
        <v>1.7401811552063895</v>
      </c>
      <c r="L177" s="673">
        <f t="shared" si="133"/>
        <v>0.96248877021284696</v>
      </c>
      <c r="M177" s="802">
        <f t="shared" si="137"/>
        <v>2.7026699254192366</v>
      </c>
      <c r="N177" s="805">
        <v>0.1</v>
      </c>
      <c r="O177" s="847">
        <f t="shared" si="134"/>
        <v>0.2072398555207077</v>
      </c>
      <c r="P177" s="861">
        <f t="shared" ref="P177:P208" si="157">O177+(K177-I177*$J$135)</f>
        <v>1.004745920171277</v>
      </c>
      <c r="Q177" s="861">
        <f t="shared" si="135"/>
        <v>21.907374758218086</v>
      </c>
      <c r="R177" s="673">
        <f t="shared" si="138"/>
        <v>0.9266547413691768</v>
      </c>
      <c r="S177" s="1353">
        <f t="shared" ref="S177:S208" si="158">R177/(Q177-(I177-K177))</f>
        <v>0.11122444462222213</v>
      </c>
      <c r="T177" s="135" t="str">
        <f t="shared" si="139"/>
        <v>Policies met</v>
      </c>
      <c r="U177" s="1353">
        <f t="shared" si="140"/>
        <v>0.11122444462222213</v>
      </c>
      <c r="V177" s="135" t="str">
        <f t="shared" si="141"/>
        <v>No</v>
      </c>
      <c r="W177" s="1354">
        <f t="shared" si="142"/>
        <v>25.541321733344173</v>
      </c>
      <c r="X177" s="696">
        <f t="shared" si="143"/>
        <v>20.98072001684891</v>
      </c>
      <c r="Y177" s="118">
        <f t="shared" si="144"/>
        <v>2.5956176464971872</v>
      </c>
      <c r="Z177" s="673">
        <f t="shared" si="145"/>
        <v>1.9430305556036047</v>
      </c>
      <c r="AA177" s="673">
        <f t="shared" si="146"/>
        <v>0</v>
      </c>
      <c r="AB177" s="673">
        <f t="shared" si="147"/>
        <v>2.1953514394469905E-2</v>
      </c>
      <c r="AC177" s="673">
        <f t="shared" si="148"/>
        <v>25.541321733344169</v>
      </c>
      <c r="AD177" s="847">
        <f t="shared" si="136"/>
        <v>0</v>
      </c>
      <c r="AE177" s="805">
        <f t="shared" si="149"/>
        <v>0.82144221962713082</v>
      </c>
      <c r="AF177" s="510">
        <f t="shared" si="150"/>
        <v>0.10162424926931683</v>
      </c>
      <c r="AG177" s="510">
        <f t="shared" si="151"/>
        <v>7.6074001803398461E-2</v>
      </c>
      <c r="AH177" s="510">
        <f t="shared" si="152"/>
        <v>8.5952930015401724E-4</v>
      </c>
      <c r="AI177" s="510">
        <f t="shared" si="153"/>
        <v>8.5952930015401724E-4</v>
      </c>
      <c r="AJ177" s="658">
        <f t="shared" si="154"/>
        <v>1.0008595293001543</v>
      </c>
    </row>
    <row r="178" spans="1:36">
      <c r="A178" s="127">
        <f>'Input data'!A118</f>
        <v>2020</v>
      </c>
      <c r="B178" s="828">
        <f>'Input data'!B118</f>
        <v>59.308999999999997</v>
      </c>
      <c r="C178" s="238">
        <f>'Input data'!C118</f>
        <v>2948.9199999999987</v>
      </c>
      <c r="D178" s="238">
        <f>'Input data'!E118</f>
        <v>48694518.38623029</v>
      </c>
      <c r="E178" s="673">
        <f>'Input data'!J118</f>
        <v>11.504772374209397</v>
      </c>
      <c r="F178" s="673">
        <f>'Input data'!L118/C138</f>
        <v>26.895621881146617</v>
      </c>
      <c r="G178" s="696">
        <f>G175*0.81</f>
        <v>19.094812599604065</v>
      </c>
      <c r="H178" s="696">
        <f t="shared" si="131"/>
        <v>4.9401666211541162</v>
      </c>
      <c r="I178" s="1351">
        <f t="shared" si="132"/>
        <v>16.512661715553595</v>
      </c>
      <c r="J178" s="805">
        <f t="shared" si="155"/>
        <v>0.13965210661166627</v>
      </c>
      <c r="K178" s="696">
        <f t="shared" si="156"/>
        <v>2.3060279943428705</v>
      </c>
      <c r="L178" s="673">
        <f t="shared" si="133"/>
        <v>0.96248877021284696</v>
      </c>
      <c r="M178" s="802">
        <f t="shared" si="137"/>
        <v>3.2685167645557174</v>
      </c>
      <c r="N178" s="805">
        <f>($N$140-$N$135)/($A$100-$A$95)+N177</f>
        <v>0.2</v>
      </c>
      <c r="O178" s="847">
        <f t="shared" si="134"/>
        <v>0.4144797110414154</v>
      </c>
      <c r="P178" s="861">
        <f t="shared" si="157"/>
        <v>1.7041907186049854</v>
      </c>
      <c r="Q178" s="861">
        <f t="shared" si="135"/>
        <v>22.330788502153197</v>
      </c>
      <c r="R178" s="673">
        <f t="shared" si="138"/>
        <v>3.2359759025491321</v>
      </c>
      <c r="S178" s="1353">
        <f t="shared" si="158"/>
        <v>0.39831539277661704</v>
      </c>
      <c r="T178" s="135" t="str">
        <f t="shared" si="139"/>
        <v>Policies met</v>
      </c>
      <c r="U178" s="1353">
        <f t="shared" si="140"/>
        <v>0.39831539277661704</v>
      </c>
      <c r="V178" s="135" t="str">
        <f t="shared" si="141"/>
        <v>No</v>
      </c>
      <c r="W178" s="1354">
        <f t="shared" si="142"/>
        <v>23.434906162724204</v>
      </c>
      <c r="X178" s="696">
        <f t="shared" si="143"/>
        <v>19.094812599604065</v>
      </c>
      <c r="Y178" s="118">
        <f t="shared" si="144"/>
        <v>2.8851426720053044</v>
      </c>
      <c r="Z178" s="673">
        <f t="shared" si="145"/>
        <v>1.4400887680448611</v>
      </c>
      <c r="AA178" s="673">
        <f t="shared" si="146"/>
        <v>0</v>
      </c>
      <c r="AB178" s="673">
        <f t="shared" si="147"/>
        <v>1.4862123069974545E-2</v>
      </c>
      <c r="AC178" s="673">
        <f t="shared" si="148"/>
        <v>23.434906162724207</v>
      </c>
      <c r="AD178" s="847">
        <f t="shared" si="136"/>
        <v>0</v>
      </c>
      <c r="AE178" s="805">
        <f t="shared" si="149"/>
        <v>0.81480217872501925</v>
      </c>
      <c r="AF178" s="510">
        <f t="shared" si="150"/>
        <v>0.12311304564105491</v>
      </c>
      <c r="AG178" s="510">
        <f t="shared" si="151"/>
        <v>6.1450588197168907E-2</v>
      </c>
      <c r="AH178" s="510">
        <f t="shared" si="152"/>
        <v>6.3418743675681467E-4</v>
      </c>
      <c r="AI178" s="510">
        <f t="shared" si="153"/>
        <v>6.3418743675681467E-4</v>
      </c>
      <c r="AJ178" s="658">
        <f t="shared" si="154"/>
        <v>1.0006341874367568</v>
      </c>
    </row>
    <row r="179" spans="1:36">
      <c r="A179" s="127">
        <f>'Input data'!A119</f>
        <v>2021</v>
      </c>
      <c r="B179" s="828">
        <f>'Input data'!B119</f>
        <v>59.991999999999997</v>
      </c>
      <c r="C179" s="238">
        <f>'Input data'!C119</f>
        <v>3014.38</v>
      </c>
      <c r="D179" s="238">
        <f>'Input data'!E119</f>
        <v>48694518.38623029</v>
      </c>
      <c r="E179" s="673">
        <f>'Input data'!J119</f>
        <v>11.504772374209397</v>
      </c>
      <c r="F179" s="673">
        <f>'Input data'!L119/C139</f>
        <v>26.625521393879616</v>
      </c>
      <c r="G179" s="696">
        <f>G175*0.65</f>
        <v>15.322997765114373</v>
      </c>
      <c r="H179" s="696">
        <f t="shared" si="131"/>
        <v>8.3754642527876371</v>
      </c>
      <c r="I179" s="1351">
        <f t="shared" si="132"/>
        <v>16.154074266094614</v>
      </c>
      <c r="J179" s="805">
        <f t="shared" si="155"/>
        <v>0.16568689595049965</v>
      </c>
      <c r="K179" s="696">
        <f t="shared" si="156"/>
        <v>2.6765184221030625</v>
      </c>
      <c r="L179" s="673">
        <f t="shared" si="133"/>
        <v>0.96248877021284696</v>
      </c>
      <c r="M179" s="802">
        <f t="shared" si="137"/>
        <v>3.6390071923159093</v>
      </c>
      <c r="N179" s="805">
        <v>0.4</v>
      </c>
      <c r="O179" s="847">
        <f t="shared" si="134"/>
        <v>0.8289594220828308</v>
      </c>
      <c r="P179" s="861">
        <f t="shared" si="157"/>
        <v>2.5112311040094015</v>
      </c>
      <c r="Q179" s="861">
        <f t="shared" si="135"/>
        <v>21.187230913892609</v>
      </c>
      <c r="R179" s="673">
        <f t="shared" si="138"/>
        <v>5.8642331487782364</v>
      </c>
      <c r="S179" s="1353">
        <f t="shared" si="158"/>
        <v>0.76063298331112372</v>
      </c>
      <c r="T179" s="135" t="str">
        <f t="shared" si="139"/>
        <v>Policies met</v>
      </c>
      <c r="U179" s="1353">
        <f t="shared" si="140"/>
        <v>0.76063298331112372</v>
      </c>
      <c r="V179" s="135" t="str">
        <f t="shared" si="141"/>
        <v>No</v>
      </c>
      <c r="W179" s="1354">
        <f t="shared" si="142"/>
        <v>18.907937306993716</v>
      </c>
      <c r="X179" s="696">
        <f t="shared" si="143"/>
        <v>15.322997765114373</v>
      </c>
      <c r="Y179" s="118">
        <f t="shared" si="144"/>
        <v>2.9069064876254571</v>
      </c>
      <c r="Z179" s="673">
        <f t="shared" si="145"/>
        <v>0.67212048474784958</v>
      </c>
      <c r="AA179" s="673">
        <f t="shared" si="146"/>
        <v>0</v>
      </c>
      <c r="AB179" s="673">
        <f t="shared" si="147"/>
        <v>5.9125695060401676E-3</v>
      </c>
      <c r="AC179" s="673">
        <f t="shared" si="148"/>
        <v>18.90793730699372</v>
      </c>
      <c r="AD179" s="847">
        <f t="shared" si="136"/>
        <v>0</v>
      </c>
      <c r="AE179" s="805">
        <f t="shared" si="149"/>
        <v>0.81040028408845322</v>
      </c>
      <c r="AF179" s="510">
        <f t="shared" si="150"/>
        <v>0.1537400108974469</v>
      </c>
      <c r="AG179" s="510">
        <f t="shared" si="151"/>
        <v>3.5547001972512558E-2</v>
      </c>
      <c r="AH179" s="510">
        <f t="shared" si="152"/>
        <v>3.127030415873661E-4</v>
      </c>
      <c r="AI179" s="510">
        <f t="shared" si="153"/>
        <v>3.127030415873661E-4</v>
      </c>
      <c r="AJ179" s="658">
        <f t="shared" si="154"/>
        <v>1.0003127030415873</v>
      </c>
    </row>
    <row r="180" spans="1:36">
      <c r="A180" s="127">
        <f>'Input data'!A120</f>
        <v>2022</v>
      </c>
      <c r="B180" s="829">
        <f>'Input data'!B120</f>
        <v>60.682000000000002</v>
      </c>
      <c r="C180" s="662">
        <f>'Input data'!C120</f>
        <v>3077.2</v>
      </c>
      <c r="D180" s="238">
        <f>'Input data'!E120</f>
        <v>48694518.38623029</v>
      </c>
      <c r="E180" s="673">
        <f>'Input data'!J120</f>
        <v>11.504772374209397</v>
      </c>
      <c r="F180" s="673">
        <f>'Input data'!L120/C140</f>
        <v>26.278264754717096</v>
      </c>
      <c r="G180" s="940">
        <f>G135*(1-E4)</f>
        <v>11.786921357780287</v>
      </c>
      <c r="H180" s="696">
        <f t="shared" si="131"/>
        <v>11.602057894887686</v>
      </c>
      <c r="I180" s="1351">
        <f t="shared" si="132"/>
        <v>15.82429428903883</v>
      </c>
      <c r="J180" s="805">
        <f t="shared" si="155"/>
        <v>0.19172168528933303</v>
      </c>
      <c r="K180" s="696">
        <f t="shared" si="156"/>
        <v>3.0338603696088926</v>
      </c>
      <c r="L180" s="673">
        <f t="shared" si="133"/>
        <v>0.96248877021284696</v>
      </c>
      <c r="M180" s="802">
        <f t="shared" si="137"/>
        <v>3.9963491398217394</v>
      </c>
      <c r="N180" s="804">
        <f>$E$26</f>
        <v>0.5</v>
      </c>
      <c r="O180" s="847">
        <f t="shared" si="134"/>
        <v>1.0361992776035385</v>
      </c>
      <c r="P180" s="861">
        <f t="shared" si="157"/>
        <v>3.0961101188576885</v>
      </c>
      <c r="Q180" s="861">
        <f t="shared" si="135"/>
        <v>20.292869133810285</v>
      </c>
      <c r="R180" s="673">
        <f t="shared" si="138"/>
        <v>8.5059477760299984</v>
      </c>
      <c r="S180" s="1353">
        <f t="shared" si="158"/>
        <v>1.1337582442199781</v>
      </c>
      <c r="T180" s="135" t="str">
        <f t="shared" si="139"/>
        <v>Policies not met</v>
      </c>
      <c r="U180" s="1353">
        <f t="shared" si="140"/>
        <v>0.85</v>
      </c>
      <c r="V180" s="135" t="str">
        <f t="shared" si="141"/>
        <v>Yes</v>
      </c>
      <c r="W180" s="1354">
        <f t="shared" si="142"/>
        <v>17.550010145170241</v>
      </c>
      <c r="X180" s="696">
        <f t="shared" si="143"/>
        <v>13.915799201586989</v>
      </c>
      <c r="Y180" s="118">
        <f t="shared" si="144"/>
        <v>3.1782336851408197</v>
      </c>
      <c r="Z180" s="673">
        <f t="shared" si="145"/>
        <v>0.45227213048380793</v>
      </c>
      <c r="AA180" s="673">
        <f t="shared" si="146"/>
        <v>0</v>
      </c>
      <c r="AB180" s="673">
        <f t="shared" si="147"/>
        <v>3.7051279586225467E-3</v>
      </c>
      <c r="AC180" s="673">
        <f t="shared" si="148"/>
        <v>17.550010145170241</v>
      </c>
      <c r="AD180" s="847">
        <f t="shared" si="136"/>
        <v>0</v>
      </c>
      <c r="AE180" s="805">
        <f t="shared" si="149"/>
        <v>0.79292257306282032</v>
      </c>
      <c r="AF180" s="510">
        <f t="shared" si="150"/>
        <v>0.18109583178876218</v>
      </c>
      <c r="AG180" s="510">
        <f t="shared" si="151"/>
        <v>2.5770476868258285E-2</v>
      </c>
      <c r="AH180" s="510">
        <f t="shared" si="152"/>
        <v>2.1111828015906857E-4</v>
      </c>
      <c r="AI180" s="510">
        <f t="shared" si="153"/>
        <v>2.1111828015906857E-4</v>
      </c>
      <c r="AJ180" s="658">
        <f t="shared" si="154"/>
        <v>1.000211118280159</v>
      </c>
    </row>
    <row r="181" spans="1:36">
      <c r="A181" s="127">
        <f>'Input data'!A121</f>
        <v>2023</v>
      </c>
      <c r="B181" s="828">
        <f>'Input data'!B121</f>
        <v>61.381</v>
      </c>
      <c r="C181" s="238">
        <f>'Input data'!C121</f>
        <v>3140.61</v>
      </c>
      <c r="D181" s="238">
        <f>'Input data'!E121</f>
        <v>48694518.38623029</v>
      </c>
      <c r="E181" s="673">
        <f>'Input data'!J121</f>
        <v>11.504772374209397</v>
      </c>
      <c r="F181" s="673">
        <f>'Input data'!L121/C141</f>
        <v>26.013456531932281</v>
      </c>
      <c r="G181" s="696">
        <f>($G$145-$G$140)/($A$145-$A$140)+G180</f>
        <v>11.079706076313469</v>
      </c>
      <c r="H181" s="696">
        <f t="shared" si="131"/>
        <v>12.009439589479667</v>
      </c>
      <c r="I181" s="1351">
        <f t="shared" si="132"/>
        <v>15.504796324991096</v>
      </c>
      <c r="J181" s="805">
        <f t="shared" si="155"/>
        <v>0.21775647462816641</v>
      </c>
      <c r="K181" s="696">
        <f t="shared" si="156"/>
        <v>3.3762697875578116</v>
      </c>
      <c r="L181" s="673">
        <f t="shared" si="133"/>
        <v>0.96248877021284696</v>
      </c>
      <c r="M181" s="802">
        <f t="shared" si="137"/>
        <v>4.3387585577706584</v>
      </c>
      <c r="N181" s="805">
        <f>($N$145-$N$140)/($A$105-$A$100)+N180</f>
        <v>0.5</v>
      </c>
      <c r="O181" s="847">
        <f t="shared" si="134"/>
        <v>1.0361992776035385</v>
      </c>
      <c r="P181" s="861">
        <f t="shared" si="157"/>
        <v>3.4581839139795054</v>
      </c>
      <c r="Q181" s="861">
        <f t="shared" si="135"/>
        <v>19.630961751813629</v>
      </c>
      <c r="R181" s="673">
        <f t="shared" si="138"/>
        <v>8.5512556755001601</v>
      </c>
      <c r="S181" s="1353">
        <f t="shared" si="158"/>
        <v>1.1397973366180465</v>
      </c>
      <c r="T181" s="135" t="str">
        <f t="shared" si="139"/>
        <v>Policies not met</v>
      </c>
      <c r="U181" s="1353">
        <f t="shared" si="140"/>
        <v>0.85</v>
      </c>
      <c r="V181" s="135" t="str">
        <f t="shared" si="141"/>
        <v>Yes</v>
      </c>
      <c r="W181" s="1354">
        <f t="shared" si="142"/>
        <v>17.230512181122506</v>
      </c>
      <c r="X181" s="696">
        <f t="shared" si="143"/>
        <v>13.253891819590336</v>
      </c>
      <c r="Y181" s="118">
        <f t="shared" si="144"/>
        <v>3.5206431030897387</v>
      </c>
      <c r="Z181" s="673">
        <f t="shared" si="145"/>
        <v>0.45227213048380793</v>
      </c>
      <c r="AA181" s="673">
        <f t="shared" si="146"/>
        <v>0</v>
      </c>
      <c r="AB181" s="673">
        <f t="shared" si="147"/>
        <v>3.7051279586225467E-3</v>
      </c>
      <c r="AC181" s="673">
        <f t="shared" si="148"/>
        <v>17.230512181122506</v>
      </c>
      <c r="AD181" s="847">
        <f t="shared" si="136"/>
        <v>0</v>
      </c>
      <c r="AE181" s="805">
        <f t="shared" si="149"/>
        <v>0.76921055394459503</v>
      </c>
      <c r="AF181" s="510">
        <f t="shared" si="150"/>
        <v>0.2043260853816582</v>
      </c>
      <c r="AG181" s="510">
        <f t="shared" si="151"/>
        <v>2.624832771827355E-2</v>
      </c>
      <c r="AH181" s="510">
        <f t="shared" si="152"/>
        <v>2.1503295547313039E-4</v>
      </c>
      <c r="AI181" s="510">
        <f t="shared" si="153"/>
        <v>2.1503295547313039E-4</v>
      </c>
      <c r="AJ181" s="658">
        <f t="shared" si="154"/>
        <v>1.0002150329554731</v>
      </c>
    </row>
    <row r="182" spans="1:36">
      <c r="A182" s="127">
        <f>'Input data'!A122</f>
        <v>2024</v>
      </c>
      <c r="B182" s="828">
        <f>'Input data'!B122</f>
        <v>62.088000000000001</v>
      </c>
      <c r="C182" s="238">
        <f>'Input data'!C122</f>
        <v>3201.77</v>
      </c>
      <c r="D182" s="238">
        <f>'Input data'!E122</f>
        <v>48694518.38623029</v>
      </c>
      <c r="E182" s="673">
        <f>'Input data'!J122</f>
        <v>11.504772374209397</v>
      </c>
      <c r="F182" s="673">
        <f>'Input data'!L122/C142</f>
        <v>25.731546335359852</v>
      </c>
      <c r="G182" s="696">
        <f t="shared" ref="G182:G184" si="159">($G$145-$G$140)/($A$145-$A$140)+G181</f>
        <v>10.372490794846652</v>
      </c>
      <c r="H182" s="696">
        <f t="shared" si="131"/>
        <v>12.438711963307842</v>
      </c>
      <c r="I182" s="1351">
        <f t="shared" si="132"/>
        <v>15.208624725145869</v>
      </c>
      <c r="J182" s="805">
        <f t="shared" si="155"/>
        <v>0.24379126396699979</v>
      </c>
      <c r="K182" s="696">
        <f t="shared" si="156"/>
        <v>3.7077298449430764</v>
      </c>
      <c r="L182" s="673">
        <f t="shared" si="133"/>
        <v>0.96248877021284696</v>
      </c>
      <c r="M182" s="802">
        <f t="shared" si="137"/>
        <v>4.6702186151559237</v>
      </c>
      <c r="N182" s="805">
        <f>($N$145-$N$140)/($A$105-$A$100)+N181</f>
        <v>0.5</v>
      </c>
      <c r="O182" s="847">
        <f t="shared" si="134"/>
        <v>1.0361992776035385</v>
      </c>
      <c r="P182" s="861">
        <f t="shared" si="157"/>
        <v>3.8078726635713567</v>
      </c>
      <c r="Q182" s="861">
        <f t="shared" si="135"/>
        <v>19.003330094583138</v>
      </c>
      <c r="R182" s="673">
        <f t="shared" si="138"/>
        <v>8.6308392997364862</v>
      </c>
      <c r="S182" s="1353">
        <f t="shared" si="158"/>
        <v>1.1504050422445855</v>
      </c>
      <c r="T182" s="135" t="str">
        <f t="shared" si="139"/>
        <v>Policies not met</v>
      </c>
      <c r="U182" s="1353">
        <f t="shared" si="140"/>
        <v>0.85</v>
      </c>
      <c r="V182" s="135" t="str">
        <f t="shared" si="141"/>
        <v>Yes</v>
      </c>
      <c r="W182" s="1354">
        <f t="shared" si="142"/>
        <v>16.934340581277279</v>
      </c>
      <c r="X182" s="696">
        <f t="shared" si="143"/>
        <v>12.626260162359845</v>
      </c>
      <c r="Y182" s="118">
        <f t="shared" si="144"/>
        <v>3.8521031604750036</v>
      </c>
      <c r="Z182" s="673">
        <f t="shared" si="145"/>
        <v>0.45227213048380793</v>
      </c>
      <c r="AA182" s="673">
        <f t="shared" si="146"/>
        <v>0</v>
      </c>
      <c r="AB182" s="673">
        <f t="shared" si="147"/>
        <v>3.7051279586225467E-3</v>
      </c>
      <c r="AC182" s="673">
        <f t="shared" si="148"/>
        <v>16.934340581277279</v>
      </c>
      <c r="AD182" s="847">
        <f t="shared" si="136"/>
        <v>0</v>
      </c>
      <c r="AE182" s="805">
        <f t="shared" si="149"/>
        <v>0.74560093448926634</v>
      </c>
      <c r="AF182" s="510">
        <f t="shared" si="150"/>
        <v>0.22747287631228549</v>
      </c>
      <c r="AG182" s="510">
        <f t="shared" si="151"/>
        <v>2.6707395443779078E-2</v>
      </c>
      <c r="AH182" s="510">
        <f t="shared" si="152"/>
        <v>2.1879375466907528E-4</v>
      </c>
      <c r="AI182" s="510">
        <f t="shared" si="153"/>
        <v>2.1879375466907528E-4</v>
      </c>
      <c r="AJ182" s="658">
        <f t="shared" si="154"/>
        <v>1.0002187937546692</v>
      </c>
    </row>
    <row r="183" spans="1:36">
      <c r="A183" s="127">
        <f>'Input data'!A123</f>
        <v>2025</v>
      </c>
      <c r="B183" s="828">
        <f>'Input data'!B123</f>
        <v>62.802999999999997</v>
      </c>
      <c r="C183" s="238">
        <f>'Input data'!C123</f>
        <v>3265.54</v>
      </c>
      <c r="D183" s="238">
        <f>'Input data'!E123</f>
        <v>48694518.38623029</v>
      </c>
      <c r="E183" s="673">
        <f>'Input data'!J123</f>
        <v>11.504772374209397</v>
      </c>
      <c r="F183" s="673">
        <f>'Input data'!L123/C143</f>
        <v>25.716979900750225</v>
      </c>
      <c r="G183" s="696">
        <f t="shared" si="159"/>
        <v>9.665275513379834</v>
      </c>
      <c r="H183" s="696">
        <f t="shared" si="131"/>
        <v>12.867210193893735</v>
      </c>
      <c r="I183" s="1351">
        <f t="shared" si="132"/>
        <v>14.911628210412456</v>
      </c>
      <c r="J183" s="805">
        <f t="shared" si="155"/>
        <v>0.26982605330583315</v>
      </c>
      <c r="K183" s="696">
        <f t="shared" si="156"/>
        <v>4.0235457883795167</v>
      </c>
      <c r="L183" s="673">
        <f t="shared" si="133"/>
        <v>0.96248877021284696</v>
      </c>
      <c r="M183" s="802">
        <f t="shared" si="137"/>
        <v>4.9860345585923636</v>
      </c>
      <c r="N183" s="805">
        <f>($N$145-$N$140)/($A$105-$A$100)+N182</f>
        <v>0.5</v>
      </c>
      <c r="O183" s="847">
        <f t="shared" si="134"/>
        <v>1.0361992776035385</v>
      </c>
      <c r="P183" s="861">
        <f t="shared" si="157"/>
        <v>4.1419680708602842</v>
      </c>
      <c r="Q183" s="861">
        <f t="shared" si="135"/>
        <v>18.390517636413286</v>
      </c>
      <c r="R183" s="673">
        <f t="shared" si="138"/>
        <v>8.7252421230334516</v>
      </c>
      <c r="S183" s="1353">
        <f t="shared" si="158"/>
        <v>1.1629879997243138</v>
      </c>
      <c r="T183" s="135" t="str">
        <f t="shared" si="139"/>
        <v>Policies not met</v>
      </c>
      <c r="U183" s="1353">
        <f t="shared" si="140"/>
        <v>0.85</v>
      </c>
      <c r="V183" s="135" t="str">
        <f t="shared" si="141"/>
        <v>Yes</v>
      </c>
      <c r="W183" s="1354">
        <f t="shared" si="142"/>
        <v>16.637344066543864</v>
      </c>
      <c r="X183" s="696">
        <f t="shared" si="143"/>
        <v>12.013447704189991</v>
      </c>
      <c r="Y183" s="118">
        <f t="shared" si="144"/>
        <v>4.1679191039114434</v>
      </c>
      <c r="Z183" s="673">
        <f t="shared" si="145"/>
        <v>0.45227213048380793</v>
      </c>
      <c r="AA183" s="673">
        <f t="shared" si="146"/>
        <v>0</v>
      </c>
      <c r="AB183" s="673">
        <f t="shared" si="147"/>
        <v>3.7051279586225467E-3</v>
      </c>
      <c r="AC183" s="673">
        <f t="shared" si="148"/>
        <v>16.637344066543864</v>
      </c>
      <c r="AD183" s="847">
        <f t="shared" si="136"/>
        <v>0</v>
      </c>
      <c r="AE183" s="805">
        <f t="shared" si="149"/>
        <v>0.72207725320460892</v>
      </c>
      <c r="AF183" s="510">
        <f t="shared" si="150"/>
        <v>0.25051589287575876</v>
      </c>
      <c r="AG183" s="510">
        <f t="shared" si="151"/>
        <v>2.7184154434437929E-2</v>
      </c>
      <c r="AH183" s="510">
        <f t="shared" si="152"/>
        <v>2.2269948519446748E-4</v>
      </c>
      <c r="AI183" s="510">
        <f t="shared" si="153"/>
        <v>2.2269948519446748E-4</v>
      </c>
      <c r="AJ183" s="658">
        <f t="shared" si="154"/>
        <v>1.0002226994851944</v>
      </c>
    </row>
    <row r="184" spans="1:36">
      <c r="A184" s="127">
        <f>'Input data'!A124</f>
        <v>2026</v>
      </c>
      <c r="B184" s="828">
        <f>'Input data'!B124</f>
        <v>63.420999999999999</v>
      </c>
      <c r="C184" s="238">
        <f>'Input data'!C124</f>
        <v>3341.28</v>
      </c>
      <c r="D184" s="238">
        <f>'Input data'!E124</f>
        <v>48694518.38623029</v>
      </c>
      <c r="E184" s="673">
        <f>'Input data'!J124</f>
        <v>11.504772374209397</v>
      </c>
      <c r="F184" s="673">
        <f>'Input data'!L124/C144</f>
        <v>25.42881885155866</v>
      </c>
      <c r="G184" s="696">
        <f t="shared" si="159"/>
        <v>8.9580602319130165</v>
      </c>
      <c r="H184" s="696">
        <f t="shared" si="131"/>
        <v>13.257213421582946</v>
      </c>
      <c r="I184" s="1351">
        <f t="shared" si="132"/>
        <v>14.573612024801957</v>
      </c>
      <c r="J184" s="805">
        <f t="shared" si="155"/>
        <v>0.2958608426446665</v>
      </c>
      <c r="K184" s="696">
        <f t="shared" si="156"/>
        <v>4.3117611340343514</v>
      </c>
      <c r="L184" s="673">
        <f t="shared" si="133"/>
        <v>0.96248877021284696</v>
      </c>
      <c r="M184" s="802">
        <f t="shared" si="137"/>
        <v>5.2742499042471982</v>
      </c>
      <c r="N184" s="805">
        <f>($N$145-$N$140)/($A$105-$A$100)+N183</f>
        <v>0.5</v>
      </c>
      <c r="O184" s="847">
        <f t="shared" si="134"/>
        <v>1.0361992776035385</v>
      </c>
      <c r="P184" s="861">
        <f t="shared" si="157"/>
        <v>4.4509875483480092</v>
      </c>
      <c r="Q184" s="861">
        <f t="shared" si="135"/>
        <v>17.764286105147953</v>
      </c>
      <c r="R184" s="673">
        <f t="shared" si="138"/>
        <v>8.8062258732349363</v>
      </c>
      <c r="S184" s="1353">
        <f t="shared" si="158"/>
        <v>1.173782328217315</v>
      </c>
      <c r="T184" s="135" t="str">
        <f t="shared" si="139"/>
        <v>Policies not met</v>
      </c>
      <c r="U184" s="1353">
        <f t="shared" si="140"/>
        <v>0.85</v>
      </c>
      <c r="V184" s="135" t="str">
        <f t="shared" si="141"/>
        <v>Yes</v>
      </c>
      <c r="W184" s="1354">
        <f t="shared" si="142"/>
        <v>16.299327880933365</v>
      </c>
      <c r="X184" s="696">
        <f t="shared" si="143"/>
        <v>11.387216172924656</v>
      </c>
      <c r="Y184" s="118">
        <f t="shared" si="144"/>
        <v>4.456134449566278</v>
      </c>
      <c r="Z184" s="673">
        <f t="shared" si="145"/>
        <v>0.45227213048380793</v>
      </c>
      <c r="AA184" s="673">
        <f t="shared" si="146"/>
        <v>0</v>
      </c>
      <c r="AB184" s="673">
        <f t="shared" si="147"/>
        <v>3.7051279586225467E-3</v>
      </c>
      <c r="AC184" s="673">
        <f t="shared" si="148"/>
        <v>16.299327880933365</v>
      </c>
      <c r="AD184" s="847">
        <f t="shared" si="136"/>
        <v>0</v>
      </c>
      <c r="AE184" s="805">
        <f t="shared" si="149"/>
        <v>0.6986310267581769</v>
      </c>
      <c r="AF184" s="510">
        <f t="shared" si="150"/>
        <v>0.27339375476819366</v>
      </c>
      <c r="AG184" s="510">
        <f t="shared" si="151"/>
        <v>2.7747900636618705E-2</v>
      </c>
      <c r="AH184" s="510">
        <f t="shared" si="152"/>
        <v>2.2731783701073545E-4</v>
      </c>
      <c r="AI184" s="510">
        <f t="shared" si="153"/>
        <v>2.2731783701073545E-4</v>
      </c>
      <c r="AJ184" s="658">
        <f t="shared" si="154"/>
        <v>1.0002273178370107</v>
      </c>
    </row>
    <row r="185" spans="1:36">
      <c r="A185" s="127">
        <f>'Input data'!A125</f>
        <v>2027</v>
      </c>
      <c r="B185" s="829">
        <f>'Input data'!B125</f>
        <v>64.046000000000006</v>
      </c>
      <c r="C185" s="662">
        <f>'Input data'!C125</f>
        <v>3416.2799999999997</v>
      </c>
      <c r="D185" s="238">
        <f>'Input data'!E125</f>
        <v>48694518.38623029</v>
      </c>
      <c r="E185" s="673">
        <f>'Input data'!J125</f>
        <v>11.504772374209397</v>
      </c>
      <c r="F185" s="673">
        <f>'Input data'!L125/C145</f>
        <v>25.155892379533629</v>
      </c>
      <c r="G185" s="1488">
        <f>G135*(1-E5)</f>
        <v>8.2508449504462007</v>
      </c>
      <c r="H185" s="696">
        <f t="shared" si="131"/>
        <v>13.664175814787264</v>
      </c>
      <c r="I185" s="1351">
        <f t="shared" si="132"/>
        <v>14.253667259776801</v>
      </c>
      <c r="J185" s="805">
        <f t="shared" si="155"/>
        <v>0.32189563198349985</v>
      </c>
      <c r="K185" s="696">
        <f t="shared" si="156"/>
        <v>4.5881932306683737</v>
      </c>
      <c r="L185" s="673">
        <f t="shared" si="133"/>
        <v>0.96248877021284696</v>
      </c>
      <c r="M185" s="802">
        <f t="shared" si="137"/>
        <v>5.5506820008812205</v>
      </c>
      <c r="N185" s="804">
        <f>$C$27</f>
        <v>0.5</v>
      </c>
      <c r="O185" s="847">
        <f t="shared" si="134"/>
        <v>1.0361992776035385</v>
      </c>
      <c r="P185" s="861">
        <f t="shared" si="157"/>
        <v>4.7471115217446913</v>
      </c>
      <c r="Q185" s="861">
        <f t="shared" si="135"/>
        <v>17.167909243488772</v>
      </c>
      <c r="R185" s="673">
        <f t="shared" si="138"/>
        <v>8.9170642930425714</v>
      </c>
      <c r="S185" s="1353">
        <f t="shared" si="158"/>
        <v>1.1885559872547418</v>
      </c>
      <c r="T185" s="135" t="str">
        <f t="shared" si="139"/>
        <v>Policies not met</v>
      </c>
      <c r="U185" s="1353">
        <f t="shared" si="140"/>
        <v>0.85</v>
      </c>
      <c r="V185" s="135" t="str">
        <f t="shared" si="141"/>
        <v>Yes</v>
      </c>
      <c r="W185" s="1354">
        <f t="shared" si="142"/>
        <v>15.979383115908211</v>
      </c>
      <c r="X185" s="696">
        <f t="shared" si="143"/>
        <v>10.790839311265479</v>
      </c>
      <c r="Y185" s="118">
        <f t="shared" si="144"/>
        <v>4.7325665462003004</v>
      </c>
      <c r="Z185" s="673">
        <f t="shared" si="145"/>
        <v>0.45227213048380793</v>
      </c>
      <c r="AA185" s="673">
        <f t="shared" si="146"/>
        <v>0</v>
      </c>
      <c r="AB185" s="673">
        <f t="shared" si="147"/>
        <v>3.7051279586225467E-3</v>
      </c>
      <c r="AC185" s="673">
        <f t="shared" si="148"/>
        <v>15.97938311590821</v>
      </c>
      <c r="AD185" s="847">
        <f t="shared" si="136"/>
        <v>0</v>
      </c>
      <c r="AE185" s="805">
        <f t="shared" si="149"/>
        <v>0.67529761524540355</v>
      </c>
      <c r="AF185" s="510">
        <f t="shared" si="150"/>
        <v>0.2961670367292723</v>
      </c>
      <c r="AG185" s="510">
        <f t="shared" si="151"/>
        <v>2.8303478751538928E-2</v>
      </c>
      <c r="AH185" s="510">
        <f t="shared" si="152"/>
        <v>2.3186927378528909E-4</v>
      </c>
      <c r="AI185" s="510">
        <f t="shared" si="153"/>
        <v>2.3186927378528909E-4</v>
      </c>
      <c r="AJ185" s="658">
        <f t="shared" si="154"/>
        <v>1.0002318692737855</v>
      </c>
    </row>
    <row r="186" spans="1:36">
      <c r="A186" s="127">
        <f>'Input data'!A126</f>
        <v>2028</v>
      </c>
      <c r="B186" s="828">
        <f>'Input data'!B126</f>
        <v>64.676000000000002</v>
      </c>
      <c r="C186" s="238">
        <f>'Input data'!C126</f>
        <v>3494.8800000000006</v>
      </c>
      <c r="D186" s="238">
        <f>'Input data'!E126</f>
        <v>48694518.38623029</v>
      </c>
      <c r="E186" s="673">
        <f>'Input data'!J126</f>
        <v>11.504772374209397</v>
      </c>
      <c r="F186" s="673">
        <f>'Input data'!L126/C146</f>
        <v>24.880899305531948</v>
      </c>
      <c r="G186" s="696">
        <f>($G$150-$G$145)/($A$150-$A$145)+G185</f>
        <v>7.5436296689793831</v>
      </c>
      <c r="H186" s="696">
        <f t="shared" si="131"/>
        <v>14.070555599448058</v>
      </c>
      <c r="I186" s="1351">
        <f t="shared" si="132"/>
        <v>13.933101676232168</v>
      </c>
      <c r="J186" s="805">
        <f t="shared" si="155"/>
        <v>0.34793042132233321</v>
      </c>
      <c r="K186" s="696">
        <f t="shared" si="156"/>
        <v>4.8477499365383654</v>
      </c>
      <c r="L186" s="673">
        <f t="shared" si="133"/>
        <v>0.96248877021284696</v>
      </c>
      <c r="M186" s="802">
        <f t="shared" si="137"/>
        <v>5.8102387067512122</v>
      </c>
      <c r="N186" s="805">
        <f>N185</f>
        <v>0.5</v>
      </c>
      <c r="O186" s="847">
        <f t="shared" si="134"/>
        <v>1.0361992776035385</v>
      </c>
      <c r="P186" s="861">
        <f t="shared" si="157"/>
        <v>5.0263983143532949</v>
      </c>
      <c r="Q186" s="861">
        <f t="shared" si="135"/>
        <v>16.587786954074147</v>
      </c>
      <c r="R186" s="673">
        <f t="shared" si="138"/>
        <v>9.044157285094764</v>
      </c>
      <c r="S186" s="1353">
        <f t="shared" si="158"/>
        <v>1.2054962191155363</v>
      </c>
      <c r="T186" s="135" t="str">
        <f t="shared" si="139"/>
        <v>Policies not met</v>
      </c>
      <c r="U186" s="1353">
        <f t="shared" si="140"/>
        <v>0.85</v>
      </c>
      <c r="V186" s="135" t="str">
        <f t="shared" si="141"/>
        <v>Yes</v>
      </c>
      <c r="W186" s="1354">
        <f t="shared" si="142"/>
        <v>15.658817532363578</v>
      </c>
      <c r="X186" s="696">
        <f t="shared" si="143"/>
        <v>10.210717021850854</v>
      </c>
      <c r="Y186" s="118">
        <f t="shared" si="144"/>
        <v>4.9921232520702921</v>
      </c>
      <c r="Z186" s="673">
        <f t="shared" si="145"/>
        <v>0.45227213048380793</v>
      </c>
      <c r="AA186" s="673">
        <f t="shared" si="146"/>
        <v>0</v>
      </c>
      <c r="AB186" s="673">
        <f t="shared" si="147"/>
        <v>3.7051279586225467E-3</v>
      </c>
      <c r="AC186" s="673">
        <f t="shared" si="148"/>
        <v>15.658817532363578</v>
      </c>
      <c r="AD186" s="847">
        <f t="shared" si="136"/>
        <v>0</v>
      </c>
      <c r="AE186" s="805">
        <f t="shared" si="149"/>
        <v>0.65207458997126622</v>
      </c>
      <c r="AF186" s="510">
        <f t="shared" si="150"/>
        <v>0.31880588950938299</v>
      </c>
      <c r="AG186" s="510">
        <f t="shared" si="151"/>
        <v>2.8882904443394516E-2</v>
      </c>
      <c r="AH186" s="510">
        <f t="shared" si="152"/>
        <v>2.3661607595623386E-4</v>
      </c>
      <c r="AI186" s="510">
        <f t="shared" si="153"/>
        <v>2.3661607595623386E-4</v>
      </c>
      <c r="AJ186" s="658">
        <f t="shared" si="154"/>
        <v>1.0002366160759562</v>
      </c>
    </row>
    <row r="187" spans="1:36">
      <c r="A187" s="127">
        <f>'Input data'!A127</f>
        <v>2029</v>
      </c>
      <c r="B187" s="828">
        <f>'Input data'!B127</f>
        <v>65.313000000000002</v>
      </c>
      <c r="C187" s="238">
        <f>'Input data'!C127</f>
        <v>3576.08</v>
      </c>
      <c r="D187" s="238">
        <f>'Input data'!E127</f>
        <v>48694518.38623029</v>
      </c>
      <c r="E187" s="673">
        <f>'Input data'!J127</f>
        <v>11.504772374209397</v>
      </c>
      <c r="F187" s="673">
        <f>'Input data'!L127/C147</f>
        <v>24.608943516174339</v>
      </c>
      <c r="G187" s="696">
        <f t="shared" ref="G187:G189" si="160">($G$150-$G$145)/($A$150-$A$145)+G186</f>
        <v>6.8364143875125656</v>
      </c>
      <c r="H187" s="696">
        <f t="shared" si="131"/>
        <v>14.480871839772842</v>
      </c>
      <c r="I187" s="1351">
        <f t="shared" si="132"/>
        <v>13.616730718057283</v>
      </c>
      <c r="J187" s="805">
        <f t="shared" si="155"/>
        <v>0.37396521066116656</v>
      </c>
      <c r="K187" s="696">
        <f t="shared" si="156"/>
        <v>5.0921835714946697</v>
      </c>
      <c r="L187" s="673">
        <f t="shared" si="133"/>
        <v>0.96248877021284696</v>
      </c>
      <c r="M187" s="802">
        <f t="shared" si="137"/>
        <v>6.0546723417075166</v>
      </c>
      <c r="N187" s="805">
        <f t="shared" ref="N187:N208" si="161">N186</f>
        <v>0.5</v>
      </c>
      <c r="O187" s="847">
        <f t="shared" si="134"/>
        <v>1.0361992776035385</v>
      </c>
      <c r="P187" s="861">
        <f t="shared" si="157"/>
        <v>5.2903038663424491</v>
      </c>
      <c r="Q187" s="861">
        <f t="shared" si="135"/>
        <v>16.026982360942959</v>
      </c>
      <c r="R187" s="673">
        <f t="shared" si="138"/>
        <v>9.1905679734303938</v>
      </c>
      <c r="S187" s="1353">
        <f t="shared" si="158"/>
        <v>1.2250113077703502</v>
      </c>
      <c r="T187" s="135" t="str">
        <f t="shared" si="139"/>
        <v>Policies not met</v>
      </c>
      <c r="U187" s="1353">
        <f t="shared" si="140"/>
        <v>0.85</v>
      </c>
      <c r="V187" s="135" t="str">
        <f t="shared" si="141"/>
        <v>Yes</v>
      </c>
      <c r="W187" s="1354">
        <f t="shared" si="142"/>
        <v>15.342446574188694</v>
      </c>
      <c r="X187" s="696">
        <f t="shared" si="143"/>
        <v>9.6499124287196665</v>
      </c>
      <c r="Y187" s="118">
        <f t="shared" si="144"/>
        <v>5.2365568870265964</v>
      </c>
      <c r="Z187" s="673">
        <f t="shared" si="145"/>
        <v>0.45227213048380793</v>
      </c>
      <c r="AA187" s="673">
        <f t="shared" si="146"/>
        <v>0</v>
      </c>
      <c r="AB187" s="673">
        <f t="shared" si="147"/>
        <v>3.7051279586225467E-3</v>
      </c>
      <c r="AC187" s="673">
        <f t="shared" si="148"/>
        <v>15.342446574188694</v>
      </c>
      <c r="AD187" s="847">
        <f t="shared" si="136"/>
        <v>0</v>
      </c>
      <c r="AE187" s="805">
        <f t="shared" si="149"/>
        <v>0.62896829277242916</v>
      </c>
      <c r="AF187" s="510">
        <f t="shared" si="150"/>
        <v>0.34131172376616242</v>
      </c>
      <c r="AG187" s="510">
        <f t="shared" si="151"/>
        <v>2.9478488212218136E-2</v>
      </c>
      <c r="AH187" s="510">
        <f t="shared" si="152"/>
        <v>2.4149524919029892E-4</v>
      </c>
      <c r="AI187" s="510">
        <f t="shared" si="153"/>
        <v>2.4149524919029892E-4</v>
      </c>
      <c r="AJ187" s="658">
        <f t="shared" si="154"/>
        <v>1.0002414952491903</v>
      </c>
    </row>
    <row r="188" spans="1:36">
      <c r="A188" s="127">
        <f>'Input data'!A128</f>
        <v>2030</v>
      </c>
      <c r="B188" s="829">
        <f>'Input data'!B128</f>
        <v>65.956000000000003</v>
      </c>
      <c r="C188" s="662">
        <f>'Input data'!C128</f>
        <v>3660.12</v>
      </c>
      <c r="D188" s="238">
        <f>'Input data'!E128</f>
        <v>48694518.38623029</v>
      </c>
      <c r="E188" s="673">
        <f>'Input data'!J128</f>
        <v>11.504772374209397</v>
      </c>
      <c r="F188" s="673">
        <f>'Input data'!L128/C148</f>
        <v>24.338634262701987</v>
      </c>
      <c r="G188" s="696">
        <f t="shared" si="160"/>
        <v>6.129199106045748</v>
      </c>
      <c r="H188" s="696">
        <f t="shared" si="131"/>
        <v>14.894676552232431</v>
      </c>
      <c r="I188" s="1351">
        <f t="shared" si="132"/>
        <v>13.304077021034908</v>
      </c>
      <c r="J188" s="498">
        <f>$H$19</f>
        <v>0.4</v>
      </c>
      <c r="K188" s="696">
        <f t="shared" si="156"/>
        <v>5.3216308084139641</v>
      </c>
      <c r="L188" s="673">
        <f t="shared" si="133"/>
        <v>0.96248877021284696</v>
      </c>
      <c r="M188" s="802">
        <f t="shared" si="137"/>
        <v>6.2841195786268109</v>
      </c>
      <c r="N188" s="805">
        <f t="shared" si="161"/>
        <v>0.5</v>
      </c>
      <c r="O188" s="847">
        <f t="shared" si="134"/>
        <v>1.0361992776035385</v>
      </c>
      <c r="P188" s="861">
        <f t="shared" si="157"/>
        <v>5.5389942312768889</v>
      </c>
      <c r="Q188" s="861">
        <f t="shared" si="135"/>
        <v>15.484881427001291</v>
      </c>
      <c r="R188" s="673">
        <f t="shared" si="138"/>
        <v>9.3556823209555429</v>
      </c>
      <c r="S188" s="1353">
        <f t="shared" si="158"/>
        <v>1.2470194081813557</v>
      </c>
      <c r="T188" s="135" t="str">
        <f t="shared" si="139"/>
        <v>Policies not met</v>
      </c>
      <c r="U188" s="1353">
        <f t="shared" si="140"/>
        <v>0.85</v>
      </c>
      <c r="V188" s="135" t="str">
        <f t="shared" si="141"/>
        <v>Yes</v>
      </c>
      <c r="W188" s="1354">
        <f t="shared" si="142"/>
        <v>15.029792877166319</v>
      </c>
      <c r="X188" s="696">
        <f t="shared" si="143"/>
        <v>9.1078114947779962</v>
      </c>
      <c r="Y188" s="118">
        <f t="shared" si="144"/>
        <v>5.4660041239458907</v>
      </c>
      <c r="Z188" s="673">
        <f t="shared" si="145"/>
        <v>0.45227213048380793</v>
      </c>
      <c r="AA188" s="673">
        <f t="shared" si="146"/>
        <v>0</v>
      </c>
      <c r="AB188" s="673">
        <f t="shared" si="147"/>
        <v>3.7051279586225467E-3</v>
      </c>
      <c r="AC188" s="673">
        <f t="shared" si="148"/>
        <v>15.029792877166319</v>
      </c>
      <c r="AD188" s="847">
        <f t="shared" si="136"/>
        <v>0</v>
      </c>
      <c r="AE188" s="805">
        <f t="shared" si="149"/>
        <v>0.60598383285872404</v>
      </c>
      <c r="AF188" s="510">
        <f t="shared" si="150"/>
        <v>0.36367794078187177</v>
      </c>
      <c r="AG188" s="510">
        <f t="shared" si="151"/>
        <v>3.0091707462643242E-2</v>
      </c>
      <c r="AH188" s="510">
        <f t="shared" si="152"/>
        <v>2.465188967608117E-4</v>
      </c>
      <c r="AI188" s="510">
        <f t="shared" si="153"/>
        <v>2.465188967608117E-4</v>
      </c>
      <c r="AJ188" s="658">
        <f t="shared" si="154"/>
        <v>1.0002465188967606</v>
      </c>
    </row>
    <row r="189" spans="1:36">
      <c r="A189" s="127">
        <f>'Input data'!A129</f>
        <v>2031</v>
      </c>
      <c r="B189" s="828">
        <f>'Input data'!B129</f>
        <v>66.519000000000005</v>
      </c>
      <c r="C189" s="238">
        <f>'Input data'!C129</f>
        <v>3761.03</v>
      </c>
      <c r="D189" s="238">
        <f>'Input data'!E129</f>
        <v>48694518.38623029</v>
      </c>
      <c r="E189" s="673">
        <f>'Input data'!J129</f>
        <v>11.504772374209397</v>
      </c>
      <c r="F189" s="673">
        <f>'Input data'!L129/C149</f>
        <v>23.495220383165176</v>
      </c>
      <c r="G189" s="696">
        <f t="shared" si="160"/>
        <v>5.4219838245789305</v>
      </c>
      <c r="H189" s="696">
        <f t="shared" si="131"/>
        <v>15.266907617649188</v>
      </c>
      <c r="I189" s="1351">
        <f t="shared" si="132"/>
        <v>12.947123098255075</v>
      </c>
      <c r="J189" s="510">
        <f>J188</f>
        <v>0.4</v>
      </c>
      <c r="K189" s="696">
        <f t="shared" si="156"/>
        <v>5.1788492393020302</v>
      </c>
      <c r="L189" s="673">
        <f t="shared" si="133"/>
        <v>0.96248877021284696</v>
      </c>
      <c r="M189" s="802">
        <f t="shared" si="137"/>
        <v>6.1413380095148771</v>
      </c>
      <c r="N189" s="805">
        <f t="shared" si="161"/>
        <v>0.5</v>
      </c>
      <c r="O189" s="847">
        <f t="shared" si="134"/>
        <v>1.0361992776035385</v>
      </c>
      <c r="P189" s="861">
        <f t="shared" si="157"/>
        <v>5.4181823688947279</v>
      </c>
      <c r="Q189" s="861">
        <f t="shared" si="135"/>
        <v>15.270709073333391</v>
      </c>
      <c r="R189" s="673">
        <f t="shared" si="138"/>
        <v>9.8487252487544605</v>
      </c>
      <c r="S189" s="1353">
        <f t="shared" si="158"/>
        <v>1.3127371269900265</v>
      </c>
      <c r="T189" s="135" t="str">
        <f t="shared" si="139"/>
        <v>Policies not met</v>
      </c>
      <c r="U189" s="1353">
        <f t="shared" si="140"/>
        <v>0.85</v>
      </c>
      <c r="V189" s="135" t="str">
        <f t="shared" si="141"/>
        <v>Yes</v>
      </c>
      <c r="W189" s="1354">
        <f t="shared" si="142"/>
        <v>14.672838954386485</v>
      </c>
      <c r="X189" s="696">
        <f t="shared" si="143"/>
        <v>8.8936391411100963</v>
      </c>
      <c r="Y189" s="118">
        <f t="shared" si="144"/>
        <v>5.3232225548339569</v>
      </c>
      <c r="Z189" s="673">
        <f t="shared" si="145"/>
        <v>0.45227213048380793</v>
      </c>
      <c r="AA189" s="673">
        <f t="shared" si="146"/>
        <v>0</v>
      </c>
      <c r="AB189" s="673">
        <f t="shared" si="147"/>
        <v>3.7051279586225467E-3</v>
      </c>
      <c r="AC189" s="673">
        <f t="shared" si="148"/>
        <v>14.672838954386485</v>
      </c>
      <c r="AD189" s="847">
        <f t="shared" si="136"/>
        <v>0</v>
      </c>
      <c r="AE189" s="805">
        <f t="shared" si="149"/>
        <v>0.60612940472922716</v>
      </c>
      <c r="AF189" s="510">
        <f t="shared" si="150"/>
        <v>0.36279431481407798</v>
      </c>
      <c r="AG189" s="510">
        <f t="shared" si="151"/>
        <v>3.0823764364196198E-2</v>
      </c>
      <c r="AH189" s="510">
        <f t="shared" si="152"/>
        <v>2.5251609249857466E-4</v>
      </c>
      <c r="AI189" s="510">
        <f t="shared" si="153"/>
        <v>2.5251609249857466E-4</v>
      </c>
      <c r="AJ189" s="658">
        <f t="shared" si="154"/>
        <v>1.0002525160924984</v>
      </c>
    </row>
    <row r="190" spans="1:36">
      <c r="A190" s="127">
        <f>'Input data'!A130</f>
        <v>2032</v>
      </c>
      <c r="B190" s="828">
        <f>'Input data'!B130</f>
        <v>67.087000000000003</v>
      </c>
      <c r="C190" s="238">
        <f>'Input data'!C130</f>
        <v>3857.2</v>
      </c>
      <c r="D190" s="238">
        <f>'Input data'!E130</f>
        <v>48694518.38623029</v>
      </c>
      <c r="E190" s="673">
        <f>'Input data'!J130</f>
        <v>11.504772374209397</v>
      </c>
      <c r="F190" s="673">
        <f>'Input data'!L130/C150</f>
        <v>22.708755459246355</v>
      </c>
      <c r="G190" s="940">
        <f>G135*(1-E6)</f>
        <v>4.7147685431121138</v>
      </c>
      <c r="H190" s="696">
        <f t="shared" si="131"/>
        <v>15.671185480546839</v>
      </c>
      <c r="I190" s="1351">
        <f t="shared" si="132"/>
        <v>12.624317739870966</v>
      </c>
      <c r="J190" s="510">
        <f t="shared" ref="J190:J208" si="162">J189</f>
        <v>0.4</v>
      </c>
      <c r="K190" s="696">
        <f t="shared" si="156"/>
        <v>5.0497270959483869</v>
      </c>
      <c r="L190" s="673">
        <f t="shared" si="133"/>
        <v>0.96248877021284696</v>
      </c>
      <c r="M190" s="802">
        <f t="shared" si="137"/>
        <v>6.0122158661612337</v>
      </c>
      <c r="N190" s="805">
        <f t="shared" si="161"/>
        <v>0.5</v>
      </c>
      <c r="O190" s="847">
        <f t="shared" si="134"/>
        <v>1.0361992776035385</v>
      </c>
      <c r="P190" s="861">
        <f t="shared" si="157"/>
        <v>5.3089281653560283</v>
      </c>
      <c r="Q190" s="861">
        <f t="shared" si="135"/>
        <v>15.077025858302925</v>
      </c>
      <c r="R190" s="673">
        <f t="shared" si="138"/>
        <v>10.36225731519081</v>
      </c>
      <c r="S190" s="1353">
        <f t="shared" si="158"/>
        <v>1.3811858442081419</v>
      </c>
      <c r="T190" s="135" t="str">
        <f t="shared" si="139"/>
        <v>Policies not met</v>
      </c>
      <c r="U190" s="1353">
        <f t="shared" si="140"/>
        <v>0.85</v>
      </c>
      <c r="V190" s="135" t="str">
        <f t="shared" si="141"/>
        <v>Yes</v>
      </c>
      <c r="W190" s="1354">
        <f t="shared" si="142"/>
        <v>14.350033596002376</v>
      </c>
      <c r="X190" s="696">
        <f t="shared" si="143"/>
        <v>8.6999559260796318</v>
      </c>
      <c r="Y190" s="118">
        <f t="shared" si="144"/>
        <v>5.1941004114803135</v>
      </c>
      <c r="Z190" s="673">
        <f t="shared" si="145"/>
        <v>0.45227213048380793</v>
      </c>
      <c r="AA190" s="673">
        <f t="shared" si="146"/>
        <v>0</v>
      </c>
      <c r="AB190" s="673">
        <f t="shared" si="147"/>
        <v>3.7051279586225467E-3</v>
      </c>
      <c r="AC190" s="673">
        <f t="shared" si="148"/>
        <v>14.350033596002376</v>
      </c>
      <c r="AD190" s="847">
        <f t="shared" si="136"/>
        <v>0</v>
      </c>
      <c r="AE190" s="805">
        <f t="shared" si="149"/>
        <v>0.60626728626637227</v>
      </c>
      <c r="AF190" s="510">
        <f t="shared" si="150"/>
        <v>0.36195736941879236</v>
      </c>
      <c r="AG190" s="510">
        <f t="shared" si="151"/>
        <v>3.1517147849033721E-2</v>
      </c>
      <c r="AH190" s="510">
        <f t="shared" si="152"/>
        <v>2.5819646580163541E-4</v>
      </c>
      <c r="AI190" s="510">
        <f t="shared" si="153"/>
        <v>2.5819646580163541E-4</v>
      </c>
      <c r="AJ190" s="658">
        <f t="shared" si="154"/>
        <v>1.0002581964658015</v>
      </c>
    </row>
    <row r="191" spans="1:36">
      <c r="A191" s="127">
        <f>'Input data'!A131</f>
        <v>2033</v>
      </c>
      <c r="B191" s="828">
        <f>'Input data'!B131</f>
        <v>67.659000000000006</v>
      </c>
      <c r="C191" s="238">
        <f>'Input data'!C131</f>
        <v>3964.01</v>
      </c>
      <c r="D191" s="238">
        <f>'Input data'!E131</f>
        <v>48694518.38623029</v>
      </c>
      <c r="E191" s="673">
        <f>'Input data'!J131</f>
        <v>11.504772374209397</v>
      </c>
      <c r="F191" s="673">
        <f>'Input data'!L131/C151</f>
        <v>21.932916613439893</v>
      </c>
      <c r="G191" s="696">
        <f>G190</f>
        <v>4.7147685431121138</v>
      </c>
      <c r="H191" s="696">
        <f t="shared" si="131"/>
        <v>15.351960201302283</v>
      </c>
      <c r="I191" s="1351">
        <f t="shared" si="132"/>
        <v>12.284156292802058</v>
      </c>
      <c r="J191" s="510">
        <f t="shared" si="162"/>
        <v>0.4</v>
      </c>
      <c r="K191" s="696">
        <f t="shared" si="156"/>
        <v>4.913662517120823</v>
      </c>
      <c r="L191" s="673">
        <f t="shared" si="133"/>
        <v>0.96248877021284696</v>
      </c>
      <c r="M191" s="802">
        <f t="shared" si="137"/>
        <v>5.8761512873336699</v>
      </c>
      <c r="N191" s="805">
        <f t="shared" si="161"/>
        <v>0.5</v>
      </c>
      <c r="O191" s="847">
        <f t="shared" si="134"/>
        <v>1.0361992776035385</v>
      </c>
      <c r="P191" s="861">
        <f t="shared" si="157"/>
        <v>5.1937997543528152</v>
      </c>
      <c r="Q191" s="861">
        <f t="shared" si="135"/>
        <v>14.872928990061583</v>
      </c>
      <c r="R191" s="673">
        <f t="shared" si="138"/>
        <v>10.15816044694947</v>
      </c>
      <c r="S191" s="1353">
        <f t="shared" si="158"/>
        <v>1.3539817614790917</v>
      </c>
      <c r="T191" s="135" t="str">
        <f t="shared" si="139"/>
        <v>Policies not met</v>
      </c>
      <c r="U191" s="1353">
        <f t="shared" si="140"/>
        <v>0.85</v>
      </c>
      <c r="V191" s="135" t="str">
        <f t="shared" si="141"/>
        <v>Yes</v>
      </c>
      <c r="W191" s="1354">
        <f t="shared" si="142"/>
        <v>14.009872148933468</v>
      </c>
      <c r="X191" s="696">
        <f t="shared" si="143"/>
        <v>8.4958590578382882</v>
      </c>
      <c r="Y191" s="118">
        <f t="shared" si="144"/>
        <v>5.0580358326527497</v>
      </c>
      <c r="Z191" s="673">
        <f t="shared" si="145"/>
        <v>0.45227213048380793</v>
      </c>
      <c r="AA191" s="673">
        <f t="shared" si="146"/>
        <v>0</v>
      </c>
      <c r="AB191" s="673">
        <f t="shared" si="147"/>
        <v>3.7051279586225467E-3</v>
      </c>
      <c r="AC191" s="673">
        <f t="shared" si="148"/>
        <v>14.009872148933468</v>
      </c>
      <c r="AD191" s="847">
        <f t="shared" si="136"/>
        <v>0</v>
      </c>
      <c r="AE191" s="805">
        <f t="shared" si="149"/>
        <v>0.60641945676035691</v>
      </c>
      <c r="AF191" s="510">
        <f t="shared" si="150"/>
        <v>0.36103368959279214</v>
      </c>
      <c r="AG191" s="510">
        <f t="shared" si="151"/>
        <v>3.2282388138583987E-2</v>
      </c>
      <c r="AH191" s="510">
        <f t="shared" si="152"/>
        <v>2.6446550826694071E-4</v>
      </c>
      <c r="AI191" s="510">
        <f t="shared" si="153"/>
        <v>2.6446550826694071E-4</v>
      </c>
      <c r="AJ191" s="658">
        <f t="shared" si="154"/>
        <v>1.0002644655082669</v>
      </c>
    </row>
    <row r="192" spans="1:36">
      <c r="A192" s="127">
        <f>'Input data'!A132</f>
        <v>2034</v>
      </c>
      <c r="B192" s="828">
        <f>'Input data'!B132</f>
        <v>68.236999999999995</v>
      </c>
      <c r="C192" s="238">
        <f>'Input data'!C132</f>
        <v>4078.22</v>
      </c>
      <c r="D192" s="238">
        <f>'Input data'!E132</f>
        <v>48694518.38623029</v>
      </c>
      <c r="E192" s="673">
        <f>'Input data'!J132</f>
        <v>11.504772374209397</v>
      </c>
      <c r="F192" s="673">
        <f>'Input data'!L132/C152</f>
        <v>21.180202472610077</v>
      </c>
      <c r="G192" s="696">
        <f t="shared" ref="G192:G208" si="163">G191</f>
        <v>4.7147685431121138</v>
      </c>
      <c r="H192" s="696">
        <f t="shared" si="131"/>
        <v>15.029117479582979</v>
      </c>
      <c r="I192" s="1351">
        <f t="shared" si="132"/>
        <v>11.940140155810694</v>
      </c>
      <c r="J192" s="510">
        <f t="shared" si="162"/>
        <v>0.4</v>
      </c>
      <c r="K192" s="696">
        <f t="shared" si="156"/>
        <v>4.7760560623242778</v>
      </c>
      <c r="L192" s="673">
        <f t="shared" si="133"/>
        <v>0.96248877021284696</v>
      </c>
      <c r="M192" s="802">
        <f t="shared" si="137"/>
        <v>5.7385448325371247</v>
      </c>
      <c r="N192" s="805">
        <f t="shared" si="161"/>
        <v>0.5</v>
      </c>
      <c r="O192" s="847">
        <f t="shared" si="134"/>
        <v>1.0361992776035385</v>
      </c>
      <c r="P192" s="861">
        <f t="shared" si="157"/>
        <v>5.077366714828333</v>
      </c>
      <c r="Q192" s="861">
        <f t="shared" si="135"/>
        <v>14.666519307866761</v>
      </c>
      <c r="R192" s="673">
        <f t="shared" si="138"/>
        <v>9.9517507647546459</v>
      </c>
      <c r="S192" s="1353">
        <f t="shared" si="158"/>
        <v>1.3264694036517048</v>
      </c>
      <c r="T192" s="135" t="str">
        <f t="shared" si="139"/>
        <v>Policies not met</v>
      </c>
      <c r="U192" s="1353">
        <f t="shared" si="140"/>
        <v>0.85</v>
      </c>
      <c r="V192" s="135" t="str">
        <f t="shared" si="141"/>
        <v>Yes</v>
      </c>
      <c r="W192" s="1354">
        <f t="shared" si="142"/>
        <v>13.665856011942104</v>
      </c>
      <c r="X192" s="696">
        <f t="shared" si="143"/>
        <v>8.2894493756434677</v>
      </c>
      <c r="Y192" s="118">
        <f t="shared" si="144"/>
        <v>4.9204293778562045</v>
      </c>
      <c r="Z192" s="673">
        <f t="shared" si="145"/>
        <v>0.45227213048380793</v>
      </c>
      <c r="AA192" s="673">
        <f t="shared" si="146"/>
        <v>0</v>
      </c>
      <c r="AB192" s="673">
        <f t="shared" si="147"/>
        <v>3.7051279586225467E-3</v>
      </c>
      <c r="AC192" s="673">
        <f t="shared" si="148"/>
        <v>13.665856011942104</v>
      </c>
      <c r="AD192" s="847">
        <f t="shared" si="136"/>
        <v>0</v>
      </c>
      <c r="AE192" s="805">
        <f t="shared" si="149"/>
        <v>0.60658105634946058</v>
      </c>
      <c r="AF192" s="510">
        <f t="shared" si="150"/>
        <v>0.36005277485409015</v>
      </c>
      <c r="AG192" s="510">
        <f t="shared" si="151"/>
        <v>3.3095045790661297E-2</v>
      </c>
      <c r="AH192" s="510">
        <f t="shared" si="152"/>
        <v>2.7112300578791167E-4</v>
      </c>
      <c r="AI192" s="510">
        <f t="shared" si="153"/>
        <v>2.7112300578791167E-4</v>
      </c>
      <c r="AJ192" s="658">
        <f t="shared" si="154"/>
        <v>1.0002711230057879</v>
      </c>
    </row>
    <row r="193" spans="1:36">
      <c r="A193" s="127">
        <f>'Input data'!A133</f>
        <v>2035</v>
      </c>
      <c r="B193" s="828">
        <f>'Input data'!B133</f>
        <v>68.819000000000003</v>
      </c>
      <c r="C193" s="238">
        <f>'Input data'!C133</f>
        <v>4200.2899999999991</v>
      </c>
      <c r="D193" s="238">
        <f>'Input data'!E133</f>
        <v>48694518.38623029</v>
      </c>
      <c r="E193" s="673">
        <f>'Input data'!J133</f>
        <v>11.504772374209397</v>
      </c>
      <c r="F193" s="673">
        <f>'Input data'!L133/C153</f>
        <v>20.451725328897567</v>
      </c>
      <c r="G193" s="696">
        <f t="shared" si="163"/>
        <v>4.7147685431121138</v>
      </c>
      <c r="H193" s="696">
        <f t="shared" si="131"/>
        <v>14.703467332961221</v>
      </c>
      <c r="I193" s="1351">
        <f t="shared" si="132"/>
        <v>11.593132470908031</v>
      </c>
      <c r="J193" s="510">
        <f t="shared" si="162"/>
        <v>0.4</v>
      </c>
      <c r="K193" s="696">
        <f t="shared" si="156"/>
        <v>4.6372529883632128</v>
      </c>
      <c r="L193" s="673">
        <f t="shared" si="133"/>
        <v>0.96248877021284696</v>
      </c>
      <c r="M193" s="802">
        <f t="shared" si="137"/>
        <v>5.5997417585760596</v>
      </c>
      <c r="N193" s="805">
        <f t="shared" si="161"/>
        <v>0.5</v>
      </c>
      <c r="O193" s="847">
        <f t="shared" si="134"/>
        <v>1.0361992776035385</v>
      </c>
      <c r="P193" s="861">
        <f t="shared" si="157"/>
        <v>4.9599211791481714</v>
      </c>
      <c r="Q193" s="861">
        <f t="shared" si="135"/>
        <v>14.458314696925164</v>
      </c>
      <c r="R193" s="673">
        <f>Q193-G193</f>
        <v>9.7435461538130497</v>
      </c>
      <c r="S193" s="1353">
        <f t="shared" si="158"/>
        <v>1.2987177996735031</v>
      </c>
      <c r="T193" s="135" t="str">
        <f t="shared" si="139"/>
        <v>Policies not met</v>
      </c>
      <c r="U193" s="1353">
        <f t="shared" si="140"/>
        <v>0.85</v>
      </c>
      <c r="V193" s="135" t="str">
        <f t="shared" si="141"/>
        <v>Yes</v>
      </c>
      <c r="W193" s="1354">
        <f t="shared" si="142"/>
        <v>13.318848327039442</v>
      </c>
      <c r="X193" s="696">
        <f t="shared" si="143"/>
        <v>8.0812447647018715</v>
      </c>
      <c r="Y193" s="118">
        <f t="shared" si="144"/>
        <v>4.7816263038951394</v>
      </c>
      <c r="Z193" s="673">
        <f t="shared" si="145"/>
        <v>0.45227213048380793</v>
      </c>
      <c r="AA193" s="673">
        <f t="shared" si="146"/>
        <v>0</v>
      </c>
      <c r="AB193" s="673">
        <f t="shared" si="147"/>
        <v>3.7051279586225467E-3</v>
      </c>
      <c r="AC193" s="673">
        <f t="shared" si="148"/>
        <v>13.318848327039442</v>
      </c>
      <c r="AD193" s="847">
        <f t="shared" si="136"/>
        <v>0</v>
      </c>
      <c r="AE193" s="805">
        <f t="shared" si="149"/>
        <v>0.60675251840623656</v>
      </c>
      <c r="AF193" s="510">
        <f t="shared" si="150"/>
        <v>0.35901199461725647</v>
      </c>
      <c r="AG193" s="510">
        <f t="shared" si="151"/>
        <v>3.3957300164280835E-2</v>
      </c>
      <c r="AH193" s="510">
        <f t="shared" si="152"/>
        <v>2.7818681222613898E-4</v>
      </c>
      <c r="AI193" s="510">
        <f t="shared" si="153"/>
        <v>2.7818681222613898E-4</v>
      </c>
      <c r="AJ193" s="658">
        <f t="shared" si="154"/>
        <v>1.0002781868122261</v>
      </c>
    </row>
    <row r="194" spans="1:36">
      <c r="A194" s="127">
        <f>'Input data'!A134</f>
        <v>2036</v>
      </c>
      <c r="B194" s="828">
        <f>'Input data'!B134</f>
        <v>69.322999999999993</v>
      </c>
      <c r="C194" s="238">
        <f>'Input data'!C134</f>
        <v>4325.9699999999993</v>
      </c>
      <c r="D194" s="238">
        <f>'Input data'!E134</f>
        <v>48694518.38623029</v>
      </c>
      <c r="E194" s="673">
        <f>'Input data'!J134</f>
        <v>11.504772374209397</v>
      </c>
      <c r="F194" s="673">
        <f>'Input data'!L134/C154</f>
        <v>19.415712553522276</v>
      </c>
      <c r="G194" s="696">
        <f t="shared" si="163"/>
        <v>4.7147685431121138</v>
      </c>
      <c r="H194" s="696">
        <f t="shared" si="131"/>
        <v>14.387388325951843</v>
      </c>
      <c r="I194" s="1351">
        <f t="shared" si="132"/>
        <v>11.25632364214969</v>
      </c>
      <c r="J194" s="510">
        <f t="shared" si="162"/>
        <v>0.4</v>
      </c>
      <c r="K194" s="696">
        <f t="shared" si="156"/>
        <v>4.5025294568598762</v>
      </c>
      <c r="L194" s="673">
        <f t="shared" si="133"/>
        <v>0.96248877021284696</v>
      </c>
      <c r="M194" s="802">
        <f t="shared" si="137"/>
        <v>5.465018227072723</v>
      </c>
      <c r="N194" s="805">
        <f t="shared" si="161"/>
        <v>0.5</v>
      </c>
      <c r="O194" s="847">
        <f t="shared" si="134"/>
        <v>1.0361992776035385</v>
      </c>
      <c r="P194" s="861">
        <f t="shared" si="157"/>
        <v>4.8459274693937973</v>
      </c>
      <c r="Q194" s="861">
        <f t="shared" si="135"/>
        <v>14.256229399670161</v>
      </c>
      <c r="R194" s="673">
        <f t="shared" si="138"/>
        <v>9.5414608565580465</v>
      </c>
      <c r="S194" s="1353">
        <f t="shared" si="158"/>
        <v>1.2717818393512259</v>
      </c>
      <c r="T194" s="135" t="str">
        <f t="shared" si="139"/>
        <v>Policies not met</v>
      </c>
      <c r="U194" s="1353">
        <f t="shared" si="140"/>
        <v>0.85</v>
      </c>
      <c r="V194" s="135" t="str">
        <f t="shared" si="141"/>
        <v>Yes</v>
      </c>
      <c r="W194" s="1354">
        <f t="shared" si="142"/>
        <v>12.9820394982811</v>
      </c>
      <c r="X194" s="696">
        <f t="shared" si="143"/>
        <v>7.8791594674468657</v>
      </c>
      <c r="Y194" s="118">
        <f t="shared" si="144"/>
        <v>4.6469027723918028</v>
      </c>
      <c r="Z194" s="673">
        <f t="shared" si="145"/>
        <v>0.45227213048380793</v>
      </c>
      <c r="AA194" s="673">
        <f t="shared" si="146"/>
        <v>0</v>
      </c>
      <c r="AB194" s="673">
        <f t="shared" si="147"/>
        <v>3.7051279586225467E-3</v>
      </c>
      <c r="AC194" s="673">
        <f t="shared" si="148"/>
        <v>12.9820394982811</v>
      </c>
      <c r="AD194" s="847">
        <f>AC194-W194</f>
        <v>0</v>
      </c>
      <c r="AE194" s="805">
        <f t="shared" si="149"/>
        <v>0.60692770719809574</v>
      </c>
      <c r="AF194" s="510">
        <f t="shared" si="150"/>
        <v>0.35794859297778908</v>
      </c>
      <c r="AG194" s="510">
        <f t="shared" si="151"/>
        <v>3.4838295673317851E-2</v>
      </c>
      <c r="AH194" s="510">
        <f t="shared" si="152"/>
        <v>2.8540415079719391E-4</v>
      </c>
      <c r="AI194" s="510">
        <f t="shared" si="153"/>
        <v>2.8540415079719391E-4</v>
      </c>
      <c r="AJ194" s="658">
        <f t="shared" si="154"/>
        <v>1.0002854041507971</v>
      </c>
    </row>
    <row r="195" spans="1:36">
      <c r="A195" s="127">
        <f>'Input data'!A135</f>
        <v>2037</v>
      </c>
      <c r="B195" s="829">
        <f>'Input data'!B135</f>
        <v>69.83</v>
      </c>
      <c r="C195" s="662">
        <f>'Input data'!C135</f>
        <v>4457.0000000000018</v>
      </c>
      <c r="D195" s="238">
        <f>'Input data'!E135</f>
        <v>48694518.38623029</v>
      </c>
      <c r="E195" s="673">
        <f>'Input data'!J135</f>
        <v>11.504772374209397</v>
      </c>
      <c r="F195" s="673">
        <f>'Input data'!L135/C155</f>
        <v>18.429875077587699</v>
      </c>
      <c r="G195" s="696">
        <f t="shared" si="163"/>
        <v>4.7147685431121138</v>
      </c>
      <c r="H195" s="696">
        <f t="shared" si="131"/>
        <v>14.076834514628345</v>
      </c>
      <c r="I195" s="1351">
        <f t="shared" si="132"/>
        <v>10.925402375191894</v>
      </c>
      <c r="J195" s="498">
        <f t="shared" si="162"/>
        <v>0.4</v>
      </c>
      <c r="K195" s="696">
        <f t="shared" si="156"/>
        <v>4.370160950076758</v>
      </c>
      <c r="L195" s="673">
        <f t="shared" si="133"/>
        <v>0.96248877021284696</v>
      </c>
      <c r="M195" s="802">
        <f t="shared" si="137"/>
        <v>5.3326497202896048</v>
      </c>
      <c r="N195" s="805">
        <f t="shared" si="161"/>
        <v>0.5</v>
      </c>
      <c r="O195" s="847">
        <f t="shared" si="134"/>
        <v>1.0361992776035385</v>
      </c>
      <c r="P195" s="861">
        <f t="shared" si="157"/>
        <v>4.7339264182449785</v>
      </c>
      <c r="Q195" s="861">
        <f t="shared" si="135"/>
        <v>14.057676639495481</v>
      </c>
      <c r="R195" s="673">
        <f t="shared" si="138"/>
        <v>9.3429080963833684</v>
      </c>
      <c r="S195" s="1353">
        <f t="shared" si="158"/>
        <v>1.2453167310895645</v>
      </c>
      <c r="T195" s="135" t="str">
        <f t="shared" si="139"/>
        <v>Policies not met</v>
      </c>
      <c r="U195" s="1353">
        <f t="shared" si="140"/>
        <v>0.85</v>
      </c>
      <c r="V195" s="135" t="str">
        <f t="shared" si="141"/>
        <v>Yes</v>
      </c>
      <c r="W195" s="1354">
        <f t="shared" si="142"/>
        <v>12.651118231323304</v>
      </c>
      <c r="X195" s="696">
        <f t="shared" si="143"/>
        <v>7.6806067072721875</v>
      </c>
      <c r="Y195" s="118">
        <f t="shared" si="144"/>
        <v>4.5145342656086846</v>
      </c>
      <c r="Z195" s="673">
        <f t="shared" si="145"/>
        <v>0.45227213048380793</v>
      </c>
      <c r="AA195" s="673">
        <f t="shared" si="146"/>
        <v>0</v>
      </c>
      <c r="AB195" s="673">
        <f t="shared" si="147"/>
        <v>3.7051279586225467E-3</v>
      </c>
      <c r="AC195" s="673">
        <f t="shared" si="148"/>
        <v>12.651118231323302</v>
      </c>
      <c r="AD195" s="847">
        <f t="shared" ref="AD195:AD208" si="164">AC195-W195</f>
        <v>0</v>
      </c>
      <c r="AE195" s="805">
        <f t="shared" si="149"/>
        <v>0.60710891850299298</v>
      </c>
      <c r="AF195" s="510">
        <f t="shared" si="150"/>
        <v>0.35684863448916376</v>
      </c>
      <c r="AG195" s="510">
        <f t="shared" si="151"/>
        <v>3.5749577406051988E-2</v>
      </c>
      <c r="AH195" s="510">
        <f t="shared" si="152"/>
        <v>2.9286960179131862E-4</v>
      </c>
      <c r="AI195" s="510">
        <f t="shared" si="153"/>
        <v>2.9286960179131862E-4</v>
      </c>
      <c r="AJ195" s="658">
        <f t="shared" si="154"/>
        <v>1.0002928696017914</v>
      </c>
    </row>
    <row r="196" spans="1:36">
      <c r="A196" s="127">
        <f>'Input data'!A136</f>
        <v>2038</v>
      </c>
      <c r="B196" s="828">
        <f>'Input data'!B136</f>
        <v>70.341999999999999</v>
      </c>
      <c r="C196" s="238">
        <f>'Input data'!C136</f>
        <v>4590.03</v>
      </c>
      <c r="D196" s="238">
        <f>'Input data'!E136</f>
        <v>48694518.38623029</v>
      </c>
      <c r="E196" s="673">
        <f>'Input data'!J136</f>
        <v>11.504772374209397</v>
      </c>
      <c r="F196" s="673">
        <f>'Input data'!L136/C156</f>
        <v>17.497734426834782</v>
      </c>
      <c r="G196" s="696">
        <f t="shared" si="163"/>
        <v>4.7147685431121138</v>
      </c>
      <c r="H196" s="696">
        <f t="shared" si="131"/>
        <v>13.779679069391044</v>
      </c>
      <c r="I196" s="1351">
        <f t="shared" si="132"/>
        <v>10.608758196837556</v>
      </c>
      <c r="J196" s="510">
        <f t="shared" si="162"/>
        <v>0.4</v>
      </c>
      <c r="K196" s="696">
        <f t="shared" si="156"/>
        <v>4.2435032787350222</v>
      </c>
      <c r="L196" s="673">
        <f t="shared" si="133"/>
        <v>0.96248877021284696</v>
      </c>
      <c r="M196" s="802">
        <f t="shared" si="137"/>
        <v>5.205992048947869</v>
      </c>
      <c r="N196" s="805">
        <f t="shared" si="161"/>
        <v>0.5</v>
      </c>
      <c r="O196" s="847">
        <f t="shared" si="134"/>
        <v>1.0361992776035385</v>
      </c>
      <c r="P196" s="861">
        <f t="shared" si="157"/>
        <v>4.6267574800202764</v>
      </c>
      <c r="Q196" s="861">
        <f t="shared" si="135"/>
        <v>13.867690132482881</v>
      </c>
      <c r="R196" s="673">
        <f t="shared" si="138"/>
        <v>9.1529215893707665</v>
      </c>
      <c r="S196" s="1353">
        <f t="shared" si="158"/>
        <v>1.2199934191803266</v>
      </c>
      <c r="T196" s="135" t="str">
        <f t="shared" si="139"/>
        <v>Policies not met</v>
      </c>
      <c r="U196" s="1353">
        <f t="shared" si="140"/>
        <v>0.85</v>
      </c>
      <c r="V196" s="135" t="str">
        <f t="shared" si="141"/>
        <v>Yes</v>
      </c>
      <c r="W196" s="1354">
        <f t="shared" si="142"/>
        <v>12.334474052968966</v>
      </c>
      <c r="X196" s="696">
        <f t="shared" si="143"/>
        <v>7.4906202002595856</v>
      </c>
      <c r="Y196" s="118">
        <f t="shared" si="144"/>
        <v>4.3878765942669489</v>
      </c>
      <c r="Z196" s="673">
        <f t="shared" si="145"/>
        <v>0.45227213048380793</v>
      </c>
      <c r="AA196" s="673">
        <f t="shared" si="146"/>
        <v>0</v>
      </c>
      <c r="AB196" s="673">
        <f t="shared" si="147"/>
        <v>3.7051279586225467E-3</v>
      </c>
      <c r="AC196" s="673">
        <f t="shared" si="148"/>
        <v>12.334474052968964</v>
      </c>
      <c r="AD196" s="847">
        <f t="shared" si="164"/>
        <v>0</v>
      </c>
      <c r="AE196" s="805">
        <f t="shared" si="149"/>
        <v>0.60729141494740579</v>
      </c>
      <c r="AF196" s="510">
        <f t="shared" si="150"/>
        <v>0.35574087516206393</v>
      </c>
      <c r="AG196" s="510">
        <f t="shared" si="151"/>
        <v>3.6667321893222027E-2</v>
      </c>
      <c r="AH196" s="510">
        <f t="shared" si="152"/>
        <v>3.0038799730830077E-4</v>
      </c>
      <c r="AI196" s="510">
        <f t="shared" si="153"/>
        <v>3.0038799730830077E-4</v>
      </c>
      <c r="AJ196" s="658">
        <f t="shared" si="154"/>
        <v>1.0003003879973082</v>
      </c>
    </row>
    <row r="197" spans="1:36">
      <c r="A197" s="127">
        <f>'Input data'!A137</f>
        <v>2039</v>
      </c>
      <c r="B197" s="828">
        <f>'Input data'!B137</f>
        <v>70.856999999999999</v>
      </c>
      <c r="C197" s="238">
        <f>'Input data'!C137</f>
        <v>4728.5300000000007</v>
      </c>
      <c r="D197" s="238">
        <f>'Input data'!E137</f>
        <v>48694518.38623029</v>
      </c>
      <c r="E197" s="673">
        <f>'Input data'!J137</f>
        <v>11.504772374209397</v>
      </c>
      <c r="F197" s="673">
        <f>'Input data'!L137/C157</f>
        <v>16.612546689172611</v>
      </c>
      <c r="G197" s="696">
        <f t="shared" si="163"/>
        <v>4.7147685431121138</v>
      </c>
      <c r="H197" s="696">
        <f t="shared" si="131"/>
        <v>13.488070447432015</v>
      </c>
      <c r="I197" s="1351">
        <f t="shared" si="132"/>
        <v>10.298024626306756</v>
      </c>
      <c r="J197" s="510">
        <f t="shared" si="162"/>
        <v>0.4</v>
      </c>
      <c r="K197" s="696">
        <f t="shared" si="156"/>
        <v>4.1192098505227026</v>
      </c>
      <c r="L197" s="673">
        <f t="shared" si="133"/>
        <v>0.96248877021284696</v>
      </c>
      <c r="M197" s="802">
        <f t="shared" si="137"/>
        <v>5.0816986207355495</v>
      </c>
      <c r="N197" s="805">
        <f t="shared" si="161"/>
        <v>0.5</v>
      </c>
      <c r="O197" s="847">
        <f t="shared" si="134"/>
        <v>1.0361992776035385</v>
      </c>
      <c r="P197" s="861">
        <f t="shared" si="157"/>
        <v>4.5215890003797297</v>
      </c>
      <c r="Q197" s="861">
        <f t="shared" si="135"/>
        <v>13.6812499901644</v>
      </c>
      <c r="R197" s="673">
        <f t="shared" si="138"/>
        <v>8.9664814470522849</v>
      </c>
      <c r="S197" s="1353">
        <f t="shared" si="158"/>
        <v>1.1951428024151034</v>
      </c>
      <c r="T197" s="135" t="str">
        <f t="shared" si="139"/>
        <v>Policies not met</v>
      </c>
      <c r="U197" s="1353">
        <f t="shared" si="140"/>
        <v>0.85</v>
      </c>
      <c r="V197" s="135" t="str">
        <f t="shared" si="141"/>
        <v>Yes</v>
      </c>
      <c r="W197" s="1354">
        <f t="shared" si="142"/>
        <v>12.023740482438166</v>
      </c>
      <c r="X197" s="696">
        <f t="shared" si="143"/>
        <v>7.3041800579411049</v>
      </c>
      <c r="Y197" s="118">
        <f t="shared" si="144"/>
        <v>4.2635831660546293</v>
      </c>
      <c r="Z197" s="673">
        <f t="shared" si="145"/>
        <v>0.45227213048380793</v>
      </c>
      <c r="AA197" s="673">
        <f t="shared" si="146"/>
        <v>0</v>
      </c>
      <c r="AB197" s="673">
        <f t="shared" si="147"/>
        <v>3.7051279586225467E-3</v>
      </c>
      <c r="AC197" s="673">
        <f t="shared" si="148"/>
        <v>12.023740482438164</v>
      </c>
      <c r="AD197" s="847">
        <f t="shared" si="164"/>
        <v>0</v>
      </c>
      <c r="AE197" s="805">
        <f t="shared" si="149"/>
        <v>0.60747984943700062</v>
      </c>
      <c r="AF197" s="510">
        <f t="shared" si="150"/>
        <v>0.35459707170842591</v>
      </c>
      <c r="AG197" s="510">
        <f t="shared" si="151"/>
        <v>3.7614927829188856E-2</v>
      </c>
      <c r="AH197" s="510">
        <f t="shared" si="152"/>
        <v>3.0815102538467494E-4</v>
      </c>
      <c r="AI197" s="510">
        <f t="shared" si="153"/>
        <v>3.0815102538467494E-4</v>
      </c>
      <c r="AJ197" s="658">
        <f t="shared" si="154"/>
        <v>1.0003081510253846</v>
      </c>
    </row>
    <row r="198" spans="1:36">
      <c r="A198" s="127">
        <f>'Input data'!A138</f>
        <v>2040</v>
      </c>
      <c r="B198" s="828">
        <f>'Input data'!B138</f>
        <v>71.375</v>
      </c>
      <c r="C198" s="238">
        <f>'Input data'!C138</f>
        <v>4875.51</v>
      </c>
      <c r="D198" s="238">
        <f>'Input data'!E138</f>
        <v>48694518.38623029</v>
      </c>
      <c r="E198" s="673">
        <f>'Input data'!J138</f>
        <v>11.504772374209397</v>
      </c>
      <c r="F198" s="673">
        <f>'Input data'!L138/C158</f>
        <v>15.769958363570094</v>
      </c>
      <c r="G198" s="696">
        <f t="shared" si="163"/>
        <v>4.7147685431121138</v>
      </c>
      <c r="H198" s="696">
        <f t="shared" si="131"/>
        <v>13.196727638741564</v>
      </c>
      <c r="I198" s="1351">
        <f t="shared" si="132"/>
        <v>9.9875743022228001</v>
      </c>
      <c r="J198" s="510">
        <f t="shared" si="162"/>
        <v>0.4</v>
      </c>
      <c r="K198" s="696">
        <f t="shared" si="156"/>
        <v>3.9950297208891201</v>
      </c>
      <c r="L198" s="673">
        <f t="shared" si="133"/>
        <v>0.96248877021284696</v>
      </c>
      <c r="M198" s="802">
        <f t="shared" si="137"/>
        <v>4.9575184911019674</v>
      </c>
      <c r="N198" s="805">
        <f t="shared" si="161"/>
        <v>0.5</v>
      </c>
      <c r="O198" s="847">
        <f t="shared" si="134"/>
        <v>1.0361992776035385</v>
      </c>
      <c r="P198" s="861">
        <f t="shared" si="157"/>
        <v>4.4165163861396506</v>
      </c>
      <c r="Q198" s="861">
        <f t="shared" si="135"/>
        <v>13.494979795714027</v>
      </c>
      <c r="R198" s="673">
        <f t="shared" si="138"/>
        <v>8.7802112526019123</v>
      </c>
      <c r="S198" s="1353">
        <f t="shared" si="158"/>
        <v>1.1703148380105142</v>
      </c>
      <c r="T198" s="135" t="str">
        <f t="shared" si="139"/>
        <v>Policies not met</v>
      </c>
      <c r="U198" s="1353">
        <f t="shared" si="140"/>
        <v>0.85</v>
      </c>
      <c r="V198" s="135" t="str">
        <f t="shared" si="141"/>
        <v>Yes</v>
      </c>
      <c r="W198" s="1354">
        <f t="shared" si="142"/>
        <v>11.71329015835421</v>
      </c>
      <c r="X198" s="696">
        <f t="shared" si="143"/>
        <v>7.1179098634907323</v>
      </c>
      <c r="Y198" s="118">
        <f t="shared" si="144"/>
        <v>4.1394030364210472</v>
      </c>
      <c r="Z198" s="673">
        <f t="shared" si="145"/>
        <v>0.45227213048380793</v>
      </c>
      <c r="AA198" s="673">
        <f t="shared" si="146"/>
        <v>0</v>
      </c>
      <c r="AB198" s="673">
        <f t="shared" si="147"/>
        <v>3.7051279586225467E-3</v>
      </c>
      <c r="AC198" s="673">
        <f t="shared" si="148"/>
        <v>11.71329015835421</v>
      </c>
      <c r="AD198" s="847">
        <f t="shared" si="164"/>
        <v>0</v>
      </c>
      <c r="AE198" s="805">
        <f t="shared" si="149"/>
        <v>0.60767809618496149</v>
      </c>
      <c r="AF198" s="510">
        <f t="shared" si="150"/>
        <v>0.35339370752876997</v>
      </c>
      <c r="AG198" s="510">
        <f t="shared" si="151"/>
        <v>3.8611877992387661E-2</v>
      </c>
      <c r="AH198" s="510">
        <f t="shared" si="152"/>
        <v>3.1631829388090052E-4</v>
      </c>
      <c r="AI198" s="510">
        <f t="shared" si="153"/>
        <v>3.1631829388090052E-4</v>
      </c>
      <c r="AJ198" s="658">
        <f t="shared" si="154"/>
        <v>1.0003163182938808</v>
      </c>
    </row>
    <row r="199" spans="1:36">
      <c r="A199" s="127">
        <f>'Input data'!A139</f>
        <v>2041</v>
      </c>
      <c r="B199" s="828">
        <f>'Input data'!B139</f>
        <v>71.819000000000003</v>
      </c>
      <c r="C199" s="238">
        <f>'Input data'!C139</f>
        <v>5028.54</v>
      </c>
      <c r="D199" s="238">
        <f>'Input data'!E139</f>
        <v>48694518.38623029</v>
      </c>
      <c r="E199" s="673">
        <f>'Input data'!J139</f>
        <v>11.504772374209397</v>
      </c>
      <c r="F199" s="673">
        <f>'Input data'!L139/C159</f>
        <v>15.387261067456164</v>
      </c>
      <c r="G199" s="696">
        <f t="shared" si="163"/>
        <v>4.7147685431121138</v>
      </c>
      <c r="H199" s="696">
        <f t="shared" si="131"/>
        <v>12.911489970471891</v>
      </c>
      <c r="I199" s="1351">
        <f t="shared" si="132"/>
        <v>9.683629519946205</v>
      </c>
      <c r="J199" s="510">
        <f t="shared" si="162"/>
        <v>0.4</v>
      </c>
      <c r="K199" s="696">
        <f t="shared" si="156"/>
        <v>3.8734518079784821</v>
      </c>
      <c r="L199" s="673">
        <f t="shared" si="133"/>
        <v>0.96248877021284696</v>
      </c>
      <c r="M199" s="802">
        <f t="shared" si="137"/>
        <v>4.8359405781913294</v>
      </c>
      <c r="N199" s="805">
        <f t="shared" si="161"/>
        <v>0.5</v>
      </c>
      <c r="O199" s="847">
        <f t="shared" si="134"/>
        <v>1.0361992776035385</v>
      </c>
      <c r="P199" s="861">
        <f t="shared" si="157"/>
        <v>4.3136455872359374</v>
      </c>
      <c r="Q199" s="861">
        <f t="shared" si="135"/>
        <v>13.312612926348068</v>
      </c>
      <c r="R199" s="673">
        <f t="shared" si="138"/>
        <v>8.5978443832359552</v>
      </c>
      <c r="S199" s="1353">
        <f t="shared" si="158"/>
        <v>1.1460071480198826</v>
      </c>
      <c r="T199" s="135" t="str">
        <f t="shared" si="139"/>
        <v>Policies not met</v>
      </c>
      <c r="U199" s="1353">
        <f t="shared" si="140"/>
        <v>0.85</v>
      </c>
      <c r="V199" s="135" t="str">
        <f t="shared" si="141"/>
        <v>Yes</v>
      </c>
      <c r="W199" s="1354">
        <f t="shared" si="142"/>
        <v>11.409345376077615</v>
      </c>
      <c r="X199" s="696">
        <f t="shared" si="143"/>
        <v>6.9355429941247753</v>
      </c>
      <c r="Y199" s="118">
        <f t="shared" si="144"/>
        <v>4.0178251235104092</v>
      </c>
      <c r="Z199" s="673">
        <f t="shared" si="145"/>
        <v>0.45227213048380793</v>
      </c>
      <c r="AA199" s="673">
        <f t="shared" si="146"/>
        <v>0</v>
      </c>
      <c r="AB199" s="673">
        <f t="shared" si="147"/>
        <v>3.7051279586225467E-3</v>
      </c>
      <c r="AC199" s="673">
        <f t="shared" si="148"/>
        <v>11.409345376077615</v>
      </c>
      <c r="AD199" s="847">
        <f t="shared" si="164"/>
        <v>0</v>
      </c>
      <c r="AE199" s="805">
        <f t="shared" si="149"/>
        <v>0.60788264054717611</v>
      </c>
      <c r="AF199" s="510">
        <f t="shared" si="150"/>
        <v>0.35215211662666707</v>
      </c>
      <c r="AG199" s="510">
        <f t="shared" si="151"/>
        <v>3.9640497817876839E-2</v>
      </c>
      <c r="AH199" s="510">
        <f t="shared" si="152"/>
        <v>3.247450082798985E-4</v>
      </c>
      <c r="AI199" s="510">
        <f t="shared" si="153"/>
        <v>3.247450082798985E-4</v>
      </c>
      <c r="AJ199" s="658">
        <f t="shared" si="154"/>
        <v>1.0003247450082799</v>
      </c>
    </row>
    <row r="200" spans="1:36">
      <c r="A200" s="127">
        <f>'Input data'!A140</f>
        <v>2042</v>
      </c>
      <c r="B200" s="828">
        <f>'Input data'!B140</f>
        <v>72.265000000000001</v>
      </c>
      <c r="C200" s="238">
        <f>'Input data'!C140</f>
        <v>5188.1000000000004</v>
      </c>
      <c r="D200" s="238">
        <f>'Input data'!E140</f>
        <v>48694518.38623029</v>
      </c>
      <c r="E200" s="673">
        <f>'Input data'!J140</f>
        <v>11.504772374209397</v>
      </c>
      <c r="F200" s="673">
        <f>'Input data'!L140/C160</f>
        <v>15.02273510509165</v>
      </c>
      <c r="G200" s="696">
        <f t="shared" si="163"/>
        <v>4.7147685431121138</v>
      </c>
      <c r="H200" s="696">
        <f t="shared" si="131"/>
        <v>12.632000120837823</v>
      </c>
      <c r="I200" s="1351">
        <f t="shared" si="132"/>
        <v>9.3858095229911314</v>
      </c>
      <c r="J200" s="510">
        <f t="shared" si="162"/>
        <v>0.4</v>
      </c>
      <c r="K200" s="696">
        <f t="shared" si="156"/>
        <v>3.7543238091964528</v>
      </c>
      <c r="L200" s="673">
        <f t="shared" si="133"/>
        <v>0.96248877021284696</v>
      </c>
      <c r="M200" s="802">
        <f t="shared" si="137"/>
        <v>4.7168125794093001</v>
      </c>
      <c r="N200" s="805">
        <f t="shared" si="161"/>
        <v>0.5</v>
      </c>
      <c r="O200" s="847">
        <f t="shared" si="134"/>
        <v>1.0361992776035385</v>
      </c>
      <c r="P200" s="861">
        <f t="shared" si="157"/>
        <v>4.2128477357749121</v>
      </c>
      <c r="Q200" s="861">
        <f t="shared" si="135"/>
        <v>13.133920928175026</v>
      </c>
      <c r="R200" s="673">
        <f t="shared" si="138"/>
        <v>8.4191523850629117</v>
      </c>
      <c r="S200" s="1353">
        <f t="shared" si="158"/>
        <v>1.1221892818115162</v>
      </c>
      <c r="T200" s="135" t="str">
        <f t="shared" si="139"/>
        <v>Policies not met</v>
      </c>
      <c r="U200" s="1353">
        <f t="shared" si="140"/>
        <v>0.85</v>
      </c>
      <c r="V200" s="135" t="str">
        <f t="shared" si="141"/>
        <v>Yes</v>
      </c>
      <c r="W200" s="1354">
        <f t="shared" si="142"/>
        <v>11.111525379122542</v>
      </c>
      <c r="X200" s="696">
        <f t="shared" si="143"/>
        <v>6.7568509959517309</v>
      </c>
      <c r="Y200" s="118">
        <f t="shared" si="144"/>
        <v>3.8986971247283799</v>
      </c>
      <c r="Z200" s="673">
        <f t="shared" si="145"/>
        <v>0.45227213048380793</v>
      </c>
      <c r="AA200" s="673">
        <f t="shared" si="146"/>
        <v>0</v>
      </c>
      <c r="AB200" s="673">
        <f t="shared" si="147"/>
        <v>3.7051279586225467E-3</v>
      </c>
      <c r="AC200" s="673">
        <f t="shared" si="148"/>
        <v>11.111525379122542</v>
      </c>
      <c r="AD200" s="847">
        <f t="shared" si="164"/>
        <v>0</v>
      </c>
      <c r="AE200" s="805">
        <f t="shared" si="149"/>
        <v>0.60809391738844298</v>
      </c>
      <c r="AF200" s="510">
        <f t="shared" si="150"/>
        <v>0.35086965935870934</v>
      </c>
      <c r="AG200" s="510">
        <f t="shared" si="151"/>
        <v>4.0702974168927569E-2</v>
      </c>
      <c r="AH200" s="510">
        <f t="shared" si="152"/>
        <v>3.3344908392002738E-4</v>
      </c>
      <c r="AI200" s="510">
        <f t="shared" si="153"/>
        <v>3.3344908392002738E-4</v>
      </c>
      <c r="AJ200" s="658">
        <f t="shared" si="154"/>
        <v>1.00033344908392</v>
      </c>
    </row>
    <row r="201" spans="1:36">
      <c r="A201" s="127">
        <f>'Input data'!A141</f>
        <v>2043</v>
      </c>
      <c r="B201" s="828">
        <f>'Input data'!B141</f>
        <v>72.713999999999999</v>
      </c>
      <c r="C201" s="238">
        <f>'Input data'!C141</f>
        <v>5353.7899999999991</v>
      </c>
      <c r="D201" s="238">
        <f>'Input data'!E141</f>
        <v>48694518.38623029</v>
      </c>
      <c r="E201" s="673">
        <f>'Input data'!J141</f>
        <v>11.504772374209397</v>
      </c>
      <c r="F201" s="673">
        <f>'Input data'!L141/C161</f>
        <v>14.676326580601758</v>
      </c>
      <c r="G201" s="696">
        <f t="shared" si="163"/>
        <v>4.7147685431121138</v>
      </c>
      <c r="H201" s="696">
        <f t="shared" si="131"/>
        <v>12.359404492142438</v>
      </c>
      <c r="I201" s="1351">
        <f t="shared" si="132"/>
        <v>9.0953358996580551</v>
      </c>
      <c r="J201" s="510">
        <f t="shared" si="162"/>
        <v>0.4</v>
      </c>
      <c r="K201" s="696">
        <f t="shared" si="156"/>
        <v>3.6381343598632223</v>
      </c>
      <c r="L201" s="673">
        <f t="shared" si="133"/>
        <v>0.96248877021284696</v>
      </c>
      <c r="M201" s="802">
        <f t="shared" si="137"/>
        <v>4.6006231300760696</v>
      </c>
      <c r="N201" s="805">
        <f t="shared" si="161"/>
        <v>0.5</v>
      </c>
      <c r="O201" s="847">
        <f t="shared" si="134"/>
        <v>1.0361992776035385</v>
      </c>
      <c r="P201" s="861">
        <f t="shared" si="157"/>
        <v>4.114536281079376</v>
      </c>
      <c r="Q201" s="861">
        <f t="shared" si="135"/>
        <v>12.959636754175177</v>
      </c>
      <c r="R201" s="673">
        <f t="shared" si="138"/>
        <v>8.2448682110630642</v>
      </c>
      <c r="S201" s="1353">
        <f t="shared" si="158"/>
        <v>1.0989589347282407</v>
      </c>
      <c r="T201" s="135" t="str">
        <f t="shared" si="139"/>
        <v>Policies not met</v>
      </c>
      <c r="U201" s="1353">
        <f t="shared" si="140"/>
        <v>0.85</v>
      </c>
      <c r="V201" s="135" t="str">
        <f t="shared" si="141"/>
        <v>Yes</v>
      </c>
      <c r="W201" s="1354">
        <f t="shared" si="142"/>
        <v>10.821051755789465</v>
      </c>
      <c r="X201" s="696">
        <f t="shared" si="143"/>
        <v>6.5825668219518843</v>
      </c>
      <c r="Y201" s="118">
        <f t="shared" si="144"/>
        <v>3.7825076753951494</v>
      </c>
      <c r="Z201" s="673">
        <f t="shared" si="145"/>
        <v>0.45227213048380793</v>
      </c>
      <c r="AA201" s="673">
        <f t="shared" si="146"/>
        <v>0</v>
      </c>
      <c r="AB201" s="673">
        <f t="shared" si="147"/>
        <v>3.7051279586225467E-3</v>
      </c>
      <c r="AC201" s="673">
        <f t="shared" si="148"/>
        <v>10.821051755789465</v>
      </c>
      <c r="AD201" s="847">
        <f t="shared" si="164"/>
        <v>0</v>
      </c>
      <c r="AE201" s="805">
        <f t="shared" si="149"/>
        <v>0.60831118550284058</v>
      </c>
      <c r="AF201" s="510">
        <f t="shared" si="150"/>
        <v>0.34955083486884136</v>
      </c>
      <c r="AG201" s="510">
        <f t="shared" si="151"/>
        <v>4.1795579643340477E-2</v>
      </c>
      <c r="AH201" s="510">
        <f t="shared" si="152"/>
        <v>3.4239998497745232E-4</v>
      </c>
      <c r="AI201" s="510">
        <f t="shared" si="153"/>
        <v>3.4239998497745232E-4</v>
      </c>
      <c r="AJ201" s="658">
        <f t="shared" si="154"/>
        <v>1.0003423999849772</v>
      </c>
    </row>
    <row r="202" spans="1:36">
      <c r="A202" s="127">
        <f>'Input data'!A142</f>
        <v>2044</v>
      </c>
      <c r="B202" s="828">
        <f>'Input data'!B142</f>
        <v>73.165000000000006</v>
      </c>
      <c r="C202" s="238">
        <f>'Input data'!C142</f>
        <v>5526.5000000000018</v>
      </c>
      <c r="D202" s="238">
        <f>'Input data'!E142</f>
        <v>48694518.38623029</v>
      </c>
      <c r="E202" s="673">
        <f>'Input data'!J142</f>
        <v>11.504772374209397</v>
      </c>
      <c r="F202" s="673">
        <f>'Input data'!L142/C162</f>
        <v>14.347100781916351</v>
      </c>
      <c r="G202" s="696">
        <f t="shared" si="163"/>
        <v>4.7147685431121138</v>
      </c>
      <c r="H202" s="696">
        <f t="shared" si="131"/>
        <v>12.092658294402767</v>
      </c>
      <c r="I202" s="1351">
        <f t="shared" si="132"/>
        <v>8.8110953381399213</v>
      </c>
      <c r="J202" s="510">
        <f t="shared" si="162"/>
        <v>0.4</v>
      </c>
      <c r="K202" s="696">
        <f t="shared" si="156"/>
        <v>3.5244381352559686</v>
      </c>
      <c r="L202" s="673">
        <f t="shared" si="133"/>
        <v>0.96248877021284696</v>
      </c>
      <c r="M202" s="802">
        <f t="shared" si="137"/>
        <v>4.4869269054688159</v>
      </c>
      <c r="N202" s="805">
        <f t="shared" si="161"/>
        <v>0.5</v>
      </c>
      <c r="O202" s="847">
        <f t="shared" si="134"/>
        <v>1.0361992776035385</v>
      </c>
      <c r="P202" s="861">
        <f t="shared" si="157"/>
        <v>4.018334420250584</v>
      </c>
      <c r="Q202" s="861">
        <f t="shared" si="135"/>
        <v>12.789092417264298</v>
      </c>
      <c r="R202" s="673">
        <f t="shared" si="138"/>
        <v>8.074323874152185</v>
      </c>
      <c r="S202" s="1353">
        <f t="shared" si="158"/>
        <v>1.0762270707350685</v>
      </c>
      <c r="T202" s="135" t="str">
        <f t="shared" si="139"/>
        <v>Policies not met</v>
      </c>
      <c r="U202" s="1353">
        <f t="shared" si="140"/>
        <v>0.85</v>
      </c>
      <c r="V202" s="135" t="str">
        <f t="shared" si="141"/>
        <v>Yes</v>
      </c>
      <c r="W202" s="1354">
        <f t="shared" si="142"/>
        <v>10.536811194271332</v>
      </c>
      <c r="X202" s="696">
        <f t="shared" si="143"/>
        <v>6.412022485041005</v>
      </c>
      <c r="Y202" s="118">
        <f t="shared" si="144"/>
        <v>3.6688114507878957</v>
      </c>
      <c r="Z202" s="673">
        <f t="shared" si="145"/>
        <v>0.45227213048380793</v>
      </c>
      <c r="AA202" s="673">
        <f t="shared" si="146"/>
        <v>0</v>
      </c>
      <c r="AB202" s="673">
        <f t="shared" si="147"/>
        <v>3.7051279586225467E-3</v>
      </c>
      <c r="AC202" s="673">
        <f t="shared" si="148"/>
        <v>10.536811194271332</v>
      </c>
      <c r="AD202" s="847">
        <f t="shared" si="164"/>
        <v>0</v>
      </c>
      <c r="AE202" s="805">
        <f t="shared" si="149"/>
        <v>0.60853538768229065</v>
      </c>
      <c r="AF202" s="510">
        <f t="shared" si="150"/>
        <v>0.34818992037956992</v>
      </c>
      <c r="AG202" s="510">
        <f t="shared" si="151"/>
        <v>4.2923055386026074E-2</v>
      </c>
      <c r="AH202" s="510">
        <f t="shared" si="152"/>
        <v>3.5163655211331449E-4</v>
      </c>
      <c r="AI202" s="510">
        <f t="shared" si="153"/>
        <v>3.5163655211331449E-4</v>
      </c>
      <c r="AJ202" s="658">
        <f t="shared" si="154"/>
        <v>1.0003516365521132</v>
      </c>
    </row>
    <row r="203" spans="1:36">
      <c r="A203" s="127">
        <f>'Input data'!A143</f>
        <v>2045</v>
      </c>
      <c r="B203" s="828">
        <f>'Input data'!B143</f>
        <v>73.62</v>
      </c>
      <c r="C203" s="238">
        <f>'Input data'!C143</f>
        <v>5709.93</v>
      </c>
      <c r="D203" s="238">
        <f>'Input data'!E143</f>
        <v>48694518.38623029</v>
      </c>
      <c r="E203" s="673">
        <f>'Input data'!J143</f>
        <v>11.504772374209397</v>
      </c>
      <c r="F203" s="673">
        <f>'Input data'!L143/C163</f>
        <v>14.033073193263855</v>
      </c>
      <c r="G203" s="696">
        <f t="shared" si="163"/>
        <v>4.7147685431121138</v>
      </c>
      <c r="H203" s="696">
        <f t="shared" si="131"/>
        <v>11.827025514326525</v>
      </c>
      <c r="I203" s="1351">
        <f t="shared" si="132"/>
        <v>8.5280412170079636</v>
      </c>
      <c r="J203" s="510">
        <f t="shared" si="162"/>
        <v>0.4</v>
      </c>
      <c r="K203" s="696">
        <f t="shared" si="156"/>
        <v>3.4112164868031858</v>
      </c>
      <c r="L203" s="673">
        <f t="shared" si="133"/>
        <v>0.96248877021284696</v>
      </c>
      <c r="M203" s="802">
        <f t="shared" si="137"/>
        <v>4.3737052570160326</v>
      </c>
      <c r="N203" s="805">
        <f t="shared" si="161"/>
        <v>0.5</v>
      </c>
      <c r="O203" s="847">
        <f t="shared" si="134"/>
        <v>1.0361992776035385</v>
      </c>
      <c r="P203" s="861">
        <f t="shared" si="157"/>
        <v>3.9225341128535156</v>
      </c>
      <c r="Q203" s="861">
        <f t="shared" si="135"/>
        <v>12.619259944585124</v>
      </c>
      <c r="R203" s="673">
        <f t="shared" si="138"/>
        <v>7.9044914014730105</v>
      </c>
      <c r="S203" s="1353">
        <f t="shared" si="158"/>
        <v>1.0535900911642688</v>
      </c>
      <c r="T203" s="135" t="str">
        <f t="shared" si="139"/>
        <v>Policies not met</v>
      </c>
      <c r="U203" s="1353">
        <f t="shared" si="140"/>
        <v>0.85</v>
      </c>
      <c r="V203" s="135" t="str">
        <f t="shared" si="141"/>
        <v>Yes</v>
      </c>
      <c r="W203" s="1354">
        <f t="shared" si="142"/>
        <v>10.253757073139374</v>
      </c>
      <c r="X203" s="696">
        <f t="shared" si="143"/>
        <v>6.2421900123618297</v>
      </c>
      <c r="Y203" s="118">
        <f t="shared" si="144"/>
        <v>3.5555898023351129</v>
      </c>
      <c r="Z203" s="673">
        <f t="shared" si="145"/>
        <v>0.45227213048380793</v>
      </c>
      <c r="AA203" s="673">
        <f t="shared" si="146"/>
        <v>0</v>
      </c>
      <c r="AB203" s="673">
        <f t="shared" si="147"/>
        <v>3.7051279586225467E-3</v>
      </c>
      <c r="AC203" s="673">
        <f t="shared" si="148"/>
        <v>10.253757073139374</v>
      </c>
      <c r="AD203" s="847">
        <f t="shared" si="164"/>
        <v>0</v>
      </c>
      <c r="AE203" s="805">
        <f t="shared" si="149"/>
        <v>0.60877100635764037</v>
      </c>
      <c r="AF203" s="510">
        <f t="shared" si="150"/>
        <v>0.34675970739050332</v>
      </c>
      <c r="AG203" s="510">
        <f t="shared" si="151"/>
        <v>4.4107942801626818E-2</v>
      </c>
      <c r="AH203" s="510">
        <f t="shared" si="152"/>
        <v>3.6134345022942452E-4</v>
      </c>
      <c r="AI203" s="510">
        <f t="shared" si="153"/>
        <v>3.6134345022942452E-4</v>
      </c>
      <c r="AJ203" s="658">
        <f t="shared" si="154"/>
        <v>1.0003613434502294</v>
      </c>
    </row>
    <row r="204" spans="1:36">
      <c r="A204" s="127">
        <f>'Input data'!A144</f>
        <v>2046</v>
      </c>
      <c r="B204" s="828">
        <f>'Input data'!B144</f>
        <v>73.995000000000005</v>
      </c>
      <c r="C204" s="238">
        <f>'Input data'!C144</f>
        <v>5902.43</v>
      </c>
      <c r="D204" s="238">
        <f>'Input data'!E144</f>
        <v>48694518.38623029</v>
      </c>
      <c r="E204" s="673">
        <f>'Input data'!J144</f>
        <v>11.504772374209397</v>
      </c>
      <c r="F204" s="673">
        <f>'Input data'!L144/C164</f>
        <v>13.734873847099173</v>
      </c>
      <c r="G204" s="696">
        <f t="shared" si="163"/>
        <v>4.7147685431121138</v>
      </c>
      <c r="H204" s="696">
        <f t="shared" si="131"/>
        <v>11.566012979429875</v>
      </c>
      <c r="I204" s="1351">
        <f t="shared" si="132"/>
        <v>8.2499103566209655</v>
      </c>
      <c r="J204" s="510">
        <f t="shared" si="162"/>
        <v>0.4</v>
      </c>
      <c r="K204" s="696">
        <f t="shared" si="156"/>
        <v>3.2999641426483866</v>
      </c>
      <c r="L204" s="673">
        <f t="shared" si="133"/>
        <v>0.96248877021284696</v>
      </c>
      <c r="M204" s="802">
        <f t="shared" si="137"/>
        <v>4.2624529128612334</v>
      </c>
      <c r="N204" s="805">
        <f t="shared" si="161"/>
        <v>0.5</v>
      </c>
      <c r="O204" s="847">
        <f t="shared" si="134"/>
        <v>1.0361992776035385</v>
      </c>
      <c r="P204" s="861">
        <f t="shared" si="157"/>
        <v>3.8284000941890639</v>
      </c>
      <c r="Q204" s="861">
        <f t="shared" si="135"/>
        <v>12.452381428352925</v>
      </c>
      <c r="R204" s="673">
        <f t="shared" si="138"/>
        <v>7.7376128852408117</v>
      </c>
      <c r="S204" s="1353">
        <f t="shared" si="158"/>
        <v>1.0313468446098257</v>
      </c>
      <c r="T204" s="135" t="str">
        <f t="shared" si="139"/>
        <v>Policies not met</v>
      </c>
      <c r="U204" s="1353">
        <f t="shared" si="140"/>
        <v>0.85</v>
      </c>
      <c r="V204" s="135" t="str">
        <f t="shared" si="141"/>
        <v>Yes</v>
      </c>
      <c r="W204" s="1354">
        <f t="shared" si="142"/>
        <v>9.9756262127523758</v>
      </c>
      <c r="X204" s="696">
        <f t="shared" si="143"/>
        <v>6.0753114961296308</v>
      </c>
      <c r="Y204" s="118">
        <f t="shared" si="144"/>
        <v>3.4443374581803137</v>
      </c>
      <c r="Z204" s="673">
        <f t="shared" si="145"/>
        <v>0.45227213048380793</v>
      </c>
      <c r="AA204" s="673">
        <f t="shared" si="146"/>
        <v>0</v>
      </c>
      <c r="AB204" s="673">
        <f t="shared" si="147"/>
        <v>3.7051279586225467E-3</v>
      </c>
      <c r="AC204" s="673">
        <f t="shared" si="148"/>
        <v>9.9756262127523758</v>
      </c>
      <c r="AD204" s="847">
        <f t="shared" si="164"/>
        <v>0</v>
      </c>
      <c r="AE204" s="805">
        <f t="shared" si="149"/>
        <v>0.60901555116041095</v>
      </c>
      <c r="AF204" s="510">
        <f t="shared" si="150"/>
        <v>0.34527531251895077</v>
      </c>
      <c r="AG204" s="510">
        <f t="shared" si="151"/>
        <v>4.5337718238243965E-2</v>
      </c>
      <c r="AH204" s="510">
        <f t="shared" si="152"/>
        <v>3.7141808239427455E-4</v>
      </c>
      <c r="AI204" s="510">
        <f t="shared" si="153"/>
        <v>3.7141808239427455E-4</v>
      </c>
      <c r="AJ204" s="658">
        <f t="shared" si="154"/>
        <v>1.0003714180823942</v>
      </c>
    </row>
    <row r="205" spans="1:36">
      <c r="A205" s="127">
        <f>'Input data'!A145</f>
        <v>2047</v>
      </c>
      <c r="B205" s="829">
        <f>'Input data'!B145</f>
        <v>74.373000000000005</v>
      </c>
      <c r="C205" s="662">
        <f>'Input data'!C145</f>
        <v>6104.119999999999</v>
      </c>
      <c r="D205" s="238">
        <f>'Input data'!E145</f>
        <v>48694518.38623029</v>
      </c>
      <c r="E205" s="673">
        <f>'Input data'!J145</f>
        <v>11.504772374209397</v>
      </c>
      <c r="F205" s="673">
        <f>'Input data'!L145/C165</f>
        <v>13.452851800429709</v>
      </c>
      <c r="G205" s="696">
        <f t="shared" si="163"/>
        <v>4.7147685431121138</v>
      </c>
      <c r="H205" s="696">
        <f t="shared" si="131"/>
        <v>11.310199916352271</v>
      </c>
      <c r="I205" s="1351">
        <f t="shared" si="132"/>
        <v>7.9773199717945085</v>
      </c>
      <c r="J205" s="498">
        <f t="shared" si="162"/>
        <v>0.4</v>
      </c>
      <c r="K205" s="696">
        <f t="shared" si="156"/>
        <v>3.1909279887178035</v>
      </c>
      <c r="L205" s="673">
        <f t="shared" si="133"/>
        <v>0.96248877021284696</v>
      </c>
      <c r="M205" s="802">
        <f t="shared" si="137"/>
        <v>4.1534167589306508</v>
      </c>
      <c r="N205" s="805">
        <f t="shared" si="161"/>
        <v>0.5</v>
      </c>
      <c r="O205" s="847">
        <f t="shared" si="134"/>
        <v>1.0361992776035385</v>
      </c>
      <c r="P205" s="861">
        <f t="shared" si="157"/>
        <v>3.7361412620073349</v>
      </c>
      <c r="Q205" s="861">
        <f t="shared" si="135"/>
        <v>12.288827197457051</v>
      </c>
      <c r="R205" s="673">
        <f t="shared" si="138"/>
        <v>7.5740586543449373</v>
      </c>
      <c r="S205" s="1353">
        <f t="shared" si="158"/>
        <v>1.0095466922296519</v>
      </c>
      <c r="T205" s="135" t="str">
        <f t="shared" si="139"/>
        <v>Policies not met</v>
      </c>
      <c r="U205" s="1353">
        <f t="shared" si="140"/>
        <v>0.85</v>
      </c>
      <c r="V205" s="135" t="str">
        <f t="shared" si="141"/>
        <v>Yes</v>
      </c>
      <c r="W205" s="1354">
        <f t="shared" si="142"/>
        <v>9.7030358279259179</v>
      </c>
      <c r="X205" s="696">
        <f t="shared" si="143"/>
        <v>5.9117572652337564</v>
      </c>
      <c r="Y205" s="118">
        <f t="shared" si="144"/>
        <v>3.3353013042497306</v>
      </c>
      <c r="Z205" s="673">
        <f t="shared" si="145"/>
        <v>0.45227213048380793</v>
      </c>
      <c r="AA205" s="673">
        <f t="shared" si="146"/>
        <v>0</v>
      </c>
      <c r="AB205" s="673">
        <f t="shared" si="147"/>
        <v>3.7051279586225467E-3</v>
      </c>
      <c r="AC205" s="673">
        <f t="shared" si="148"/>
        <v>9.7030358279259179</v>
      </c>
      <c r="AD205" s="847">
        <f t="shared" si="164"/>
        <v>0</v>
      </c>
      <c r="AE205" s="805">
        <f t="shared" si="149"/>
        <v>0.60926882782596403</v>
      </c>
      <c r="AF205" s="510">
        <f t="shared" si="150"/>
        <v>0.34373791495755729</v>
      </c>
      <c r="AG205" s="510">
        <f t="shared" si="151"/>
        <v>4.661140477108635E-2</v>
      </c>
      <c r="AH205" s="510">
        <f t="shared" si="152"/>
        <v>3.8185244539229327E-4</v>
      </c>
      <c r="AI205" s="510">
        <f t="shared" si="153"/>
        <v>3.8185244539229327E-4</v>
      </c>
      <c r="AJ205" s="658">
        <f t="shared" si="154"/>
        <v>1.0003818524453922</v>
      </c>
    </row>
    <row r="206" spans="1:36">
      <c r="A206" s="127">
        <f>'Input data'!A146</f>
        <v>2048</v>
      </c>
      <c r="B206" s="828">
        <f>'Input data'!B146</f>
        <v>74.753</v>
      </c>
      <c r="C206" s="238">
        <f>'Input data'!C146</f>
        <v>6308.13</v>
      </c>
      <c r="D206" s="238">
        <f>'Input data'!E146</f>
        <v>48694518.38623029</v>
      </c>
      <c r="E206" s="673">
        <f>'Input data'!J146</f>
        <v>11.504772374209397</v>
      </c>
      <c r="F206" s="673">
        <f>'Input data'!L146/C166</f>
        <v>13.188251208306198</v>
      </c>
      <c r="G206" s="696">
        <f t="shared" si="163"/>
        <v>4.7147685431121138</v>
      </c>
      <c r="H206" s="696">
        <f t="shared" si="131"/>
        <v>11.068085852009002</v>
      </c>
      <c r="I206" s="1351">
        <f t="shared" si="132"/>
        <v>7.7193270250027011</v>
      </c>
      <c r="J206" s="510">
        <f t="shared" si="162"/>
        <v>0.4</v>
      </c>
      <c r="K206" s="696">
        <f t="shared" si="156"/>
        <v>3.0877308100010805</v>
      </c>
      <c r="L206" s="673">
        <f t="shared" si="133"/>
        <v>0.96248877021284696</v>
      </c>
      <c r="M206" s="802">
        <f t="shared" si="137"/>
        <v>4.0502195802139278</v>
      </c>
      <c r="N206" s="805">
        <f t="shared" si="161"/>
        <v>0.5</v>
      </c>
      <c r="O206" s="847">
        <f t="shared" si="134"/>
        <v>1.0361992776035385</v>
      </c>
      <c r="P206" s="861">
        <f t="shared" si="157"/>
        <v>3.6488229657391509</v>
      </c>
      <c r="Q206" s="861">
        <f t="shared" si="135"/>
        <v>12.134031429381967</v>
      </c>
      <c r="R206" s="673">
        <f t="shared" si="138"/>
        <v>7.4192628862698529</v>
      </c>
      <c r="S206" s="1353">
        <f t="shared" si="158"/>
        <v>0.98891395583782282</v>
      </c>
      <c r="T206" s="135" t="str">
        <f t="shared" si="139"/>
        <v>Policies not met</v>
      </c>
      <c r="U206" s="1353">
        <f t="shared" si="140"/>
        <v>0.85</v>
      </c>
      <c r="V206" s="135" t="str">
        <f t="shared" si="141"/>
        <v>Yes</v>
      </c>
      <c r="W206" s="1354">
        <f t="shared" si="142"/>
        <v>9.4450428811341105</v>
      </c>
      <c r="X206" s="696">
        <f t="shared" si="143"/>
        <v>5.756961497158672</v>
      </c>
      <c r="Y206" s="118">
        <f t="shared" si="144"/>
        <v>3.2321041255330076</v>
      </c>
      <c r="Z206" s="673">
        <f t="shared" si="145"/>
        <v>0.45227213048380793</v>
      </c>
      <c r="AA206" s="673">
        <f t="shared" si="146"/>
        <v>0</v>
      </c>
      <c r="AB206" s="673">
        <f t="shared" si="147"/>
        <v>3.7051279586225467E-3</v>
      </c>
      <c r="AC206" s="673">
        <f t="shared" si="148"/>
        <v>9.4450428811341105</v>
      </c>
      <c r="AD206" s="847">
        <f t="shared" si="164"/>
        <v>0</v>
      </c>
      <c r="AE206" s="805">
        <f t="shared" si="149"/>
        <v>0.60952200742866369</v>
      </c>
      <c r="AF206" s="510">
        <f t="shared" si="150"/>
        <v>0.34220110657082731</v>
      </c>
      <c r="AG206" s="510">
        <f t="shared" si="151"/>
        <v>4.7884603190864655E-2</v>
      </c>
      <c r="AH206" s="510">
        <f t="shared" si="152"/>
        <v>3.9228280964433848E-4</v>
      </c>
      <c r="AI206" s="510">
        <f t="shared" si="153"/>
        <v>3.9228280964433848E-4</v>
      </c>
      <c r="AJ206" s="658">
        <f t="shared" si="154"/>
        <v>1.0003922828096443</v>
      </c>
    </row>
    <row r="207" spans="1:36">
      <c r="A207" s="127">
        <f>'Input data'!A147</f>
        <v>2049</v>
      </c>
      <c r="B207" s="828">
        <f>'Input data'!B147</f>
        <v>75.134</v>
      </c>
      <c r="C207" s="238">
        <f>'Input data'!C147</f>
        <v>6522.2000000000007</v>
      </c>
      <c r="D207" s="238">
        <f>'Input data'!E147</f>
        <v>48694518.38623029</v>
      </c>
      <c r="E207" s="673">
        <f>'Input data'!J147</f>
        <v>11.504772374209397</v>
      </c>
      <c r="F207" s="673">
        <f>'Input data'!L147/C167</f>
        <v>12.938015158589236</v>
      </c>
      <c r="G207" s="696">
        <f t="shared" si="163"/>
        <v>4.7147685431121138</v>
      </c>
      <c r="H207" s="696">
        <f t="shared" si="131"/>
        <v>10.830317897229236</v>
      </c>
      <c r="I207" s="1351">
        <f t="shared" si="132"/>
        <v>7.4659652243461228</v>
      </c>
      <c r="J207" s="510">
        <f t="shared" si="162"/>
        <v>0.4</v>
      </c>
      <c r="K207" s="696">
        <f t="shared" si="156"/>
        <v>2.9863860897384491</v>
      </c>
      <c r="L207" s="673">
        <f t="shared" si="133"/>
        <v>0.96248877021284696</v>
      </c>
      <c r="M207" s="802">
        <f t="shared" si="137"/>
        <v>3.9488748599512959</v>
      </c>
      <c r="N207" s="805">
        <f t="shared" si="161"/>
        <v>0.5</v>
      </c>
      <c r="O207" s="847">
        <f t="shared" si="134"/>
        <v>1.0361992776035385</v>
      </c>
      <c r="P207" s="861">
        <f t="shared" si="157"/>
        <v>3.5630720913533311</v>
      </c>
      <c r="Q207" s="861">
        <f t="shared" si="135"/>
        <v>11.98201434898802</v>
      </c>
      <c r="R207" s="673">
        <f t="shared" si="138"/>
        <v>7.2672458058759064</v>
      </c>
      <c r="S207" s="1353">
        <f t="shared" si="158"/>
        <v>0.96865159087896702</v>
      </c>
      <c r="T207" s="135" t="str">
        <f t="shared" si="139"/>
        <v>Policies not met</v>
      </c>
      <c r="U207" s="1353">
        <f t="shared" si="140"/>
        <v>0.85</v>
      </c>
      <c r="V207" s="135" t="str">
        <f t="shared" si="141"/>
        <v>Yes</v>
      </c>
      <c r="W207" s="1354">
        <f t="shared" si="142"/>
        <v>9.1916810804775331</v>
      </c>
      <c r="X207" s="696">
        <f t="shared" si="143"/>
        <v>5.6049444167647255</v>
      </c>
      <c r="Y207" s="118">
        <f t="shared" si="144"/>
        <v>3.1307594052703762</v>
      </c>
      <c r="Z207" s="673">
        <f t="shared" si="145"/>
        <v>0.45227213048380793</v>
      </c>
      <c r="AA207" s="673">
        <f t="shared" si="146"/>
        <v>0</v>
      </c>
      <c r="AB207" s="673">
        <f t="shared" si="147"/>
        <v>3.7051279586225467E-3</v>
      </c>
      <c r="AC207" s="673">
        <f t="shared" si="148"/>
        <v>9.1916810804775331</v>
      </c>
      <c r="AD207" s="847">
        <f t="shared" si="164"/>
        <v>0</v>
      </c>
      <c r="AE207" s="805">
        <f t="shared" si="149"/>
        <v>0.60978447442755845</v>
      </c>
      <c r="AF207" s="510">
        <f t="shared" si="150"/>
        <v>0.34060792338845208</v>
      </c>
      <c r="AG207" s="510">
        <f t="shared" si="151"/>
        <v>4.9204506392677316E-2</v>
      </c>
      <c r="AH207" s="510">
        <f t="shared" si="152"/>
        <v>4.0309579131199088E-4</v>
      </c>
      <c r="AI207" s="510">
        <f t="shared" si="153"/>
        <v>4.0309579131199088E-4</v>
      </c>
      <c r="AJ207" s="658">
        <f t="shared" si="154"/>
        <v>1.0004030957913119</v>
      </c>
    </row>
    <row r="208" spans="1:36" ht="15.75" thickBot="1">
      <c r="A208" s="172">
        <f>'Input data'!A148</f>
        <v>2050</v>
      </c>
      <c r="B208" s="831">
        <f>'Input data'!B148</f>
        <v>75.518000000000001</v>
      </c>
      <c r="C208" s="241">
        <f>'Input data'!C148</f>
        <v>6747.1300000000019</v>
      </c>
      <c r="D208" s="238">
        <f>'Input data'!E148</f>
        <v>48694518.38623029</v>
      </c>
      <c r="E208" s="814">
        <f>'Input data'!J148</f>
        <v>11.504772374209397</v>
      </c>
      <c r="F208" s="814">
        <f>'Input data'!L148/C168</f>
        <v>12.702005041802764</v>
      </c>
      <c r="G208" s="849">
        <f t="shared" si="163"/>
        <v>4.7147685431121138</v>
      </c>
      <c r="H208" s="849">
        <f t="shared" si="131"/>
        <v>10.596742845800843</v>
      </c>
      <c r="I208" s="1352">
        <f t="shared" si="132"/>
        <v>7.2170713156898225</v>
      </c>
      <c r="J208" s="807">
        <f t="shared" si="162"/>
        <v>0.4</v>
      </c>
      <c r="K208" s="849">
        <f t="shared" si="156"/>
        <v>2.886828526275929</v>
      </c>
      <c r="L208" s="814">
        <f t="shared" si="133"/>
        <v>0.96248877021284696</v>
      </c>
      <c r="M208" s="811">
        <f t="shared" si="137"/>
        <v>3.8493172964887759</v>
      </c>
      <c r="N208" s="806">
        <f t="shared" si="161"/>
        <v>0.5</v>
      </c>
      <c r="O208" s="860">
        <f t="shared" si="134"/>
        <v>1.0361992776035385</v>
      </c>
      <c r="P208" s="862">
        <f t="shared" si="157"/>
        <v>3.4788333851187181</v>
      </c>
      <c r="Q208" s="862">
        <f t="shared" si="135"/>
        <v>11.832678003794239</v>
      </c>
      <c r="R208" s="814">
        <f t="shared" si="138"/>
        <v>7.1179094606821254</v>
      </c>
      <c r="S208" s="1362">
        <f t="shared" si="158"/>
        <v>0.9487465412615389</v>
      </c>
      <c r="T208" s="1390" t="str">
        <f t="shared" si="139"/>
        <v>Policies not met</v>
      </c>
      <c r="U208" s="1362">
        <f t="shared" si="140"/>
        <v>0.85</v>
      </c>
      <c r="V208" s="1390" t="str">
        <f t="shared" si="141"/>
        <v>Yes</v>
      </c>
      <c r="W208" s="1355">
        <f t="shared" si="142"/>
        <v>8.942787171821232</v>
      </c>
      <c r="X208" s="849">
        <f t="shared" si="143"/>
        <v>5.4556080715709454</v>
      </c>
      <c r="Y208" s="121">
        <f t="shared" si="144"/>
        <v>3.0312018418078561</v>
      </c>
      <c r="Z208" s="814">
        <f t="shared" si="145"/>
        <v>0.45227213048380793</v>
      </c>
      <c r="AA208" s="814">
        <f t="shared" si="146"/>
        <v>0</v>
      </c>
      <c r="AB208" s="814">
        <f t="shared" si="147"/>
        <v>3.7051279586225467E-3</v>
      </c>
      <c r="AC208" s="814">
        <f t="shared" si="148"/>
        <v>8.942787171821232</v>
      </c>
      <c r="AD208" s="860">
        <f t="shared" si="164"/>
        <v>0</v>
      </c>
      <c r="AE208" s="806">
        <f t="shared" si="149"/>
        <v>0.61005679401178126</v>
      </c>
      <c r="AF208" s="807">
        <f t="shared" si="150"/>
        <v>0.33895493469409499</v>
      </c>
      <c r="AG208" s="807">
        <f t="shared" si="151"/>
        <v>5.0573956619354613E-2</v>
      </c>
      <c r="AH208" s="807">
        <f t="shared" si="152"/>
        <v>4.1431467476911715E-4</v>
      </c>
      <c r="AI208" s="807">
        <f>AB208/AC208</f>
        <v>4.1431467476911715E-4</v>
      </c>
      <c r="AJ208" s="808">
        <f t="shared" si="154"/>
        <v>1.000414314674769</v>
      </c>
    </row>
    <row r="209" spans="9:9">
      <c r="I209" s="106"/>
    </row>
    <row r="210" spans="9:9">
      <c r="I210" s="106"/>
    </row>
    <row r="211" spans="9:9">
      <c r="I211" s="104"/>
    </row>
  </sheetData>
  <mergeCells count="72">
    <mergeCell ref="BV92:BX92"/>
    <mergeCell ref="BY92:CA92"/>
    <mergeCell ref="BM92:BT92"/>
    <mergeCell ref="CB92:CC92"/>
    <mergeCell ref="CD92:CE92"/>
    <mergeCell ref="AR92:BB92"/>
    <mergeCell ref="BD92:BD94"/>
    <mergeCell ref="X172:AJ172"/>
    <mergeCell ref="X132:AJ132"/>
    <mergeCell ref="AE92:AE94"/>
    <mergeCell ref="AF92:AF93"/>
    <mergeCell ref="AG92:AQ92"/>
    <mergeCell ref="AD92:AD93"/>
    <mergeCell ref="AC92:AC94"/>
    <mergeCell ref="A36:A37"/>
    <mergeCell ref="Q42:W42"/>
    <mergeCell ref="E132:I132"/>
    <mergeCell ref="R132:R133"/>
    <mergeCell ref="W132:W133"/>
    <mergeCell ref="N132:O132"/>
    <mergeCell ref="M132:M133"/>
    <mergeCell ref="J132:L132"/>
    <mergeCell ref="S132:S133"/>
    <mergeCell ref="A92:D92"/>
    <mergeCell ref="E92:G92"/>
    <mergeCell ref="H92:K92"/>
    <mergeCell ref="L92:P92"/>
    <mergeCell ref="Q92:U92"/>
    <mergeCell ref="T132:T134"/>
    <mergeCell ref="J42:P42"/>
    <mergeCell ref="A26:A27"/>
    <mergeCell ref="B26:B27"/>
    <mergeCell ref="E26:E27"/>
    <mergeCell ref="F26:F27"/>
    <mergeCell ref="G26:G27"/>
    <mergeCell ref="A4:A6"/>
    <mergeCell ref="B4:B6"/>
    <mergeCell ref="A8:A9"/>
    <mergeCell ref="B8:F8"/>
    <mergeCell ref="G8:I8"/>
    <mergeCell ref="H26:H27"/>
    <mergeCell ref="C29:D29"/>
    <mergeCell ref="E29:F29"/>
    <mergeCell ref="G29:H29"/>
    <mergeCell ref="C42:I42"/>
    <mergeCell ref="A93:A94"/>
    <mergeCell ref="A132:D132"/>
    <mergeCell ref="A133:A134"/>
    <mergeCell ref="P132:P133"/>
    <mergeCell ref="Q132:Q133"/>
    <mergeCell ref="A172:D172"/>
    <mergeCell ref="A173:A174"/>
    <mergeCell ref="E172:I172"/>
    <mergeCell ref="J172:L172"/>
    <mergeCell ref="M172:M173"/>
    <mergeCell ref="N172:O172"/>
    <mergeCell ref="P172:P173"/>
    <mergeCell ref="Q172:Q173"/>
    <mergeCell ref="R172:R173"/>
    <mergeCell ref="S172:S173"/>
    <mergeCell ref="T172:T174"/>
    <mergeCell ref="W172:W173"/>
    <mergeCell ref="U172:U173"/>
    <mergeCell ref="V172:V174"/>
    <mergeCell ref="AB92:AB94"/>
    <mergeCell ref="Y92:Y93"/>
    <mergeCell ref="V92:V93"/>
    <mergeCell ref="W92:X92"/>
    <mergeCell ref="Z92:Z93"/>
    <mergeCell ref="AA92:AA93"/>
    <mergeCell ref="U132:U133"/>
    <mergeCell ref="V132:V134"/>
  </mergeCells>
  <dataValidations disablePrompts="1"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03B24FF5-A82F-4901-A00C-1C44F695036B}">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5135A-B601-4E0B-BB21-419A44B1E70E}">
  <dimension ref="A1:CE208"/>
  <sheetViews>
    <sheetView topLeftCell="A88" zoomScale="55" zoomScaleNormal="55" workbookViewId="0">
      <selection activeCell="CB92" sqref="CB92:CE94"/>
    </sheetView>
  </sheetViews>
  <sheetFormatPr defaultRowHeight="15"/>
  <cols>
    <col min="1" max="1" width="55.28515625" customWidth="1"/>
    <col min="2" max="2" width="32.28515625" customWidth="1"/>
    <col min="3" max="3" width="22.5703125" customWidth="1"/>
    <col min="4" max="4" width="31.28515625" customWidth="1"/>
    <col min="5" max="5" width="25.140625" customWidth="1"/>
    <col min="6" max="6" width="28.140625" customWidth="1"/>
    <col min="7" max="7" width="22.5703125" customWidth="1"/>
    <col min="8" max="8" width="19.7109375" customWidth="1"/>
    <col min="9" max="9" width="30.28515625" customWidth="1"/>
    <col min="10" max="10" width="25.28515625" customWidth="1"/>
    <col min="11" max="12" width="24.7109375" customWidth="1"/>
    <col min="13" max="13" width="26.7109375" customWidth="1"/>
    <col min="14" max="14" width="25.85546875" customWidth="1"/>
    <col min="15" max="15" width="29.28515625" customWidth="1"/>
    <col min="16" max="16" width="28.42578125" customWidth="1"/>
    <col min="17" max="17" width="30.85546875" customWidth="1"/>
    <col min="18" max="18" width="28.28515625" customWidth="1"/>
    <col min="19" max="19" width="23.140625" customWidth="1"/>
    <col min="20" max="20" width="20.28515625" customWidth="1"/>
    <col min="21" max="21" width="30" customWidth="1"/>
    <col min="22" max="22" width="20" customWidth="1"/>
    <col min="23" max="23" width="22.7109375" customWidth="1"/>
    <col min="24" max="24" width="20.28515625" customWidth="1"/>
    <col min="25" max="25" width="21.85546875" customWidth="1"/>
    <col min="26" max="26" width="17.28515625" customWidth="1"/>
    <col min="27" max="28" width="21.42578125" customWidth="1"/>
    <col min="29" max="29" width="21.140625" customWidth="1"/>
    <col min="30" max="30" width="22.85546875" customWidth="1"/>
    <col min="31" max="31" width="24.42578125" customWidth="1"/>
    <col min="32" max="32" width="29.42578125" customWidth="1"/>
    <col min="33" max="33" width="25.7109375" customWidth="1"/>
    <col min="34" max="34" width="22.7109375" customWidth="1"/>
    <col min="35" max="37" width="29.140625" customWidth="1"/>
    <col min="38" max="38" width="22.5703125" customWidth="1"/>
    <col min="39" max="39" width="21" customWidth="1"/>
    <col min="40" max="40" width="21.28515625" customWidth="1"/>
    <col min="41" max="41" width="19.5703125" customWidth="1"/>
    <col min="42" max="42" width="26.42578125" customWidth="1"/>
    <col min="43" max="43" width="22.5703125" customWidth="1"/>
    <col min="44" max="44" width="20.140625" customWidth="1"/>
    <col min="45" max="45" width="22.5703125" customWidth="1"/>
    <col min="46" max="46" width="13.7109375" customWidth="1"/>
    <col min="47" max="47" width="23.140625" customWidth="1"/>
    <col min="48" max="48" width="15.7109375" customWidth="1"/>
    <col min="49" max="49" width="17.7109375" customWidth="1"/>
    <col min="50" max="50" width="20.7109375" customWidth="1"/>
    <col min="51" max="51" width="18" customWidth="1"/>
    <col min="52" max="52" width="14.85546875" customWidth="1"/>
    <col min="53" max="53" width="15.7109375" customWidth="1"/>
    <col min="54" max="54" width="14.7109375" customWidth="1"/>
    <col min="55" max="55" width="23.7109375" customWidth="1"/>
    <col min="56" max="56" width="21.140625" customWidth="1"/>
    <col min="57" max="57" width="24.5703125" customWidth="1"/>
    <col min="58" max="58" width="15.140625" customWidth="1"/>
    <col min="59" max="59" width="20.140625" customWidth="1"/>
    <col min="60" max="60" width="24.140625" customWidth="1"/>
    <col min="61" max="61" width="19.5703125" customWidth="1"/>
    <col min="62" max="62" width="18" customWidth="1"/>
    <col min="63" max="63" width="21.42578125" customWidth="1"/>
    <col min="64" max="64" width="18.5703125" customWidth="1"/>
    <col min="65" max="65" width="17.5703125" customWidth="1"/>
    <col min="66" max="66" width="17.7109375" customWidth="1"/>
    <col min="67" max="67" width="17.28515625" customWidth="1"/>
    <col min="68" max="68" width="9.85546875" customWidth="1"/>
    <col min="69" max="69" width="16" customWidth="1"/>
    <col min="71" max="71" width="18.7109375" customWidth="1"/>
    <col min="72" max="72" width="15.140625" customWidth="1"/>
    <col min="73" max="73" width="18.7109375" customWidth="1"/>
    <col min="74" max="74" width="23.5703125" customWidth="1"/>
    <col min="75" max="75" width="20.5703125" customWidth="1"/>
    <col min="76" max="76" width="21.7109375" customWidth="1"/>
    <col min="77" max="77" width="16.140625" customWidth="1"/>
    <col min="78" max="78" width="17.7109375" customWidth="1"/>
    <col min="79" max="79" width="18.5703125" customWidth="1"/>
    <col min="80" max="81" width="21.7109375" customWidth="1"/>
    <col min="82" max="82" width="20.28515625" customWidth="1"/>
    <col min="83" max="83" width="19" customWidth="1"/>
  </cols>
  <sheetData>
    <row r="1" spans="1:11">
      <c r="A1" s="2" t="s">
        <v>620</v>
      </c>
      <c r="J1" s="99"/>
      <c r="K1" s="99"/>
    </row>
    <row r="2" spans="1:11" ht="15.75" thickBot="1">
      <c r="A2" s="2" t="s">
        <v>621</v>
      </c>
      <c r="B2" s="501" t="s">
        <v>633</v>
      </c>
      <c r="J2" s="99"/>
      <c r="K2" s="99"/>
    </row>
    <row r="3" spans="1:11" ht="15.75" thickBot="1">
      <c r="A3" s="2"/>
      <c r="C3" s="926" t="s">
        <v>629</v>
      </c>
      <c r="D3" s="737" t="s">
        <v>636</v>
      </c>
      <c r="E3" s="926" t="s">
        <v>630</v>
      </c>
      <c r="F3" s="737" t="s">
        <v>636</v>
      </c>
      <c r="G3" s="926" t="s">
        <v>631</v>
      </c>
      <c r="H3" s="737" t="s">
        <v>636</v>
      </c>
      <c r="J3" s="99"/>
      <c r="K3" s="99"/>
    </row>
    <row r="4" spans="1:11">
      <c r="A4" s="1652" t="s">
        <v>634</v>
      </c>
      <c r="B4" s="1649" t="s">
        <v>635</v>
      </c>
      <c r="C4" s="735">
        <v>0.5</v>
      </c>
      <c r="D4" s="116">
        <f>2017+10</f>
        <v>2027</v>
      </c>
      <c r="E4" s="735">
        <f>C4</f>
        <v>0.5</v>
      </c>
      <c r="F4" s="116">
        <f>2017+5</f>
        <v>2022</v>
      </c>
      <c r="G4" s="735">
        <f>E4</f>
        <v>0.5</v>
      </c>
      <c r="H4" s="116">
        <f>F4</f>
        <v>2022</v>
      </c>
      <c r="J4" s="99"/>
      <c r="K4" s="99"/>
    </row>
    <row r="5" spans="1:11">
      <c r="A5" s="1632"/>
      <c r="B5" s="1650"/>
      <c r="C5" s="731">
        <v>0.65</v>
      </c>
      <c r="D5" s="130">
        <f>2017+20</f>
        <v>2037</v>
      </c>
      <c r="E5" s="731">
        <f t="shared" ref="E5:E6" si="0">C5</f>
        <v>0.65</v>
      </c>
      <c r="F5" s="130">
        <f>2017+10</f>
        <v>2027</v>
      </c>
      <c r="G5" s="731">
        <f t="shared" ref="G5:H6" si="1">E5</f>
        <v>0.65</v>
      </c>
      <c r="H5" s="130">
        <f t="shared" si="1"/>
        <v>2027</v>
      </c>
      <c r="J5" s="99"/>
      <c r="K5" s="99"/>
    </row>
    <row r="6" spans="1:11" ht="15.75" thickBot="1">
      <c r="A6" s="1633"/>
      <c r="B6" s="1651"/>
      <c r="C6" s="733">
        <v>0.8</v>
      </c>
      <c r="D6" s="140">
        <f>2017+30</f>
        <v>2047</v>
      </c>
      <c r="E6" s="733">
        <f t="shared" si="0"/>
        <v>0.8</v>
      </c>
      <c r="F6" s="140">
        <f>15+2017</f>
        <v>2032</v>
      </c>
      <c r="G6" s="733">
        <f t="shared" si="1"/>
        <v>0.8</v>
      </c>
      <c r="H6" s="140">
        <f t="shared" si="1"/>
        <v>2032</v>
      </c>
      <c r="J6" s="99"/>
      <c r="K6" s="99"/>
    </row>
    <row r="7" spans="1:11" ht="15.75" thickBot="1">
      <c r="A7" s="925"/>
      <c r="B7" s="925"/>
      <c r="C7" s="732"/>
      <c r="D7" s="104"/>
      <c r="E7" s="732"/>
      <c r="F7" s="104"/>
      <c r="G7" s="732"/>
      <c r="H7" s="104"/>
      <c r="J7" s="99"/>
      <c r="K7" s="99"/>
    </row>
    <row r="8" spans="1:11" ht="15.6" customHeight="1">
      <c r="A8" s="1663" t="s">
        <v>652</v>
      </c>
      <c r="B8" s="1515" t="s">
        <v>561</v>
      </c>
      <c r="C8" s="1516"/>
      <c r="D8" s="1516"/>
      <c r="E8" s="1516"/>
      <c r="F8" s="1517"/>
      <c r="G8" s="1515" t="s">
        <v>610</v>
      </c>
      <c r="H8" s="1516"/>
      <c r="I8" s="1517"/>
      <c r="J8" s="353"/>
      <c r="K8" s="99"/>
    </row>
    <row r="9" spans="1:11" ht="32.25" thickBot="1">
      <c r="A9" s="1664"/>
      <c r="B9" s="561" t="s">
        <v>549</v>
      </c>
      <c r="C9" s="307" t="s">
        <v>566</v>
      </c>
      <c r="D9" s="307" t="s">
        <v>429</v>
      </c>
      <c r="E9" s="307" t="s">
        <v>553</v>
      </c>
      <c r="F9" s="562" t="s">
        <v>303</v>
      </c>
      <c r="G9" s="561" t="s">
        <v>569</v>
      </c>
      <c r="H9" s="307" t="s">
        <v>570</v>
      </c>
      <c r="I9" s="562" t="s">
        <v>303</v>
      </c>
      <c r="J9" s="353"/>
      <c r="K9" s="99"/>
    </row>
    <row r="10" spans="1:11" ht="15.75">
      <c r="A10" s="542" t="s">
        <v>651</v>
      </c>
      <c r="B10" s="547">
        <f>'Input data'!B33</f>
        <v>0.46471844811027063</v>
      </c>
      <c r="C10" s="547">
        <f>'Input data'!C33</f>
        <v>0.41381327103365251</v>
      </c>
      <c r="D10" s="547">
        <f>'Input data'!D33</f>
        <v>0.12146828085607692</v>
      </c>
      <c r="E10" s="547">
        <f>'Input data'!E33</f>
        <v>0</v>
      </c>
      <c r="F10" s="547">
        <f>'Input data'!F33</f>
        <v>1</v>
      </c>
      <c r="G10" s="545">
        <f>'Input data'!G33</f>
        <v>0.66241124199764068</v>
      </c>
      <c r="H10" s="545">
        <f>'Input data'!H33</f>
        <v>0.33758875800235938</v>
      </c>
      <c r="I10" s="781">
        <f>'Input data'!I33</f>
        <v>1</v>
      </c>
      <c r="J10" s="158"/>
      <c r="K10" s="99"/>
    </row>
    <row r="11" spans="1:11" ht="15.75">
      <c r="A11" s="543" t="s">
        <v>656</v>
      </c>
      <c r="B11" s="547">
        <f>'Input data'!B34</f>
        <v>0.85641924869700936</v>
      </c>
      <c r="C11" s="547">
        <f>'Input data'!C34</f>
        <v>0.14268338865096522</v>
      </c>
      <c r="D11" s="547">
        <f>'Input data'!D34</f>
        <v>0</v>
      </c>
      <c r="E11" s="547">
        <f>'Input data'!E34</f>
        <v>8.973626520254116E-4</v>
      </c>
      <c r="F11" s="547">
        <f>'Input data'!F34</f>
        <v>1</v>
      </c>
      <c r="G11" s="547">
        <f>'Input data'!G34</f>
        <v>0.49613166950665732</v>
      </c>
      <c r="H11" s="547">
        <f>'Input data'!H34</f>
        <v>0.50386833049334279</v>
      </c>
      <c r="I11" s="547">
        <f>'Input data'!I34</f>
        <v>1</v>
      </c>
      <c r="J11" s="844"/>
      <c r="K11" s="99"/>
    </row>
    <row r="12" spans="1:11" ht="15.75">
      <c r="A12" s="816" t="s">
        <v>657</v>
      </c>
      <c r="B12" s="547">
        <f>'Input data'!B35</f>
        <v>0.74218195843015589</v>
      </c>
      <c r="C12" s="547">
        <f>'Input data'!C35</f>
        <v>0.25567103228934263</v>
      </c>
      <c r="D12" s="547">
        <f>'Input data'!D35</f>
        <v>0</v>
      </c>
      <c r="E12" s="547">
        <f>'Input data'!E35</f>
        <v>2.1470092805013948E-3</v>
      </c>
      <c r="F12" s="547">
        <f>'Input data'!F35</f>
        <v>0.99999999999999989</v>
      </c>
      <c r="G12" s="547">
        <f>'Input data'!G35</f>
        <v>0.32721719372829228</v>
      </c>
      <c r="H12" s="547">
        <f>'Input data'!H35</f>
        <v>0.67278280627170772</v>
      </c>
      <c r="I12" s="547">
        <f>'Input data'!I35</f>
        <v>1</v>
      </c>
      <c r="J12" s="99"/>
      <c r="K12" s="99"/>
    </row>
    <row r="13" spans="1:11" ht="16.5" thickBot="1">
      <c r="A13" s="544" t="s">
        <v>575</v>
      </c>
      <c r="B13" s="782">
        <f>'Input data'!B36</f>
        <v>0.8</v>
      </c>
      <c r="C13" s="782">
        <f>'Input data'!C36</f>
        <v>0.11</v>
      </c>
      <c r="D13" s="782">
        <f>'Input data'!D36</f>
        <v>0.09</v>
      </c>
      <c r="E13" s="782">
        <f>'Input data'!E36</f>
        <v>0</v>
      </c>
      <c r="F13" s="782">
        <f>'Input data'!F36</f>
        <v>1</v>
      </c>
      <c r="G13" s="783">
        <f>'Input data'!G36</f>
        <v>1</v>
      </c>
      <c r="H13" s="783">
        <f>'Input data'!H36</f>
        <v>0</v>
      </c>
      <c r="I13" s="784">
        <f>'Input data'!I36</f>
        <v>1</v>
      </c>
      <c r="J13" s="99"/>
      <c r="K13" s="99">
        <v>0.57999999999999996</v>
      </c>
    </row>
    <row r="14" spans="1:11" ht="15.75">
      <c r="A14" s="580"/>
      <c r="C14" s="780"/>
      <c r="E14" s="780"/>
      <c r="F14" s="780"/>
      <c r="G14" s="535"/>
      <c r="J14" s="99"/>
      <c r="K14" s="99">
        <v>0.21707953063885269</v>
      </c>
    </row>
    <row r="15" spans="1:11" ht="15.6" customHeight="1" thickBot="1">
      <c r="B15" s="501" t="s">
        <v>632</v>
      </c>
      <c r="J15" s="99"/>
      <c r="K15" s="99">
        <v>0.71200000000000008</v>
      </c>
    </row>
    <row r="16" spans="1:11" ht="15.75" thickBot="1">
      <c r="A16" s="788"/>
      <c r="B16" s="787" t="s">
        <v>636</v>
      </c>
      <c r="C16" s="745" t="s">
        <v>87</v>
      </c>
      <c r="D16" s="745" t="s">
        <v>364</v>
      </c>
      <c r="E16" s="745" t="s">
        <v>365</v>
      </c>
      <c r="F16" s="745" t="s">
        <v>366</v>
      </c>
      <c r="G16" s="832" t="s">
        <v>660</v>
      </c>
      <c r="H16" s="833" t="s">
        <v>367</v>
      </c>
      <c r="K16">
        <v>0.8</v>
      </c>
    </row>
    <row r="17" spans="1:11">
      <c r="A17" s="789" t="s">
        <v>653</v>
      </c>
      <c r="B17" s="788">
        <v>2017</v>
      </c>
      <c r="C17" s="114">
        <f>E63/E65</f>
        <v>0.57999999999999996</v>
      </c>
      <c r="D17" s="114">
        <f>J63/J65</f>
        <v>0.437</v>
      </c>
      <c r="E17" s="114">
        <f t="shared" ref="E17:G17" si="2">K63/K65</f>
        <v>0.71200000000000008</v>
      </c>
      <c r="F17" s="114">
        <f t="shared" si="2"/>
        <v>0.8</v>
      </c>
      <c r="G17" s="114">
        <f t="shared" si="2"/>
        <v>0.23600000000000002</v>
      </c>
      <c r="H17" s="741">
        <f>H80</f>
        <v>6.154773859516615E-2</v>
      </c>
      <c r="K17">
        <v>0.23600000000000002</v>
      </c>
    </row>
    <row r="18" spans="1:11">
      <c r="A18" s="790" t="s">
        <v>629</v>
      </c>
      <c r="B18" s="693">
        <v>2030</v>
      </c>
      <c r="C18" s="510">
        <f>C17</f>
        <v>0.57999999999999996</v>
      </c>
      <c r="D18" s="510">
        <f t="shared" ref="D18:F18" si="3">D17</f>
        <v>0.437</v>
      </c>
      <c r="E18" s="510">
        <f t="shared" si="3"/>
        <v>0.71200000000000008</v>
      </c>
      <c r="F18" s="510">
        <f t="shared" si="3"/>
        <v>0.8</v>
      </c>
      <c r="G18" s="510">
        <f>G17</f>
        <v>0.23600000000000002</v>
      </c>
      <c r="H18" s="658">
        <f>H17</f>
        <v>6.154773859516615E-2</v>
      </c>
    </row>
    <row r="19" spans="1:11">
      <c r="A19" s="789" t="s">
        <v>630</v>
      </c>
      <c r="B19" s="693">
        <v>2030</v>
      </c>
      <c r="C19" s="732">
        <v>0.7</v>
      </c>
      <c r="D19" s="732">
        <v>0.6</v>
      </c>
      <c r="E19" s="732">
        <v>0.9</v>
      </c>
      <c r="F19" s="732">
        <v>0.9</v>
      </c>
      <c r="G19" s="510">
        <f>G18</f>
        <v>0.23600000000000002</v>
      </c>
      <c r="H19" s="742">
        <v>0.4</v>
      </c>
    </row>
    <row r="20" spans="1:11" ht="15.75" thickBot="1">
      <c r="A20" s="791" t="s">
        <v>631</v>
      </c>
      <c r="B20" s="694">
        <v>2030</v>
      </c>
      <c r="C20" s="734">
        <f>C19</f>
        <v>0.7</v>
      </c>
      <c r="D20" s="734">
        <f>D19</f>
        <v>0.6</v>
      </c>
      <c r="E20" s="734">
        <f>E19</f>
        <v>0.9</v>
      </c>
      <c r="F20" s="734">
        <f>F19</f>
        <v>0.9</v>
      </c>
      <c r="G20" s="807">
        <f>G19</f>
        <v>0.23600000000000002</v>
      </c>
      <c r="H20" s="743">
        <f>H19</f>
        <v>0.4</v>
      </c>
    </row>
    <row r="21" spans="1:11">
      <c r="A21" s="738"/>
      <c r="B21" s="104"/>
      <c r="C21" s="732"/>
      <c r="D21" s="732"/>
      <c r="E21" s="732"/>
      <c r="F21" s="104"/>
      <c r="G21" s="104"/>
      <c r="J21" s="510"/>
    </row>
    <row r="22" spans="1:11">
      <c r="A22" s="738"/>
      <c r="B22" s="104"/>
      <c r="C22" s="732"/>
      <c r="D22" s="732"/>
      <c r="E22" s="732"/>
      <c r="F22" s="104"/>
      <c r="G22" s="104"/>
    </row>
    <row r="23" spans="1:11">
      <c r="A23" s="739"/>
      <c r="B23" s="58"/>
      <c r="C23" s="58"/>
      <c r="D23" s="58"/>
      <c r="E23" s="732"/>
    </row>
    <row r="24" spans="1:11" ht="15.75" thickBot="1">
      <c r="A24" s="739"/>
      <c r="B24" s="501" t="s">
        <v>637</v>
      </c>
      <c r="C24" s="58"/>
      <c r="D24" s="58"/>
      <c r="E24" s="732"/>
    </row>
    <row r="25" spans="1:11" ht="15.75" thickBot="1">
      <c r="A25" s="740"/>
      <c r="B25" s="744"/>
      <c r="C25" s="748" t="s">
        <v>629</v>
      </c>
      <c r="D25" s="749" t="s">
        <v>636</v>
      </c>
      <c r="E25" s="926" t="s">
        <v>630</v>
      </c>
      <c r="F25" s="737" t="s">
        <v>636</v>
      </c>
      <c r="G25" s="927" t="s">
        <v>631</v>
      </c>
      <c r="H25" s="737" t="s">
        <v>636</v>
      </c>
    </row>
    <row r="26" spans="1:11">
      <c r="A26" s="1632" t="s">
        <v>638</v>
      </c>
      <c r="B26" s="1650" t="s">
        <v>635</v>
      </c>
      <c r="C26" s="731">
        <v>0.25</v>
      </c>
      <c r="D26" s="104">
        <f>2017+5</f>
        <v>2022</v>
      </c>
      <c r="E26" s="1657">
        <v>0.5</v>
      </c>
      <c r="F26" s="1659">
        <f>2017+5</f>
        <v>2022</v>
      </c>
      <c r="G26" s="1661">
        <f>E26</f>
        <v>0.5</v>
      </c>
      <c r="H26" s="1659">
        <f>F26</f>
        <v>2022</v>
      </c>
    </row>
    <row r="27" spans="1:11" ht="15.75" thickBot="1">
      <c r="A27" s="1633"/>
      <c r="B27" s="1651"/>
      <c r="C27" s="733">
        <v>0.5</v>
      </c>
      <c r="D27" s="163">
        <f>2017+10</f>
        <v>2027</v>
      </c>
      <c r="E27" s="1658"/>
      <c r="F27" s="1660"/>
      <c r="G27" s="1662"/>
      <c r="H27" s="1660"/>
    </row>
    <row r="28" spans="1:11" ht="15.75" thickBot="1">
      <c r="A28" s="925"/>
      <c r="B28" s="925"/>
      <c r="C28" s="732"/>
      <c r="D28" s="104"/>
      <c r="E28" s="732"/>
      <c r="F28" s="104"/>
      <c r="G28" s="732"/>
      <c r="H28" s="104"/>
    </row>
    <row r="29" spans="1:11">
      <c r="A29" s="750"/>
      <c r="B29" s="756"/>
      <c r="C29" s="1654" t="s">
        <v>629</v>
      </c>
      <c r="D29" s="1655"/>
      <c r="E29" s="1654" t="s">
        <v>630</v>
      </c>
      <c r="F29" s="1655"/>
      <c r="G29" s="1656" t="s">
        <v>631</v>
      </c>
      <c r="H29" s="1655"/>
    </row>
    <row r="30" spans="1:11" ht="15.75" thickBot="1">
      <c r="A30" s="752"/>
      <c r="B30" s="757"/>
      <c r="C30" s="753" t="s">
        <v>640</v>
      </c>
      <c r="D30" s="754" t="s">
        <v>176</v>
      </c>
      <c r="E30" s="753" t="s">
        <v>640</v>
      </c>
      <c r="F30" s="754" t="s">
        <v>176</v>
      </c>
      <c r="G30" s="755" t="s">
        <v>640</v>
      </c>
      <c r="H30" s="754" t="s">
        <v>176</v>
      </c>
    </row>
    <row r="31" spans="1:11" ht="15.75" thickBot="1">
      <c r="A31" s="758" t="s">
        <v>639</v>
      </c>
      <c r="B31" s="759" t="s">
        <v>635</v>
      </c>
      <c r="C31" s="733">
        <v>0.1</v>
      </c>
      <c r="D31" s="743">
        <v>0.9</v>
      </c>
      <c r="E31" s="733">
        <v>0.1</v>
      </c>
      <c r="F31" s="743">
        <v>0.9</v>
      </c>
      <c r="G31" s="734">
        <v>0.5</v>
      </c>
      <c r="H31" s="743">
        <v>0.5</v>
      </c>
    </row>
    <row r="32" spans="1:11">
      <c r="A32" s="739"/>
      <c r="B32" s="58"/>
      <c r="C32" s="58"/>
      <c r="D32" s="58"/>
      <c r="E32" s="732"/>
    </row>
    <row r="33" spans="1:24" ht="15.75" thickBot="1">
      <c r="A33" s="739"/>
      <c r="B33" s="501" t="s">
        <v>641</v>
      </c>
      <c r="C33" s="58"/>
      <c r="D33" s="58"/>
      <c r="E33" s="732"/>
    </row>
    <row r="34" spans="1:24" ht="28.9" customHeight="1" thickBot="1">
      <c r="A34" s="767"/>
      <c r="B34" s="1187" t="s">
        <v>636</v>
      </c>
      <c r="C34" s="928" t="s">
        <v>269</v>
      </c>
      <c r="D34" s="929" t="s">
        <v>270</v>
      </c>
      <c r="E34" s="929" t="s">
        <v>271</v>
      </c>
      <c r="F34" s="929" t="s">
        <v>272</v>
      </c>
      <c r="G34" s="930" t="s">
        <v>706</v>
      </c>
    </row>
    <row r="35" spans="1:24">
      <c r="A35" s="768" t="s">
        <v>642</v>
      </c>
      <c r="B35" s="1222">
        <v>2017</v>
      </c>
      <c r="C35" s="931">
        <f>Parameters!C188</f>
        <v>0</v>
      </c>
      <c r="D35" s="932">
        <f>Parameters!D188</f>
        <v>0</v>
      </c>
      <c r="E35" s="932">
        <f>Parameters!E188</f>
        <v>0.4</v>
      </c>
      <c r="F35" s="932">
        <f>Parameters!F188</f>
        <v>0.3</v>
      </c>
      <c r="G35" s="933">
        <f>Parameters!G188</f>
        <v>0.3</v>
      </c>
    </row>
    <row r="36" spans="1:24">
      <c r="A36" s="1637" t="s">
        <v>629</v>
      </c>
      <c r="B36" s="1223">
        <v>2030</v>
      </c>
      <c r="C36" s="764">
        <f>C35</f>
        <v>0</v>
      </c>
      <c r="D36" s="760">
        <f>D35</f>
        <v>0</v>
      </c>
      <c r="E36" s="760">
        <f>1-F36-G36</f>
        <v>0.7</v>
      </c>
      <c r="F36" s="760">
        <f>F35/2</f>
        <v>0.15</v>
      </c>
      <c r="G36" s="761">
        <f>G35/2</f>
        <v>0.15</v>
      </c>
      <c r="H36" t="s">
        <v>643</v>
      </c>
    </row>
    <row r="37" spans="1:24">
      <c r="A37" s="1637"/>
      <c r="B37" s="1223">
        <v>2050</v>
      </c>
      <c r="C37" s="764">
        <f>C38</f>
        <v>0</v>
      </c>
      <c r="D37" s="760">
        <f t="shared" ref="D37:G37" si="4">D38</f>
        <v>0</v>
      </c>
      <c r="E37" s="760">
        <f t="shared" si="4"/>
        <v>1</v>
      </c>
      <c r="F37" s="760">
        <f t="shared" si="4"/>
        <v>0</v>
      </c>
      <c r="G37" s="761">
        <f t="shared" si="4"/>
        <v>0</v>
      </c>
    </row>
    <row r="38" spans="1:24">
      <c r="A38" s="1243" t="s">
        <v>630</v>
      </c>
      <c r="B38" s="1223">
        <v>2030</v>
      </c>
      <c r="C38" s="764">
        <f>C36</f>
        <v>0</v>
      </c>
      <c r="D38" s="760">
        <f>D36</f>
        <v>0</v>
      </c>
      <c r="E38" s="760">
        <v>1</v>
      </c>
      <c r="F38" s="760">
        <v>0</v>
      </c>
      <c r="G38" s="761">
        <v>0</v>
      </c>
      <c r="H38" t="s">
        <v>644</v>
      </c>
    </row>
    <row r="39" spans="1:24" ht="15.75" thickBot="1">
      <c r="A39" s="1244" t="s">
        <v>631</v>
      </c>
      <c r="B39" s="1224">
        <v>2030</v>
      </c>
      <c r="C39" s="765">
        <f>C37</f>
        <v>0</v>
      </c>
      <c r="D39" s="762">
        <f>D37</f>
        <v>0</v>
      </c>
      <c r="E39" s="762">
        <v>1</v>
      </c>
      <c r="F39" s="762">
        <v>0</v>
      </c>
      <c r="G39" s="763">
        <v>0</v>
      </c>
      <c r="X39" s="104"/>
    </row>
    <row r="40" spans="1:24">
      <c r="A40" s="203"/>
      <c r="B40" s="165"/>
      <c r="C40" s="760"/>
      <c r="D40" s="760"/>
      <c r="E40" s="760"/>
      <c r="F40" s="760"/>
      <c r="G40" s="760"/>
      <c r="X40" s="104"/>
    </row>
    <row r="41" spans="1:24" ht="15.75" thickBot="1">
      <c r="A41" s="2"/>
      <c r="B41" s="501" t="s">
        <v>645</v>
      </c>
      <c r="X41" s="104"/>
    </row>
    <row r="42" spans="1:24" ht="15.75" thickBot="1">
      <c r="A42" s="2"/>
      <c r="C42" s="1653" t="s">
        <v>6</v>
      </c>
      <c r="D42" s="1647"/>
      <c r="E42" s="1647"/>
      <c r="F42" s="1647"/>
      <c r="G42" s="1647"/>
      <c r="H42" s="1647"/>
      <c r="I42" s="1648"/>
      <c r="J42" s="1646" t="s">
        <v>298</v>
      </c>
      <c r="K42" s="1647"/>
      <c r="L42" s="1647"/>
      <c r="M42" s="1647"/>
      <c r="N42" s="1647"/>
      <c r="O42" s="1647"/>
      <c r="P42" s="1648"/>
      <c r="Q42" s="1634" t="s">
        <v>299</v>
      </c>
      <c r="R42" s="1634"/>
      <c r="S42" s="1634"/>
      <c r="T42" s="1634"/>
      <c r="U42" s="1634"/>
      <c r="V42" s="1634"/>
      <c r="W42" s="1635"/>
      <c r="X42" s="1202"/>
    </row>
    <row r="43" spans="1:24" ht="30.75" thickBot="1">
      <c r="A43" s="767"/>
      <c r="B43" s="993" t="s">
        <v>636</v>
      </c>
      <c r="C43" s="773" t="s">
        <v>17</v>
      </c>
      <c r="D43" s="774" t="s">
        <v>23</v>
      </c>
      <c r="E43" s="774" t="s">
        <v>19</v>
      </c>
      <c r="F43" s="774" t="s">
        <v>304</v>
      </c>
      <c r="G43" s="774" t="s">
        <v>9</v>
      </c>
      <c r="H43" s="774" t="s">
        <v>10</v>
      </c>
      <c r="I43" s="775" t="s">
        <v>225</v>
      </c>
      <c r="J43" s="777" t="s">
        <v>17</v>
      </c>
      <c r="K43" s="774" t="s">
        <v>23</v>
      </c>
      <c r="L43" s="774" t="s">
        <v>19</v>
      </c>
      <c r="M43" s="774" t="s">
        <v>304</v>
      </c>
      <c r="N43" s="774" t="s">
        <v>9</v>
      </c>
      <c r="O43" s="774" t="s">
        <v>10</v>
      </c>
      <c r="P43" s="775" t="s">
        <v>225</v>
      </c>
      <c r="Q43" s="1199" t="s">
        <v>17</v>
      </c>
      <c r="R43" s="1200" t="s">
        <v>23</v>
      </c>
      <c r="S43" s="1200" t="s">
        <v>19</v>
      </c>
      <c r="T43" s="1200" t="s">
        <v>304</v>
      </c>
      <c r="U43" s="1200" t="s">
        <v>9</v>
      </c>
      <c r="V43" s="1200" t="s">
        <v>10</v>
      </c>
      <c r="W43" s="1201" t="s">
        <v>225</v>
      </c>
      <c r="X43" s="104"/>
    </row>
    <row r="44" spans="1:24">
      <c r="A44" s="1196" t="s">
        <v>646</v>
      </c>
      <c r="B44" s="740">
        <v>2017</v>
      </c>
      <c r="C44" s="117">
        <f>'4D Wastewater treatment and dis'!H107</f>
        <v>0.1</v>
      </c>
      <c r="D44" s="118">
        <f>'4D Wastewater treatment and dis'!I107</f>
        <v>0</v>
      </c>
      <c r="E44" s="118">
        <f>'4D Wastewater treatment and dis'!J107</f>
        <v>0.1</v>
      </c>
      <c r="F44" s="118">
        <f>'4D Wastewater treatment and dis'!K107</f>
        <v>0.28000000000000003</v>
      </c>
      <c r="G44" s="118">
        <f>'4D Wastewater treatment and dis'!L107</f>
        <v>0.04</v>
      </c>
      <c r="H44" s="118">
        <f>'4D Wastewater treatment and dis'!M107</f>
        <v>0.48</v>
      </c>
      <c r="I44" s="206">
        <f>SUM(C44:H44)</f>
        <v>1</v>
      </c>
      <c r="J44" s="118">
        <f>'4D Wastewater treatment and dis'!N107</f>
        <v>0</v>
      </c>
      <c r="K44" s="118">
        <f>'4D Wastewater treatment and dis'!O107</f>
        <v>0.7</v>
      </c>
      <c r="L44" s="118">
        <f>'4D Wastewater treatment and dis'!P107</f>
        <v>0.15</v>
      </c>
      <c r="M44" s="118">
        <f>'4D Wastewater treatment and dis'!Q107</f>
        <v>0.15</v>
      </c>
      <c r="N44" s="118">
        <f>'4D Wastewater treatment and dis'!R107</f>
        <v>0</v>
      </c>
      <c r="O44" s="118">
        <f>'4D Wastewater treatment and dis'!S107</f>
        <v>0</v>
      </c>
      <c r="P44" s="206">
        <f>SUM(J44:O44)</f>
        <v>1</v>
      </c>
      <c r="Q44" s="839">
        <f>'4D Wastewater treatment and dis'!T107</f>
        <v>0.34</v>
      </c>
      <c r="R44" s="839">
        <f>'4D Wastewater treatment and dis'!U107</f>
        <v>0</v>
      </c>
      <c r="S44" s="839">
        <f>'4D Wastewater treatment and dis'!V107</f>
        <v>0.17</v>
      </c>
      <c r="T44" s="839">
        <f>'4D Wastewater treatment and dis'!W107</f>
        <v>0.24</v>
      </c>
      <c r="U44" s="839">
        <f>'4D Wastewater treatment and dis'!X107</f>
        <v>0.05</v>
      </c>
      <c r="V44" s="839">
        <f>'4D Wastewater treatment and dis'!Y107</f>
        <v>0.2</v>
      </c>
      <c r="W44" s="1022">
        <f>SUM(Q44:V44)</f>
        <v>1</v>
      </c>
      <c r="X44" s="104"/>
    </row>
    <row r="45" spans="1:24">
      <c r="A45" s="1197" t="s">
        <v>629</v>
      </c>
      <c r="B45" s="157">
        <v>2050</v>
      </c>
      <c r="C45" s="117">
        <f>C44+C44*$H$44/SUM($C$44:$G$44)</f>
        <v>0.19230769230769232</v>
      </c>
      <c r="D45" s="118">
        <f>D44+D44*$H$44/SUM($C$44:$G$44)</f>
        <v>0</v>
      </c>
      <c r="E45" s="118">
        <f>E44+E44*$H$44/SUM($C$44:$G$44)</f>
        <v>0.19230769230769232</v>
      </c>
      <c r="F45" s="118">
        <f>F44+F44*$H$44/SUM($C$44:$G$44)</f>
        <v>0.53846153846153855</v>
      </c>
      <c r="G45" s="118">
        <f>G44+G44*$H$44/SUM($C$44:$G$44)</f>
        <v>7.6923076923076927E-2</v>
      </c>
      <c r="H45" s="118">
        <v>0</v>
      </c>
      <c r="I45" s="206">
        <f>SUM(C45:H45)</f>
        <v>1</v>
      </c>
      <c r="J45" s="118">
        <f>J44</f>
        <v>0</v>
      </c>
      <c r="K45" s="118">
        <f t="shared" ref="K45:O47" si="5">K44</f>
        <v>0.7</v>
      </c>
      <c r="L45" s="118">
        <f t="shared" si="5"/>
        <v>0.15</v>
      </c>
      <c r="M45" s="118">
        <f t="shared" si="5"/>
        <v>0.15</v>
      </c>
      <c r="N45" s="118">
        <f t="shared" si="5"/>
        <v>0</v>
      </c>
      <c r="O45" s="118">
        <f t="shared" si="5"/>
        <v>0</v>
      </c>
      <c r="P45" s="206">
        <f>SUM(J45:O45)</f>
        <v>1</v>
      </c>
      <c r="Q45" s="118">
        <f>Q44+Q44*$V$44/SUM($Q$44:$U$44)</f>
        <v>0.42500000000000004</v>
      </c>
      <c r="R45" s="118">
        <f>R44+R44*$V$44/SUM($Q$44:$U$44)</f>
        <v>0</v>
      </c>
      <c r="S45" s="118">
        <f>S44+S44*$V$44/SUM($Q$44:$U$44)</f>
        <v>0.21250000000000002</v>
      </c>
      <c r="T45" s="118">
        <f>T44+T44*$V$44/SUM($Q$44:$U$44)</f>
        <v>0.3</v>
      </c>
      <c r="U45" s="118">
        <f>U44+U44*$V$44/SUM($Q$44:$U$44)</f>
        <v>6.25E-2</v>
      </c>
      <c r="V45" s="104">
        <v>0</v>
      </c>
      <c r="W45" s="206">
        <f>SUM(Q45:V45)</f>
        <v>1</v>
      </c>
      <c r="X45" s="104"/>
    </row>
    <row r="46" spans="1:24">
      <c r="A46" s="1197" t="s">
        <v>716</v>
      </c>
      <c r="B46" s="157">
        <v>2030</v>
      </c>
      <c r="C46" s="117">
        <f>C45</f>
        <v>0.19230769230769232</v>
      </c>
      <c r="D46" s="118">
        <f t="shared" ref="D46:H47" si="6">D45</f>
        <v>0</v>
      </c>
      <c r="E46" s="118">
        <f t="shared" si="6"/>
        <v>0.19230769230769232</v>
      </c>
      <c r="F46" s="118">
        <f t="shared" si="6"/>
        <v>0.53846153846153855</v>
      </c>
      <c r="G46" s="118">
        <f t="shared" si="6"/>
        <v>7.6923076923076927E-2</v>
      </c>
      <c r="H46" s="118">
        <f t="shared" si="6"/>
        <v>0</v>
      </c>
      <c r="I46" s="206">
        <f>SUM(C46:H46)</f>
        <v>1</v>
      </c>
      <c r="J46" s="118">
        <f>J45</f>
        <v>0</v>
      </c>
      <c r="K46" s="118">
        <f t="shared" si="5"/>
        <v>0.7</v>
      </c>
      <c r="L46" s="118">
        <f t="shared" si="5"/>
        <v>0.15</v>
      </c>
      <c r="M46" s="118">
        <f t="shared" si="5"/>
        <v>0.15</v>
      </c>
      <c r="N46" s="118">
        <f t="shared" si="5"/>
        <v>0</v>
      </c>
      <c r="O46" s="118">
        <f t="shared" si="5"/>
        <v>0</v>
      </c>
      <c r="P46" s="206">
        <f>SUM(J46:O46)</f>
        <v>1</v>
      </c>
      <c r="Q46" s="118">
        <f>Q45</f>
        <v>0.42500000000000004</v>
      </c>
      <c r="R46" s="118">
        <f t="shared" ref="R46:R47" si="7">R45</f>
        <v>0</v>
      </c>
      <c r="S46" s="118">
        <f t="shared" ref="S46:U47" si="8">S45</f>
        <v>0.21250000000000002</v>
      </c>
      <c r="T46" s="118">
        <f t="shared" si="8"/>
        <v>0.3</v>
      </c>
      <c r="U46" s="118">
        <f t="shared" si="8"/>
        <v>6.25E-2</v>
      </c>
      <c r="V46" s="104">
        <v>0</v>
      </c>
      <c r="W46" s="206">
        <f>SUM(Q46:V46)</f>
        <v>1</v>
      </c>
      <c r="X46" s="104"/>
    </row>
    <row r="47" spans="1:24" ht="15.75" thickBot="1">
      <c r="A47" s="1198" t="s">
        <v>631</v>
      </c>
      <c r="B47" s="1183">
        <v>2030</v>
      </c>
      <c r="C47" s="120">
        <f>C46</f>
        <v>0.19230769230769232</v>
      </c>
      <c r="D47" s="121">
        <f t="shared" si="6"/>
        <v>0</v>
      </c>
      <c r="E47" s="121">
        <f t="shared" si="6"/>
        <v>0.19230769230769232</v>
      </c>
      <c r="F47" s="121">
        <f t="shared" si="6"/>
        <v>0.53846153846153855</v>
      </c>
      <c r="G47" s="121">
        <f t="shared" si="6"/>
        <v>7.6923076923076927E-2</v>
      </c>
      <c r="H47" s="121">
        <f t="shared" si="6"/>
        <v>0</v>
      </c>
      <c r="I47" s="207">
        <f>SUM(C47:H47)</f>
        <v>1</v>
      </c>
      <c r="J47" s="121">
        <f>J46</f>
        <v>0</v>
      </c>
      <c r="K47" s="121">
        <f t="shared" si="5"/>
        <v>0.7</v>
      </c>
      <c r="L47" s="121">
        <f t="shared" si="5"/>
        <v>0.15</v>
      </c>
      <c r="M47" s="121">
        <f t="shared" si="5"/>
        <v>0.15</v>
      </c>
      <c r="N47" s="121">
        <f t="shared" si="5"/>
        <v>0</v>
      </c>
      <c r="O47" s="121">
        <f t="shared" si="5"/>
        <v>0</v>
      </c>
      <c r="P47" s="207">
        <f>SUM(J47:O47)</f>
        <v>1</v>
      </c>
      <c r="Q47" s="121">
        <f>Q46</f>
        <v>0.42500000000000004</v>
      </c>
      <c r="R47" s="121">
        <f t="shared" si="7"/>
        <v>0</v>
      </c>
      <c r="S47" s="121">
        <f t="shared" si="8"/>
        <v>0.21250000000000002</v>
      </c>
      <c r="T47" s="121">
        <f t="shared" si="8"/>
        <v>0.3</v>
      </c>
      <c r="U47" s="121">
        <f t="shared" si="8"/>
        <v>6.25E-2</v>
      </c>
      <c r="V47" s="163">
        <v>0</v>
      </c>
      <c r="W47" s="207">
        <f>SUM(Q47:V47)</f>
        <v>1</v>
      </c>
      <c r="X47" s="104"/>
    </row>
    <row r="48" spans="1:24" ht="15.75" thickBot="1">
      <c r="A48" s="375"/>
      <c r="B48" s="165"/>
      <c r="C48" s="118"/>
      <c r="D48" s="118"/>
      <c r="E48" s="118"/>
      <c r="F48" s="118"/>
      <c r="G48" s="118"/>
      <c r="H48" s="118"/>
      <c r="I48" s="118"/>
      <c r="J48" s="118"/>
      <c r="K48" s="118"/>
      <c r="L48" s="118"/>
      <c r="M48" s="118"/>
      <c r="N48" s="118"/>
      <c r="O48" s="118"/>
      <c r="P48" s="118"/>
      <c r="Q48" s="118"/>
      <c r="R48" s="118"/>
      <c r="S48" s="118"/>
      <c r="T48" s="118"/>
      <c r="U48" s="118"/>
      <c r="V48" s="118"/>
      <c r="W48" s="104"/>
      <c r="X48" s="118"/>
    </row>
    <row r="49" spans="1:28" ht="63" customHeight="1" thickBot="1">
      <c r="A49" s="793"/>
      <c r="B49" s="1185" t="s">
        <v>636</v>
      </c>
      <c r="C49" s="1227" t="s">
        <v>582</v>
      </c>
      <c r="D49" s="1228" t="s">
        <v>581</v>
      </c>
      <c r="J49" s="118"/>
      <c r="K49" s="118"/>
      <c r="L49" s="118"/>
      <c r="M49" s="118"/>
      <c r="N49" s="118"/>
      <c r="O49" s="118"/>
      <c r="P49" s="118"/>
      <c r="Q49" s="118"/>
      <c r="R49" s="118"/>
      <c r="S49" s="118"/>
      <c r="T49" s="118"/>
      <c r="U49" s="118"/>
      <c r="V49" s="118"/>
      <c r="W49" s="104"/>
      <c r="X49" s="118"/>
    </row>
    <row r="50" spans="1:28" ht="15.75">
      <c r="A50" s="1229" t="s">
        <v>650</v>
      </c>
      <c r="B50" s="1230">
        <v>2017</v>
      </c>
      <c r="C50" s="1234">
        <f>'Input data'!C40</f>
        <v>0.71479999999999999</v>
      </c>
      <c r="D50" s="1231">
        <f>'Input data'!C39</f>
        <v>0.28959999999999997</v>
      </c>
      <c r="J50" s="118"/>
      <c r="K50" s="118"/>
      <c r="L50" s="118"/>
      <c r="M50" s="118"/>
      <c r="N50" s="118"/>
      <c r="O50" s="118"/>
      <c r="P50" s="118"/>
      <c r="Q50" s="118"/>
      <c r="R50" s="118"/>
      <c r="S50" s="118"/>
      <c r="T50" s="118"/>
      <c r="U50" s="118"/>
      <c r="V50" s="118"/>
      <c r="W50" s="104"/>
      <c r="X50" s="118"/>
    </row>
    <row r="51" spans="1:28">
      <c r="A51" s="789" t="s">
        <v>629</v>
      </c>
      <c r="B51" s="1232">
        <v>2050</v>
      </c>
      <c r="C51" s="799">
        <v>1</v>
      </c>
      <c r="D51" s="1225">
        <f>(C45+D45)*Parameters!$D$12+Parameters!$D$13*('Recycling - Case 3'!K45+J45)+('Recycling - Case 3'!Q45+'Recycling - Case 3'!R45)*Parameters!$D$14</f>
        <v>0.36725000000000002</v>
      </c>
      <c r="J51" s="118"/>
      <c r="K51" s="118"/>
      <c r="L51" s="118"/>
      <c r="M51" s="118"/>
      <c r="N51" s="118"/>
      <c r="O51" s="118"/>
      <c r="P51" s="118"/>
      <c r="Q51" s="118"/>
      <c r="R51" s="118"/>
      <c r="S51" s="118"/>
      <c r="T51" s="118"/>
      <c r="U51" s="118"/>
      <c r="V51" s="118"/>
      <c r="W51" s="104"/>
      <c r="X51" s="118"/>
    </row>
    <row r="52" spans="1:28">
      <c r="A52" s="789" t="s">
        <v>630</v>
      </c>
      <c r="B52" s="1232">
        <v>2030</v>
      </c>
      <c r="C52" s="799">
        <v>1</v>
      </c>
      <c r="D52" s="1225">
        <f>(C46+D46)*Parameters!$D$12+Parameters!$D$13*('Recycling - Case 3'!K46+J46)+('Recycling - Case 3'!Q46+'Recycling - Case 3'!R46)*Parameters!$D$14</f>
        <v>0.36725000000000002</v>
      </c>
      <c r="J52" s="118"/>
      <c r="K52" s="118"/>
      <c r="L52" s="118"/>
      <c r="M52" s="118"/>
      <c r="N52" s="118"/>
      <c r="O52" s="118"/>
      <c r="P52" s="118"/>
      <c r="Q52" s="118"/>
      <c r="R52" s="118"/>
      <c r="S52" s="118"/>
      <c r="T52" s="118"/>
      <c r="U52" s="118"/>
      <c r="V52" s="118"/>
      <c r="W52" s="104"/>
      <c r="X52" s="118"/>
    </row>
    <row r="53" spans="1:28" ht="15.75" thickBot="1">
      <c r="A53" s="791" t="s">
        <v>631</v>
      </c>
      <c r="B53" s="1233">
        <v>2030</v>
      </c>
      <c r="C53" s="800">
        <v>1</v>
      </c>
      <c r="D53" s="1226">
        <v>0.37</v>
      </c>
      <c r="E53" s="118"/>
      <c r="F53" s="118"/>
      <c r="G53" s="118"/>
      <c r="H53" s="118"/>
      <c r="I53" s="118"/>
      <c r="Q53" s="104"/>
      <c r="R53" s="104"/>
      <c r="S53" s="104"/>
      <c r="T53" s="104"/>
      <c r="U53" s="104"/>
      <c r="V53" s="104"/>
      <c r="W53" s="104"/>
      <c r="X53" s="104"/>
    </row>
    <row r="54" spans="1:28">
      <c r="A54" s="2"/>
      <c r="Q54" s="104"/>
      <c r="R54" s="104"/>
      <c r="S54" s="104"/>
      <c r="T54" s="104"/>
      <c r="U54" s="104"/>
      <c r="V54" s="104"/>
      <c r="W54" s="104"/>
      <c r="X54" s="104"/>
    </row>
    <row r="55" spans="1:28">
      <c r="A55" s="2"/>
      <c r="Q55" s="104"/>
      <c r="R55" s="104"/>
      <c r="S55" s="104"/>
      <c r="T55" s="104"/>
      <c r="U55" s="104"/>
      <c r="V55" s="104"/>
      <c r="W55" s="104"/>
      <c r="X55" s="104"/>
    </row>
    <row r="56" spans="1:28" ht="15.75">
      <c r="A56" s="367" t="s">
        <v>628</v>
      </c>
      <c r="B56" s="362"/>
      <c r="C56" s="362"/>
      <c r="D56" s="362"/>
      <c r="E56" s="362"/>
      <c r="F56" s="362"/>
      <c r="G56" s="362"/>
      <c r="H56" s="362"/>
      <c r="I56" s="360"/>
      <c r="J56" s="361"/>
      <c r="K56" s="361"/>
      <c r="L56" s="361"/>
      <c r="M56" s="361"/>
      <c r="N56" s="361"/>
      <c r="O56" s="361"/>
      <c r="P56" s="361"/>
      <c r="Q56" s="306"/>
      <c r="R56" s="306"/>
      <c r="S56" s="306"/>
      <c r="T56" s="104"/>
      <c r="U56" s="104"/>
      <c r="V56" s="104"/>
      <c r="W56" s="776"/>
      <c r="X56" s="104"/>
      <c r="Y56" s="338"/>
      <c r="Z56" s="338"/>
      <c r="AA56" s="338"/>
    </row>
    <row r="57" spans="1:28" ht="15.75">
      <c r="A57" s="367"/>
      <c r="B57" s="362" t="s">
        <v>673</v>
      </c>
      <c r="C57" s="362">
        <v>56521948</v>
      </c>
      <c r="D57" s="392"/>
      <c r="E57" s="392"/>
      <c r="F57" s="392"/>
      <c r="G57" s="392"/>
      <c r="H57" s="392"/>
      <c r="I57" s="392"/>
      <c r="J57" s="361"/>
      <c r="K57" s="361"/>
      <c r="L57" s="361"/>
      <c r="M57" s="361"/>
      <c r="N57" s="361"/>
      <c r="O57" s="361"/>
      <c r="P57" s="361"/>
      <c r="Q57" s="10"/>
      <c r="R57" s="10"/>
      <c r="S57" s="10"/>
      <c r="W57" s="337"/>
      <c r="Y57" s="338"/>
      <c r="Z57" s="338"/>
      <c r="AA57" s="338"/>
    </row>
    <row r="58" spans="1:28" ht="15.75">
      <c r="A58" s="232"/>
      <c r="B58" s="363" t="s">
        <v>372</v>
      </c>
      <c r="C58" s="40" t="s">
        <v>221</v>
      </c>
      <c r="D58" s="40" t="s">
        <v>85</v>
      </c>
      <c r="E58" s="40" t="s">
        <v>424</v>
      </c>
      <c r="F58" s="40" t="s">
        <v>222</v>
      </c>
      <c r="G58" s="40" t="s">
        <v>115</v>
      </c>
      <c r="H58" s="40" t="s">
        <v>223</v>
      </c>
      <c r="I58" s="40" t="s">
        <v>373</v>
      </c>
      <c r="J58" s="40" t="s">
        <v>374</v>
      </c>
      <c r="K58" s="40" t="s">
        <v>375</v>
      </c>
      <c r="L58" s="40" t="s">
        <v>376</v>
      </c>
      <c r="M58" s="40" t="s">
        <v>377</v>
      </c>
      <c r="N58" s="40" t="s">
        <v>225</v>
      </c>
      <c r="O58" s="769"/>
      <c r="P58" s="769"/>
      <c r="Q58" s="10"/>
      <c r="R58" s="10"/>
      <c r="S58" s="10"/>
      <c r="W58" s="337"/>
      <c r="X58" s="339"/>
      <c r="Y58" s="337"/>
      <c r="Z58" s="337"/>
      <c r="AA58" s="337"/>
    </row>
    <row r="59" spans="1:28">
      <c r="A59" s="232"/>
      <c r="B59" s="364" t="s">
        <v>378</v>
      </c>
      <c r="C59" s="362">
        <f>'Input data'!C13</f>
        <v>1233791.4119790548</v>
      </c>
      <c r="D59" s="362">
        <f>'Input data'!D13</f>
        <v>1138884.3802883581</v>
      </c>
      <c r="E59" s="362">
        <f>'Input data'!E13</f>
        <v>378326.54427023319</v>
      </c>
      <c r="F59" s="362">
        <f>'Input data'!F13</f>
        <v>0</v>
      </c>
      <c r="G59" s="362">
        <f>'Input data'!G13</f>
        <v>0</v>
      </c>
      <c r="H59" s="362">
        <f>'Input data'!H13</f>
        <v>0</v>
      </c>
      <c r="I59" s="362">
        <f>'Input data'!I13</f>
        <v>0</v>
      </c>
      <c r="J59" s="362">
        <f>'Input data'!J13</f>
        <v>381000</v>
      </c>
      <c r="K59" s="362">
        <f>'Input data'!K13</f>
        <v>338388.97868490184</v>
      </c>
      <c r="L59" s="362">
        <f>'Input data'!L13</f>
        <v>297470.77450579114</v>
      </c>
      <c r="M59" s="362">
        <f>'Input data'!M13</f>
        <v>0</v>
      </c>
      <c r="N59" s="362">
        <f>SUM(C59:M59)</f>
        <v>3767862.0897283391</v>
      </c>
      <c r="O59" s="770"/>
      <c r="P59" s="770"/>
      <c r="Q59" s="384"/>
      <c r="R59" s="10"/>
      <c r="S59" s="10"/>
      <c r="W59" s="338"/>
      <c r="Y59" s="338"/>
      <c r="Z59" s="338"/>
      <c r="AA59" s="338"/>
    </row>
    <row r="60" spans="1:28" ht="15.75">
      <c r="A60" s="12" t="s">
        <v>379</v>
      </c>
      <c r="B60" s="364" t="s">
        <v>380</v>
      </c>
      <c r="C60" s="362">
        <f>'Input data'!C14</f>
        <v>964286</v>
      </c>
      <c r="D60" s="362">
        <f>'Input data'!D14</f>
        <v>964286</v>
      </c>
      <c r="E60" s="362">
        <f>'Input data'!E14</f>
        <v>0</v>
      </c>
      <c r="F60" s="362">
        <f>'Input data'!F14</f>
        <v>0</v>
      </c>
      <c r="G60" s="362">
        <f>'Input data'!G14</f>
        <v>0</v>
      </c>
      <c r="H60" s="362">
        <f>'Input data'!H14</f>
        <v>0</v>
      </c>
      <c r="I60" s="362">
        <f>'Input data'!I14</f>
        <v>2892858</v>
      </c>
      <c r="J60" s="362">
        <f>'Input data'!J14</f>
        <v>0</v>
      </c>
      <c r="K60" s="362">
        <f>'Input data'!K14</f>
        <v>0</v>
      </c>
      <c r="L60" s="362">
        <f>'Input data'!L14</f>
        <v>0</v>
      </c>
      <c r="M60" s="362">
        <f>'Input data'!M14</f>
        <v>0</v>
      </c>
      <c r="N60" s="362">
        <f t="shared" ref="N60:N66" si="9">SUM(C60:M60)</f>
        <v>4821430</v>
      </c>
      <c r="O60" s="770"/>
      <c r="P60" s="770"/>
      <c r="Q60" s="10"/>
      <c r="R60" s="10"/>
      <c r="S60" s="10"/>
      <c r="W60" s="337"/>
      <c r="Y60" s="338"/>
      <c r="Z60" s="338"/>
      <c r="AA60" s="338"/>
    </row>
    <row r="61" spans="1:28" ht="15.75">
      <c r="A61" s="12" t="s">
        <v>381</v>
      </c>
      <c r="B61" s="364" t="s">
        <v>382</v>
      </c>
      <c r="C61" s="362">
        <f>'Input data'!C15</f>
        <v>72176.800000000003</v>
      </c>
      <c r="D61" s="362">
        <f>'Input data'!D15</f>
        <v>72176.800000000003</v>
      </c>
      <c r="E61" s="362">
        <f>'Input data'!E15</f>
        <v>0</v>
      </c>
      <c r="F61" s="362">
        <f>'Input data'!F15</f>
        <v>0</v>
      </c>
      <c r="G61" s="362">
        <f>'Input data'!G15</f>
        <v>0</v>
      </c>
      <c r="H61" s="362">
        <f>'Input data'!H15</f>
        <v>0</v>
      </c>
      <c r="I61" s="362">
        <f>'Input data'!I15</f>
        <v>216530.4</v>
      </c>
      <c r="J61" s="362">
        <f>'Input data'!J15</f>
        <v>0</v>
      </c>
      <c r="K61" s="362">
        <f>'Input data'!K15</f>
        <v>0</v>
      </c>
      <c r="L61" s="362">
        <f>'Input data'!L15</f>
        <v>0</v>
      </c>
      <c r="M61" s="362">
        <f>'Input data'!M15</f>
        <v>0</v>
      </c>
      <c r="N61" s="362">
        <f t="shared" si="9"/>
        <v>360884</v>
      </c>
      <c r="O61" s="770"/>
      <c r="P61" s="770"/>
      <c r="Q61" s="10"/>
      <c r="R61" s="10"/>
      <c r="S61" s="10"/>
      <c r="W61" s="337"/>
      <c r="Y61" s="338"/>
      <c r="Z61" s="338"/>
      <c r="AA61" s="337"/>
    </row>
    <row r="62" spans="1:28" ht="15.75">
      <c r="A62" s="12" t="s">
        <v>383</v>
      </c>
      <c r="B62" s="364" t="s">
        <v>384</v>
      </c>
      <c r="C62" s="362">
        <f>'Input data'!C16</f>
        <v>0</v>
      </c>
      <c r="D62" s="362">
        <f>'Input data'!D16</f>
        <v>0</v>
      </c>
      <c r="E62" s="362">
        <f>'Input data'!E16</f>
        <v>520349.97572976683</v>
      </c>
      <c r="F62" s="362">
        <f>'Input data'!F16</f>
        <v>0</v>
      </c>
      <c r="G62" s="362">
        <f>'Input data'!G16</f>
        <v>0</v>
      </c>
      <c r="H62" s="362">
        <f>'Input data'!H16</f>
        <v>0</v>
      </c>
      <c r="I62" s="362">
        <f>'Input data'!I16</f>
        <v>0</v>
      </c>
      <c r="J62" s="362">
        <f>'Input data'!J16</f>
        <v>237880.00199999998</v>
      </c>
      <c r="K62" s="362">
        <f>'Input data'!K16</f>
        <v>465419.88531509798</v>
      </c>
      <c r="L62" s="362">
        <f>'Input data'!L16</f>
        <v>409141.02549420868</v>
      </c>
      <c r="M62" s="362">
        <f>'Input data'!M16</f>
        <v>123895.58799999999</v>
      </c>
      <c r="N62" s="362">
        <f t="shared" si="9"/>
        <v>1756686.4765390735</v>
      </c>
      <c r="O62" s="770"/>
      <c r="P62" s="770"/>
      <c r="Q62" s="10"/>
      <c r="R62" s="10"/>
      <c r="S62" s="10"/>
      <c r="W62" s="336"/>
      <c r="Y62" s="336"/>
      <c r="Z62" s="336"/>
      <c r="AA62" s="336"/>
      <c r="AB62" s="336"/>
    </row>
    <row r="63" spans="1:28" ht="15.75">
      <c r="A63" s="12" t="s">
        <v>383</v>
      </c>
      <c r="B63" s="364" t="s">
        <v>385</v>
      </c>
      <c r="C63" s="362">
        <f>'Input data'!C17</f>
        <v>0</v>
      </c>
      <c r="D63" s="362">
        <f>'Input data'!D17</f>
        <v>0</v>
      </c>
      <c r="E63" s="362">
        <f>'Input data'!E17</f>
        <v>1241029.48</v>
      </c>
      <c r="F63" s="362">
        <f>'Input data'!F17</f>
        <v>0</v>
      </c>
      <c r="G63" s="362">
        <f>'Input data'!G17</f>
        <v>0</v>
      </c>
      <c r="H63" s="362">
        <f>'Input data'!H17</f>
        <v>0</v>
      </c>
      <c r="I63" s="362">
        <f>'Input data'!I17</f>
        <v>0</v>
      </c>
      <c r="J63" s="362">
        <f>'Input data'!J17</f>
        <v>480373.99800000002</v>
      </c>
      <c r="K63" s="362">
        <f>'Input data'!K17</f>
        <v>1987194.1360000002</v>
      </c>
      <c r="L63" s="362">
        <f>'Input data'!L17</f>
        <v>2826447.2</v>
      </c>
      <c r="M63" s="362">
        <f>'Input data'!M17</f>
        <v>38271.412000000004</v>
      </c>
      <c r="N63" s="362">
        <f>SUM(C63:M63)</f>
        <v>6573316.2259999998</v>
      </c>
      <c r="O63" s="770"/>
      <c r="P63" s="770"/>
      <c r="Q63" s="10"/>
      <c r="R63" s="10"/>
      <c r="S63" s="10"/>
      <c r="W63" s="336"/>
      <c r="Y63" s="336"/>
      <c r="Z63" s="336"/>
      <c r="AA63" s="336"/>
      <c r="AB63" s="336"/>
    </row>
    <row r="64" spans="1:28" ht="15.75">
      <c r="A64" s="12" t="s">
        <v>386</v>
      </c>
      <c r="B64" s="364" t="s">
        <v>387</v>
      </c>
      <c r="C64" s="362">
        <f>'Input data'!C18</f>
        <v>2500000</v>
      </c>
      <c r="D64" s="362">
        <f>'Input data'!D18</f>
        <v>4200000</v>
      </c>
      <c r="E64" s="362">
        <f>'Input data'!E18</f>
        <v>0</v>
      </c>
      <c r="F64" s="362">
        <f>'Input data'!F18</f>
        <v>0</v>
      </c>
      <c r="G64" s="362">
        <f>'Input data'!G18</f>
        <v>0</v>
      </c>
      <c r="H64" s="362">
        <f>'Input data'!H18</f>
        <v>0</v>
      </c>
      <c r="I64" s="362">
        <f>'Input data'!I18</f>
        <v>0</v>
      </c>
      <c r="J64" s="362">
        <f>'Input data'!J18</f>
        <v>0</v>
      </c>
      <c r="K64" s="362">
        <f>'Input data'!K18</f>
        <v>0</v>
      </c>
      <c r="L64" s="362">
        <f>'Input data'!L18</f>
        <v>0</v>
      </c>
      <c r="M64" s="362">
        <f>'Input data'!M18</f>
        <v>0</v>
      </c>
      <c r="N64" s="362">
        <f t="shared" si="9"/>
        <v>6700000</v>
      </c>
      <c r="O64" s="770"/>
      <c r="P64" s="770"/>
      <c r="Q64" s="10"/>
      <c r="R64" s="10"/>
      <c r="S64" s="10"/>
      <c r="W64" s="336"/>
      <c r="Y64" s="336"/>
      <c r="Z64" s="336"/>
      <c r="AA64" s="336"/>
      <c r="AB64" s="336"/>
    </row>
    <row r="65" spans="1:28" ht="15.75">
      <c r="A65" s="232"/>
      <c r="B65" s="365" t="s">
        <v>388</v>
      </c>
      <c r="C65" s="362">
        <f>'Input data'!C19</f>
        <v>4770254.2119790548</v>
      </c>
      <c r="D65" s="362">
        <f>'Input data'!D19</f>
        <v>6375347.1802883577</v>
      </c>
      <c r="E65" s="362">
        <f>'Input data'!E19</f>
        <v>2139706</v>
      </c>
      <c r="F65" s="362">
        <f>'Input data'!F19</f>
        <v>0</v>
      </c>
      <c r="G65" s="362">
        <f>'Input data'!G19</f>
        <v>0</v>
      </c>
      <c r="H65" s="362">
        <f>'Input data'!H19</f>
        <v>0</v>
      </c>
      <c r="I65" s="362">
        <f>'Input data'!I19</f>
        <v>3109388.4</v>
      </c>
      <c r="J65" s="362">
        <f>'Input data'!J19</f>
        <v>1099254</v>
      </c>
      <c r="K65" s="362">
        <f>'Input data'!K19</f>
        <v>2791003</v>
      </c>
      <c r="L65" s="362">
        <f>'Input data'!L19</f>
        <v>3533059</v>
      </c>
      <c r="M65" s="362">
        <f>'Input data'!M19</f>
        <v>162167</v>
      </c>
      <c r="N65" s="362">
        <f t="shared" si="9"/>
        <v>23980178.792267412</v>
      </c>
      <c r="O65" s="771"/>
      <c r="P65" s="771"/>
      <c r="Q65" s="10"/>
      <c r="R65" s="10"/>
      <c r="S65" s="10"/>
      <c r="W65" s="336"/>
      <c r="Y65" s="336"/>
      <c r="Z65" s="336"/>
      <c r="AA65" s="336"/>
      <c r="AB65" s="336"/>
    </row>
    <row r="66" spans="1:28" ht="15.75">
      <c r="A66" s="232"/>
      <c r="B66" s="346" t="s">
        <v>572</v>
      </c>
      <c r="C66" s="362">
        <f>'Input data'!C20</f>
        <v>2674712.2259895275</v>
      </c>
      <c r="D66" s="362">
        <f>'Input data'!D20</f>
        <v>3392258.7101441789</v>
      </c>
      <c r="E66" s="362">
        <f>'Input data'!E20</f>
        <v>657478.25029190676</v>
      </c>
      <c r="F66" s="362">
        <f>'Input data'!F20</f>
        <v>0</v>
      </c>
      <c r="G66" s="362">
        <f>'Input data'!G20</f>
        <v>0</v>
      </c>
      <c r="H66" s="362">
        <f>'Input data'!H20</f>
        <v>0</v>
      </c>
      <c r="I66" s="362">
        <f>'Input data'!I20</f>
        <v>2798449.56</v>
      </c>
      <c r="J66" s="362">
        <f>'Input data'!J20</f>
        <v>404592.00179999997</v>
      </c>
      <c r="K66" s="362">
        <f>'Input data'!K20</f>
        <v>588072.38612603908</v>
      </c>
      <c r="L66" s="362">
        <f>'Input data'!L20</f>
        <v>516962.3101976834</v>
      </c>
      <c r="M66" s="362">
        <f>'Input data'!M20</f>
        <v>111506.02919999999</v>
      </c>
      <c r="N66" s="362">
        <f t="shared" si="9"/>
        <v>11144031.473749338</v>
      </c>
      <c r="O66" s="771"/>
      <c r="P66" s="771"/>
      <c r="Q66" s="10"/>
      <c r="R66" s="10"/>
      <c r="S66" s="10"/>
      <c r="W66" s="336"/>
      <c r="Y66" s="336"/>
      <c r="Z66" s="336"/>
      <c r="AA66" s="336"/>
      <c r="AB66" s="336"/>
    </row>
    <row r="67" spans="1:28" ht="15.75">
      <c r="A67" s="232"/>
      <c r="B67" s="346" t="s">
        <v>674</v>
      </c>
      <c r="C67" s="858">
        <f>C66/$C$57*1000</f>
        <v>47.321656818861364</v>
      </c>
      <c r="D67" s="858">
        <f t="shared" ref="D67:N67" si="10">D66/$C$57*1000</f>
        <v>60.016663087128194</v>
      </c>
      <c r="E67" s="858">
        <f t="shared" si="10"/>
        <v>11.632264519473157</v>
      </c>
      <c r="F67" s="858">
        <f t="shared" si="10"/>
        <v>0</v>
      </c>
      <c r="G67" s="858">
        <f t="shared" si="10"/>
        <v>0</v>
      </c>
      <c r="H67" s="858">
        <f t="shared" si="10"/>
        <v>0</v>
      </c>
      <c r="I67" s="858">
        <f t="shared" si="10"/>
        <v>49.510847715298134</v>
      </c>
      <c r="J67" s="858">
        <f t="shared" si="10"/>
        <v>7.1581397336128605</v>
      </c>
      <c r="K67" s="858">
        <f t="shared" si="10"/>
        <v>10.40431915273053</v>
      </c>
      <c r="L67" s="858">
        <f t="shared" si="10"/>
        <v>9.1462224585338685</v>
      </c>
      <c r="M67" s="858">
        <f t="shared" si="10"/>
        <v>1.9727916879297933</v>
      </c>
      <c r="N67" s="858">
        <f t="shared" si="10"/>
        <v>197.16290517356794</v>
      </c>
      <c r="O67" s="771"/>
      <c r="P67" s="771"/>
      <c r="Q67" s="10"/>
      <c r="R67" s="10"/>
      <c r="S67" s="10"/>
      <c r="W67" s="336"/>
      <c r="Y67" s="336"/>
      <c r="Z67" s="336"/>
      <c r="AA67" s="336"/>
      <c r="AB67" s="336"/>
    </row>
    <row r="68" spans="1:28" ht="15.75">
      <c r="A68" s="232"/>
      <c r="B68" s="348" t="s">
        <v>389</v>
      </c>
      <c r="C68" s="349"/>
      <c r="D68" s="349"/>
      <c r="E68" s="349"/>
      <c r="F68" s="349"/>
      <c r="G68" s="349"/>
      <c r="H68" s="349"/>
      <c r="I68" s="349"/>
      <c r="J68" s="349"/>
      <c r="K68" s="349"/>
      <c r="L68" s="349"/>
      <c r="M68" s="349"/>
      <c r="N68" s="525"/>
      <c r="O68" s="772"/>
      <c r="P68" s="772"/>
      <c r="Q68" s="10"/>
      <c r="R68" s="10"/>
      <c r="S68" s="10"/>
      <c r="W68" s="336"/>
      <c r="Y68" s="336"/>
      <c r="Z68" s="336"/>
      <c r="AA68" s="336"/>
      <c r="AB68" s="336"/>
    </row>
    <row r="69" spans="1:28" ht="15.75">
      <c r="A69" s="232"/>
      <c r="B69" s="344" t="s">
        <v>390</v>
      </c>
      <c r="C69" s="351">
        <f>'Input data'!C22</f>
        <v>0.32745131923552184</v>
      </c>
      <c r="D69" s="351">
        <f>'Input data'!D22</f>
        <v>0.30226275621740473</v>
      </c>
      <c r="E69" s="351">
        <f>'Input data'!E22</f>
        <v>0.10040880883129943</v>
      </c>
      <c r="F69" s="351">
        <f>'Input data'!F22</f>
        <v>0</v>
      </c>
      <c r="G69" s="351">
        <f>'Input data'!G22</f>
        <v>0</v>
      </c>
      <c r="H69" s="351">
        <f>'Input data'!H22</f>
        <v>0</v>
      </c>
      <c r="I69" s="351">
        <f>'Input data'!I22</f>
        <v>0</v>
      </c>
      <c r="J69" s="351">
        <f>'Input data'!J22</f>
        <v>0.10111835065265616</v>
      </c>
      <c r="K69" s="351">
        <f>'Input data'!K22</f>
        <v>8.9809279274682671E-2</v>
      </c>
      <c r="L69" s="351">
        <f>'Input data'!L22</f>
        <v>7.8949485788435164E-2</v>
      </c>
      <c r="M69" s="351">
        <f>'Input data'!M22</f>
        <v>0</v>
      </c>
      <c r="N69" s="526"/>
      <c r="O69" s="510"/>
      <c r="P69" s="510"/>
      <c r="Q69" s="10"/>
      <c r="R69" s="10"/>
      <c r="S69" s="10"/>
      <c r="W69" s="336"/>
      <c r="Y69" s="336"/>
      <c r="Z69" s="336"/>
      <c r="AA69" s="336"/>
      <c r="AB69" s="336"/>
    </row>
    <row r="70" spans="1:28" ht="15.75">
      <c r="A70" s="12" t="s">
        <v>379</v>
      </c>
      <c r="B70" s="344" t="s">
        <v>391</v>
      </c>
      <c r="C70" s="351">
        <f>'Input data'!C23</f>
        <v>0.2</v>
      </c>
      <c r="D70" s="351">
        <f>'Input data'!D23</f>
        <v>0.2</v>
      </c>
      <c r="E70" s="351">
        <f>'Input data'!E23</f>
        <v>0</v>
      </c>
      <c r="F70" s="351">
        <f>'Input data'!F23</f>
        <v>0</v>
      </c>
      <c r="G70" s="351">
        <f>'Input data'!G23</f>
        <v>0</v>
      </c>
      <c r="H70" s="351">
        <f>'Input data'!H23</f>
        <v>0</v>
      </c>
      <c r="I70" s="351">
        <f>'Input data'!I23</f>
        <v>0.6</v>
      </c>
      <c r="J70" s="351">
        <f>'Input data'!J23</f>
        <v>0</v>
      </c>
      <c r="K70" s="351">
        <f>'Input data'!K23</f>
        <v>0</v>
      </c>
      <c r="L70" s="351">
        <f>'Input data'!L23</f>
        <v>0</v>
      </c>
      <c r="M70" s="351">
        <f>'Input data'!M23</f>
        <v>0</v>
      </c>
      <c r="N70" s="526">
        <f t="shared" ref="N70:N74" si="11">SUM(C70:M70)</f>
        <v>1</v>
      </c>
      <c r="O70" s="510"/>
      <c r="P70" s="510"/>
      <c r="Q70" s="10"/>
      <c r="R70" s="10"/>
      <c r="S70" s="10"/>
      <c r="W70" s="336"/>
      <c r="Y70" s="336"/>
      <c r="Z70" s="336"/>
      <c r="AA70" s="336"/>
      <c r="AB70" s="336"/>
    </row>
    <row r="71" spans="1:28" ht="15.75">
      <c r="A71" s="12" t="s">
        <v>381</v>
      </c>
      <c r="B71" s="344" t="s">
        <v>392</v>
      </c>
      <c r="C71" s="351">
        <f>'Input data'!C24</f>
        <v>0.2</v>
      </c>
      <c r="D71" s="351">
        <f>'Input data'!D24</f>
        <v>0.2</v>
      </c>
      <c r="E71" s="351">
        <f>'Input data'!E24</f>
        <v>0</v>
      </c>
      <c r="F71" s="351">
        <f>'Input data'!F24</f>
        <v>0</v>
      </c>
      <c r="G71" s="351">
        <f>'Input data'!G24</f>
        <v>0</v>
      </c>
      <c r="H71" s="351">
        <f>'Input data'!H24</f>
        <v>0</v>
      </c>
      <c r="I71" s="351">
        <f>'Input data'!I24</f>
        <v>0.6</v>
      </c>
      <c r="J71" s="351">
        <f>'Input data'!J24</f>
        <v>0</v>
      </c>
      <c r="K71" s="351">
        <f>'Input data'!K24</f>
        <v>0</v>
      </c>
      <c r="L71" s="351">
        <f>'Input data'!L24</f>
        <v>0</v>
      </c>
      <c r="M71" s="351">
        <f>'Input data'!M24</f>
        <v>0</v>
      </c>
      <c r="N71" s="526">
        <f t="shared" si="11"/>
        <v>1</v>
      </c>
      <c r="O71" s="510"/>
      <c r="P71" s="510"/>
      <c r="Q71" s="10"/>
      <c r="R71" s="10"/>
      <c r="S71" s="10"/>
      <c r="W71" s="336"/>
      <c r="Y71" s="336"/>
      <c r="Z71" s="336"/>
      <c r="AA71" s="336"/>
      <c r="AB71" s="336"/>
    </row>
    <row r="72" spans="1:28" ht="15.75">
      <c r="A72" s="12" t="s">
        <v>383</v>
      </c>
      <c r="B72" s="344" t="s">
        <v>384</v>
      </c>
      <c r="C72" s="351">
        <f>'Input data'!C25</f>
        <v>0</v>
      </c>
      <c r="D72" s="351">
        <f>'Input data'!D25</f>
        <v>0</v>
      </c>
      <c r="E72" s="351">
        <f>'Input data'!E25</f>
        <v>0.29621106707380795</v>
      </c>
      <c r="F72" s="351">
        <f>'Input data'!F25</f>
        <v>0</v>
      </c>
      <c r="G72" s="351">
        <f>'Input data'!G25</f>
        <v>0</v>
      </c>
      <c r="H72" s="351">
        <f>'Input data'!H25</f>
        <v>0</v>
      </c>
      <c r="I72" s="351">
        <f>'Input data'!I25</f>
        <v>0</v>
      </c>
      <c r="J72" s="351">
        <f>'Input data'!J25</f>
        <v>0.1354140338511958</v>
      </c>
      <c r="K72" s="351">
        <f>'Input data'!K25</f>
        <v>0.26494191851015014</v>
      </c>
      <c r="L72" s="351">
        <f>'Input data'!L25</f>
        <v>0.2329049781838565</v>
      </c>
      <c r="M72" s="351">
        <f>'Input data'!M25</f>
        <v>7.0528002380989593E-2</v>
      </c>
      <c r="N72" s="526">
        <f t="shared" si="11"/>
        <v>0.99999999999999989</v>
      </c>
      <c r="O72" s="510"/>
      <c r="P72" s="510"/>
      <c r="Q72" s="10"/>
      <c r="R72" s="10"/>
      <c r="S72" s="10"/>
      <c r="W72" s="336"/>
      <c r="Y72" s="946"/>
      <c r="Z72" s="336"/>
      <c r="AA72" s="336"/>
      <c r="AB72" s="336"/>
    </row>
    <row r="73" spans="1:28" ht="15.75">
      <c r="A73" s="12" t="s">
        <v>383</v>
      </c>
      <c r="B73" s="344" t="s">
        <v>385</v>
      </c>
      <c r="C73" s="351">
        <f>'Input data'!C26</f>
        <v>0</v>
      </c>
      <c r="D73" s="351">
        <f>'Input data'!D26</f>
        <v>0</v>
      </c>
      <c r="E73" s="351">
        <f>'Input data'!E26</f>
        <v>0.188798079588998</v>
      </c>
      <c r="F73" s="351">
        <f>'Input data'!F26</f>
        <v>0</v>
      </c>
      <c r="G73" s="351">
        <f>'Input data'!G26</f>
        <v>0</v>
      </c>
      <c r="H73" s="351">
        <f>'Input data'!H26</f>
        <v>0</v>
      </c>
      <c r="I73" s="351">
        <f>'Input data'!I26</f>
        <v>0</v>
      </c>
      <c r="J73" s="351">
        <f>'Input data'!J26</f>
        <v>7.3079398812419163E-2</v>
      </c>
      <c r="K73" s="351">
        <f>'Input data'!K26</f>
        <v>0.30231226791431109</v>
      </c>
      <c r="L73" s="351">
        <f>'Input data'!L26</f>
        <v>0.42998801561079808</v>
      </c>
      <c r="M73" s="351">
        <f>'Input data'!M26</f>
        <v>5.8222380734737535E-3</v>
      </c>
      <c r="N73" s="526">
        <f t="shared" si="11"/>
        <v>1.0000000000000002</v>
      </c>
      <c r="O73" s="510"/>
      <c r="P73" s="510"/>
      <c r="Q73" s="10"/>
      <c r="R73" s="10"/>
      <c r="S73" s="10"/>
      <c r="W73" s="336"/>
      <c r="Y73" s="946"/>
      <c r="Z73" s="336"/>
      <c r="AA73" s="336"/>
      <c r="AB73" s="336"/>
    </row>
    <row r="74" spans="1:28" ht="15.75">
      <c r="A74" s="12" t="s">
        <v>386</v>
      </c>
      <c r="B74" s="344" t="s">
        <v>387</v>
      </c>
      <c r="C74" s="351">
        <f>'Input data'!C27</f>
        <v>0.37313432835820898</v>
      </c>
      <c r="D74" s="351">
        <f>'Input data'!D27</f>
        <v>0.62686567164179108</v>
      </c>
      <c r="E74" s="351">
        <f>'Input data'!E27</f>
        <v>0</v>
      </c>
      <c r="F74" s="351">
        <f>'Input data'!F27</f>
        <v>0</v>
      </c>
      <c r="G74" s="351">
        <f>'Input data'!G27</f>
        <v>0</v>
      </c>
      <c r="H74" s="351">
        <f>'Input data'!H27</f>
        <v>0</v>
      </c>
      <c r="I74" s="351">
        <f>'Input data'!I27</f>
        <v>0</v>
      </c>
      <c r="J74" s="351">
        <f>'Input data'!J27</f>
        <v>0</v>
      </c>
      <c r="K74" s="351">
        <f>'Input data'!K27</f>
        <v>0</v>
      </c>
      <c r="L74" s="351">
        <f>'Input data'!L27</f>
        <v>0</v>
      </c>
      <c r="M74" s="351">
        <f>'Input data'!M27</f>
        <v>0</v>
      </c>
      <c r="N74" s="526">
        <f t="shared" si="11"/>
        <v>1</v>
      </c>
      <c r="O74" s="510"/>
      <c r="P74" s="510"/>
      <c r="Q74" s="7"/>
      <c r="R74" s="369"/>
      <c r="S74" s="369"/>
      <c r="T74" s="4"/>
      <c r="U74" s="4"/>
      <c r="Y74" s="946"/>
    </row>
    <row r="75" spans="1:28" ht="15.75">
      <c r="A75" s="232"/>
      <c r="B75" s="346" t="s">
        <v>393</v>
      </c>
      <c r="C75" s="351">
        <f>'Input data'!C28</f>
        <v>0.19892488097366726</v>
      </c>
      <c r="D75" s="351">
        <f>'Input data'!D28</f>
        <v>0.26585903447659598</v>
      </c>
      <c r="E75" s="351">
        <f>'Input data'!E28</f>
        <v>8.9228108703258049E-2</v>
      </c>
      <c r="F75" s="351">
        <f>'Input data'!F28</f>
        <v>0</v>
      </c>
      <c r="G75" s="351">
        <f>'Input data'!G28</f>
        <v>0</v>
      </c>
      <c r="H75" s="351">
        <f>'Input data'!H28</f>
        <v>0</v>
      </c>
      <c r="I75" s="351">
        <f>'Input data'!I28</f>
        <v>0.12966493815311525</v>
      </c>
      <c r="J75" s="351">
        <f>'Input data'!J28</f>
        <v>4.5840108596457284E-2</v>
      </c>
      <c r="K75" s="351">
        <f>'Input data'!K28</f>
        <v>0.1163879145429883</v>
      </c>
      <c r="L75" s="351">
        <f>'Input data'!L28</f>
        <v>0.1473324711465146</v>
      </c>
      <c r="M75" s="351">
        <f>'Input data'!M28</f>
        <v>6.7625434074032823E-3</v>
      </c>
      <c r="N75" s="527">
        <v>1</v>
      </c>
      <c r="O75" s="358"/>
      <c r="P75" s="358"/>
      <c r="Q75" s="7"/>
      <c r="R75" s="369"/>
      <c r="S75" s="369"/>
      <c r="T75" s="4"/>
      <c r="U75" s="4"/>
      <c r="Y75" s="946"/>
    </row>
    <row r="76" spans="1:28" ht="16.5" thickBot="1">
      <c r="A76" s="371"/>
      <c r="B76" s="529" t="s">
        <v>573</v>
      </c>
      <c r="C76" s="351">
        <f>'Input data'!C29</f>
        <v>0.24001298204245269</v>
      </c>
      <c r="D76" s="351">
        <f>'Input data'!D29</f>
        <v>0.30440139352934503</v>
      </c>
      <c r="E76" s="351">
        <f>'Input data'!E29</f>
        <v>5.8998240613430578E-2</v>
      </c>
      <c r="F76" s="351">
        <f>'Input data'!F29</f>
        <v>0</v>
      </c>
      <c r="G76" s="351">
        <f>'Input data'!G29</f>
        <v>0</v>
      </c>
      <c r="H76" s="351">
        <f>'Input data'!H29</f>
        <v>0</v>
      </c>
      <c r="I76" s="351">
        <f>'Input data'!I29</f>
        <v>0.25111644440272562</v>
      </c>
      <c r="J76" s="351">
        <f>'Input data'!J29</f>
        <v>3.6305712412339194E-2</v>
      </c>
      <c r="K76" s="351">
        <f>'Input data'!K29</f>
        <v>5.2770165582472633E-2</v>
      </c>
      <c r="L76" s="351">
        <f>'Input data'!L29</f>
        <v>4.6389164586929758E-2</v>
      </c>
      <c r="M76" s="351">
        <f>'Input data'!M29</f>
        <v>1.0005896830304312E-2</v>
      </c>
      <c r="N76" s="527">
        <v>1</v>
      </c>
      <c r="O76" s="358"/>
      <c r="P76" s="358"/>
      <c r="Q76" s="7"/>
      <c r="R76" s="369"/>
      <c r="S76" s="369"/>
      <c r="T76" s="4"/>
      <c r="U76" s="4"/>
      <c r="Y76" s="946"/>
    </row>
    <row r="77" spans="1:28" ht="15.75">
      <c r="A77" s="371"/>
      <c r="B77" s="730"/>
      <c r="C77" s="351"/>
      <c r="D77" s="351"/>
      <c r="E77" s="351"/>
      <c r="F77" s="351"/>
      <c r="G77" s="351"/>
      <c r="H77" s="351"/>
      <c r="I77" s="510"/>
      <c r="J77" s="510"/>
      <c r="K77" s="510"/>
      <c r="L77" s="510"/>
      <c r="M77" s="510"/>
      <c r="N77" s="358"/>
      <c r="O77" s="358"/>
      <c r="P77" s="358"/>
      <c r="Q77" s="7"/>
      <c r="R77" s="369"/>
      <c r="S77" s="369"/>
      <c r="T77" s="4"/>
      <c r="U77" s="4"/>
      <c r="Y77" s="946"/>
    </row>
    <row r="78" spans="1:28" ht="14.45" customHeight="1">
      <c r="A78" s="374" t="s">
        <v>627</v>
      </c>
      <c r="B78" s="363" t="s">
        <v>372</v>
      </c>
      <c r="C78" s="362" t="s">
        <v>623</v>
      </c>
      <c r="D78" s="362" t="s">
        <v>624</v>
      </c>
      <c r="E78" s="362" t="s">
        <v>625</v>
      </c>
      <c r="F78" s="362" t="s">
        <v>626</v>
      </c>
      <c r="G78" s="362" t="s">
        <v>574</v>
      </c>
      <c r="H78" s="362" t="s">
        <v>622</v>
      </c>
      <c r="I78" s="372"/>
      <c r="J78" s="372"/>
      <c r="K78" s="372"/>
      <c r="L78" s="372"/>
      <c r="M78" s="372"/>
      <c r="N78" s="372"/>
      <c r="O78" s="372"/>
      <c r="P78" s="372"/>
      <c r="Q78" s="7"/>
      <c r="R78" s="369"/>
      <c r="S78" s="369"/>
      <c r="T78" s="4"/>
      <c r="U78" s="4"/>
      <c r="Y78" s="946"/>
    </row>
    <row r="79" spans="1:28" ht="15.75">
      <c r="A79" s="232"/>
      <c r="B79" s="364" t="s">
        <v>441</v>
      </c>
      <c r="C79" s="362">
        <f>'Waste Summary 2017 SASOW'!J10+'Waste Summary 2017 SASOW'!J13</f>
        <v>49995051</v>
      </c>
      <c r="D79" s="362">
        <f>'Waste Summary 2017 SASOW'!K10+'Waste Summary 2017 SASOW'!K13</f>
        <v>0</v>
      </c>
      <c r="E79" s="362">
        <f>'Waste Summary 2017 SASOW'!L10+'Waste Summary 2017 SASOW'!L13</f>
        <v>46917968.670000002</v>
      </c>
      <c r="F79" s="362">
        <f>'Waste Summary 2017 SASOW'!M10+'Waste Summary 2017 SASOW'!M13</f>
        <v>0</v>
      </c>
      <c r="G79" s="362">
        <f>'Waste Summary 2017 SASOW'!N10+'Waste Summary 2017 SASOW'!N13</f>
        <v>0</v>
      </c>
      <c r="H79" s="362">
        <f>'Waste Summary 2017 SASOW'!O10+'Waste Summary 2017 SASOW'!O13</f>
        <v>3077082.33</v>
      </c>
      <c r="I79" s="306"/>
      <c r="J79" s="306"/>
      <c r="K79" s="306"/>
      <c r="L79" s="372"/>
      <c r="M79" s="372"/>
      <c r="N79" s="372"/>
      <c r="O79" s="372"/>
      <c r="P79" s="372"/>
      <c r="Q79" s="7"/>
      <c r="R79" s="369"/>
      <c r="S79" s="369"/>
      <c r="T79" s="4"/>
      <c r="U79" s="4"/>
      <c r="Y79" s="946"/>
    </row>
    <row r="80" spans="1:28" ht="15.75">
      <c r="A80" s="232"/>
      <c r="B80" s="232" t="s">
        <v>420</v>
      </c>
      <c r="C80" s="370">
        <f t="shared" ref="C80:H80" si="12">C79/$C$79</f>
        <v>1</v>
      </c>
      <c r="D80" s="373">
        <f t="shared" si="12"/>
        <v>0</v>
      </c>
      <c r="E80" s="373">
        <f t="shared" si="12"/>
        <v>0.93845226140483384</v>
      </c>
      <c r="F80" s="373">
        <f t="shared" si="12"/>
        <v>0</v>
      </c>
      <c r="G80" s="373">
        <f t="shared" si="12"/>
        <v>0</v>
      </c>
      <c r="H80" s="373">
        <f t="shared" si="12"/>
        <v>6.154773859516615E-2</v>
      </c>
      <c r="I80" s="306"/>
      <c r="J80" s="306"/>
      <c r="K80" s="306"/>
      <c r="L80" s="372"/>
      <c r="M80" s="372"/>
      <c r="N80" s="372"/>
      <c r="O80" s="372"/>
      <c r="P80" s="372"/>
      <c r="Q80" s="7"/>
      <c r="R80" s="369"/>
      <c r="S80" s="369"/>
      <c r="T80" s="4"/>
      <c r="U80" s="4"/>
      <c r="Y80" s="946"/>
    </row>
    <row r="81" spans="1:83" ht="16.5" thickBot="1">
      <c r="B81" s="306"/>
      <c r="C81" s="372"/>
      <c r="D81" s="372"/>
      <c r="E81" s="372"/>
      <c r="F81" s="372"/>
      <c r="G81" s="372"/>
      <c r="H81" s="372"/>
      <c r="I81" s="306"/>
      <c r="J81" s="306"/>
      <c r="K81" s="306"/>
      <c r="L81" s="372"/>
      <c r="M81" s="372"/>
      <c r="N81" s="372"/>
      <c r="O81" s="372"/>
      <c r="P81" s="372"/>
      <c r="Q81" s="7"/>
      <c r="R81" s="369"/>
      <c r="S81" s="369"/>
      <c r="T81" s="4"/>
      <c r="U81" s="4"/>
      <c r="Y81" s="946"/>
    </row>
    <row r="82" spans="1:83" ht="15.75">
      <c r="A82" s="822" t="s">
        <v>705</v>
      </c>
      <c r="B82" s="115"/>
      <c r="C82" s="116"/>
      <c r="D82" s="128"/>
      <c r="E82" s="128"/>
      <c r="F82" s="128"/>
      <c r="G82" s="128"/>
      <c r="H82" s="372"/>
      <c r="I82" s="306"/>
      <c r="J82" s="306"/>
      <c r="K82" s="306"/>
      <c r="L82" s="372"/>
      <c r="M82" s="372"/>
      <c r="N82" s="372"/>
      <c r="O82" s="372"/>
      <c r="P82" s="372"/>
      <c r="Q82" s="7"/>
      <c r="R82" s="369"/>
      <c r="S82" s="369"/>
      <c r="T82" s="4"/>
      <c r="U82" s="4"/>
      <c r="Y82" s="946"/>
    </row>
    <row r="83" spans="1:83" ht="15.75">
      <c r="A83" s="823" t="s">
        <v>659</v>
      </c>
      <c r="B83" s="128">
        <v>2017</v>
      </c>
      <c r="C83" s="658">
        <f>'Waste Summary 2017 SASOW'!L9/'Waste Summary 2017 SASOW'!L19</f>
        <v>8.711976475859419E-2</v>
      </c>
      <c r="D83" s="785"/>
      <c r="E83" s="785"/>
      <c r="F83" s="785"/>
      <c r="G83" s="785"/>
      <c r="H83" s="786"/>
      <c r="I83" s="306"/>
      <c r="J83" s="306"/>
      <c r="K83" s="306"/>
      <c r="L83" s="372"/>
      <c r="M83" s="372"/>
      <c r="N83" s="372"/>
      <c r="O83" s="372"/>
      <c r="P83" s="372"/>
      <c r="Q83" s="7"/>
      <c r="R83" s="369"/>
      <c r="S83" s="369"/>
      <c r="T83" s="4"/>
      <c r="U83" s="4"/>
      <c r="Y83" s="946"/>
    </row>
    <row r="84" spans="1:83" ht="16.5" thickBot="1">
      <c r="A84" s="824" t="s">
        <v>658</v>
      </c>
      <c r="B84" s="138">
        <v>2017</v>
      </c>
      <c r="C84" s="808">
        <f>'Waste Summary 2017 SASOW'!L9/'Waste Summary 2017 SASOW'!L23</f>
        <v>0.24270842804580239</v>
      </c>
      <c r="D84" s="785"/>
      <c r="E84" s="785"/>
      <c r="F84" s="785"/>
      <c r="G84" s="785"/>
      <c r="H84" s="786"/>
      <c r="I84" s="306"/>
      <c r="J84" s="306"/>
      <c r="K84" s="306"/>
      <c r="L84" s="372"/>
      <c r="M84" s="372"/>
      <c r="N84" s="372"/>
      <c r="O84" s="372"/>
      <c r="P84" s="372"/>
      <c r="Q84" s="7"/>
      <c r="R84" s="369"/>
      <c r="S84" s="369"/>
      <c r="T84" s="4"/>
      <c r="U84" s="4"/>
      <c r="Y84" s="946"/>
    </row>
    <row r="85" spans="1:83" ht="15.75">
      <c r="A85" s="128"/>
      <c r="B85" s="785"/>
      <c r="C85" s="785"/>
      <c r="D85" s="785"/>
      <c r="E85" s="785"/>
      <c r="F85" s="785"/>
      <c r="G85" s="785"/>
      <c r="H85" s="786"/>
      <c r="I85" s="306"/>
      <c r="J85" s="306"/>
      <c r="K85" s="306"/>
      <c r="L85" s="372"/>
      <c r="M85" s="372"/>
      <c r="N85" s="372"/>
      <c r="O85" s="372"/>
      <c r="P85" s="372"/>
      <c r="Q85" s="7"/>
      <c r="R85" s="369"/>
      <c r="S85" s="369"/>
      <c r="T85" s="4"/>
      <c r="U85" s="4"/>
      <c r="Y85" s="946"/>
    </row>
    <row r="86" spans="1:83" ht="28.5">
      <c r="A86" s="864" t="s">
        <v>712</v>
      </c>
      <c r="B86" s="785"/>
      <c r="C86" s="785"/>
      <c r="D86" s="785"/>
      <c r="E86" s="785"/>
      <c r="F86" s="785"/>
      <c r="G86" s="785"/>
      <c r="H86" s="786"/>
      <c r="I86" s="306"/>
      <c r="J86" s="306"/>
      <c r="K86" s="306"/>
      <c r="L86" s="372"/>
      <c r="M86" s="372"/>
      <c r="N86" s="372"/>
      <c r="O86" s="372"/>
      <c r="P86" s="372"/>
      <c r="Q86" s="7"/>
      <c r="R86" s="369"/>
      <c r="S86" s="369"/>
      <c r="T86" s="4"/>
      <c r="U86" s="4"/>
      <c r="Y86" s="946"/>
    </row>
    <row r="87" spans="1:83" ht="15.75">
      <c r="A87" s="128"/>
      <c r="B87" s="785"/>
      <c r="C87" s="785"/>
      <c r="D87" s="785"/>
      <c r="E87" s="785"/>
      <c r="F87" s="785"/>
      <c r="G87" s="785"/>
      <c r="H87" s="786"/>
      <c r="I87" s="306"/>
      <c r="J87" s="306"/>
      <c r="K87" s="306"/>
      <c r="L87" s="372"/>
      <c r="M87" s="372"/>
      <c r="N87" s="372"/>
      <c r="O87" s="372"/>
      <c r="P87" s="372"/>
      <c r="Q87" s="7"/>
      <c r="R87" s="369"/>
      <c r="S87" s="369"/>
      <c r="T87" s="4"/>
      <c r="U87" s="4"/>
      <c r="X87" s="779"/>
      <c r="Y87" s="946"/>
    </row>
    <row r="88" spans="1:83" ht="23.25">
      <c r="A88" s="865" t="s">
        <v>676</v>
      </c>
      <c r="B88" s="866"/>
      <c r="C88" s="785"/>
      <c r="D88" s="785"/>
      <c r="E88" s="785"/>
      <c r="F88" s="785"/>
      <c r="G88" s="785"/>
      <c r="H88" s="786"/>
      <c r="I88" s="306"/>
      <c r="J88" s="306"/>
      <c r="K88" s="306"/>
      <c r="L88" s="372"/>
      <c r="M88" s="372"/>
      <c r="N88" s="372"/>
      <c r="O88" s="372"/>
      <c r="P88" s="372"/>
      <c r="Q88" s="7"/>
      <c r="R88" s="369"/>
      <c r="S88" s="369"/>
      <c r="T88" s="4"/>
      <c r="U88" s="4"/>
      <c r="Y88" s="946"/>
      <c r="AB88" s="779"/>
      <c r="AF88" s="779"/>
    </row>
    <row r="89" spans="1:83">
      <c r="A89" s="128"/>
      <c r="B89" s="785"/>
      <c r="C89" s="785"/>
      <c r="D89" s="785"/>
      <c r="E89" s="785"/>
      <c r="F89" s="785"/>
      <c r="G89" s="785"/>
      <c r="H89" s="786"/>
      <c r="I89" s="306"/>
      <c r="J89" s="306"/>
      <c r="K89" s="306"/>
      <c r="L89" s="372"/>
      <c r="M89" s="372"/>
      <c r="N89" s="372"/>
      <c r="O89" s="372"/>
      <c r="P89" s="372"/>
      <c r="Q89" s="7"/>
      <c r="R89" s="369"/>
      <c r="S89" s="369"/>
      <c r="T89" s="4"/>
      <c r="U89" s="4"/>
    </row>
    <row r="90" spans="1:83">
      <c r="A90" s="128"/>
      <c r="B90" s="785"/>
      <c r="C90" s="785"/>
      <c r="D90" s="785"/>
      <c r="E90" s="785"/>
      <c r="F90" s="785"/>
      <c r="G90" s="785"/>
      <c r="H90" s="786"/>
      <c r="I90" s="306"/>
      <c r="J90" s="306"/>
      <c r="K90" s="306"/>
      <c r="L90" s="372"/>
      <c r="M90" s="372"/>
      <c r="N90" s="372"/>
      <c r="O90" s="372"/>
      <c r="P90" s="372"/>
      <c r="Q90" s="7"/>
      <c r="R90" s="369"/>
      <c r="S90" s="369"/>
      <c r="T90" s="4"/>
      <c r="U90" s="4"/>
      <c r="BI90" s="99"/>
      <c r="BJ90" s="99"/>
      <c r="BK90" s="99"/>
      <c r="BL90" s="99"/>
      <c r="BM90" s="99"/>
    </row>
    <row r="91" spans="1:83" ht="15.75" thickBot="1">
      <c r="E91" s="10"/>
      <c r="F91" s="10"/>
      <c r="G91" s="10"/>
      <c r="H91" s="10"/>
      <c r="I91" s="10"/>
      <c r="J91" s="10"/>
      <c r="K91" s="10"/>
      <c r="L91" s="10"/>
      <c r="M91" s="10"/>
      <c r="N91" s="10"/>
      <c r="O91" s="10"/>
      <c r="P91" s="10"/>
      <c r="Q91" s="10"/>
      <c r="R91" s="10"/>
      <c r="S91" s="10"/>
      <c r="V91" s="941"/>
      <c r="BI91" s="99"/>
      <c r="BJ91" s="99"/>
      <c r="BK91" s="99"/>
      <c r="BL91" s="99"/>
      <c r="BM91" s="99"/>
    </row>
    <row r="92" spans="1:83" ht="34.9" customHeight="1" thickBot="1">
      <c r="A92" s="1593" t="s">
        <v>688</v>
      </c>
      <c r="B92" s="1594"/>
      <c r="C92" s="1594"/>
      <c r="D92" s="1595"/>
      <c r="E92" s="1638" t="s">
        <v>686</v>
      </c>
      <c r="F92" s="1639"/>
      <c r="G92" s="1640"/>
      <c r="H92" s="1671" t="s">
        <v>687</v>
      </c>
      <c r="I92" s="1642"/>
      <c r="J92" s="1642"/>
      <c r="K92" s="1643"/>
      <c r="L92" s="1626" t="s">
        <v>683</v>
      </c>
      <c r="M92" s="1617"/>
      <c r="N92" s="1617"/>
      <c r="O92" s="1617"/>
      <c r="P92" s="1618"/>
      <c r="Q92" s="1616" t="s">
        <v>684</v>
      </c>
      <c r="R92" s="1617"/>
      <c r="S92" s="1617"/>
      <c r="T92" s="1617"/>
      <c r="U92" s="1618"/>
      <c r="V92" s="1614" t="s">
        <v>685</v>
      </c>
      <c r="W92" s="1644" t="s">
        <v>697</v>
      </c>
      <c r="X92" s="1645"/>
      <c r="Y92" s="1602" t="s">
        <v>675</v>
      </c>
      <c r="Z92" s="1604" t="s">
        <v>681</v>
      </c>
      <c r="AA92" s="1665" t="s">
        <v>661</v>
      </c>
      <c r="AB92" s="1611" t="s">
        <v>728</v>
      </c>
      <c r="AC92" s="1606" t="s">
        <v>731</v>
      </c>
      <c r="AD92" s="1604" t="s">
        <v>730</v>
      </c>
      <c r="AE92" s="1606" t="s">
        <v>733</v>
      </c>
      <c r="AF92" s="1609" t="s">
        <v>682</v>
      </c>
      <c r="AG92" s="1667" t="s">
        <v>700</v>
      </c>
      <c r="AH92" s="1668"/>
      <c r="AI92" s="1668"/>
      <c r="AJ92" s="1668"/>
      <c r="AK92" s="1668"/>
      <c r="AL92" s="1668"/>
      <c r="AM92" s="1668"/>
      <c r="AN92" s="1668"/>
      <c r="AO92" s="1668"/>
      <c r="AP92" s="1668"/>
      <c r="AQ92" s="1669"/>
      <c r="AR92" s="1596" t="s">
        <v>704</v>
      </c>
      <c r="AS92" s="1597"/>
      <c r="AT92" s="1597"/>
      <c r="AU92" s="1597"/>
      <c r="AV92" s="1597"/>
      <c r="AW92" s="1597"/>
      <c r="AX92" s="1597"/>
      <c r="AY92" s="1597"/>
      <c r="AZ92" s="1597"/>
      <c r="BA92" s="1597"/>
      <c r="BB92" s="1598"/>
      <c r="BC92" s="1681" t="s">
        <v>225</v>
      </c>
      <c r="BD92" s="1672" t="s">
        <v>702</v>
      </c>
      <c r="BE92" s="1599" t="s">
        <v>701</v>
      </c>
      <c r="BF92" s="1600"/>
      <c r="BG92" s="1600"/>
      <c r="BH92" s="1600"/>
      <c r="BI92" s="1600"/>
      <c r="BJ92" s="1600"/>
      <c r="BK92" s="1600"/>
      <c r="BL92" s="1601"/>
      <c r="BM92" s="1507" t="s">
        <v>714</v>
      </c>
      <c r="BN92" s="1508"/>
      <c r="BO92" s="1508"/>
      <c r="BP92" s="1508"/>
      <c r="BQ92" s="1508"/>
      <c r="BR92" s="1508"/>
      <c r="BS92" s="1508"/>
      <c r="BT92" s="1509"/>
      <c r="BV92" s="1591" t="s">
        <v>777</v>
      </c>
      <c r="BW92" s="1592"/>
      <c r="BX92" s="1592"/>
      <c r="BY92" s="1589" t="s">
        <v>770</v>
      </c>
      <c r="BZ92" s="1592"/>
      <c r="CA92" s="1592"/>
      <c r="CB92" s="1592" t="s">
        <v>778</v>
      </c>
      <c r="CC92" s="1590"/>
      <c r="CD92" s="1592" t="s">
        <v>771</v>
      </c>
      <c r="CE92" s="1590"/>
    </row>
    <row r="93" spans="1:83" s="10" customFormat="1" ht="42.6" customHeight="1" thickBot="1">
      <c r="A93" s="1619" t="s">
        <v>217</v>
      </c>
      <c r="B93" s="884" t="s">
        <v>218</v>
      </c>
      <c r="C93" s="884" t="s">
        <v>464</v>
      </c>
      <c r="D93" s="644" t="s">
        <v>576</v>
      </c>
      <c r="E93" s="882" t="s">
        <v>577</v>
      </c>
      <c r="F93" s="880" t="s">
        <v>580</v>
      </c>
      <c r="G93" s="881" t="s">
        <v>606</v>
      </c>
      <c r="H93" s="948" t="s">
        <v>554</v>
      </c>
      <c r="I93" s="874" t="s">
        <v>288</v>
      </c>
      <c r="J93" s="873" t="s">
        <v>678</v>
      </c>
      <c r="K93" s="875" t="s">
        <v>679</v>
      </c>
      <c r="L93" s="924" t="s">
        <v>87</v>
      </c>
      <c r="M93" s="827" t="s">
        <v>364</v>
      </c>
      <c r="N93" s="827" t="s">
        <v>365</v>
      </c>
      <c r="O93" s="827" t="s">
        <v>366</v>
      </c>
      <c r="P93" s="826" t="s">
        <v>660</v>
      </c>
      <c r="Q93" s="634" t="s">
        <v>87</v>
      </c>
      <c r="R93" s="827" t="s">
        <v>364</v>
      </c>
      <c r="S93" s="827" t="s">
        <v>365</v>
      </c>
      <c r="T93" s="827" t="s">
        <v>366</v>
      </c>
      <c r="U93" s="1445" t="s">
        <v>660</v>
      </c>
      <c r="V93" s="1615"/>
      <c r="W93" s="639" t="s">
        <v>694</v>
      </c>
      <c r="X93" s="642" t="s">
        <v>654</v>
      </c>
      <c r="Y93" s="1603"/>
      <c r="Z93" s="1605"/>
      <c r="AA93" s="1666"/>
      <c r="AB93" s="1612"/>
      <c r="AC93" s="1607"/>
      <c r="AD93" s="1605"/>
      <c r="AE93" s="1607"/>
      <c r="AF93" s="1610"/>
      <c r="AG93" s="900" t="s">
        <v>549</v>
      </c>
      <c r="AH93" s="901" t="s">
        <v>565</v>
      </c>
      <c r="AI93" s="901" t="s">
        <v>428</v>
      </c>
      <c r="AJ93" s="901" t="s">
        <v>429</v>
      </c>
      <c r="AK93" s="901" t="s">
        <v>225</v>
      </c>
      <c r="AL93" s="913" t="s">
        <v>671</v>
      </c>
      <c r="AM93" s="900" t="s">
        <v>549</v>
      </c>
      <c r="AN93" s="901" t="s">
        <v>565</v>
      </c>
      <c r="AO93" s="901" t="s">
        <v>428</v>
      </c>
      <c r="AP93" s="901" t="s">
        <v>429</v>
      </c>
      <c r="AQ93" s="913" t="s">
        <v>225</v>
      </c>
      <c r="AR93" s="915" t="s">
        <v>221</v>
      </c>
      <c r="AS93" s="914" t="s">
        <v>85</v>
      </c>
      <c r="AT93" s="914" t="s">
        <v>87</v>
      </c>
      <c r="AU93" s="914" t="s">
        <v>222</v>
      </c>
      <c r="AV93" s="914" t="s">
        <v>115</v>
      </c>
      <c r="AW93" s="914" t="s">
        <v>223</v>
      </c>
      <c r="AX93" s="914" t="s">
        <v>548</v>
      </c>
      <c r="AY93" s="914" t="s">
        <v>374</v>
      </c>
      <c r="AZ93" s="914" t="s">
        <v>375</v>
      </c>
      <c r="BA93" s="914" t="s">
        <v>376</v>
      </c>
      <c r="BB93" s="914" t="s">
        <v>377</v>
      </c>
      <c r="BC93" s="1682"/>
      <c r="BD93" s="1673"/>
      <c r="BE93" s="915" t="s">
        <v>221</v>
      </c>
      <c r="BF93" s="914" t="s">
        <v>85</v>
      </c>
      <c r="BG93" s="914" t="s">
        <v>87</v>
      </c>
      <c r="BH93" s="914" t="s">
        <v>222</v>
      </c>
      <c r="BI93" s="914" t="s">
        <v>115</v>
      </c>
      <c r="BJ93" s="914" t="s">
        <v>223</v>
      </c>
      <c r="BK93" s="914" t="s">
        <v>703</v>
      </c>
      <c r="BL93" s="1345" t="s">
        <v>303</v>
      </c>
      <c r="BM93" s="549" t="s">
        <v>221</v>
      </c>
      <c r="BN93" s="509" t="s">
        <v>85</v>
      </c>
      <c r="BO93" s="509" t="s">
        <v>87</v>
      </c>
      <c r="BP93" s="509" t="s">
        <v>222</v>
      </c>
      <c r="BQ93" s="509" t="s">
        <v>115</v>
      </c>
      <c r="BR93" s="509" t="s">
        <v>223</v>
      </c>
      <c r="BS93" s="509" t="s">
        <v>224</v>
      </c>
      <c r="BT93" s="1348" t="s">
        <v>225</v>
      </c>
      <c r="BV93" s="1379" t="s">
        <v>609</v>
      </c>
      <c r="BW93" s="40" t="s">
        <v>718</v>
      </c>
      <c r="BX93" s="40" t="str">
        <f>D133</f>
        <v xml:space="preserve">Coal ash generated - ‘IRP realistic’ </v>
      </c>
      <c r="BY93" s="1497" t="s">
        <v>609</v>
      </c>
      <c r="BZ93" s="40" t="s">
        <v>718</v>
      </c>
      <c r="CA93" s="40" t="s">
        <v>725</v>
      </c>
      <c r="CB93" s="40" t="s">
        <v>267</v>
      </c>
      <c r="CC93" s="1380" t="s">
        <v>735</v>
      </c>
      <c r="CD93" s="40" t="s">
        <v>267</v>
      </c>
      <c r="CE93" s="1380" t="s">
        <v>735</v>
      </c>
    </row>
    <row r="94" spans="1:83" ht="16.5" thickBot="1">
      <c r="A94" s="1631"/>
      <c r="B94" s="567" t="s">
        <v>232</v>
      </c>
      <c r="C94" s="568" t="s">
        <v>558</v>
      </c>
      <c r="D94" s="605" t="s">
        <v>556</v>
      </c>
      <c r="E94" s="942" t="s">
        <v>229</v>
      </c>
      <c r="F94" s="943" t="s">
        <v>229</v>
      </c>
      <c r="G94" s="944" t="s">
        <v>228</v>
      </c>
      <c r="H94" s="949" t="s">
        <v>227</v>
      </c>
      <c r="I94" s="876" t="s">
        <v>228</v>
      </c>
      <c r="J94" s="876" t="s">
        <v>227</v>
      </c>
      <c r="K94" s="877" t="s">
        <v>227</v>
      </c>
      <c r="L94" s="715" t="s">
        <v>229</v>
      </c>
      <c r="M94" s="553" t="s">
        <v>229</v>
      </c>
      <c r="N94" s="553" t="s">
        <v>229</v>
      </c>
      <c r="O94" s="553" t="s">
        <v>229</v>
      </c>
      <c r="P94" s="554" t="s">
        <v>229</v>
      </c>
      <c r="Q94" s="552" t="s">
        <v>227</v>
      </c>
      <c r="R94" s="553" t="s">
        <v>227</v>
      </c>
      <c r="S94" s="553" t="s">
        <v>227</v>
      </c>
      <c r="T94" s="553" t="s">
        <v>227</v>
      </c>
      <c r="U94" s="554" t="s">
        <v>227</v>
      </c>
      <c r="V94" s="869" t="s">
        <v>227</v>
      </c>
      <c r="W94" s="867" t="s">
        <v>229</v>
      </c>
      <c r="X94" s="870" t="s">
        <v>227</v>
      </c>
      <c r="Y94" s="895" t="s">
        <v>227</v>
      </c>
      <c r="Z94" s="896" t="s">
        <v>227</v>
      </c>
      <c r="AA94" s="897" t="s">
        <v>227</v>
      </c>
      <c r="AB94" s="1613"/>
      <c r="AC94" s="1608"/>
      <c r="AD94" s="1411" t="s">
        <v>28</v>
      </c>
      <c r="AE94" s="1608"/>
      <c r="AF94" s="1409" t="s">
        <v>227</v>
      </c>
      <c r="AG94" s="908" t="s">
        <v>227</v>
      </c>
      <c r="AH94" s="903" t="s">
        <v>227</v>
      </c>
      <c r="AI94" s="903" t="s">
        <v>227</v>
      </c>
      <c r="AJ94" s="903" t="s">
        <v>227</v>
      </c>
      <c r="AK94" s="903" t="s">
        <v>227</v>
      </c>
      <c r="AL94" s="909" t="s">
        <v>669</v>
      </c>
      <c r="AM94" s="190" t="s">
        <v>229</v>
      </c>
      <c r="AN94" s="904" t="s">
        <v>229</v>
      </c>
      <c r="AO94" s="904" t="s">
        <v>229</v>
      </c>
      <c r="AP94" s="904" t="s">
        <v>229</v>
      </c>
      <c r="AQ94" s="909" t="s">
        <v>229</v>
      </c>
      <c r="AR94" s="920" t="s">
        <v>227</v>
      </c>
      <c r="AS94" s="921" t="s">
        <v>227</v>
      </c>
      <c r="AT94" s="921" t="s">
        <v>227</v>
      </c>
      <c r="AU94" s="921" t="s">
        <v>227</v>
      </c>
      <c r="AV94" s="921" t="s">
        <v>227</v>
      </c>
      <c r="AW94" s="921" t="s">
        <v>227</v>
      </c>
      <c r="AX94" s="921" t="s">
        <v>227</v>
      </c>
      <c r="AY94" s="921" t="s">
        <v>227</v>
      </c>
      <c r="AZ94" s="921" t="s">
        <v>227</v>
      </c>
      <c r="BA94" s="921" t="s">
        <v>227</v>
      </c>
      <c r="BB94" s="921" t="s">
        <v>227</v>
      </c>
      <c r="BC94" s="921" t="s">
        <v>227</v>
      </c>
      <c r="BD94" s="1674"/>
      <c r="BE94" s="920" t="s">
        <v>229</v>
      </c>
      <c r="BF94" s="921" t="s">
        <v>229</v>
      </c>
      <c r="BG94" s="921" t="s">
        <v>229</v>
      </c>
      <c r="BH94" s="921" t="s">
        <v>229</v>
      </c>
      <c r="BI94" s="921" t="s">
        <v>229</v>
      </c>
      <c r="BJ94" s="921" t="s">
        <v>229</v>
      </c>
      <c r="BK94" s="921" t="s">
        <v>229</v>
      </c>
      <c r="BL94" s="1346" t="s">
        <v>229</v>
      </c>
      <c r="BM94" s="549" t="s">
        <v>229</v>
      </c>
      <c r="BN94" s="509" t="s">
        <v>229</v>
      </c>
      <c r="BO94" s="509" t="s">
        <v>229</v>
      </c>
      <c r="BP94" s="509" t="s">
        <v>229</v>
      </c>
      <c r="BQ94" s="509" t="s">
        <v>229</v>
      </c>
      <c r="BR94" s="509" t="s">
        <v>229</v>
      </c>
      <c r="BS94" s="509" t="s">
        <v>229</v>
      </c>
      <c r="BT94" s="1348" t="s">
        <v>229</v>
      </c>
      <c r="BV94" s="67" t="s">
        <v>719</v>
      </c>
      <c r="BW94" s="1496" t="s">
        <v>229</v>
      </c>
      <c r="BX94" s="1496" t="s">
        <v>719</v>
      </c>
      <c r="BY94" s="1498" t="s">
        <v>719</v>
      </c>
      <c r="BZ94" s="1496" t="s">
        <v>229</v>
      </c>
      <c r="CA94" s="1496" t="s">
        <v>719</v>
      </c>
      <c r="CB94" s="1496" t="s">
        <v>229</v>
      </c>
      <c r="CC94" s="68" t="s">
        <v>229</v>
      </c>
      <c r="CD94" s="1496" t="s">
        <v>229</v>
      </c>
      <c r="CE94" s="68" t="s">
        <v>229</v>
      </c>
    </row>
    <row r="95" spans="1:83">
      <c r="A95" s="127">
        <f>'Input data'!A115</f>
        <v>2017</v>
      </c>
      <c r="B95" s="828">
        <f>'Input data'!B115</f>
        <v>56.521999999999998</v>
      </c>
      <c r="C95" s="238">
        <f>'Input data'!C115</f>
        <v>3120.54</v>
      </c>
      <c r="D95" s="238">
        <f>'Input data'!D115</f>
        <v>49995051</v>
      </c>
      <c r="E95" s="1235">
        <f>'Input data'!F115</f>
        <v>0.71479999999999999</v>
      </c>
      <c r="F95" s="1029">
        <f>'Input data'!G115</f>
        <v>0.28959999999999997</v>
      </c>
      <c r="G95" s="1236">
        <f>'Input data'!H115</f>
        <v>501</v>
      </c>
      <c r="H95" s="673">
        <f>'Input data'!I115</f>
        <v>424.26313389388866</v>
      </c>
      <c r="I95" s="672">
        <f>'Input data'!K115</f>
        <v>23980.200853950373</v>
      </c>
      <c r="J95" s="673">
        <f>H95*B10</f>
        <v>197.16290517356791</v>
      </c>
      <c r="K95" s="802">
        <f t="shared" ref="K95" si="13">H95*$B$10-J95</f>
        <v>0</v>
      </c>
      <c r="L95" s="510">
        <f>C17</f>
        <v>0.57999999999999996</v>
      </c>
      <c r="M95" s="510">
        <f>D17</f>
        <v>0.437</v>
      </c>
      <c r="N95" s="510">
        <f>E17</f>
        <v>0.71200000000000008</v>
      </c>
      <c r="O95" s="510">
        <f>F17</f>
        <v>0.8</v>
      </c>
      <c r="P95" s="114">
        <f>$G$17</f>
        <v>0.23600000000000002</v>
      </c>
      <c r="Q95" s="654">
        <f>H95*$E$75*L95</f>
        <v>21.956594277323916</v>
      </c>
      <c r="R95" s="673">
        <f>H95*$J$75*M95</f>
        <v>8.498893173320921</v>
      </c>
      <c r="S95" s="673">
        <f t="shared" ref="S95:S128" si="14">H95*$K$75*N95</f>
        <v>35.157920176424213</v>
      </c>
      <c r="T95" s="673">
        <f t="shared" ref="T95:T128" si="15">H95*$L$75*O95</f>
        <v>50.006188746360976</v>
      </c>
      <c r="U95" s="802">
        <f t="shared" ref="U95:U128" si="16">H95*$M$75*P95</f>
        <v>0.67710709475193609</v>
      </c>
      <c r="V95" s="654">
        <f t="shared" ref="V95:V128" si="17">SUM(Q95:U95)</f>
        <v>116.29670346818196</v>
      </c>
      <c r="W95" s="805">
        <v>0</v>
      </c>
      <c r="X95" s="671">
        <f t="shared" ref="X95:X128" si="18">W95*H95*($C$76+$D$76)*$B$10</f>
        <v>0</v>
      </c>
      <c r="Y95" s="671">
        <f t="shared" ref="Y95:Y128" si="19">X95+(V95-$V$95)</f>
        <v>0</v>
      </c>
      <c r="Z95" s="672">
        <f>$J$95-Y95</f>
        <v>197.16290517356791</v>
      </c>
      <c r="AA95" s="696">
        <f t="shared" ref="AA95:AA128" si="20">K95-Y95</f>
        <v>0</v>
      </c>
      <c r="AB95" s="893">
        <f>AA95/Z95</f>
        <v>0</v>
      </c>
      <c r="AC95" s="135" t="str">
        <f>IF(AND(AB95&gt;=0,AB95&lt;=0.85),"Policies met","Policies not met")</f>
        <v>Policies met</v>
      </c>
      <c r="AD95" s="1353">
        <f>IF(AB95&lt;=0,0,IF(AB95&gt;=0.85,0.85,AB95))</f>
        <v>0</v>
      </c>
      <c r="AE95" s="135" t="str">
        <f>IF(AND(AB95&gt;=0,AB95&lt;=0.85),"No","Yes")</f>
        <v>No</v>
      </c>
      <c r="AF95" s="1420">
        <f>$H$95*(1-AD95)</f>
        <v>424.26313389388866</v>
      </c>
      <c r="AG95" s="936">
        <f>Z95-Z95*AD95</f>
        <v>197.16290517356791</v>
      </c>
      <c r="AH95" s="936">
        <f t="shared" ref="AH95:AH128" si="21">V95*(1-AB95)</f>
        <v>116.29670346818196</v>
      </c>
      <c r="AI95" s="935">
        <f t="shared" ref="AI95:AI128" si="22">($C$10*$H$10*$H$95+X95)*(1-AB95)</f>
        <v>59.269011747436601</v>
      </c>
      <c r="AJ95" s="935">
        <f t="shared" ref="AJ95:AJ128" si="23">H95*$D$10*(1-AB95)</f>
        <v>51.534513504702232</v>
      </c>
      <c r="AK95" s="936">
        <f>SUM(AG95:AJ95)</f>
        <v>424.26313389388872</v>
      </c>
      <c r="AL95" s="238">
        <f>AF95-AK95</f>
        <v>0</v>
      </c>
      <c r="AM95" s="805">
        <f>AG95/AK95</f>
        <v>0.46471844811027058</v>
      </c>
      <c r="AN95" s="510">
        <f>AH95/AK95</f>
        <v>0.274114562820508</v>
      </c>
      <c r="AO95" s="510">
        <f>AI95/AK95</f>
        <v>0.13969870821314445</v>
      </c>
      <c r="AP95" s="510">
        <f>AJ95/AK95</f>
        <v>0.1214682808560769</v>
      </c>
      <c r="AQ95" s="510">
        <f>SUM(AM95:AP95)</f>
        <v>0.99999999999999989</v>
      </c>
      <c r="AR95" s="1490">
        <f>($H$95*$C$76*AM95-0.5*X95)*(1-AD95)</f>
        <v>47.321656818861349</v>
      </c>
      <c r="AS95" s="1491">
        <f>($H$95*$D$76-0.5*X95)*(1-AD95)*AM95</f>
        <v>60.016663087128173</v>
      </c>
      <c r="AT95" s="1491">
        <f>($H$95*$E$76*AM95-(Q95-$Q$95))*(1-AD95)</f>
        <v>11.632264519473155</v>
      </c>
      <c r="AU95" s="1491">
        <f>$H$95*$F$76*(1-AD95)*AM95</f>
        <v>0</v>
      </c>
      <c r="AV95" s="1491">
        <f>$H$95*$G$76*(1-AD95)*AM95</f>
        <v>0</v>
      </c>
      <c r="AW95" s="1491">
        <f>$H$95*$H$76*(1-AD95)*AM95</f>
        <v>0</v>
      </c>
      <c r="AX95" s="1492">
        <f>$H$95*$I$76*(1-AD95)*$AM$95</f>
        <v>49.510847715298119</v>
      </c>
      <c r="AY95" s="1491">
        <f>($H$95*$J$76*AM95-(R95-$R$95))*(1-AD95)</f>
        <v>7.1581397336128587</v>
      </c>
      <c r="AZ95" s="1491">
        <f>($H$95*$K$76*AM95-(S95-$S$95))*(1-AD95)</f>
        <v>10.404319152730528</v>
      </c>
      <c r="BA95" s="1491">
        <f>($H$95*$L$76*AM95-(T95-$T$95))*(1-AD95)</f>
        <v>9.146222458533865</v>
      </c>
      <c r="BB95" s="1491">
        <f>($H$95*$M$76*AM95-(U95-$U$95))*(1-AB95)</f>
        <v>1.9727916879297922</v>
      </c>
      <c r="BC95" s="813">
        <f>SUM(AR95:BB95)</f>
        <v>197.16290517356785</v>
      </c>
      <c r="BD95" s="922">
        <f>BC95-AG95</f>
        <v>0</v>
      </c>
      <c r="BE95" s="840">
        <f>AR95/BC95</f>
        <v>0.24001298204245272</v>
      </c>
      <c r="BF95" s="535">
        <f>AS95/BC95</f>
        <v>0.30440139352934509</v>
      </c>
      <c r="BG95" s="535">
        <f>AT95/BC95</f>
        <v>5.8998240613430591E-2</v>
      </c>
      <c r="BH95" s="535">
        <f>AU95/BC95</f>
        <v>0</v>
      </c>
      <c r="BI95" s="535">
        <f>AV95/BC95</f>
        <v>0</v>
      </c>
      <c r="BJ95" s="535">
        <f>AW95/BC95</f>
        <v>0</v>
      </c>
      <c r="BK95" s="535">
        <f>SUM(AX95:BB95)/BC95</f>
        <v>0.3965873838147716</v>
      </c>
      <c r="BL95" s="1342">
        <f>SUM(BE95:BK95)</f>
        <v>1</v>
      </c>
      <c r="BM95" s="1237">
        <f>'Input data'!M115</f>
        <v>0.19892488097366726</v>
      </c>
      <c r="BN95" s="713">
        <f>'Input data'!N115</f>
        <v>0.26585903447659598</v>
      </c>
      <c r="BO95" s="713">
        <f>'Input data'!O115</f>
        <v>8.9228108703258049E-2</v>
      </c>
      <c r="BP95" s="713">
        <f>'Input data'!P115</f>
        <v>0</v>
      </c>
      <c r="BQ95" s="713">
        <f>'Input data'!Q115</f>
        <v>0</v>
      </c>
      <c r="BR95" s="713">
        <f>'Input data'!R115</f>
        <v>0</v>
      </c>
      <c r="BS95" s="713">
        <f>'Input data'!S115</f>
        <v>0.4459879758464787</v>
      </c>
      <c r="BT95" s="658">
        <f>SUM(BM95:BS95)</f>
        <v>1</v>
      </c>
      <c r="BV95" s="671">
        <f t="shared" ref="BV95:BV128" si="24">(AK95*B95+C135*W135)*1000/10^6</f>
        <v>109.87635423856577</v>
      </c>
      <c r="BW95" s="713">
        <f>(B95*(AK95-AM95*AK95)+C135*(AC135-AC135*AE135))/(AK95*B95*AM95+AC135*C135*AE135)</f>
        <v>0.29713182575222163</v>
      </c>
      <c r="BX95" s="696">
        <f t="shared" ref="BX95:BX128" si="25">D135/10^6</f>
        <v>49.995050999999997</v>
      </c>
      <c r="BY95" s="671">
        <f t="shared" ref="BY95:BY128" si="26">(AK95*B95+C175*W175)*1000/10^6</f>
        <v>109.87635423856577</v>
      </c>
      <c r="BZ95" s="713">
        <f>(B175*(AK95-AM95*AK95)+C175*(AC175-AC175*AE175))/(AK95*B175*AM95+AC175*C175*AE175)</f>
        <v>0.29713182575222163</v>
      </c>
      <c r="CA95" s="696">
        <f t="shared" ref="CA95:CA128" si="27">D175/10^6</f>
        <v>49.995050999999997</v>
      </c>
      <c r="CB95" s="713">
        <f t="shared" ref="CB95:CB128" si="28">AD95</f>
        <v>0</v>
      </c>
      <c r="CC95" s="713">
        <f t="shared" ref="CC95:CC128" si="29">U135</f>
        <v>0</v>
      </c>
      <c r="CD95" s="713">
        <f>AD95</f>
        <v>0</v>
      </c>
      <c r="CE95" s="1001">
        <f>U175</f>
        <v>0</v>
      </c>
    </row>
    <row r="96" spans="1:83">
      <c r="A96" s="127">
        <f>'Input data'!A116</f>
        <v>2018</v>
      </c>
      <c r="B96" s="828">
        <f>'Input data'!B116</f>
        <v>57.436</v>
      </c>
      <c r="C96" s="238">
        <f>'Input data'!C116</f>
        <v>3152.24</v>
      </c>
      <c r="D96" s="238">
        <f>'Input data'!D116</f>
        <v>48694518.38623029</v>
      </c>
      <c r="E96" s="1237">
        <f>($E$108-$E$95)/($A$108-$A$95)+E95</f>
        <v>0.73673846153846156</v>
      </c>
      <c r="F96" s="713">
        <f>($F$108-$F$95)/($A$108-$A$95)+F95</f>
        <v>0.29578461538461537</v>
      </c>
      <c r="G96" s="1238">
        <f>B96*F96*'Input data'!$C$9</f>
        <v>519.97374548094456</v>
      </c>
      <c r="H96" s="673">
        <f>'Input data'!I116</f>
        <v>424.26313389388866</v>
      </c>
      <c r="I96" s="672">
        <f>'Input data'!K116</f>
        <v>24367.97735832939</v>
      </c>
      <c r="J96" s="696">
        <f>J95*0.94</f>
        <v>185.33313086315383</v>
      </c>
      <c r="K96" s="674">
        <f>$J$95-J96</f>
        <v>11.829774310414081</v>
      </c>
      <c r="L96" s="510">
        <f t="shared" ref="L96:L107" si="30">($L$108-$L$95)/($A$108-$A$95)+L95</f>
        <v>0.58923076923076922</v>
      </c>
      <c r="M96" s="510">
        <f t="shared" ref="M96:M107" si="31">($M$108-$M$95)/($A$108-$A$95)+M95</f>
        <v>0.44953846153846155</v>
      </c>
      <c r="N96" s="510">
        <f t="shared" ref="N96:N107" si="32">($N$108-$N$95)/($A$108-$A$95)+N95</f>
        <v>0.72646153846153849</v>
      </c>
      <c r="O96" s="510">
        <f t="shared" ref="O96:O107" si="33">($O$108-$O$95)/($A$108-$A$95)+O95</f>
        <v>0.80769230769230771</v>
      </c>
      <c r="P96" s="510">
        <f t="shared" ref="P96:P107" si="34">($P$108-$P$95)/($A$108-$A$95)+P95</f>
        <v>0.23600000000000002</v>
      </c>
      <c r="Q96" s="654">
        <f t="shared" ref="Q96:Q126" si="35">H96*$E$75*L96</f>
        <v>22.306036096061167</v>
      </c>
      <c r="R96" s="673">
        <f t="shared" ref="R96:R128" si="36">H96*$J$75*M96</f>
        <v>8.7427445352732729</v>
      </c>
      <c r="S96" s="673">
        <f t="shared" si="14"/>
        <v>35.872017950102666</v>
      </c>
      <c r="T96" s="673">
        <f t="shared" si="15"/>
        <v>50.487017484306747</v>
      </c>
      <c r="U96" s="802">
        <f t="shared" si="16"/>
        <v>0.67710709475193609</v>
      </c>
      <c r="V96" s="654">
        <f t="shared" si="17"/>
        <v>118.08492316049579</v>
      </c>
      <c r="W96" s="805">
        <v>0.05</v>
      </c>
      <c r="X96" s="671">
        <f t="shared" si="18"/>
        <v>5.3669159952994772</v>
      </c>
      <c r="Y96" s="671">
        <f>X96+(V96-$V$95)</f>
        <v>7.1551356876133081</v>
      </c>
      <c r="Z96" s="672">
        <f>$J$95-Y96</f>
        <v>190.00776948595461</v>
      </c>
      <c r="AA96" s="696">
        <f>K96-Y96</f>
        <v>4.6746386228007726</v>
      </c>
      <c r="AB96" s="893">
        <f t="shared" ref="AB96:AB128" si="37">AA96/Z96</f>
        <v>2.4602355132358533E-2</v>
      </c>
      <c r="AC96" s="135" t="str">
        <f t="shared" ref="AC96:AC128" si="38">IF(AND(AB96&gt;=0,AB96&lt;=0.85),"Policies met","Policies not met")</f>
        <v>Policies met</v>
      </c>
      <c r="AD96" s="1353">
        <f t="shared" ref="AD96:AD128" si="39">IF(AB96&lt;=0,0,IF(AB96&gt;=0.85,0.85,AB96))</f>
        <v>2.4602355132358533E-2</v>
      </c>
      <c r="AE96" s="135" t="str">
        <f t="shared" ref="AE96:AE128" si="40">IF(AND(AB96&gt;=0,AB96&lt;=0.85),"No","Yes")</f>
        <v>No</v>
      </c>
      <c r="AF96" s="1420">
        <f t="shared" ref="AF96:AF128" si="41">$H$95*(1-AD96)</f>
        <v>413.82526160426386</v>
      </c>
      <c r="AG96" s="238">
        <f t="shared" ref="AG96:AG128" si="42">Z96-Z96*AD96</f>
        <v>185.33313086315383</v>
      </c>
      <c r="AH96" s="238">
        <f t="shared" si="21"/>
        <v>115.179755945124</v>
      </c>
      <c r="AI96" s="828">
        <f t="shared" si="22"/>
        <v>63.045731694099814</v>
      </c>
      <c r="AJ96" s="828">
        <f t="shared" si="23"/>
        <v>50.266643101886224</v>
      </c>
      <c r="AK96" s="238">
        <f t="shared" ref="AK96:AK128" si="43">SUM(AG96:AJ96)</f>
        <v>413.82526160426386</v>
      </c>
      <c r="AL96" s="238">
        <f t="shared" ref="AL96:AL128" si="44">AF96-AK96</f>
        <v>0</v>
      </c>
      <c r="AM96" s="805">
        <f t="shared" ref="AM96:AM128" si="45">AG96/AK96</f>
        <v>0.44785359440039618</v>
      </c>
      <c r="AN96" s="510">
        <f t="shared" ref="AN96:AN128" si="46">AH96/AK96</f>
        <v>0.2783294463431501</v>
      </c>
      <c r="AO96" s="510">
        <f t="shared" ref="AO96:AO128" si="47">AI96/AK96</f>
        <v>0.15234867840037686</v>
      </c>
      <c r="AP96" s="510">
        <f t="shared" ref="AP96:AP128" si="48">AJ96/AK96</f>
        <v>0.12146828085607692</v>
      </c>
      <c r="AQ96" s="510">
        <f t="shared" ref="AQ96:AQ128" si="49">SUM(AM96:AP96)</f>
        <v>1.0000000000000002</v>
      </c>
      <c r="AR96" s="916">
        <f>($AR$95-0.5*X96)*(1-AD96)</f>
        <v>43.539994001343331</v>
      </c>
      <c r="AS96" s="917">
        <f>($AS$95-0.5*X96)*(1-AD96)</f>
        <v>55.922673216990738</v>
      </c>
      <c r="AT96" s="917">
        <f>($AT$95-(Q96-$Q$95))*(1-AD96)</f>
        <v>11.005238689756963</v>
      </c>
      <c r="AU96" s="917">
        <f>$H$95*$F$76*(1-AD96)</f>
        <v>0</v>
      </c>
      <c r="AV96" s="917">
        <f>$H$95*$G$76*(1-AD96)</f>
        <v>0</v>
      </c>
      <c r="AW96" s="917">
        <f>$H$95*$H$76*(1-AD96)</f>
        <v>0</v>
      </c>
      <c r="AX96" s="1338">
        <f>$H$95*$I$76*(1-AD96)*$AM$95</f>
        <v>48.292764256902231</v>
      </c>
      <c r="AY96" s="917">
        <f>($AY$95-(R96-$R$95))*(1-AD96)</f>
        <v>6.7441805936533781</v>
      </c>
      <c r="AZ96" s="917">
        <f>($AZ$95-(S96-$S$95))*(1-AD96)</f>
        <v>9.451819111373462</v>
      </c>
      <c r="BA96" s="917">
        <f>($BA$95-(T96-$T$95))*(1-AD96)</f>
        <v>8.4522046269124758</v>
      </c>
      <c r="BB96" s="917">
        <f>($BB$95-(U96-$U$95))*(1-AD96)</f>
        <v>1.9242563662211785</v>
      </c>
      <c r="BC96" s="673">
        <f t="shared" ref="BC96:BC128" si="50">SUM(AR96:BB96)</f>
        <v>185.33313086315374</v>
      </c>
      <c r="BD96" s="922">
        <f t="shared" ref="BD96:BD128" si="51">BC96-AG96</f>
        <v>0</v>
      </c>
      <c r="BE96" s="840">
        <f t="shared" ref="BE96:BE128" si="52">AR96/BC96</f>
        <v>0.23492828183802922</v>
      </c>
      <c r="BF96" s="535">
        <f t="shared" ref="BF96:BF128" si="53">AS96/BC96</f>
        <v>0.30174137217960728</v>
      </c>
      <c r="BG96" s="535">
        <f t="shared" ref="BG96:BG128" si="54">AT96/BC96</f>
        <v>5.9380849168749056E-2</v>
      </c>
      <c r="BH96" s="535">
        <f t="shared" ref="BH96:BH128" si="55">AU96/BC96</f>
        <v>0</v>
      </c>
      <c r="BI96" s="535">
        <f t="shared" ref="BI96:BI128" si="56">AV96/BC96</f>
        <v>0</v>
      </c>
      <c r="BJ96" s="535">
        <f t="shared" ref="BJ96:BJ128" si="57">AW96/BC96</f>
        <v>0</v>
      </c>
      <c r="BK96" s="535">
        <f t="shared" ref="BK96:BK128" si="58">SUM(AX96:BB96)/BC96</f>
        <v>0.40394949681361447</v>
      </c>
      <c r="BL96" s="1342">
        <f t="shared" ref="BL96:BL128" si="59">SUM(BE96:BK96)</f>
        <v>1</v>
      </c>
      <c r="BM96" s="1237">
        <f>BM95</f>
        <v>0.19892488097366726</v>
      </c>
      <c r="BN96" s="713">
        <f t="shared" ref="BN96:BS111" si="60">BN95</f>
        <v>0.26585903447659598</v>
      </c>
      <c r="BO96" s="713">
        <f t="shared" si="60"/>
        <v>8.9228108703258049E-2</v>
      </c>
      <c r="BP96" s="713">
        <f t="shared" si="60"/>
        <v>0</v>
      </c>
      <c r="BQ96" s="713">
        <f t="shared" si="60"/>
        <v>0</v>
      </c>
      <c r="BR96" s="713">
        <f t="shared" si="60"/>
        <v>0</v>
      </c>
      <c r="BS96" s="713">
        <f t="shared" si="60"/>
        <v>0.4459879758464787</v>
      </c>
      <c r="BT96" s="658">
        <f>SUM(BM96:BS96)</f>
        <v>1</v>
      </c>
      <c r="BV96" s="671">
        <f t="shared" si="24"/>
        <v>107.13689986433511</v>
      </c>
      <c r="BW96" s="713">
        <f t="shared" ref="BW96:BW128" si="61">(B96*(AK96-AM96*AK96)+C136*(AC136-AC136*AE136))/(AK96*B96*AM96+AC136*C136*AE136)</f>
        <v>0.33094972611810003</v>
      </c>
      <c r="BX96" s="696">
        <f t="shared" si="25"/>
        <v>48.694518386230293</v>
      </c>
      <c r="BY96" s="671">
        <f t="shared" si="26"/>
        <v>107.13689986433511</v>
      </c>
      <c r="BZ96" s="713">
        <f t="shared" ref="BZ96:BZ128" si="62">(B176*(AK96-AM96*AK96)+C176*(AC176-AC176*AE176))/(AK96*B176*AM96+AC176*C176*AE176)</f>
        <v>0.33094972611810003</v>
      </c>
      <c r="CA96" s="696">
        <f t="shared" si="27"/>
        <v>48.694518386230293</v>
      </c>
      <c r="CB96" s="713">
        <f t="shared" si="28"/>
        <v>2.4602355132358533E-2</v>
      </c>
      <c r="CC96" s="713">
        <f t="shared" si="29"/>
        <v>4.389506794913843E-2</v>
      </c>
      <c r="CD96" s="713">
        <f t="shared" ref="CD96:CD128" si="63">AD96</f>
        <v>2.4602355132358533E-2</v>
      </c>
      <c r="CE96" s="1001">
        <f t="shared" ref="CE96:CE128" si="64">U176</f>
        <v>4.389506794913843E-2</v>
      </c>
    </row>
    <row r="97" spans="1:83">
      <c r="A97" s="127">
        <f>'Input data'!A117</f>
        <v>2019</v>
      </c>
      <c r="B97" s="828">
        <f>'Input data'!B117</f>
        <v>58.365000000000002</v>
      </c>
      <c r="C97" s="238">
        <f>'Input data'!C117</f>
        <v>3179.2899999999995</v>
      </c>
      <c r="D97" s="238">
        <f>'Input data'!D117</f>
        <v>47939972.084890619</v>
      </c>
      <c r="E97" s="1237">
        <f t="shared" ref="E97:E107" si="65">($E$108-$E$95)/($A$108-$A$95)+E96</f>
        <v>0.75867692307692314</v>
      </c>
      <c r="F97" s="713">
        <f t="shared" ref="F97:F107" si="66">($F$108-$F$95)/($A$108-$A$95)+F96</f>
        <v>0.30196923076923077</v>
      </c>
      <c r="G97" s="1238">
        <f>B97*F97*'Input data'!$C$9</f>
        <v>539.43215426439122</v>
      </c>
      <c r="H97" s="673">
        <f>'Input data'!I117</f>
        <v>424.26313389388866</v>
      </c>
      <c r="I97" s="672">
        <f>'Input data'!K117</f>
        <v>24762.117809716812</v>
      </c>
      <c r="J97" s="672">
        <f>J95*0.89</f>
        <v>175.47498560447545</v>
      </c>
      <c r="K97" s="674">
        <f t="shared" ref="K97:K128" si="67">$J$95-J97</f>
        <v>21.687919569092458</v>
      </c>
      <c r="L97" s="510">
        <f t="shared" si="30"/>
        <v>0.59846153846153849</v>
      </c>
      <c r="M97" s="510">
        <f t="shared" si="31"/>
        <v>0.46207692307692311</v>
      </c>
      <c r="N97" s="510">
        <f t="shared" si="32"/>
        <v>0.74092307692307691</v>
      </c>
      <c r="O97" s="510">
        <f t="shared" si="33"/>
        <v>0.81538461538461537</v>
      </c>
      <c r="P97" s="510">
        <f t="shared" si="34"/>
        <v>0.23600000000000002</v>
      </c>
      <c r="Q97" s="654">
        <f t="shared" si="35"/>
        <v>22.655477914798421</v>
      </c>
      <c r="R97" s="673">
        <f t="shared" si="36"/>
        <v>8.9865958972256248</v>
      </c>
      <c r="S97" s="673">
        <f t="shared" si="14"/>
        <v>36.586115723781113</v>
      </c>
      <c r="T97" s="673">
        <f t="shared" si="15"/>
        <v>50.967846222252525</v>
      </c>
      <c r="U97" s="802">
        <f t="shared" si="16"/>
        <v>0.67710709475193609</v>
      </c>
      <c r="V97" s="654">
        <f t="shared" si="17"/>
        <v>119.87314285280962</v>
      </c>
      <c r="W97" s="805">
        <v>0.1</v>
      </c>
      <c r="X97" s="671">
        <f t="shared" si="18"/>
        <v>10.733831990598954</v>
      </c>
      <c r="Y97" s="671">
        <f t="shared" si="19"/>
        <v>14.310271375226616</v>
      </c>
      <c r="Z97" s="672">
        <f t="shared" ref="Z97:Z128" si="68">$J$95-Y97</f>
        <v>182.85263379834129</v>
      </c>
      <c r="AA97" s="696">
        <f t="shared" si="20"/>
        <v>7.3776481938658414</v>
      </c>
      <c r="AB97" s="893">
        <f t="shared" si="37"/>
        <v>4.0347508485998995E-2</v>
      </c>
      <c r="AC97" s="135" t="str">
        <f t="shared" si="38"/>
        <v>Policies met</v>
      </c>
      <c r="AD97" s="1353">
        <f t="shared" si="39"/>
        <v>4.0347508485998995E-2</v>
      </c>
      <c r="AE97" s="135" t="str">
        <f t="shared" si="40"/>
        <v>No</v>
      </c>
      <c r="AF97" s="1420">
        <f t="shared" si="41"/>
        <v>407.14517349880845</v>
      </c>
      <c r="AG97" s="238">
        <f t="shared" si="42"/>
        <v>175.47498560447545</v>
      </c>
      <c r="AH97" s="238">
        <f t="shared" si="21"/>
        <v>115.03656020431252</v>
      </c>
      <c r="AI97" s="828">
        <f t="shared" si="22"/>
        <v>67.178403406271102</v>
      </c>
      <c r="AJ97" s="828">
        <f t="shared" si="23"/>
        <v>49.45522428374943</v>
      </c>
      <c r="AK97" s="238">
        <f t="shared" si="43"/>
        <v>407.1451734988085</v>
      </c>
      <c r="AL97" s="238">
        <f t="shared" si="44"/>
        <v>0</v>
      </c>
      <c r="AM97" s="805">
        <f t="shared" si="45"/>
        <v>0.43098874069052173</v>
      </c>
      <c r="AN97" s="510">
        <f t="shared" si="46"/>
        <v>0.28254432986579214</v>
      </c>
      <c r="AO97" s="510">
        <f t="shared" si="47"/>
        <v>0.16499864858760924</v>
      </c>
      <c r="AP97" s="510">
        <f t="shared" si="48"/>
        <v>0.1214682808560769</v>
      </c>
      <c r="AQ97" s="510">
        <f t="shared" si="49"/>
        <v>1</v>
      </c>
      <c r="AR97" s="916">
        <f t="shared" ref="AR97:AR128" si="69">($AR$95-0.5*X97)*(1-AD97)</f>
        <v>40.261971562155317</v>
      </c>
      <c r="AS97" s="917">
        <f t="shared" ref="AS97:AS128" si="70">($AS$95-0.5*X97)*(1-AD97)</f>
        <v>52.444765957283437</v>
      </c>
      <c r="AT97" s="917">
        <f t="shared" ref="AT97:AT128" si="71">($AT$95-(Q97-$Q$95))*(1-AD97)</f>
        <v>10.49224620408155</v>
      </c>
      <c r="AU97" s="917">
        <f t="shared" ref="AU97:AU128" si="72">$H$95*$F$76*(1-AD97)</f>
        <v>0</v>
      </c>
      <c r="AV97" s="917">
        <f t="shared" ref="AV97:AV128" si="73">$H$95*$G$76*(1-AD97)</f>
        <v>0</v>
      </c>
      <c r="AW97" s="917">
        <f t="shared" ref="AW97:AW128" si="74">$H$95*$H$76*(1-AD97)</f>
        <v>0</v>
      </c>
      <c r="AX97" s="1338">
        <f t="shared" ref="AX97:AX128" si="75">$H$95*$I$76*(1-AD97)*$AM$95</f>
        <v>47.513208366956128</v>
      </c>
      <c r="AY97" s="917">
        <f t="shared" ref="AY97:AY128" si="76">($AY$95-(R97-$R$95))*(1-AD97)</f>
        <v>6.401301495853633</v>
      </c>
      <c r="AZ97" s="917">
        <f t="shared" ref="AZ97:AZ128" si="77">($AZ$95-(S97-$S$95))*(1-AD97)</f>
        <v>8.6139593820344391</v>
      </c>
      <c r="BA97" s="917">
        <f t="shared" ref="BA97:BA128" si="78">($BA$95-(T97-$T$95))*(1-AD97)</f>
        <v>7.8543381775509449</v>
      </c>
      <c r="BB97" s="917">
        <f t="shared" ref="BB97:BB128" si="79">($BB$95-(U97-$U$95))*(1-AD97)</f>
        <v>1.8931944585599367</v>
      </c>
      <c r="BC97" s="673">
        <f t="shared" si="50"/>
        <v>175.47498560447539</v>
      </c>
      <c r="BD97" s="922">
        <f t="shared" si="51"/>
        <v>0</v>
      </c>
      <c r="BE97" s="840">
        <f t="shared" si="52"/>
        <v>0.22944564675962828</v>
      </c>
      <c r="BF97" s="535">
        <f t="shared" si="53"/>
        <v>0.29887317429673499</v>
      </c>
      <c r="BG97" s="535">
        <f t="shared" si="54"/>
        <v>5.9793401138845577E-2</v>
      </c>
      <c r="BH97" s="535">
        <f t="shared" si="55"/>
        <v>0</v>
      </c>
      <c r="BI97" s="535">
        <f t="shared" si="56"/>
        <v>0</v>
      </c>
      <c r="BJ97" s="535">
        <f t="shared" si="57"/>
        <v>0</v>
      </c>
      <c r="BK97" s="535">
        <f t="shared" si="58"/>
        <v>0.41188777780479113</v>
      </c>
      <c r="BL97" s="1342">
        <f t="shared" si="59"/>
        <v>1</v>
      </c>
      <c r="BM97" s="1237">
        <f t="shared" ref="BM97:BS112" si="80">BM96</f>
        <v>0.19892488097366726</v>
      </c>
      <c r="BN97" s="713">
        <f t="shared" si="60"/>
        <v>0.26585903447659598</v>
      </c>
      <c r="BO97" s="713">
        <f t="shared" si="60"/>
        <v>8.9228108703258049E-2</v>
      </c>
      <c r="BP97" s="713">
        <f t="shared" si="60"/>
        <v>0</v>
      </c>
      <c r="BQ97" s="713">
        <f t="shared" si="60"/>
        <v>0</v>
      </c>
      <c r="BR97" s="713">
        <f t="shared" si="60"/>
        <v>0</v>
      </c>
      <c r="BS97" s="713">
        <f t="shared" si="60"/>
        <v>0.4459879758464787</v>
      </c>
      <c r="BT97" s="658">
        <f t="shared" ref="BT97:BT128" si="81">SUM(BM97:BS97)</f>
        <v>1</v>
      </c>
      <c r="BV97" s="671">
        <f t="shared" si="24"/>
        <v>105.13531555556591</v>
      </c>
      <c r="BW97" s="713">
        <f t="shared" si="61"/>
        <v>0.36636274579971234</v>
      </c>
      <c r="BX97" s="696">
        <f t="shared" si="25"/>
        <v>47.93997208489062</v>
      </c>
      <c r="BY97" s="671">
        <f t="shared" si="26"/>
        <v>104.96629682486173</v>
      </c>
      <c r="BZ97" s="713">
        <f t="shared" si="62"/>
        <v>0.36416613949519694</v>
      </c>
      <c r="CA97" s="696">
        <f t="shared" si="27"/>
        <v>48.694518386230293</v>
      </c>
      <c r="CB97" s="713">
        <f t="shared" si="28"/>
        <v>4.0347508485998995E-2</v>
      </c>
      <c r="CC97" s="713">
        <f t="shared" si="29"/>
        <v>8.597456529739074E-2</v>
      </c>
      <c r="CD97" s="713">
        <f t="shared" si="63"/>
        <v>4.0347508485998995E-2</v>
      </c>
      <c r="CE97" s="1001">
        <f t="shared" si="64"/>
        <v>0.11122444462222213</v>
      </c>
    </row>
    <row r="98" spans="1:83">
      <c r="A98" s="127">
        <f>'Input data'!A118</f>
        <v>2020</v>
      </c>
      <c r="B98" s="828">
        <f>'Input data'!B118</f>
        <v>59.308999999999997</v>
      </c>
      <c r="C98" s="238">
        <f>'Input data'!C118</f>
        <v>2948.9199999999987</v>
      </c>
      <c r="D98" s="238">
        <f>'Input data'!D118</f>
        <v>45386383.927997284</v>
      </c>
      <c r="E98" s="1237">
        <f t="shared" si="65"/>
        <v>0.78061538461538471</v>
      </c>
      <c r="F98" s="713">
        <f t="shared" si="66"/>
        <v>0.30815384615384617</v>
      </c>
      <c r="G98" s="1238">
        <f>B98*F98*'Input data'!$C$9</f>
        <v>559.38374453121867</v>
      </c>
      <c r="H98" s="673">
        <f>'Input data'!I118</f>
        <v>424.26313389388866</v>
      </c>
      <c r="I98" s="672">
        <f>'Input data'!K118</f>
        <v>25162.622208112643</v>
      </c>
      <c r="J98" s="672">
        <f>J95*0.81</f>
        <v>159.70195319059002</v>
      </c>
      <c r="K98" s="674">
        <f t="shared" si="67"/>
        <v>37.460951982977889</v>
      </c>
      <c r="L98" s="510">
        <f t="shared" si="30"/>
        <v>0.60769230769230775</v>
      </c>
      <c r="M98" s="510">
        <f t="shared" si="31"/>
        <v>0.47461538461538466</v>
      </c>
      <c r="N98" s="510">
        <f t="shared" si="32"/>
        <v>0.75538461538461532</v>
      </c>
      <c r="O98" s="510">
        <f t="shared" si="33"/>
        <v>0.82307692307692304</v>
      </c>
      <c r="P98" s="510">
        <f t="shared" si="34"/>
        <v>0.23600000000000002</v>
      </c>
      <c r="Q98" s="654">
        <f t="shared" si="35"/>
        <v>23.004919733535672</v>
      </c>
      <c r="R98" s="673">
        <f t="shared" si="36"/>
        <v>9.2304472591779767</v>
      </c>
      <c r="S98" s="673">
        <f t="shared" si="14"/>
        <v>37.300213497459566</v>
      </c>
      <c r="T98" s="673">
        <f t="shared" si="15"/>
        <v>51.448674960198304</v>
      </c>
      <c r="U98" s="802">
        <f t="shared" si="16"/>
        <v>0.67710709475193609</v>
      </c>
      <c r="V98" s="654">
        <f t="shared" si="17"/>
        <v>121.66136254512345</v>
      </c>
      <c r="W98" s="805">
        <f>($N$140-$N$135)/($A$100-$A$95)+W97</f>
        <v>0.2</v>
      </c>
      <c r="X98" s="671">
        <f t="shared" si="18"/>
        <v>21.467663981197909</v>
      </c>
      <c r="Y98" s="671">
        <f t="shared" si="19"/>
        <v>26.832323058139401</v>
      </c>
      <c r="Z98" s="672">
        <f t="shared" si="68"/>
        <v>170.33058211542851</v>
      </c>
      <c r="AA98" s="696">
        <f t="shared" si="20"/>
        <v>10.628628924838488</v>
      </c>
      <c r="AB98" s="893">
        <f t="shared" si="37"/>
        <v>6.2400003527468412E-2</v>
      </c>
      <c r="AC98" s="135" t="str">
        <f t="shared" si="38"/>
        <v>Policies met</v>
      </c>
      <c r="AD98" s="1353">
        <f t="shared" si="39"/>
        <v>6.2400003527468412E-2</v>
      </c>
      <c r="AE98" s="135" t="str">
        <f t="shared" si="40"/>
        <v>No</v>
      </c>
      <c r="AF98" s="1420">
        <f t="shared" si="41"/>
        <v>397.78911284233521</v>
      </c>
      <c r="AG98" s="238">
        <f t="shared" si="42"/>
        <v>159.70195319059002</v>
      </c>
      <c r="AH98" s="238">
        <f t="shared" si="21"/>
        <v>114.06969309315113</v>
      </c>
      <c r="AI98" s="828">
        <f t="shared" si="22"/>
        <v>75.698706878371638</v>
      </c>
      <c r="AJ98" s="828">
        <f t="shared" si="23"/>
        <v>48.318759680222442</v>
      </c>
      <c r="AK98" s="238">
        <f t="shared" si="43"/>
        <v>397.78911284233521</v>
      </c>
      <c r="AL98" s="238">
        <f t="shared" si="44"/>
        <v>0</v>
      </c>
      <c r="AM98" s="805">
        <f t="shared" si="45"/>
        <v>0.40147391679341488</v>
      </c>
      <c r="AN98" s="510">
        <f t="shared" si="46"/>
        <v>0.28675921338843419</v>
      </c>
      <c r="AO98" s="510">
        <f t="shared" si="47"/>
        <v>0.19029858896207405</v>
      </c>
      <c r="AP98" s="510">
        <f t="shared" si="48"/>
        <v>0.1214682808560769</v>
      </c>
      <c r="AQ98" s="510">
        <f t="shared" si="49"/>
        <v>1</v>
      </c>
      <c r="AR98" s="916">
        <f t="shared" si="69"/>
        <v>34.304744429916425</v>
      </c>
      <c r="AS98" s="917">
        <f t="shared" si="70"/>
        <v>46.207582262262164</v>
      </c>
      <c r="AT98" s="917">
        <f t="shared" si="71"/>
        <v>9.9235012283793758</v>
      </c>
      <c r="AU98" s="917">
        <f t="shared" si="72"/>
        <v>0</v>
      </c>
      <c r="AV98" s="917">
        <f t="shared" si="73"/>
        <v>0</v>
      </c>
      <c r="AW98" s="917">
        <f t="shared" si="74"/>
        <v>0</v>
      </c>
      <c r="AX98" s="1338">
        <f t="shared" si="75"/>
        <v>46.421370643215567</v>
      </c>
      <c r="AY98" s="917">
        <f t="shared" si="76"/>
        <v>6.0255666806662624</v>
      </c>
      <c r="AZ98" s="917">
        <f t="shared" si="77"/>
        <v>7.7464753906533605</v>
      </c>
      <c r="BA98" s="917">
        <f t="shared" si="78"/>
        <v>7.2230230758527876</v>
      </c>
      <c r="BB98" s="917">
        <f t="shared" si="79"/>
        <v>1.8496894796440126</v>
      </c>
      <c r="BC98" s="673">
        <f t="shared" si="50"/>
        <v>159.70195319058993</v>
      </c>
      <c r="BD98" s="922">
        <f t="shared" si="51"/>
        <v>0</v>
      </c>
      <c r="BE98" s="840">
        <f t="shared" si="52"/>
        <v>0.21480478945036316</v>
      </c>
      <c r="BF98" s="535">
        <f t="shared" si="53"/>
        <v>0.28933636276268687</v>
      </c>
      <c r="BG98" s="535">
        <f t="shared" si="54"/>
        <v>6.2137632196248523E-2</v>
      </c>
      <c r="BH98" s="535">
        <f t="shared" si="55"/>
        <v>0</v>
      </c>
      <c r="BI98" s="535">
        <f t="shared" si="56"/>
        <v>0</v>
      </c>
      <c r="BJ98" s="535">
        <f t="shared" si="57"/>
        <v>0</v>
      </c>
      <c r="BK98" s="535">
        <f t="shared" si="58"/>
        <v>0.43372121559070159</v>
      </c>
      <c r="BL98" s="1342">
        <f t="shared" si="59"/>
        <v>1.0000000000000002</v>
      </c>
      <c r="BM98" s="1237">
        <f t="shared" si="80"/>
        <v>0.19892488097366726</v>
      </c>
      <c r="BN98" s="713">
        <f t="shared" si="60"/>
        <v>0.26585903447659598</v>
      </c>
      <c r="BO98" s="713">
        <f t="shared" si="60"/>
        <v>8.9228108703258049E-2</v>
      </c>
      <c r="BP98" s="713">
        <f t="shared" si="60"/>
        <v>0</v>
      </c>
      <c r="BQ98" s="713">
        <f t="shared" si="60"/>
        <v>0</v>
      </c>
      <c r="BR98" s="713">
        <f t="shared" si="60"/>
        <v>0</v>
      </c>
      <c r="BS98" s="713">
        <f t="shared" si="60"/>
        <v>0.4459879758464787</v>
      </c>
      <c r="BT98" s="658">
        <f t="shared" si="81"/>
        <v>1</v>
      </c>
      <c r="BV98" s="671">
        <f t="shared" si="24"/>
        <v>93.422486520701057</v>
      </c>
      <c r="BW98" s="713">
        <f t="shared" si="61"/>
        <v>0.42020821693168348</v>
      </c>
      <c r="BX98" s="696">
        <f t="shared" si="25"/>
        <v>45.386383927997286</v>
      </c>
      <c r="BY98" s="671">
        <f t="shared" si="26"/>
        <v>92.700137974946699</v>
      </c>
      <c r="BZ98" s="713">
        <f t="shared" si="62"/>
        <v>0.40922707761099464</v>
      </c>
      <c r="CA98" s="696">
        <f t="shared" si="27"/>
        <v>48.694518386230293</v>
      </c>
      <c r="CB98" s="713">
        <f t="shared" si="28"/>
        <v>6.2400003527468412E-2</v>
      </c>
      <c r="CC98" s="713">
        <f t="shared" si="29"/>
        <v>0.27951549340438347</v>
      </c>
      <c r="CD98" s="713">
        <f t="shared" si="63"/>
        <v>6.2400003527468412E-2</v>
      </c>
      <c r="CE98" s="1001">
        <f t="shared" si="64"/>
        <v>0.39831539277661704</v>
      </c>
    </row>
    <row r="99" spans="1:83">
      <c r="A99" s="127">
        <f>'Input data'!A119</f>
        <v>2021</v>
      </c>
      <c r="B99" s="828">
        <f>'Input data'!B119</f>
        <v>59.991999999999997</v>
      </c>
      <c r="C99" s="238">
        <f>'Input data'!C119</f>
        <v>3014.38</v>
      </c>
      <c r="D99" s="238">
        <f>'Input data'!D119</f>
        <v>45579683.429913521</v>
      </c>
      <c r="E99" s="1237">
        <f t="shared" si="65"/>
        <v>0.80255384615384628</v>
      </c>
      <c r="F99" s="713">
        <f t="shared" si="66"/>
        <v>0.31433846153846157</v>
      </c>
      <c r="G99" s="1238">
        <f>B99*F99*'Input data'!$C$9</f>
        <v>577.18164484407419</v>
      </c>
      <c r="H99" s="673">
        <f>'Input data'!I119</f>
        <v>424.26313389388866</v>
      </c>
      <c r="I99" s="672">
        <f>'Input data'!K119</f>
        <v>25452.393928562167</v>
      </c>
      <c r="J99" s="672">
        <f>J95*0.65</f>
        <v>128.15588836281916</v>
      </c>
      <c r="K99" s="674">
        <f t="shared" si="67"/>
        <v>69.007016810748752</v>
      </c>
      <c r="L99" s="510">
        <f t="shared" si="30"/>
        <v>0.61692307692307702</v>
      </c>
      <c r="M99" s="510">
        <f t="shared" si="31"/>
        <v>0.48715384615384622</v>
      </c>
      <c r="N99" s="510">
        <f t="shared" si="32"/>
        <v>0.76984615384615374</v>
      </c>
      <c r="O99" s="510">
        <f t="shared" si="33"/>
        <v>0.8307692307692307</v>
      </c>
      <c r="P99" s="510">
        <f t="shared" si="34"/>
        <v>0.23600000000000002</v>
      </c>
      <c r="Q99" s="654">
        <f t="shared" si="35"/>
        <v>23.354361552272923</v>
      </c>
      <c r="R99" s="673">
        <f t="shared" si="36"/>
        <v>9.4742986211303286</v>
      </c>
      <c r="S99" s="673">
        <f t="shared" si="14"/>
        <v>38.014311271138013</v>
      </c>
      <c r="T99" s="673">
        <f t="shared" si="15"/>
        <v>51.929503698144082</v>
      </c>
      <c r="U99" s="802">
        <f t="shared" si="16"/>
        <v>0.67710709475193609</v>
      </c>
      <c r="V99" s="654">
        <f t="shared" si="17"/>
        <v>123.44958223743728</v>
      </c>
      <c r="W99" s="805">
        <v>0.4</v>
      </c>
      <c r="X99" s="671">
        <f t="shared" si="18"/>
        <v>42.935327962395817</v>
      </c>
      <c r="Y99" s="671">
        <f t="shared" si="19"/>
        <v>50.088206731651141</v>
      </c>
      <c r="Z99" s="672">
        <f t="shared" si="68"/>
        <v>147.07469844191678</v>
      </c>
      <c r="AA99" s="696">
        <f t="shared" si="20"/>
        <v>18.918810079097611</v>
      </c>
      <c r="AB99" s="893">
        <f t="shared" si="37"/>
        <v>0.12863402257166001</v>
      </c>
      <c r="AC99" s="135" t="str">
        <f t="shared" si="38"/>
        <v>Policies met</v>
      </c>
      <c r="AD99" s="1353">
        <f t="shared" si="39"/>
        <v>0.12863402257166001</v>
      </c>
      <c r="AE99" s="135" t="str">
        <f t="shared" si="40"/>
        <v>No</v>
      </c>
      <c r="AF99" s="1420">
        <f t="shared" si="41"/>
        <v>369.68846035225897</v>
      </c>
      <c r="AG99" s="238">
        <f t="shared" si="42"/>
        <v>128.15588836281916</v>
      </c>
      <c r="AH99" s="238">
        <f t="shared" si="21"/>
        <v>107.56976588944478</v>
      </c>
      <c r="AI99" s="828">
        <f t="shared" si="22"/>
        <v>89.057384368676239</v>
      </c>
      <c r="AJ99" s="828">
        <f t="shared" si="23"/>
        <v>44.905421731318846</v>
      </c>
      <c r="AK99" s="238">
        <f t="shared" si="43"/>
        <v>369.68846035225903</v>
      </c>
      <c r="AL99" s="238">
        <f t="shared" si="44"/>
        <v>0</v>
      </c>
      <c r="AM99" s="805">
        <f t="shared" si="45"/>
        <v>0.34665915252184321</v>
      </c>
      <c r="AN99" s="510">
        <f t="shared" si="46"/>
        <v>0.29097409691107623</v>
      </c>
      <c r="AO99" s="510">
        <f t="shared" si="47"/>
        <v>0.24089846971100362</v>
      </c>
      <c r="AP99" s="510">
        <f t="shared" si="48"/>
        <v>0.12146828085607689</v>
      </c>
      <c r="AQ99" s="510">
        <f t="shared" si="49"/>
        <v>0.99999999999999989</v>
      </c>
      <c r="AR99" s="916">
        <f t="shared" si="69"/>
        <v>22.528289739415904</v>
      </c>
      <c r="AS99" s="917">
        <f t="shared" si="70"/>
        <v>33.590286284823129</v>
      </c>
      <c r="AT99" s="917">
        <f t="shared" si="71"/>
        <v>8.917992694962436</v>
      </c>
      <c r="AU99" s="917">
        <f t="shared" si="72"/>
        <v>0</v>
      </c>
      <c r="AV99" s="917">
        <f t="shared" si="73"/>
        <v>0</v>
      </c>
      <c r="AW99" s="917">
        <f t="shared" si="74"/>
        <v>0</v>
      </c>
      <c r="AX99" s="1338">
        <f t="shared" si="75"/>
        <v>43.142068212746437</v>
      </c>
      <c r="AY99" s="917">
        <f t="shared" si="76"/>
        <v>5.3874243041288334</v>
      </c>
      <c r="AZ99" s="917">
        <f t="shared" si="77"/>
        <v>6.5770077098325386</v>
      </c>
      <c r="BA99" s="917">
        <f t="shared" si="78"/>
        <v>6.2937958594943701</v>
      </c>
      <c r="BB99" s="917">
        <f t="shared" si="79"/>
        <v>1.719023557415448</v>
      </c>
      <c r="BC99" s="673">
        <f t="shared" si="50"/>
        <v>128.1558883628191</v>
      </c>
      <c r="BD99" s="922">
        <f t="shared" si="51"/>
        <v>0</v>
      </c>
      <c r="BE99" s="840">
        <f t="shared" si="52"/>
        <v>0.17578817506720093</v>
      </c>
      <c r="BF99" s="535">
        <f t="shared" si="53"/>
        <v>0.26210489985233038</v>
      </c>
      <c r="BG99" s="535">
        <f t="shared" si="54"/>
        <v>6.9587069380026595E-2</v>
      </c>
      <c r="BH99" s="535">
        <f t="shared" si="55"/>
        <v>0</v>
      </c>
      <c r="BI99" s="535">
        <f t="shared" si="56"/>
        <v>0</v>
      </c>
      <c r="BJ99" s="535">
        <f t="shared" si="57"/>
        <v>0</v>
      </c>
      <c r="BK99" s="535">
        <f t="shared" si="58"/>
        <v>0.49251985570044204</v>
      </c>
      <c r="BL99" s="1342">
        <f t="shared" si="59"/>
        <v>1</v>
      </c>
      <c r="BM99" s="1237">
        <f t="shared" si="80"/>
        <v>0.19892488097366726</v>
      </c>
      <c r="BN99" s="713">
        <f t="shared" si="60"/>
        <v>0.26585903447659598</v>
      </c>
      <c r="BO99" s="713">
        <f t="shared" si="60"/>
        <v>8.9228108703258049E-2</v>
      </c>
      <c r="BP99" s="713">
        <f t="shared" si="60"/>
        <v>0</v>
      </c>
      <c r="BQ99" s="713">
        <f t="shared" si="60"/>
        <v>0</v>
      </c>
      <c r="BR99" s="713">
        <f t="shared" si="60"/>
        <v>0</v>
      </c>
      <c r="BS99" s="713">
        <f t="shared" si="60"/>
        <v>0.4459879758464787</v>
      </c>
      <c r="BT99" s="658">
        <f t="shared" si="81"/>
        <v>1</v>
      </c>
      <c r="BV99" s="671">
        <f t="shared" si="24"/>
        <v>79.937207640918672</v>
      </c>
      <c r="BW99" s="713">
        <f t="shared" si="61"/>
        <v>0.48367985270671349</v>
      </c>
      <c r="BX99" s="696">
        <f t="shared" si="25"/>
        <v>45.579683429913523</v>
      </c>
      <c r="BY99" s="671">
        <f t="shared" si="26"/>
        <v>79.174058172908445</v>
      </c>
      <c r="BZ99" s="713">
        <f t="shared" si="62"/>
        <v>0.46951536630913004</v>
      </c>
      <c r="CA99" s="696">
        <f t="shared" si="27"/>
        <v>48.694518386230293</v>
      </c>
      <c r="CB99" s="713">
        <f t="shared" si="28"/>
        <v>0.12863402257166001</v>
      </c>
      <c r="CC99" s="713">
        <f t="shared" si="29"/>
        <v>0.64881026886200277</v>
      </c>
      <c r="CD99" s="713">
        <f t="shared" si="63"/>
        <v>0.12863402257166001</v>
      </c>
      <c r="CE99" s="1001">
        <f t="shared" si="64"/>
        <v>0.76063298331112372</v>
      </c>
    </row>
    <row r="100" spans="1:83" s="573" customFormat="1">
      <c r="A100" s="1192">
        <f>'Input data'!A120</f>
        <v>2022</v>
      </c>
      <c r="B100" s="1333">
        <f>'Input data'!B120</f>
        <v>60.682000000000002</v>
      </c>
      <c r="C100" s="1334">
        <f>'Input data'!C120</f>
        <v>3077.2</v>
      </c>
      <c r="D100" s="1334">
        <f>'Input data'!D120</f>
        <v>45460990.75329829</v>
      </c>
      <c r="E100" s="1237">
        <f t="shared" si="65"/>
        <v>0.82449230769230786</v>
      </c>
      <c r="F100" s="713">
        <f t="shared" si="66"/>
        <v>0.32052307692307697</v>
      </c>
      <c r="G100" s="1239">
        <f>B100*F100*'Input data'!$C$9</f>
        <v>595.30679115833243</v>
      </c>
      <c r="H100" s="1335">
        <f>'Input data'!I120</f>
        <v>424.26313389388866</v>
      </c>
      <c r="I100" s="1169">
        <f>'Input data'!K120</f>
        <v>25745.135490948953</v>
      </c>
      <c r="J100" s="917">
        <f>J95*(1-$G$4)</f>
        <v>98.581452586783954</v>
      </c>
      <c r="K100" s="1238">
        <f t="shared" si="67"/>
        <v>98.581452586783954</v>
      </c>
      <c r="L100" s="510">
        <f t="shared" si="30"/>
        <v>0.62615384615384628</v>
      </c>
      <c r="M100" s="510">
        <f t="shared" si="31"/>
        <v>0.49969230769230777</v>
      </c>
      <c r="N100" s="510">
        <f t="shared" si="32"/>
        <v>0.78430769230769215</v>
      </c>
      <c r="O100" s="510">
        <f t="shared" si="33"/>
        <v>0.83846153846153837</v>
      </c>
      <c r="P100" s="713">
        <f t="shared" si="34"/>
        <v>0.23600000000000002</v>
      </c>
      <c r="Q100" s="654">
        <f t="shared" si="35"/>
        <v>23.703803371010174</v>
      </c>
      <c r="R100" s="673">
        <f t="shared" si="36"/>
        <v>9.7181499830826805</v>
      </c>
      <c r="S100" s="673">
        <f t="shared" si="14"/>
        <v>38.728409044816466</v>
      </c>
      <c r="T100" s="673">
        <f t="shared" si="15"/>
        <v>52.41033243608986</v>
      </c>
      <c r="U100" s="1336">
        <f t="shared" si="16"/>
        <v>0.67710709475193609</v>
      </c>
      <c r="V100" s="916">
        <f t="shared" si="17"/>
        <v>125.23780192975111</v>
      </c>
      <c r="W100" s="1240">
        <f>$G$26</f>
        <v>0.5</v>
      </c>
      <c r="X100" s="1337">
        <f t="shared" si="18"/>
        <v>53.669159952994768</v>
      </c>
      <c r="Y100" s="1337">
        <f t="shared" si="19"/>
        <v>62.610258414563923</v>
      </c>
      <c r="Z100" s="1168">
        <f t="shared" si="68"/>
        <v>134.55264675900398</v>
      </c>
      <c r="AA100" s="1338">
        <f t="shared" si="20"/>
        <v>35.971194172220031</v>
      </c>
      <c r="AB100" s="1339">
        <f t="shared" si="37"/>
        <v>0.26733917941166707</v>
      </c>
      <c r="AC100" s="135" t="str">
        <f t="shared" si="38"/>
        <v>Policies met</v>
      </c>
      <c r="AD100" s="1353">
        <f t="shared" si="39"/>
        <v>0.26733917941166707</v>
      </c>
      <c r="AE100" s="135" t="str">
        <f t="shared" si="40"/>
        <v>No</v>
      </c>
      <c r="AF100" s="1420">
        <f t="shared" si="41"/>
        <v>310.84097582407423</v>
      </c>
      <c r="AG100" s="238">
        <f t="shared" si="42"/>
        <v>98.581452586783939</v>
      </c>
      <c r="AH100" s="1344">
        <f t="shared" si="21"/>
        <v>91.756830730530552</v>
      </c>
      <c r="AI100" s="1343">
        <f t="shared" si="22"/>
        <v>82.745373553784091</v>
      </c>
      <c r="AJ100" s="1343">
        <f t="shared" si="23"/>
        <v>37.757318952975666</v>
      </c>
      <c r="AK100" s="1344">
        <f t="shared" si="43"/>
        <v>310.84097582407423</v>
      </c>
      <c r="AL100" s="1344">
        <f t="shared" si="44"/>
        <v>0</v>
      </c>
      <c r="AM100" s="1237">
        <f t="shared" si="45"/>
        <v>0.3171443286247364</v>
      </c>
      <c r="AN100" s="713">
        <f t="shared" si="46"/>
        <v>0.29518898043371827</v>
      </c>
      <c r="AO100" s="713">
        <f t="shared" si="47"/>
        <v>0.26619841008546841</v>
      </c>
      <c r="AP100" s="713">
        <f t="shared" si="48"/>
        <v>0.12146828085607693</v>
      </c>
      <c r="AQ100" s="713">
        <f t="shared" si="49"/>
        <v>1</v>
      </c>
      <c r="AR100" s="916">
        <f t="shared" si="69"/>
        <v>15.010078530782616</v>
      </c>
      <c r="AS100" s="917">
        <f t="shared" si="70"/>
        <v>24.311212240665014</v>
      </c>
      <c r="AT100" s="917">
        <f t="shared" si="71"/>
        <v>7.2423928198181802</v>
      </c>
      <c r="AU100" s="917">
        <f t="shared" si="72"/>
        <v>0</v>
      </c>
      <c r="AV100" s="917">
        <f t="shared" si="73"/>
        <v>0</v>
      </c>
      <c r="AW100" s="917">
        <f t="shared" si="74"/>
        <v>0</v>
      </c>
      <c r="AX100" s="1338">
        <f t="shared" si="75"/>
        <v>36.274658315114308</v>
      </c>
      <c r="AY100" s="917">
        <f t="shared" si="76"/>
        <v>4.351186836366784</v>
      </c>
      <c r="AZ100" s="917">
        <f t="shared" si="77"/>
        <v>5.0068797038846808</v>
      </c>
      <c r="BA100" s="917">
        <f t="shared" si="78"/>
        <v>4.9396569632238352</v>
      </c>
      <c r="BB100" s="917">
        <f t="shared" si="79"/>
        <v>1.4453871769284841</v>
      </c>
      <c r="BC100" s="673">
        <f t="shared" si="50"/>
        <v>98.581452586783897</v>
      </c>
      <c r="BD100" s="1340">
        <f t="shared" si="51"/>
        <v>0</v>
      </c>
      <c r="BE100" s="1341">
        <f t="shared" si="52"/>
        <v>0.15226067517689335</v>
      </c>
      <c r="BF100" s="1342">
        <f t="shared" si="53"/>
        <v>0.24661040796962494</v>
      </c>
      <c r="BG100" s="1342">
        <f t="shared" si="54"/>
        <v>7.3466079366628398E-2</v>
      </c>
      <c r="BH100" s="1342">
        <f t="shared" si="55"/>
        <v>0</v>
      </c>
      <c r="BI100" s="1342">
        <f t="shared" si="56"/>
        <v>0</v>
      </c>
      <c r="BJ100" s="1342">
        <f t="shared" si="57"/>
        <v>0</v>
      </c>
      <c r="BK100" s="1342">
        <f t="shared" si="58"/>
        <v>0.52766283748685339</v>
      </c>
      <c r="BL100" s="1342">
        <f t="shared" si="59"/>
        <v>1</v>
      </c>
      <c r="BM100" s="1237">
        <f t="shared" si="80"/>
        <v>0.19892488097366726</v>
      </c>
      <c r="BN100" s="713">
        <f t="shared" si="60"/>
        <v>0.26585903447659598</v>
      </c>
      <c r="BO100" s="713">
        <f t="shared" si="60"/>
        <v>8.9228108703258049E-2</v>
      </c>
      <c r="BP100" s="713">
        <f t="shared" si="60"/>
        <v>0</v>
      </c>
      <c r="BQ100" s="713">
        <f t="shared" si="60"/>
        <v>0</v>
      </c>
      <c r="BR100" s="713">
        <f t="shared" si="60"/>
        <v>0</v>
      </c>
      <c r="BS100" s="713">
        <f t="shared" si="60"/>
        <v>0.4459879758464787</v>
      </c>
      <c r="BT100" s="1001">
        <f t="shared" si="81"/>
        <v>1</v>
      </c>
      <c r="BV100" s="671">
        <f t="shared" si="24"/>
        <v>69.633815680742345</v>
      </c>
      <c r="BW100" s="713">
        <f t="shared" si="61"/>
        <v>0.50754435711610713</v>
      </c>
      <c r="BX100" s="1338">
        <f t="shared" si="25"/>
        <v>45.46099075329829</v>
      </c>
      <c r="BY100" s="671">
        <f t="shared" si="26"/>
        <v>72.86734331367434</v>
      </c>
      <c r="BZ100" s="713">
        <f t="shared" si="62"/>
        <v>0.49306648085014837</v>
      </c>
      <c r="CA100" s="1338">
        <f t="shared" si="27"/>
        <v>48.694518386230293</v>
      </c>
      <c r="CB100" s="713">
        <f t="shared" si="28"/>
        <v>0.26733917941166707</v>
      </c>
      <c r="CC100" s="713">
        <f t="shared" si="29"/>
        <v>0.85</v>
      </c>
      <c r="CD100" s="713">
        <f t="shared" si="63"/>
        <v>0.26733917941166707</v>
      </c>
      <c r="CE100" s="1001">
        <f t="shared" si="64"/>
        <v>0.85</v>
      </c>
    </row>
    <row r="101" spans="1:83" s="4" customFormat="1">
      <c r="A101" s="100">
        <f>'Input data'!A121</f>
        <v>2023</v>
      </c>
      <c r="B101" s="1343">
        <f>'Input data'!B121</f>
        <v>61.381</v>
      </c>
      <c r="C101" s="1344">
        <f>'Input data'!C121</f>
        <v>3140.61</v>
      </c>
      <c r="D101" s="1344">
        <f>'Input data'!D121</f>
        <v>45566118.552586071</v>
      </c>
      <c r="E101" s="1237">
        <f t="shared" si="65"/>
        <v>0.84643076923076943</v>
      </c>
      <c r="F101" s="713">
        <f t="shared" si="66"/>
        <v>0.32670769230769237</v>
      </c>
      <c r="G101" s="1238">
        <f>B101*F101*'Input data'!$C$9</f>
        <v>613.78315775045917</v>
      </c>
      <c r="H101" s="917">
        <f>'Input data'!I121</f>
        <v>424.26313389388866</v>
      </c>
      <c r="I101" s="1168">
        <f>'Input data'!K121</f>
        <v>26041.695421540779</v>
      </c>
      <c r="J101" s="917">
        <f>($J$105-$J$100)/($A$105-$A$100)+J100</f>
        <v>92.666565431576913</v>
      </c>
      <c r="K101" s="1238">
        <f t="shared" si="67"/>
        <v>104.49633974199099</v>
      </c>
      <c r="L101" s="510">
        <f t="shared" si="30"/>
        <v>0.63538461538461555</v>
      </c>
      <c r="M101" s="510">
        <f t="shared" si="31"/>
        <v>0.51223076923076927</v>
      </c>
      <c r="N101" s="510">
        <f t="shared" si="32"/>
        <v>0.79876923076923056</v>
      </c>
      <c r="O101" s="510">
        <f t="shared" si="33"/>
        <v>0.84615384615384603</v>
      </c>
      <c r="P101" s="713">
        <f t="shared" si="34"/>
        <v>0.23600000000000002</v>
      </c>
      <c r="Q101" s="654">
        <f t="shared" si="35"/>
        <v>24.053245189747429</v>
      </c>
      <c r="R101" s="673">
        <f t="shared" si="36"/>
        <v>9.9620013450350307</v>
      </c>
      <c r="S101" s="673">
        <f t="shared" si="14"/>
        <v>39.442506818494913</v>
      </c>
      <c r="T101" s="673">
        <f t="shared" si="15"/>
        <v>52.891161174035638</v>
      </c>
      <c r="U101" s="1336">
        <f t="shared" si="16"/>
        <v>0.67710709475193609</v>
      </c>
      <c r="V101" s="916">
        <f t="shared" si="17"/>
        <v>127.02602162206495</v>
      </c>
      <c r="W101" s="1237">
        <f>($W$105-$W$100)/($A$105-$A$100)+W100</f>
        <v>0.5</v>
      </c>
      <c r="X101" s="1337">
        <f t="shared" si="18"/>
        <v>53.669159952994768</v>
      </c>
      <c r="Y101" s="1337">
        <f t="shared" si="19"/>
        <v>64.398478106877747</v>
      </c>
      <c r="Z101" s="1168">
        <f t="shared" si="68"/>
        <v>132.76442706669016</v>
      </c>
      <c r="AA101" s="1338">
        <f t="shared" si="20"/>
        <v>40.097861635113247</v>
      </c>
      <c r="AB101" s="1339">
        <f t="shared" si="37"/>
        <v>0.30202263152140379</v>
      </c>
      <c r="AC101" s="135" t="str">
        <f t="shared" si="38"/>
        <v>Policies met</v>
      </c>
      <c r="AD101" s="1353">
        <f t="shared" si="39"/>
        <v>0.30202263152140379</v>
      </c>
      <c r="AE101" s="135" t="str">
        <f t="shared" si="40"/>
        <v>No</v>
      </c>
      <c r="AF101" s="1420">
        <f t="shared" si="41"/>
        <v>296.12606573773871</v>
      </c>
      <c r="AG101" s="238">
        <f t="shared" si="42"/>
        <v>92.666565431576913</v>
      </c>
      <c r="AH101" s="1344">
        <f t="shared" si="21"/>
        <v>88.661288300074148</v>
      </c>
      <c r="AI101" s="1343">
        <f t="shared" si="22"/>
        <v>78.82828788425094</v>
      </c>
      <c r="AJ101" s="1343">
        <f t="shared" si="23"/>
        <v>35.96992412183674</v>
      </c>
      <c r="AK101" s="1344">
        <f t="shared" si="43"/>
        <v>296.12606573773877</v>
      </c>
      <c r="AL101" s="238">
        <f t="shared" si="44"/>
        <v>0</v>
      </c>
      <c r="AM101" s="1237">
        <f t="shared" si="45"/>
        <v>0.31292944510209436</v>
      </c>
      <c r="AN101" s="713">
        <f t="shared" si="46"/>
        <v>0.29940386395636032</v>
      </c>
      <c r="AO101" s="713">
        <f t="shared" si="47"/>
        <v>0.26619841008546835</v>
      </c>
      <c r="AP101" s="713">
        <f t="shared" si="48"/>
        <v>0.12146828085607689</v>
      </c>
      <c r="AQ101" s="713">
        <f t="shared" si="49"/>
        <v>0.99999999999999989</v>
      </c>
      <c r="AR101" s="916">
        <f t="shared" si="69"/>
        <v>14.299515982251988</v>
      </c>
      <c r="AS101" s="917">
        <f t="shared" si="70"/>
        <v>23.160343050196147</v>
      </c>
      <c r="AT101" s="917">
        <f t="shared" si="71"/>
        <v>6.6556424922772033</v>
      </c>
      <c r="AU101" s="917">
        <f t="shared" si="72"/>
        <v>0</v>
      </c>
      <c r="AV101" s="917">
        <f t="shared" si="73"/>
        <v>0</v>
      </c>
      <c r="AW101" s="917">
        <f t="shared" si="74"/>
        <v>0</v>
      </c>
      <c r="AX101" s="1338">
        <f t="shared" si="75"/>
        <v>34.557451199468296</v>
      </c>
      <c r="AY101" s="917">
        <f t="shared" si="76"/>
        <v>3.9750031429766381</v>
      </c>
      <c r="AZ101" s="917">
        <f t="shared" si="77"/>
        <v>4.2714347935832588</v>
      </c>
      <c r="BA101" s="917">
        <f t="shared" si="78"/>
        <v>4.370210819925636</v>
      </c>
      <c r="BB101" s="917">
        <f t="shared" si="79"/>
        <v>1.3769639508976843</v>
      </c>
      <c r="BC101" s="673">
        <f t="shared" si="50"/>
        <v>92.666565431576842</v>
      </c>
      <c r="BD101" s="1340">
        <f t="shared" si="51"/>
        <v>0</v>
      </c>
      <c r="BE101" s="1341">
        <f t="shared" si="52"/>
        <v>0.15431149212938583</v>
      </c>
      <c r="BF101" s="1342">
        <f t="shared" si="53"/>
        <v>0.2499320325764883</v>
      </c>
      <c r="BG101" s="1342">
        <f t="shared" si="54"/>
        <v>7.1823558597211609E-2</v>
      </c>
      <c r="BH101" s="1342">
        <f t="shared" si="55"/>
        <v>0</v>
      </c>
      <c r="BI101" s="1342">
        <f t="shared" si="56"/>
        <v>0</v>
      </c>
      <c r="BJ101" s="1342">
        <f t="shared" si="57"/>
        <v>0</v>
      </c>
      <c r="BK101" s="1342">
        <f t="shared" si="58"/>
        <v>0.52393291669691444</v>
      </c>
      <c r="BL101" s="1342">
        <f t="shared" si="59"/>
        <v>1.0000000000000002</v>
      </c>
      <c r="BM101" s="1237">
        <f t="shared" si="80"/>
        <v>0.19892488097366726</v>
      </c>
      <c r="BN101" s="713">
        <f t="shared" si="60"/>
        <v>0.26585903447659598</v>
      </c>
      <c r="BO101" s="713">
        <f t="shared" si="60"/>
        <v>8.9228108703258049E-2</v>
      </c>
      <c r="BP101" s="713">
        <f t="shared" si="60"/>
        <v>0</v>
      </c>
      <c r="BQ101" s="713">
        <f t="shared" si="60"/>
        <v>0</v>
      </c>
      <c r="BR101" s="713">
        <f t="shared" si="60"/>
        <v>0</v>
      </c>
      <c r="BS101" s="713">
        <f t="shared" si="60"/>
        <v>0.4459879758464787</v>
      </c>
      <c r="BT101" s="1001">
        <f t="shared" si="81"/>
        <v>1</v>
      </c>
      <c r="BV101" s="671">
        <f t="shared" si="24"/>
        <v>69.162433068559082</v>
      </c>
      <c r="BW101" s="713">
        <f t="shared" si="61"/>
        <v>0.54152982615731027</v>
      </c>
      <c r="BX101" s="1338">
        <f t="shared" si="25"/>
        <v>45.566118552586069</v>
      </c>
      <c r="BY101" s="671">
        <f t="shared" si="26"/>
        <v>72.290832902203306</v>
      </c>
      <c r="BZ101" s="713">
        <f t="shared" si="62"/>
        <v>0.52791870855660539</v>
      </c>
      <c r="CA101" s="1338">
        <f t="shared" si="27"/>
        <v>48.694518386230293</v>
      </c>
      <c r="CB101" s="713">
        <f t="shared" si="28"/>
        <v>0.30202263152140379</v>
      </c>
      <c r="CC101" s="713">
        <f t="shared" si="29"/>
        <v>0.85</v>
      </c>
      <c r="CD101" s="713">
        <f t="shared" si="63"/>
        <v>0.30202263152140379</v>
      </c>
      <c r="CE101" s="1001">
        <f t="shared" si="64"/>
        <v>0.85</v>
      </c>
    </row>
    <row r="102" spans="1:83" s="4" customFormat="1">
      <c r="A102" s="100">
        <f>'Input data'!A122</f>
        <v>2024</v>
      </c>
      <c r="B102" s="1343">
        <f>'Input data'!B122</f>
        <v>62.088000000000001</v>
      </c>
      <c r="C102" s="1344">
        <f>'Input data'!C122</f>
        <v>3201.77</v>
      </c>
      <c r="D102" s="1344">
        <f>'Input data'!D122</f>
        <v>45550858.065592684</v>
      </c>
      <c r="E102" s="1237">
        <f t="shared" si="65"/>
        <v>0.868369230769231</v>
      </c>
      <c r="F102" s="713">
        <f t="shared" si="66"/>
        <v>0.33289230769230777</v>
      </c>
      <c r="G102" s="1238">
        <f>B102*F102*'Input data'!$C$9</f>
        <v>632.60566667337889</v>
      </c>
      <c r="H102" s="917">
        <f>'Input data'!I122</f>
        <v>424.26313389388866</v>
      </c>
      <c r="I102" s="1168">
        <f>'Input data'!K122</f>
        <v>26341.649457203759</v>
      </c>
      <c r="J102" s="917">
        <f t="shared" ref="J102:J104" si="82">($J$105-$J$100)/($A$105-$A$100)+J101</f>
        <v>86.751678276369873</v>
      </c>
      <c r="K102" s="1238">
        <f t="shared" si="67"/>
        <v>110.41122689719803</v>
      </c>
      <c r="L102" s="510">
        <f t="shared" si="30"/>
        <v>0.64461538461538481</v>
      </c>
      <c r="M102" s="510">
        <f t="shared" si="31"/>
        <v>0.52476923076923077</v>
      </c>
      <c r="N102" s="510">
        <f t="shared" si="32"/>
        <v>0.81323076923076898</v>
      </c>
      <c r="O102" s="510">
        <f t="shared" si="33"/>
        <v>0.8538461538461537</v>
      </c>
      <c r="P102" s="713">
        <f t="shared" si="34"/>
        <v>0.23600000000000002</v>
      </c>
      <c r="Q102" s="654">
        <f t="shared" si="35"/>
        <v>24.40268700848468</v>
      </c>
      <c r="R102" s="673">
        <f t="shared" si="36"/>
        <v>10.205852706987383</v>
      </c>
      <c r="S102" s="673">
        <f t="shared" si="14"/>
        <v>40.156604592173366</v>
      </c>
      <c r="T102" s="673">
        <f t="shared" si="15"/>
        <v>53.371989911981409</v>
      </c>
      <c r="U102" s="1336">
        <f t="shared" si="16"/>
        <v>0.67710709475193609</v>
      </c>
      <c r="V102" s="916">
        <f t="shared" si="17"/>
        <v>128.81424131437876</v>
      </c>
      <c r="W102" s="1237">
        <f>($W$105-$W$100)/($A$105-$A$100)+W101</f>
        <v>0.5</v>
      </c>
      <c r="X102" s="1337">
        <f t="shared" si="18"/>
        <v>53.669159952994768</v>
      </c>
      <c r="Y102" s="1337">
        <f t="shared" si="19"/>
        <v>66.186697799191563</v>
      </c>
      <c r="Z102" s="1168">
        <f t="shared" si="68"/>
        <v>130.97620737437634</v>
      </c>
      <c r="AA102" s="1338">
        <f t="shared" si="20"/>
        <v>44.224529098006471</v>
      </c>
      <c r="AB102" s="1339">
        <f t="shared" si="37"/>
        <v>0.33765315078636471</v>
      </c>
      <c r="AC102" s="135" t="str">
        <f t="shared" si="38"/>
        <v>Policies met</v>
      </c>
      <c r="AD102" s="1353">
        <f t="shared" si="39"/>
        <v>0.33765315078636471</v>
      </c>
      <c r="AE102" s="135" t="str">
        <f t="shared" si="40"/>
        <v>No</v>
      </c>
      <c r="AF102" s="1420">
        <f t="shared" si="41"/>
        <v>281.00934997211982</v>
      </c>
      <c r="AG102" s="238">
        <f t="shared" si="42"/>
        <v>86.751678276369873</v>
      </c>
      <c r="AH102" s="1344">
        <f t="shared" si="21"/>
        <v>85.319706868423665</v>
      </c>
      <c r="AI102" s="1343">
        <f t="shared" si="22"/>
        <v>74.804242181729265</v>
      </c>
      <c r="AJ102" s="1343">
        <f t="shared" si="23"/>
        <v>34.133722645597061</v>
      </c>
      <c r="AK102" s="1344">
        <f t="shared" si="43"/>
        <v>281.00934997211988</v>
      </c>
      <c r="AL102" s="1344">
        <f t="shared" si="44"/>
        <v>0</v>
      </c>
      <c r="AM102" s="1237">
        <f t="shared" si="45"/>
        <v>0.30871456157945232</v>
      </c>
      <c r="AN102" s="713">
        <f t="shared" si="46"/>
        <v>0.30361874747900236</v>
      </c>
      <c r="AO102" s="713">
        <f t="shared" si="47"/>
        <v>0.26619841008546835</v>
      </c>
      <c r="AP102" s="713">
        <f t="shared" si="48"/>
        <v>0.12146828085607689</v>
      </c>
      <c r="AQ102" s="713">
        <f t="shared" si="49"/>
        <v>0.99999999999999989</v>
      </c>
      <c r="AR102" s="916">
        <f t="shared" si="69"/>
        <v>13.569550796137404</v>
      </c>
      <c r="AS102" s="917">
        <f t="shared" si="70"/>
        <v>21.978048198671281</v>
      </c>
      <c r="AT102" s="917">
        <f t="shared" si="71"/>
        <v>6.0844319403238982</v>
      </c>
      <c r="AU102" s="917">
        <f t="shared" si="72"/>
        <v>0</v>
      </c>
      <c r="AV102" s="917">
        <f t="shared" si="73"/>
        <v>0</v>
      </c>
      <c r="AW102" s="917">
        <f t="shared" si="74"/>
        <v>0</v>
      </c>
      <c r="AX102" s="1338">
        <f t="shared" si="75"/>
        <v>32.793353986123826</v>
      </c>
      <c r="AY102" s="917">
        <f t="shared" si="76"/>
        <v>3.6105720299302506</v>
      </c>
      <c r="AZ102" s="917">
        <f t="shared" si="77"/>
        <v>3.5804051360393916</v>
      </c>
      <c r="BA102" s="917">
        <f t="shared" si="78"/>
        <v>3.8286438304886201</v>
      </c>
      <c r="BB102" s="917">
        <f t="shared" si="79"/>
        <v>1.3066723586551472</v>
      </c>
      <c r="BC102" s="673">
        <f t="shared" si="50"/>
        <v>86.751678276369816</v>
      </c>
      <c r="BD102" s="1340">
        <f t="shared" si="51"/>
        <v>0</v>
      </c>
      <c r="BE102" s="1341">
        <f t="shared" si="52"/>
        <v>0.15641830873759127</v>
      </c>
      <c r="BF102" s="1342">
        <f t="shared" si="53"/>
        <v>0.25334435754262352</v>
      </c>
      <c r="BG102" s="1342">
        <f t="shared" si="54"/>
        <v>7.0136187117214879E-2</v>
      </c>
      <c r="BH102" s="1342">
        <f t="shared" si="55"/>
        <v>0</v>
      </c>
      <c r="BI102" s="1342">
        <f t="shared" si="56"/>
        <v>0</v>
      </c>
      <c r="BJ102" s="1342">
        <f t="shared" si="57"/>
        <v>0</v>
      </c>
      <c r="BK102" s="1342">
        <f t="shared" si="58"/>
        <v>0.52010114660257045</v>
      </c>
      <c r="BL102" s="1342">
        <f t="shared" si="59"/>
        <v>1</v>
      </c>
      <c r="BM102" s="1237">
        <f t="shared" si="80"/>
        <v>0.19892488097366726</v>
      </c>
      <c r="BN102" s="713">
        <f t="shared" si="60"/>
        <v>0.26585903447659598</v>
      </c>
      <c r="BO102" s="713">
        <f t="shared" si="60"/>
        <v>8.9228108703258049E-2</v>
      </c>
      <c r="BP102" s="713">
        <f t="shared" si="60"/>
        <v>0</v>
      </c>
      <c r="BQ102" s="713">
        <f t="shared" si="60"/>
        <v>0</v>
      </c>
      <c r="BR102" s="713">
        <f t="shared" si="60"/>
        <v>0</v>
      </c>
      <c r="BS102" s="713">
        <f t="shared" si="60"/>
        <v>0.4459879758464787</v>
      </c>
      <c r="BT102" s="1001">
        <f t="shared" si="81"/>
        <v>1</v>
      </c>
      <c r="BV102" s="671">
        <f t="shared" si="24"/>
        <v>68.523511843347535</v>
      </c>
      <c r="BW102" s="713">
        <f t="shared" si="61"/>
        <v>0.57759757175005877</v>
      </c>
      <c r="BX102" s="1338">
        <f t="shared" si="25"/>
        <v>45.550858065592685</v>
      </c>
      <c r="BY102" s="671">
        <f t="shared" si="26"/>
        <v>71.667172163985128</v>
      </c>
      <c r="BZ102" s="713">
        <f t="shared" si="62"/>
        <v>0.56435439435945745</v>
      </c>
      <c r="CA102" s="1338">
        <f t="shared" si="27"/>
        <v>48.694518386230293</v>
      </c>
      <c r="CB102" s="713">
        <f t="shared" si="28"/>
        <v>0.33765315078636471</v>
      </c>
      <c r="CC102" s="713">
        <f t="shared" si="29"/>
        <v>0.85</v>
      </c>
      <c r="CD102" s="713">
        <f t="shared" si="63"/>
        <v>0.33765315078636471</v>
      </c>
      <c r="CE102" s="1001">
        <f t="shared" si="64"/>
        <v>0.85</v>
      </c>
    </row>
    <row r="103" spans="1:83" s="4" customFormat="1">
      <c r="A103" s="100">
        <f>'Input data'!A123</f>
        <v>2025</v>
      </c>
      <c r="B103" s="1343">
        <f>'Input data'!B123</f>
        <v>62.802999999999997</v>
      </c>
      <c r="C103" s="1344">
        <f>'Input data'!C123</f>
        <v>3265.54</v>
      </c>
      <c r="D103" s="1344">
        <f>'Input data'!D123</f>
        <v>46410532.166220129</v>
      </c>
      <c r="E103" s="1237">
        <f t="shared" si="65"/>
        <v>0.89030769230769258</v>
      </c>
      <c r="F103" s="713">
        <f t="shared" si="66"/>
        <v>0.33907692307692316</v>
      </c>
      <c r="G103" s="1238">
        <f>B103*F103*'Input data'!$C$9</f>
        <v>651.7788609568936</v>
      </c>
      <c r="H103" s="917">
        <f>'Input data'!I123</f>
        <v>424.26313389388866</v>
      </c>
      <c r="I103" s="1168">
        <f>'Input data'!K123</f>
        <v>26644.997597937887</v>
      </c>
      <c r="J103" s="917">
        <f t="shared" si="82"/>
        <v>80.836791121162832</v>
      </c>
      <c r="K103" s="1238">
        <f t="shared" si="67"/>
        <v>116.32611405240507</v>
      </c>
      <c r="L103" s="510">
        <f t="shared" si="30"/>
        <v>0.65384615384615408</v>
      </c>
      <c r="M103" s="510">
        <f t="shared" si="31"/>
        <v>0.53730769230769226</v>
      </c>
      <c r="N103" s="510">
        <f t="shared" si="32"/>
        <v>0.82769230769230739</v>
      </c>
      <c r="O103" s="510">
        <f t="shared" si="33"/>
        <v>0.86153846153846136</v>
      </c>
      <c r="P103" s="713">
        <f t="shared" si="34"/>
        <v>0.23600000000000002</v>
      </c>
      <c r="Q103" s="654">
        <f t="shared" si="35"/>
        <v>24.752128827221931</v>
      </c>
      <c r="R103" s="673">
        <f t="shared" si="36"/>
        <v>10.449704068939733</v>
      </c>
      <c r="S103" s="673">
        <f t="shared" si="14"/>
        <v>40.870702365851812</v>
      </c>
      <c r="T103" s="673">
        <f t="shared" si="15"/>
        <v>53.852818649927187</v>
      </c>
      <c r="U103" s="1336">
        <f t="shared" si="16"/>
        <v>0.67710709475193609</v>
      </c>
      <c r="V103" s="916">
        <f t="shared" si="17"/>
        <v>130.60246100669258</v>
      </c>
      <c r="W103" s="1237">
        <f>($W$105-$W$100)/($A$105-$A$100)+W102</f>
        <v>0.5</v>
      </c>
      <c r="X103" s="1337">
        <f t="shared" si="18"/>
        <v>53.669159952994768</v>
      </c>
      <c r="Y103" s="1337">
        <f t="shared" si="19"/>
        <v>67.97491749150538</v>
      </c>
      <c r="Z103" s="1168">
        <f t="shared" si="68"/>
        <v>129.18798768206253</v>
      </c>
      <c r="AA103" s="1338">
        <f t="shared" si="20"/>
        <v>48.351196560899695</v>
      </c>
      <c r="AB103" s="1339">
        <f t="shared" si="37"/>
        <v>0.37427006510771088</v>
      </c>
      <c r="AC103" s="135" t="str">
        <f t="shared" si="38"/>
        <v>Policies met</v>
      </c>
      <c r="AD103" s="1353">
        <f t="shared" si="39"/>
        <v>0.37427006510771088</v>
      </c>
      <c r="AE103" s="135" t="str">
        <f t="shared" si="40"/>
        <v>No</v>
      </c>
      <c r="AF103" s="1420">
        <f t="shared" si="41"/>
        <v>265.47414314862152</v>
      </c>
      <c r="AG103" s="238">
        <f t="shared" si="42"/>
        <v>80.836791121162832</v>
      </c>
      <c r="AH103" s="1344">
        <f t="shared" si="21"/>
        <v>81.721869422490471</v>
      </c>
      <c r="AI103" s="1343">
        <f t="shared" si="22"/>
        <v>70.66879482496509</v>
      </c>
      <c r="AJ103" s="1343">
        <f t="shared" si="23"/>
        <v>32.246687780003121</v>
      </c>
      <c r="AK103" s="1344">
        <f t="shared" si="43"/>
        <v>265.47414314862152</v>
      </c>
      <c r="AL103" s="1344">
        <f t="shared" si="44"/>
        <v>0</v>
      </c>
      <c r="AM103" s="1237">
        <f t="shared" si="45"/>
        <v>0.30449967805681033</v>
      </c>
      <c r="AN103" s="713">
        <f t="shared" si="46"/>
        <v>0.30783363100164435</v>
      </c>
      <c r="AO103" s="713">
        <f t="shared" si="47"/>
        <v>0.26619841008546841</v>
      </c>
      <c r="AP103" s="713">
        <f t="shared" si="48"/>
        <v>0.1214682808560769</v>
      </c>
      <c r="AQ103" s="713">
        <f t="shared" si="49"/>
        <v>0.99999999999999989</v>
      </c>
      <c r="AR103" s="916">
        <f t="shared" si="69"/>
        <v>12.819377258705728</v>
      </c>
      <c r="AS103" s="917">
        <f t="shared" si="70"/>
        <v>20.763022704405529</v>
      </c>
      <c r="AT103" s="917">
        <f t="shared" si="71"/>
        <v>5.5294064685229927</v>
      </c>
      <c r="AU103" s="917">
        <f t="shared" si="72"/>
        <v>0</v>
      </c>
      <c r="AV103" s="917">
        <f t="shared" si="73"/>
        <v>0</v>
      </c>
      <c r="AW103" s="917">
        <f t="shared" si="74"/>
        <v>0</v>
      </c>
      <c r="AX103" s="1338">
        <f t="shared" si="75"/>
        <v>30.980419517355536</v>
      </c>
      <c r="AY103" s="917">
        <f t="shared" si="76"/>
        <v>3.2583815347607548</v>
      </c>
      <c r="AZ103" s="917">
        <f t="shared" si="77"/>
        <v>2.9356351185923093</v>
      </c>
      <c r="BA103" s="917">
        <f t="shared" si="78"/>
        <v>3.3161137043755708</v>
      </c>
      <c r="BB103" s="917">
        <f t="shared" si="79"/>
        <v>1.234434814444358</v>
      </c>
      <c r="BC103" s="673">
        <f t="shared" si="50"/>
        <v>80.836791121162776</v>
      </c>
      <c r="BD103" s="1340">
        <f t="shared" si="51"/>
        <v>0</v>
      </c>
      <c r="BE103" s="1341">
        <f t="shared" si="52"/>
        <v>0.15858345044264952</v>
      </c>
      <c r="BF103" s="1342">
        <f t="shared" si="53"/>
        <v>0.25685114929023756</v>
      </c>
      <c r="BG103" s="1342">
        <f t="shared" si="54"/>
        <v>6.8402102456481775E-2</v>
      </c>
      <c r="BH103" s="1342">
        <f t="shared" si="55"/>
        <v>0</v>
      </c>
      <c r="BI103" s="1342">
        <f t="shared" si="56"/>
        <v>0</v>
      </c>
      <c r="BJ103" s="1342">
        <f t="shared" si="57"/>
        <v>0</v>
      </c>
      <c r="BK103" s="1342">
        <f t="shared" si="58"/>
        <v>0.51616329781063119</v>
      </c>
      <c r="BL103" s="1342">
        <f t="shared" si="59"/>
        <v>1</v>
      </c>
      <c r="BM103" s="1237">
        <f t="shared" si="80"/>
        <v>0.19892488097366726</v>
      </c>
      <c r="BN103" s="713">
        <f t="shared" si="60"/>
        <v>0.26585903447659598</v>
      </c>
      <c r="BO103" s="713">
        <f t="shared" si="60"/>
        <v>8.9228108703258049E-2</v>
      </c>
      <c r="BP103" s="713">
        <f t="shared" si="60"/>
        <v>0</v>
      </c>
      <c r="BQ103" s="713">
        <f t="shared" si="60"/>
        <v>0</v>
      </c>
      <c r="BR103" s="713">
        <f t="shared" si="60"/>
        <v>0</v>
      </c>
      <c r="BS103" s="713">
        <f t="shared" si="60"/>
        <v>0.4459879758464787</v>
      </c>
      <c r="BT103" s="1001">
        <f t="shared" si="81"/>
        <v>1</v>
      </c>
      <c r="BV103" s="671">
        <f t="shared" si="24"/>
        <v>68.718498935214356</v>
      </c>
      <c r="BW103" s="713">
        <f t="shared" si="61"/>
        <v>0.61161672927982635</v>
      </c>
      <c r="BX103" s="1338">
        <f t="shared" si="25"/>
        <v>46.410532166220129</v>
      </c>
      <c r="BY103" s="671">
        <f t="shared" si="26"/>
        <v>71.00248515522452</v>
      </c>
      <c r="BZ103" s="713">
        <f t="shared" si="62"/>
        <v>0.60250491960245467</v>
      </c>
      <c r="CA103" s="1338">
        <f t="shared" si="27"/>
        <v>48.694518386230293</v>
      </c>
      <c r="CB103" s="713">
        <f t="shared" si="28"/>
        <v>0.37427006510771088</v>
      </c>
      <c r="CC103" s="713">
        <f t="shared" si="29"/>
        <v>0.85</v>
      </c>
      <c r="CD103" s="713">
        <f t="shared" si="63"/>
        <v>0.37427006510771088</v>
      </c>
      <c r="CE103" s="1001">
        <f t="shared" si="64"/>
        <v>0.85</v>
      </c>
    </row>
    <row r="104" spans="1:83" s="4" customFormat="1">
      <c r="A104" s="100">
        <f>'Input data'!A124</f>
        <v>2026</v>
      </c>
      <c r="B104" s="1343">
        <f>'Input data'!B124</f>
        <v>63.420999999999999</v>
      </c>
      <c r="C104" s="1344">
        <f>'Input data'!C124</f>
        <v>3341.28</v>
      </c>
      <c r="D104" s="1344">
        <f>'Input data'!D124</f>
        <v>46524138.013837561</v>
      </c>
      <c r="E104" s="1237">
        <f t="shared" si="65"/>
        <v>0.91224615384615415</v>
      </c>
      <c r="F104" s="713">
        <f t="shared" si="66"/>
        <v>0.34526153846153856</v>
      </c>
      <c r="G104" s="1238">
        <f>B104*F104*'Input data'!$C$9</f>
        <v>670.19770228173195</v>
      </c>
      <c r="H104" s="917">
        <f>'Input data'!I124</f>
        <v>424.26313389388866</v>
      </c>
      <c r="I104" s="1168">
        <f>'Input data'!K124</f>
        <v>26907.192214684314</v>
      </c>
      <c r="J104" s="917">
        <f t="shared" si="82"/>
        <v>74.921903965955792</v>
      </c>
      <c r="K104" s="1238">
        <f t="shared" si="67"/>
        <v>122.24100120761211</v>
      </c>
      <c r="L104" s="510">
        <f t="shared" si="30"/>
        <v>0.66307692307692334</v>
      </c>
      <c r="M104" s="510">
        <f t="shared" si="31"/>
        <v>0.54984615384615376</v>
      </c>
      <c r="N104" s="510">
        <f t="shared" si="32"/>
        <v>0.84215384615384581</v>
      </c>
      <c r="O104" s="510">
        <f t="shared" si="33"/>
        <v>0.86923076923076903</v>
      </c>
      <c r="P104" s="713">
        <f t="shared" si="34"/>
        <v>0.23600000000000002</v>
      </c>
      <c r="Q104" s="654">
        <f t="shared" si="35"/>
        <v>25.101570645959185</v>
      </c>
      <c r="R104" s="673">
        <f t="shared" si="36"/>
        <v>10.693555430892085</v>
      </c>
      <c r="S104" s="673">
        <f t="shared" si="14"/>
        <v>41.584800139530259</v>
      </c>
      <c r="T104" s="673">
        <f t="shared" si="15"/>
        <v>54.333647387872965</v>
      </c>
      <c r="U104" s="1336">
        <f t="shared" si="16"/>
        <v>0.67710709475193609</v>
      </c>
      <c r="V104" s="916">
        <f t="shared" si="17"/>
        <v>132.39068069900642</v>
      </c>
      <c r="W104" s="1237">
        <f>($W$105-$W$100)/($A$105-$A$100)+W103</f>
        <v>0.5</v>
      </c>
      <c r="X104" s="1337">
        <f t="shared" si="18"/>
        <v>53.669159952994768</v>
      </c>
      <c r="Y104" s="1337">
        <f t="shared" si="19"/>
        <v>69.763137183819225</v>
      </c>
      <c r="Z104" s="1168">
        <f t="shared" si="68"/>
        <v>127.39976798974868</v>
      </c>
      <c r="AA104" s="1338">
        <f t="shared" si="20"/>
        <v>52.47786402379289</v>
      </c>
      <c r="AB104" s="1339">
        <f t="shared" si="37"/>
        <v>0.41191491045741591</v>
      </c>
      <c r="AC104" s="135" t="str">
        <f t="shared" si="38"/>
        <v>Policies met</v>
      </c>
      <c r="AD104" s="1353">
        <f t="shared" si="39"/>
        <v>0.41191491045741591</v>
      </c>
      <c r="AE104" s="135" t="str">
        <f t="shared" si="40"/>
        <v>No</v>
      </c>
      <c r="AF104" s="1420">
        <f t="shared" si="41"/>
        <v>249.50282308560486</v>
      </c>
      <c r="AG104" s="238">
        <f t="shared" si="42"/>
        <v>74.921903965955792</v>
      </c>
      <c r="AH104" s="1344">
        <f t="shared" si="21"/>
        <v>77.856985313478859</v>
      </c>
      <c r="AI104" s="1343">
        <f t="shared" si="22"/>
        <v>66.41725481722392</v>
      </c>
      <c r="AJ104" s="1343">
        <f t="shared" si="23"/>
        <v>30.30667898894632</v>
      </c>
      <c r="AK104" s="1344">
        <f t="shared" si="43"/>
        <v>249.50282308560489</v>
      </c>
      <c r="AL104" s="1344">
        <f t="shared" si="44"/>
        <v>0</v>
      </c>
      <c r="AM104" s="1237">
        <f t="shared" si="45"/>
        <v>0.30028479453416823</v>
      </c>
      <c r="AN104" s="713">
        <f t="shared" si="46"/>
        <v>0.3120485145242865</v>
      </c>
      <c r="AO104" s="713">
        <f t="shared" si="47"/>
        <v>0.26619841008546841</v>
      </c>
      <c r="AP104" s="713">
        <f t="shared" si="48"/>
        <v>0.12146828085607689</v>
      </c>
      <c r="AQ104" s="713">
        <f t="shared" si="49"/>
        <v>1</v>
      </c>
      <c r="AR104" s="916">
        <f t="shared" si="69"/>
        <v>12.048144419307414</v>
      </c>
      <c r="AS104" s="917">
        <f t="shared" si="70"/>
        <v>19.513888317324774</v>
      </c>
      <c r="AT104" s="917">
        <f t="shared" si="71"/>
        <v>4.9912476121592109</v>
      </c>
      <c r="AU104" s="917">
        <f t="shared" si="72"/>
        <v>0</v>
      </c>
      <c r="AV104" s="917">
        <f t="shared" si="73"/>
        <v>0</v>
      </c>
      <c r="AW104" s="917">
        <f t="shared" si="74"/>
        <v>0</v>
      </c>
      <c r="AX104" s="1338">
        <f t="shared" si="75"/>
        <v>29.11659131198034</v>
      </c>
      <c r="AY104" s="917">
        <f t="shared" si="76"/>
        <v>2.9189470959405797</v>
      </c>
      <c r="AZ104" s="917">
        <f t="shared" si="77"/>
        <v>2.3390726819804963</v>
      </c>
      <c r="BA104" s="917">
        <f t="shared" si="78"/>
        <v>2.8338431508178745</v>
      </c>
      <c r="BB104" s="917">
        <f t="shared" si="79"/>
        <v>1.1601693764450574</v>
      </c>
      <c r="BC104" s="673">
        <f t="shared" si="50"/>
        <v>74.92190396595575</v>
      </c>
      <c r="BD104" s="1340">
        <f t="shared" si="51"/>
        <v>0</v>
      </c>
      <c r="BE104" s="1341">
        <f t="shared" si="52"/>
        <v>0.16080937324793626</v>
      </c>
      <c r="BF104" s="1342">
        <f t="shared" si="53"/>
        <v>0.26045638570786744</v>
      </c>
      <c r="BG104" s="1342">
        <f t="shared" si="54"/>
        <v>6.6619337576194218E-2</v>
      </c>
      <c r="BH104" s="1342">
        <f t="shared" si="55"/>
        <v>0</v>
      </c>
      <c r="BI104" s="1342">
        <f t="shared" si="56"/>
        <v>0</v>
      </c>
      <c r="BJ104" s="1342">
        <f t="shared" si="57"/>
        <v>0</v>
      </c>
      <c r="BK104" s="1342">
        <f t="shared" si="58"/>
        <v>0.51211490346800204</v>
      </c>
      <c r="BL104" s="1342">
        <f t="shared" si="59"/>
        <v>1</v>
      </c>
      <c r="BM104" s="1237">
        <f t="shared" si="80"/>
        <v>0.19892488097366726</v>
      </c>
      <c r="BN104" s="713">
        <f t="shared" si="60"/>
        <v>0.26585903447659598</v>
      </c>
      <c r="BO104" s="713">
        <f t="shared" si="60"/>
        <v>8.9228108703258049E-2</v>
      </c>
      <c r="BP104" s="713">
        <f t="shared" si="60"/>
        <v>0</v>
      </c>
      <c r="BQ104" s="713">
        <f t="shared" si="60"/>
        <v>0</v>
      </c>
      <c r="BR104" s="713">
        <f t="shared" si="60"/>
        <v>0</v>
      </c>
      <c r="BS104" s="713">
        <f t="shared" si="60"/>
        <v>0.4459879758464787</v>
      </c>
      <c r="BT104" s="1001">
        <f t="shared" si="81"/>
        <v>1</v>
      </c>
      <c r="BV104" s="671">
        <f t="shared" si="24"/>
        <v>68.113956432524475</v>
      </c>
      <c r="BW104" s="713">
        <f t="shared" si="61"/>
        <v>0.65039722727031157</v>
      </c>
      <c r="BX104" s="1338">
        <f t="shared" si="25"/>
        <v>46.524138013837558</v>
      </c>
      <c r="BY104" s="671">
        <f t="shared" si="26"/>
        <v>70.284336804917189</v>
      </c>
      <c r="BZ104" s="713">
        <f t="shared" si="62"/>
        <v>0.6421765968148021</v>
      </c>
      <c r="CA104" s="1338">
        <f t="shared" si="27"/>
        <v>48.694518386230293</v>
      </c>
      <c r="CB104" s="713">
        <f t="shared" si="28"/>
        <v>0.41191491045741591</v>
      </c>
      <c r="CC104" s="713">
        <f t="shared" si="29"/>
        <v>0.85</v>
      </c>
      <c r="CD104" s="713">
        <f t="shared" si="63"/>
        <v>0.41191491045741591</v>
      </c>
      <c r="CE104" s="1001">
        <f t="shared" si="64"/>
        <v>0.85</v>
      </c>
    </row>
    <row r="105" spans="1:83" s="573" customFormat="1">
      <c r="A105" s="1192">
        <f>'Input data'!A125</f>
        <v>2027</v>
      </c>
      <c r="B105" s="1333">
        <f>'Input data'!B125</f>
        <v>64.046000000000006</v>
      </c>
      <c r="C105" s="1334">
        <f>'Input data'!C125</f>
        <v>3416.2799999999997</v>
      </c>
      <c r="D105" s="1334">
        <f>'Input data'!D125</f>
        <v>46636048.251789063</v>
      </c>
      <c r="E105" s="1237">
        <f t="shared" si="65"/>
        <v>0.93418461538461572</v>
      </c>
      <c r="F105" s="713">
        <f t="shared" si="66"/>
        <v>0.35144615384615396</v>
      </c>
      <c r="G105" s="1239">
        <f>B105*F105*'Input data'!$C$9</f>
        <v>688.92580678167349</v>
      </c>
      <c r="H105" s="1335">
        <f>'Input data'!I125</f>
        <v>424.26313389388866</v>
      </c>
      <c r="I105" s="1169">
        <f>'Input data'!K125</f>
        <v>27172.356673367995</v>
      </c>
      <c r="J105" s="1335">
        <f>J95*(1-$G$5)</f>
        <v>69.007016810748766</v>
      </c>
      <c r="K105" s="1238">
        <f t="shared" si="67"/>
        <v>128.15588836281916</v>
      </c>
      <c r="L105" s="510">
        <f t="shared" si="30"/>
        <v>0.67230769230769261</v>
      </c>
      <c r="M105" s="510">
        <f t="shared" si="31"/>
        <v>0.56238461538461526</v>
      </c>
      <c r="N105" s="510">
        <f t="shared" si="32"/>
        <v>0.85661538461538422</v>
      </c>
      <c r="O105" s="510">
        <f t="shared" si="33"/>
        <v>0.87692307692307669</v>
      </c>
      <c r="P105" s="713">
        <f t="shared" si="34"/>
        <v>0.23600000000000002</v>
      </c>
      <c r="Q105" s="654">
        <f t="shared" si="35"/>
        <v>25.451012464696436</v>
      </c>
      <c r="R105" s="673">
        <f t="shared" si="36"/>
        <v>10.937406792844435</v>
      </c>
      <c r="S105" s="673">
        <f t="shared" si="14"/>
        <v>42.298897913208712</v>
      </c>
      <c r="T105" s="673">
        <f t="shared" si="15"/>
        <v>54.814476125818743</v>
      </c>
      <c r="U105" s="1336">
        <f t="shared" si="16"/>
        <v>0.67710709475193609</v>
      </c>
      <c r="V105" s="916">
        <f t="shared" si="17"/>
        <v>134.17890039132027</v>
      </c>
      <c r="W105" s="1240">
        <f>$C$27</f>
        <v>0.5</v>
      </c>
      <c r="X105" s="1337">
        <f t="shared" si="18"/>
        <v>53.669159952994768</v>
      </c>
      <c r="Y105" s="1337">
        <f t="shared" si="19"/>
        <v>71.55135687613307</v>
      </c>
      <c r="Z105" s="1168">
        <f t="shared" si="68"/>
        <v>125.61154829743484</v>
      </c>
      <c r="AA105" s="1338">
        <f t="shared" si="20"/>
        <v>56.604531486686085</v>
      </c>
      <c r="AB105" s="1339">
        <f t="shared" si="37"/>
        <v>0.45063158804995024</v>
      </c>
      <c r="AC105" s="135" t="str">
        <f t="shared" si="38"/>
        <v>Policies met</v>
      </c>
      <c r="AD105" s="1353">
        <f t="shared" si="39"/>
        <v>0.45063158804995024</v>
      </c>
      <c r="AE105" s="135" t="str">
        <f t="shared" si="40"/>
        <v>No</v>
      </c>
      <c r="AF105" s="1420">
        <f t="shared" si="41"/>
        <v>233.07676411623692</v>
      </c>
      <c r="AG105" s="238">
        <f t="shared" si="42"/>
        <v>69.007016810748752</v>
      </c>
      <c r="AH105" s="1344">
        <f t="shared" si="21"/>
        <v>73.713649425183519</v>
      </c>
      <c r="AI105" s="1343">
        <f t="shared" si="22"/>
        <v>62.044664035608022</v>
      </c>
      <c r="AJ105" s="1343">
        <f t="shared" si="23"/>
        <v>28.311433844696655</v>
      </c>
      <c r="AK105" s="1344">
        <f t="shared" si="43"/>
        <v>233.07676411623694</v>
      </c>
      <c r="AL105" s="1344">
        <f t="shared" si="44"/>
        <v>0</v>
      </c>
      <c r="AM105" s="1237">
        <f t="shared" si="45"/>
        <v>0.29606991101152619</v>
      </c>
      <c r="AN105" s="713">
        <f t="shared" si="46"/>
        <v>0.31626339804692855</v>
      </c>
      <c r="AO105" s="713">
        <f t="shared" si="47"/>
        <v>0.26619841008546835</v>
      </c>
      <c r="AP105" s="713">
        <f t="shared" si="48"/>
        <v>0.1214682808560769</v>
      </c>
      <c r="AQ105" s="713">
        <f t="shared" si="49"/>
        <v>0.99999999999999989</v>
      </c>
      <c r="AR105" s="916">
        <f t="shared" si="69"/>
        <v>11.254952870388131</v>
      </c>
      <c r="AS105" s="917">
        <f t="shared" si="70"/>
        <v>18.229188303681799</v>
      </c>
      <c r="AT105" s="917">
        <f t="shared" si="71"/>
        <v>4.4706757161596622</v>
      </c>
      <c r="AU105" s="917">
        <f t="shared" si="72"/>
        <v>0</v>
      </c>
      <c r="AV105" s="917">
        <f t="shared" si="73"/>
        <v>0</v>
      </c>
      <c r="AW105" s="917">
        <f t="shared" si="74"/>
        <v>0</v>
      </c>
      <c r="AX105" s="1338">
        <f t="shared" si="75"/>
        <v>27.199695783654075</v>
      </c>
      <c r="AY105" s="917">
        <f t="shared" si="76"/>
        <v>2.5928135032952477</v>
      </c>
      <c r="AZ105" s="917">
        <f t="shared" si="77"/>
        <v>1.7927766913290961</v>
      </c>
      <c r="BA105" s="917">
        <f t="shared" si="78"/>
        <v>2.3831245055344494</v>
      </c>
      <c r="BB105" s="917">
        <f t="shared" si="79"/>
        <v>1.0837894367062479</v>
      </c>
      <c r="BC105" s="673">
        <f t="shared" si="50"/>
        <v>69.007016810748723</v>
      </c>
      <c r="BD105" s="1340">
        <f t="shared" si="51"/>
        <v>0</v>
      </c>
      <c r="BE105" s="1341">
        <f t="shared" si="52"/>
        <v>0.16309867301255412</v>
      </c>
      <c r="BF105" s="1342">
        <f t="shared" si="53"/>
        <v>0.2641642712026695</v>
      </c>
      <c r="BG105" s="1342">
        <f t="shared" si="54"/>
        <v>6.4785813425618149E-2</v>
      </c>
      <c r="BH105" s="1342">
        <f t="shared" si="55"/>
        <v>0</v>
      </c>
      <c r="BI105" s="1342">
        <f t="shared" si="56"/>
        <v>0</v>
      </c>
      <c r="BJ105" s="1342">
        <f t="shared" si="57"/>
        <v>0</v>
      </c>
      <c r="BK105" s="1342">
        <f t="shared" si="58"/>
        <v>0.50795124235915801</v>
      </c>
      <c r="BL105" s="1342">
        <f t="shared" si="59"/>
        <v>0.99999999999999978</v>
      </c>
      <c r="BM105" s="1237">
        <f t="shared" si="80"/>
        <v>0.19892488097366726</v>
      </c>
      <c r="BN105" s="713">
        <f t="shared" si="60"/>
        <v>0.26585903447659598</v>
      </c>
      <c r="BO105" s="713">
        <f t="shared" si="60"/>
        <v>8.9228108703258049E-2</v>
      </c>
      <c r="BP105" s="713">
        <f t="shared" si="60"/>
        <v>0</v>
      </c>
      <c r="BQ105" s="713">
        <f t="shared" si="60"/>
        <v>0</v>
      </c>
      <c r="BR105" s="713">
        <f t="shared" si="60"/>
        <v>0</v>
      </c>
      <c r="BS105" s="713">
        <f t="shared" si="60"/>
        <v>0.4459879758464787</v>
      </c>
      <c r="BT105" s="1001">
        <f t="shared" si="81"/>
        <v>1</v>
      </c>
      <c r="BV105" s="671">
        <f t="shared" si="24"/>
        <v>67.459211251362206</v>
      </c>
      <c r="BW105" s="713">
        <f t="shared" si="61"/>
        <v>0.6912032059073101</v>
      </c>
      <c r="BX105" s="1338">
        <f t="shared" si="25"/>
        <v>46.636048251789063</v>
      </c>
      <c r="BY105" s="671">
        <f t="shared" si="26"/>
        <v>69.517681385803414</v>
      </c>
      <c r="BZ105" s="713">
        <f t="shared" si="62"/>
        <v>0.68388299507550177</v>
      </c>
      <c r="CA105" s="1338">
        <f t="shared" si="27"/>
        <v>48.694518386230293</v>
      </c>
      <c r="CB105" s="713">
        <f t="shared" si="28"/>
        <v>0.45063158804995024</v>
      </c>
      <c r="CC105" s="713">
        <f t="shared" si="29"/>
        <v>0.85</v>
      </c>
      <c r="CD105" s="713">
        <f t="shared" si="63"/>
        <v>0.45063158804995024</v>
      </c>
      <c r="CE105" s="1001">
        <f t="shared" si="64"/>
        <v>0.85</v>
      </c>
    </row>
    <row r="106" spans="1:83" s="4" customFormat="1">
      <c r="A106" s="100">
        <f>'Input data'!A126</f>
        <v>2028</v>
      </c>
      <c r="B106" s="1343">
        <f>'Input data'!B126</f>
        <v>64.676000000000002</v>
      </c>
      <c r="C106" s="1344">
        <f>'Input data'!C126</f>
        <v>3494.8800000000006</v>
      </c>
      <c r="D106" s="1344">
        <f>'Input data'!D126</f>
        <v>46747958.489740558</v>
      </c>
      <c r="E106" s="1237">
        <f t="shared" si="65"/>
        <v>0.9561230769230773</v>
      </c>
      <c r="F106" s="713">
        <f t="shared" si="66"/>
        <v>0.35763076923076936</v>
      </c>
      <c r="G106" s="1238">
        <f>B106*F106*'Input data'!$C$9</f>
        <v>707.94525755332154</v>
      </c>
      <c r="H106" s="917">
        <f>'Input data'!I126</f>
        <v>424.26313389388866</v>
      </c>
      <c r="I106" s="1168">
        <f>'Input data'!K126</f>
        <v>27439.642447721144</v>
      </c>
      <c r="J106" s="917">
        <f>($J$110-$J$105)/($A$110-$A$105)+J105</f>
        <v>63.092129655541726</v>
      </c>
      <c r="K106" s="1238">
        <f t="shared" si="67"/>
        <v>134.07077551802618</v>
      </c>
      <c r="L106" s="510">
        <f t="shared" si="30"/>
        <v>0.68153846153846187</v>
      </c>
      <c r="M106" s="510">
        <f t="shared" si="31"/>
        <v>0.57492307692307676</v>
      </c>
      <c r="N106" s="510">
        <f t="shared" si="32"/>
        <v>0.87107692307692264</v>
      </c>
      <c r="O106" s="510">
        <f t="shared" si="33"/>
        <v>0.88461538461538436</v>
      </c>
      <c r="P106" s="713">
        <f t="shared" si="34"/>
        <v>0.23600000000000002</v>
      </c>
      <c r="Q106" s="654">
        <f t="shared" si="35"/>
        <v>25.800454283433687</v>
      </c>
      <c r="R106" s="673">
        <f t="shared" si="36"/>
        <v>11.181258154796787</v>
      </c>
      <c r="S106" s="673">
        <f t="shared" si="14"/>
        <v>43.012995686887159</v>
      </c>
      <c r="T106" s="673">
        <f t="shared" si="15"/>
        <v>55.295304863764521</v>
      </c>
      <c r="U106" s="1336">
        <f t="shared" si="16"/>
        <v>0.67710709475193609</v>
      </c>
      <c r="V106" s="916">
        <f t="shared" si="17"/>
        <v>135.96712008363409</v>
      </c>
      <c r="W106" s="1237">
        <f>W105</f>
        <v>0.5</v>
      </c>
      <c r="X106" s="1337">
        <f t="shared" si="18"/>
        <v>53.669159952994768</v>
      </c>
      <c r="Y106" s="1337">
        <f t="shared" si="19"/>
        <v>73.339576568446887</v>
      </c>
      <c r="Z106" s="1168">
        <f t="shared" si="68"/>
        <v>123.82332860512102</v>
      </c>
      <c r="AA106" s="1338">
        <f t="shared" si="20"/>
        <v>60.731198949579294</v>
      </c>
      <c r="AB106" s="1339">
        <f t="shared" si="37"/>
        <v>0.49046653513292493</v>
      </c>
      <c r="AC106" s="135" t="str">
        <f t="shared" si="38"/>
        <v>Policies met</v>
      </c>
      <c r="AD106" s="1353">
        <f t="shared" si="39"/>
        <v>0.49046653513292493</v>
      </c>
      <c r="AE106" s="135" t="str">
        <f t="shared" si="40"/>
        <v>No</v>
      </c>
      <c r="AF106" s="1420">
        <f t="shared" si="41"/>
        <v>216.17626462831689</v>
      </c>
      <c r="AG106" s="238">
        <f t="shared" si="42"/>
        <v>63.092129655541726</v>
      </c>
      <c r="AH106" s="1344">
        <f t="shared" si="21"/>
        <v>69.279797804211739</v>
      </c>
      <c r="AI106" s="1343">
        <f t="shared" si="22"/>
        <v>57.545777942273439</v>
      </c>
      <c r="AJ106" s="1343">
        <f t="shared" si="23"/>
        <v>26.25855922629</v>
      </c>
      <c r="AK106" s="1344">
        <f t="shared" si="43"/>
        <v>216.17626462831691</v>
      </c>
      <c r="AL106" s="1344">
        <f t="shared" si="44"/>
        <v>0</v>
      </c>
      <c r="AM106" s="1237">
        <f t="shared" si="45"/>
        <v>0.29185502748888414</v>
      </c>
      <c r="AN106" s="713">
        <f t="shared" si="46"/>
        <v>0.32047828156957053</v>
      </c>
      <c r="AO106" s="713">
        <f t="shared" si="47"/>
        <v>0.26619841008546841</v>
      </c>
      <c r="AP106" s="713">
        <f t="shared" si="48"/>
        <v>0.12146828085607689</v>
      </c>
      <c r="AQ106" s="713">
        <f t="shared" si="49"/>
        <v>0.99999999999999989</v>
      </c>
      <c r="AR106" s="916">
        <f t="shared" si="69"/>
        <v>10.438851248487726</v>
      </c>
      <c r="AS106" s="917">
        <f t="shared" si="70"/>
        <v>16.907381778866956</v>
      </c>
      <c r="AT106" s="917">
        <f t="shared" si="71"/>
        <v>3.9684527374804106</v>
      </c>
      <c r="AU106" s="917">
        <f t="shared" si="72"/>
        <v>0</v>
      </c>
      <c r="AV106" s="917">
        <f t="shared" si="73"/>
        <v>0</v>
      </c>
      <c r="AW106" s="917">
        <f t="shared" si="74"/>
        <v>0</v>
      </c>
      <c r="AX106" s="1338">
        <f t="shared" si="75"/>
        <v>25.22743378488196</v>
      </c>
      <c r="AY106" s="917">
        <f t="shared" si="76"/>
        <v>2.2805570174209362</v>
      </c>
      <c r="AZ106" s="917">
        <f t="shared" si="77"/>
        <v>1.2989249458349634</v>
      </c>
      <c r="BA106" s="917">
        <f t="shared" si="78"/>
        <v>1.9653247583568985</v>
      </c>
      <c r="BB106" s="917">
        <f t="shared" si="79"/>
        <v>1.0052033842118324</v>
      </c>
      <c r="BC106" s="673">
        <f>SUM(AR106:BB106)</f>
        <v>63.09212965554169</v>
      </c>
      <c r="BD106" s="1340">
        <f t="shared" si="51"/>
        <v>0</v>
      </c>
      <c r="BE106" s="1341">
        <f t="shared" si="52"/>
        <v>0.16545409555010687</v>
      </c>
      <c r="BF106" s="1342">
        <f t="shared" si="53"/>
        <v>0.267979253056992</v>
      </c>
      <c r="BG106" s="1342">
        <f t="shared" si="54"/>
        <v>6.2899330853889504E-2</v>
      </c>
      <c r="BH106" s="1342">
        <f t="shared" si="55"/>
        <v>0</v>
      </c>
      <c r="BI106" s="1342">
        <f t="shared" si="56"/>
        <v>0</v>
      </c>
      <c r="BJ106" s="1342">
        <f t="shared" si="57"/>
        <v>0</v>
      </c>
      <c r="BK106" s="1342">
        <f t="shared" si="58"/>
        <v>0.50366732053901153</v>
      </c>
      <c r="BL106" s="1342">
        <f t="shared" si="59"/>
        <v>0.99999999999999989</v>
      </c>
      <c r="BM106" s="1237">
        <f t="shared" si="80"/>
        <v>0.19892488097366726</v>
      </c>
      <c r="BN106" s="713">
        <f t="shared" si="60"/>
        <v>0.26585903447659598</v>
      </c>
      <c r="BO106" s="713">
        <f t="shared" si="60"/>
        <v>8.9228108703258049E-2</v>
      </c>
      <c r="BP106" s="713">
        <f t="shared" si="60"/>
        <v>0</v>
      </c>
      <c r="BQ106" s="713">
        <f t="shared" si="60"/>
        <v>0</v>
      </c>
      <c r="BR106" s="713">
        <f t="shared" si="60"/>
        <v>0</v>
      </c>
      <c r="BS106" s="713">
        <f t="shared" si="60"/>
        <v>0.4459879758464787</v>
      </c>
      <c r="BT106" s="1001">
        <f t="shared" si="81"/>
        <v>1</v>
      </c>
      <c r="BV106" s="671">
        <f t="shared" si="24"/>
        <v>66.760544412118122</v>
      </c>
      <c r="BW106" s="713">
        <f t="shared" si="61"/>
        <v>0.73419845406543904</v>
      </c>
      <c r="BX106" s="1338">
        <f t="shared" si="25"/>
        <v>46.747958489740554</v>
      </c>
      <c r="BY106" s="671">
        <f t="shared" si="26"/>
        <v>68.707104308607867</v>
      </c>
      <c r="BZ106" s="713">
        <f t="shared" si="62"/>
        <v>0.72779482769232517</v>
      </c>
      <c r="CA106" s="1338">
        <f t="shared" si="27"/>
        <v>48.694518386230293</v>
      </c>
      <c r="CB106" s="713">
        <f t="shared" si="28"/>
        <v>0.49046653513292493</v>
      </c>
      <c r="CC106" s="713">
        <f t="shared" si="29"/>
        <v>0.85</v>
      </c>
      <c r="CD106" s="713">
        <f t="shared" si="63"/>
        <v>0.49046653513292493</v>
      </c>
      <c r="CE106" s="1001">
        <f t="shared" si="64"/>
        <v>0.85</v>
      </c>
    </row>
    <row r="107" spans="1:83" s="4" customFormat="1">
      <c r="A107" s="100">
        <f>'Input data'!A127</f>
        <v>2029</v>
      </c>
      <c r="B107" s="1343">
        <f>'Input data'!B127</f>
        <v>65.313000000000002</v>
      </c>
      <c r="C107" s="1344">
        <f>'Input data'!C127</f>
        <v>3576.08</v>
      </c>
      <c r="D107" s="1344">
        <f>'Input data'!D127</f>
        <v>46861564.337357998</v>
      </c>
      <c r="E107" s="1237">
        <f t="shared" si="65"/>
        <v>0.97806153846153887</v>
      </c>
      <c r="F107" s="713">
        <f t="shared" si="66"/>
        <v>0.36381538461538476</v>
      </c>
      <c r="G107" s="1238">
        <f>B107*F107*'Input data'!$C$9</f>
        <v>727.28116463059234</v>
      </c>
      <c r="H107" s="917">
        <f>'Input data'!I127</f>
        <v>424.26313389388866</v>
      </c>
      <c r="I107" s="1168">
        <f>'Input data'!K127</f>
        <v>27709.898064011551</v>
      </c>
      <c r="J107" s="917">
        <f t="shared" ref="J107:J109" si="83">($J$110-$J$105)/($A$110-$A$105)+J106</f>
        <v>57.177242500334685</v>
      </c>
      <c r="K107" s="1238">
        <f t="shared" si="67"/>
        <v>139.98566267323321</v>
      </c>
      <c r="L107" s="510">
        <f t="shared" si="30"/>
        <v>0.69076923076923114</v>
      </c>
      <c r="M107" s="510">
        <f t="shared" si="31"/>
        <v>0.58746153846153826</v>
      </c>
      <c r="N107" s="510">
        <f t="shared" si="32"/>
        <v>0.88553846153846105</v>
      </c>
      <c r="O107" s="510">
        <f t="shared" si="33"/>
        <v>0.89230769230769202</v>
      </c>
      <c r="P107" s="713">
        <f t="shared" si="34"/>
        <v>0.23600000000000002</v>
      </c>
      <c r="Q107" s="654">
        <f t="shared" si="35"/>
        <v>26.149896102170938</v>
      </c>
      <c r="R107" s="673">
        <f t="shared" si="36"/>
        <v>11.425109516749137</v>
      </c>
      <c r="S107" s="673">
        <f t="shared" si="14"/>
        <v>43.727093460565612</v>
      </c>
      <c r="T107" s="673">
        <f t="shared" si="15"/>
        <v>55.776133601710299</v>
      </c>
      <c r="U107" s="1336">
        <f t="shared" si="16"/>
        <v>0.67710709475193609</v>
      </c>
      <c r="V107" s="916">
        <f t="shared" si="17"/>
        <v>137.7553397759479</v>
      </c>
      <c r="W107" s="1237">
        <f t="shared" ref="W107:W128" si="84">W106</f>
        <v>0.5</v>
      </c>
      <c r="X107" s="1337">
        <f t="shared" si="18"/>
        <v>53.669159952994768</v>
      </c>
      <c r="Y107" s="1337">
        <f t="shared" si="19"/>
        <v>75.127796260760704</v>
      </c>
      <c r="Z107" s="1168">
        <f t="shared" si="68"/>
        <v>122.0351089128072</v>
      </c>
      <c r="AA107" s="1338">
        <f t="shared" si="20"/>
        <v>64.857866412472504</v>
      </c>
      <c r="AB107" s="1339">
        <f t="shared" si="37"/>
        <v>0.53146891079363701</v>
      </c>
      <c r="AC107" s="135" t="str">
        <f t="shared" si="38"/>
        <v>Policies met</v>
      </c>
      <c r="AD107" s="1353">
        <f t="shared" si="39"/>
        <v>0.53146891079363701</v>
      </c>
      <c r="AE107" s="135" t="str">
        <f t="shared" si="40"/>
        <v>No</v>
      </c>
      <c r="AF107" s="1420">
        <f t="shared" si="41"/>
        <v>198.78046823340867</v>
      </c>
      <c r="AG107" s="238">
        <f t="shared" si="42"/>
        <v>57.1772425003347</v>
      </c>
      <c r="AH107" s="1344">
        <f t="shared" si="21"/>
        <v>64.542659389217491</v>
      </c>
      <c r="AI107" s="1343">
        <f t="shared" si="22"/>
        <v>52.915044599778348</v>
      </c>
      <c r="AJ107" s="1343">
        <f t="shared" si="23"/>
        <v>24.14552174407816</v>
      </c>
      <c r="AK107" s="1344">
        <f t="shared" si="43"/>
        <v>198.7804682334087</v>
      </c>
      <c r="AL107" s="1344">
        <f t="shared" si="44"/>
        <v>0</v>
      </c>
      <c r="AM107" s="1237">
        <f t="shared" si="45"/>
        <v>0.28764014396624216</v>
      </c>
      <c r="AN107" s="713">
        <f t="shared" si="46"/>
        <v>0.32469316509221258</v>
      </c>
      <c r="AO107" s="713">
        <f t="shared" si="47"/>
        <v>0.26619841008546835</v>
      </c>
      <c r="AP107" s="713">
        <f t="shared" si="48"/>
        <v>0.1214682808560769</v>
      </c>
      <c r="AQ107" s="713">
        <f t="shared" si="49"/>
        <v>0.99999999999999989</v>
      </c>
      <c r="AR107" s="916">
        <f t="shared" si="69"/>
        <v>9.5988324276072436</v>
      </c>
      <c r="AS107" s="917">
        <f t="shared" si="70"/>
        <v>15.546837541959903</v>
      </c>
      <c r="AT107" s="917">
        <f t="shared" si="71"/>
        <v>3.4853852938786831</v>
      </c>
      <c r="AU107" s="917">
        <f t="shared" si="72"/>
        <v>0</v>
      </c>
      <c r="AV107" s="917">
        <f t="shared" si="73"/>
        <v>0</v>
      </c>
      <c r="AW107" s="917">
        <f t="shared" si="74"/>
        <v>0</v>
      </c>
      <c r="AX107" s="1338">
        <f t="shared" si="75"/>
        <v>23.197371407578999</v>
      </c>
      <c r="AY107" s="917">
        <f t="shared" si="76"/>
        <v>1.9827876754410951</v>
      </c>
      <c r="AZ107" s="917">
        <f t="shared" si="77"/>
        <v>0.85982289266262146</v>
      </c>
      <c r="BA107" s="917">
        <f t="shared" si="78"/>
        <v>1.5818910228831022</v>
      </c>
      <c r="BB107" s="917">
        <f t="shared" si="79"/>
        <v>0.92431423832300486</v>
      </c>
      <c r="BC107" s="673">
        <f t="shared" si="50"/>
        <v>57.177242500334657</v>
      </c>
      <c r="BD107" s="1340">
        <f t="shared" si="51"/>
        <v>0</v>
      </c>
      <c r="BE107" s="1341">
        <f t="shared" si="52"/>
        <v>0.16787854761535698</v>
      </c>
      <c r="BF107" s="1342">
        <f t="shared" si="53"/>
        <v>0.27190603922301615</v>
      </c>
      <c r="BG107" s="1342">
        <f t="shared" si="54"/>
        <v>6.0957561810685137E-2</v>
      </c>
      <c r="BH107" s="1342">
        <f t="shared" si="55"/>
        <v>0</v>
      </c>
      <c r="BI107" s="1342">
        <f t="shared" si="56"/>
        <v>0</v>
      </c>
      <c r="BJ107" s="1342">
        <f t="shared" si="57"/>
        <v>0</v>
      </c>
      <c r="BK107" s="1342">
        <f t="shared" si="58"/>
        <v>0.49925785135094164</v>
      </c>
      <c r="BL107" s="1342">
        <f t="shared" si="59"/>
        <v>1</v>
      </c>
      <c r="BM107" s="1237">
        <f t="shared" si="80"/>
        <v>0.19892488097366726</v>
      </c>
      <c r="BN107" s="713">
        <f t="shared" si="60"/>
        <v>0.26585903447659598</v>
      </c>
      <c r="BO107" s="713">
        <f t="shared" si="60"/>
        <v>8.9228108703258049E-2</v>
      </c>
      <c r="BP107" s="713">
        <f t="shared" si="60"/>
        <v>0</v>
      </c>
      <c r="BQ107" s="713">
        <f t="shared" si="60"/>
        <v>0</v>
      </c>
      <c r="BR107" s="713">
        <f t="shared" si="60"/>
        <v>0</v>
      </c>
      <c r="BS107" s="713">
        <f t="shared" si="60"/>
        <v>0.4459879758464787</v>
      </c>
      <c r="BT107" s="1001">
        <f t="shared" si="81"/>
        <v>1</v>
      </c>
      <c r="BV107" s="671">
        <f t="shared" si="24"/>
        <v>66.015811017881035</v>
      </c>
      <c r="BW107" s="713">
        <f t="shared" si="61"/>
        <v>0.77960419067645326</v>
      </c>
      <c r="BX107" s="1338">
        <f t="shared" si="25"/>
        <v>46.861564337357997</v>
      </c>
      <c r="BY107" s="671">
        <f t="shared" si="26"/>
        <v>67.848765066753316</v>
      </c>
      <c r="BZ107" s="713">
        <f t="shared" si="62"/>
        <v>0.77413579655733455</v>
      </c>
      <c r="CA107" s="1338">
        <f t="shared" si="27"/>
        <v>48.694518386230293</v>
      </c>
      <c r="CB107" s="713">
        <f t="shared" si="28"/>
        <v>0.53146891079363701</v>
      </c>
      <c r="CC107" s="713">
        <f t="shared" si="29"/>
        <v>0.85</v>
      </c>
      <c r="CD107" s="713">
        <f t="shared" si="63"/>
        <v>0.53146891079363701</v>
      </c>
      <c r="CE107" s="1001">
        <f t="shared" si="64"/>
        <v>0.85</v>
      </c>
    </row>
    <row r="108" spans="1:83" s="573" customFormat="1">
      <c r="A108" s="1192">
        <f>'Input data'!A128</f>
        <v>2030</v>
      </c>
      <c r="B108" s="1333">
        <f>'Input data'!B128</f>
        <v>65.956000000000003</v>
      </c>
      <c r="C108" s="1334">
        <f>'Input data'!C128</f>
        <v>3660.12</v>
      </c>
      <c r="D108" s="1334">
        <f>'Input data'!D128</f>
        <v>46973474.5753095</v>
      </c>
      <c r="E108" s="1240">
        <f>C53</f>
        <v>1</v>
      </c>
      <c r="F108" s="997">
        <f>D53</f>
        <v>0.37</v>
      </c>
      <c r="G108" s="1239">
        <f>B108*F108*'Input data'!$C$9</f>
        <v>746.92617855150922</v>
      </c>
      <c r="H108" s="1335">
        <f>'Input data'!I128</f>
        <v>424.26313389388866</v>
      </c>
      <c r="I108" s="1169">
        <f>'Input data'!K128</f>
        <v>27982.69925910532</v>
      </c>
      <c r="J108" s="917">
        <f t="shared" si="83"/>
        <v>51.262355345127645</v>
      </c>
      <c r="K108" s="1238">
        <f t="shared" si="67"/>
        <v>145.90054982844026</v>
      </c>
      <c r="L108" s="997">
        <f>C19</f>
        <v>0.7</v>
      </c>
      <c r="M108" s="997">
        <f>D19</f>
        <v>0.6</v>
      </c>
      <c r="N108" s="997">
        <f>E19</f>
        <v>0.9</v>
      </c>
      <c r="O108" s="997">
        <f>F19</f>
        <v>0.9</v>
      </c>
      <c r="P108" s="997">
        <f>G19</f>
        <v>0.23600000000000002</v>
      </c>
      <c r="Q108" s="654">
        <f t="shared" si="35"/>
        <v>26.499337920908175</v>
      </c>
      <c r="R108" s="673">
        <f t="shared" si="36"/>
        <v>11.668960878701492</v>
      </c>
      <c r="S108" s="673">
        <f t="shared" si="14"/>
        <v>44.441191234244087</v>
      </c>
      <c r="T108" s="673">
        <f t="shared" si="15"/>
        <v>56.256962339656091</v>
      </c>
      <c r="U108" s="1336">
        <f t="shared" si="16"/>
        <v>0.67710709475193609</v>
      </c>
      <c r="V108" s="916">
        <f t="shared" si="17"/>
        <v>139.54355946826178</v>
      </c>
      <c r="W108" s="1237">
        <f t="shared" si="84"/>
        <v>0.5</v>
      </c>
      <c r="X108" s="1337">
        <f t="shared" si="18"/>
        <v>53.669159952994768</v>
      </c>
      <c r="Y108" s="1337">
        <f t="shared" si="19"/>
        <v>76.916015953074577</v>
      </c>
      <c r="Z108" s="1168">
        <f t="shared" si="68"/>
        <v>120.24688922049333</v>
      </c>
      <c r="AA108" s="1338">
        <f t="shared" si="20"/>
        <v>68.984533875365685</v>
      </c>
      <c r="AB108" s="1339">
        <f t="shared" si="37"/>
        <v>0.57369079834465153</v>
      </c>
      <c r="AC108" s="135" t="str">
        <f t="shared" si="38"/>
        <v>Policies met</v>
      </c>
      <c r="AD108" s="1353">
        <f t="shared" si="39"/>
        <v>0.57369079834465153</v>
      </c>
      <c r="AE108" s="135" t="str">
        <f t="shared" si="40"/>
        <v>No</v>
      </c>
      <c r="AF108" s="1420">
        <f t="shared" si="41"/>
        <v>180.86727790209989</v>
      </c>
      <c r="AG108" s="238">
        <f t="shared" si="42"/>
        <v>51.262355345127645</v>
      </c>
      <c r="AH108" s="1344">
        <f t="shared" si="21"/>
        <v>59.488703433060323</v>
      </c>
      <c r="AI108" s="1343">
        <f t="shared" si="22"/>
        <v>48.146581814025566</v>
      </c>
      <c r="AJ108" s="1343">
        <f t="shared" si="23"/>
        <v>21.969637309886384</v>
      </c>
      <c r="AK108" s="1344">
        <f t="shared" si="43"/>
        <v>180.86727790209991</v>
      </c>
      <c r="AL108" s="1344">
        <f t="shared" si="44"/>
        <v>0</v>
      </c>
      <c r="AM108" s="1237">
        <f t="shared" si="45"/>
        <v>0.2834252604436</v>
      </c>
      <c r="AN108" s="713">
        <f t="shared" si="46"/>
        <v>0.32890804861485473</v>
      </c>
      <c r="AO108" s="713">
        <f t="shared" si="47"/>
        <v>0.26619841008546841</v>
      </c>
      <c r="AP108" s="713">
        <f t="shared" si="48"/>
        <v>0.1214682808560769</v>
      </c>
      <c r="AQ108" s="713">
        <f t="shared" si="49"/>
        <v>1</v>
      </c>
      <c r="AR108" s="916">
        <f t="shared" si="69"/>
        <v>8.7338293729199599</v>
      </c>
      <c r="AS108" s="917">
        <f t="shared" si="70"/>
        <v>14.145827360154431</v>
      </c>
      <c r="AT108" s="917">
        <f t="shared" si="71"/>
        <v>3.022327984719122</v>
      </c>
      <c r="AU108" s="917">
        <f t="shared" si="72"/>
        <v>0</v>
      </c>
      <c r="AV108" s="917">
        <f t="shared" si="73"/>
        <v>0</v>
      </c>
      <c r="AW108" s="917">
        <f t="shared" si="74"/>
        <v>0</v>
      </c>
      <c r="AX108" s="1338">
        <f t="shared" si="75"/>
        <v>21.106929962788275</v>
      </c>
      <c r="AY108" s="917">
        <f t="shared" si="76"/>
        <v>1.7001518024997329</v>
      </c>
      <c r="AZ108" s="917">
        <f t="shared" si="77"/>
        <v>0.47791311835861006</v>
      </c>
      <c r="BA108" s="917">
        <f t="shared" si="78"/>
        <v>1.2343564941738161</v>
      </c>
      <c r="BB108" s="917">
        <f t="shared" si="79"/>
        <v>0.84101924951365703</v>
      </c>
      <c r="BC108" s="673">
        <f t="shared" si="50"/>
        <v>51.262355345127602</v>
      </c>
      <c r="BD108" s="1340">
        <f t="shared" si="51"/>
        <v>0</v>
      </c>
      <c r="BE108" s="1341">
        <f t="shared" si="52"/>
        <v>0.17037510887119423</v>
      </c>
      <c r="BF108" s="1342">
        <f t="shared" si="53"/>
        <v>0.2759496177051679</v>
      </c>
      <c r="BG108" s="1342">
        <f t="shared" si="54"/>
        <v>5.8958039761752561E-2</v>
      </c>
      <c r="BH108" s="1342">
        <f t="shared" si="55"/>
        <v>0</v>
      </c>
      <c r="BI108" s="1342">
        <f t="shared" si="56"/>
        <v>0</v>
      </c>
      <c r="BJ108" s="1342">
        <f t="shared" si="57"/>
        <v>0</v>
      </c>
      <c r="BK108" s="1342">
        <f t="shared" si="58"/>
        <v>0.49471723366188541</v>
      </c>
      <c r="BL108" s="1342">
        <f t="shared" si="59"/>
        <v>1</v>
      </c>
      <c r="BM108" s="1237">
        <f t="shared" si="80"/>
        <v>0.19892488097366726</v>
      </c>
      <c r="BN108" s="713">
        <f t="shared" si="60"/>
        <v>0.26585903447659598</v>
      </c>
      <c r="BO108" s="713">
        <f t="shared" si="60"/>
        <v>8.9228108703258049E-2</v>
      </c>
      <c r="BP108" s="713">
        <f t="shared" si="60"/>
        <v>0</v>
      </c>
      <c r="BQ108" s="713">
        <f t="shared" si="60"/>
        <v>0</v>
      </c>
      <c r="BR108" s="713">
        <f t="shared" si="60"/>
        <v>0</v>
      </c>
      <c r="BS108" s="713">
        <f t="shared" si="60"/>
        <v>0.4459879758464787</v>
      </c>
      <c r="BT108" s="1001">
        <f t="shared" si="81"/>
        <v>1</v>
      </c>
      <c r="BV108" s="671">
        <f t="shared" si="24"/>
        <v>65.219083875964103</v>
      </c>
      <c r="BW108" s="713">
        <f t="shared" si="61"/>
        <v>0.82767825110083648</v>
      </c>
      <c r="BX108" s="1338">
        <f t="shared" si="25"/>
        <v>46.973474575309503</v>
      </c>
      <c r="BY108" s="671">
        <f t="shared" si="26"/>
        <v>66.940127686884878</v>
      </c>
      <c r="BZ108" s="713">
        <f t="shared" si="62"/>
        <v>0.8231499410897829</v>
      </c>
      <c r="CA108" s="1338">
        <f t="shared" si="27"/>
        <v>48.694518386230293</v>
      </c>
      <c r="CB108" s="713">
        <f t="shared" si="28"/>
        <v>0.57369079834465153</v>
      </c>
      <c r="CC108" s="713">
        <f t="shared" si="29"/>
        <v>0.85</v>
      </c>
      <c r="CD108" s="713">
        <f t="shared" si="63"/>
        <v>0.57369079834465153</v>
      </c>
      <c r="CE108" s="1001">
        <f t="shared" si="64"/>
        <v>0.85</v>
      </c>
    </row>
    <row r="109" spans="1:83" s="4" customFormat="1">
      <c r="A109" s="100">
        <f>'Input data'!A129</f>
        <v>2031</v>
      </c>
      <c r="B109" s="1343">
        <f>'Input data'!B129</f>
        <v>66.519000000000005</v>
      </c>
      <c r="C109" s="1344">
        <f>'Input data'!C129</f>
        <v>3761.03</v>
      </c>
      <c r="D109" s="1344">
        <f>'Input data'!D129</f>
        <v>45096434.675122961</v>
      </c>
      <c r="E109" s="1237">
        <f>E108</f>
        <v>1</v>
      </c>
      <c r="F109" s="713">
        <f>F108</f>
        <v>0.37</v>
      </c>
      <c r="G109" s="1238">
        <f>B109*F109*'Input data'!$C$9</f>
        <v>753.30193570058589</v>
      </c>
      <c r="H109" s="917">
        <f>'Input data'!I129</f>
        <v>424.26313389388866</v>
      </c>
      <c r="I109" s="1168">
        <f>'Input data'!K129</f>
        <v>28221.559403487583</v>
      </c>
      <c r="J109" s="917">
        <f t="shared" si="83"/>
        <v>45.347468189920605</v>
      </c>
      <c r="K109" s="1238">
        <f t="shared" si="67"/>
        <v>151.81543698364732</v>
      </c>
      <c r="L109" s="713">
        <f>L108</f>
        <v>0.7</v>
      </c>
      <c r="M109" s="713">
        <f t="shared" ref="M109:P124" si="85">M108</f>
        <v>0.6</v>
      </c>
      <c r="N109" s="713">
        <f t="shared" si="85"/>
        <v>0.9</v>
      </c>
      <c r="O109" s="713">
        <f t="shared" si="85"/>
        <v>0.9</v>
      </c>
      <c r="P109" s="713">
        <f t="shared" si="85"/>
        <v>0.23600000000000002</v>
      </c>
      <c r="Q109" s="654">
        <f t="shared" si="35"/>
        <v>26.499337920908175</v>
      </c>
      <c r="R109" s="673">
        <f t="shared" si="36"/>
        <v>11.668960878701492</v>
      </c>
      <c r="S109" s="673">
        <f t="shared" si="14"/>
        <v>44.441191234244087</v>
      </c>
      <c r="T109" s="673">
        <f t="shared" si="15"/>
        <v>56.256962339656091</v>
      </c>
      <c r="U109" s="1336">
        <f t="shared" si="16"/>
        <v>0.67710709475193609</v>
      </c>
      <c r="V109" s="916">
        <f t="shared" si="17"/>
        <v>139.54355946826178</v>
      </c>
      <c r="W109" s="1237">
        <f t="shared" si="84"/>
        <v>0.5</v>
      </c>
      <c r="X109" s="1337">
        <f t="shared" si="18"/>
        <v>53.669159952994768</v>
      </c>
      <c r="Y109" s="1337">
        <f t="shared" si="19"/>
        <v>76.916015953074577</v>
      </c>
      <c r="Z109" s="1168">
        <f t="shared" si="68"/>
        <v>120.24688922049333</v>
      </c>
      <c r="AA109" s="1338">
        <f t="shared" si="20"/>
        <v>74.899421030572739</v>
      </c>
      <c r="AB109" s="1339">
        <f t="shared" si="37"/>
        <v>0.62288032161257645</v>
      </c>
      <c r="AC109" s="135" t="str">
        <f t="shared" si="38"/>
        <v>Policies met</v>
      </c>
      <c r="AD109" s="1353">
        <f t="shared" si="39"/>
        <v>0.62288032161257645</v>
      </c>
      <c r="AE109" s="135" t="str">
        <f t="shared" si="40"/>
        <v>No</v>
      </c>
      <c r="AF109" s="1420">
        <f t="shared" si="41"/>
        <v>159.99797660570371</v>
      </c>
      <c r="AG109" s="238">
        <f t="shared" si="42"/>
        <v>45.34746818992059</v>
      </c>
      <c r="AH109" s="1344">
        <f t="shared" si="21"/>
        <v>52.624622267707196</v>
      </c>
      <c r="AI109" s="1343">
        <f t="shared" si="22"/>
        <v>42.591206989330296</v>
      </c>
      <c r="AJ109" s="1343">
        <f t="shared" si="23"/>
        <v>19.434679158745642</v>
      </c>
      <c r="AK109" s="1344">
        <f t="shared" si="43"/>
        <v>159.99797660570371</v>
      </c>
      <c r="AL109" s="1344">
        <f t="shared" si="44"/>
        <v>0</v>
      </c>
      <c r="AM109" s="1237">
        <f t="shared" si="45"/>
        <v>0.28342526044359995</v>
      </c>
      <c r="AN109" s="713">
        <f t="shared" si="46"/>
        <v>0.32890804861485479</v>
      </c>
      <c r="AO109" s="713">
        <f t="shared" si="47"/>
        <v>0.26619841008546841</v>
      </c>
      <c r="AP109" s="713">
        <f t="shared" si="48"/>
        <v>0.12146828085607692</v>
      </c>
      <c r="AQ109" s="713">
        <f t="shared" si="49"/>
        <v>1</v>
      </c>
      <c r="AR109" s="916">
        <f t="shared" si="69"/>
        <v>7.7260798298907316</v>
      </c>
      <c r="AS109" s="917">
        <f t="shared" si="70"/>
        <v>12.513616510905841</v>
      </c>
      <c r="AT109" s="917">
        <f t="shared" si="71"/>
        <v>2.6735978326361458</v>
      </c>
      <c r="AU109" s="917">
        <f t="shared" si="72"/>
        <v>0</v>
      </c>
      <c r="AV109" s="917">
        <f t="shared" si="73"/>
        <v>0</v>
      </c>
      <c r="AW109" s="917">
        <f t="shared" si="74"/>
        <v>0</v>
      </c>
      <c r="AX109" s="1338">
        <f t="shared" si="75"/>
        <v>18.671514967081933</v>
      </c>
      <c r="AY109" s="917">
        <f t="shared" si="76"/>
        <v>1.5039804406728401</v>
      </c>
      <c r="AZ109" s="917">
        <f t="shared" si="77"/>
        <v>0.42276929700953958</v>
      </c>
      <c r="BA109" s="917">
        <f t="shared" si="78"/>
        <v>1.0919307448460678</v>
      </c>
      <c r="BB109" s="917">
        <f t="shared" si="79"/>
        <v>0.74397856687746566</v>
      </c>
      <c r="BC109" s="673">
        <f t="shared" si="50"/>
        <v>45.347468189920562</v>
      </c>
      <c r="BD109" s="1340">
        <f t="shared" si="51"/>
        <v>0</v>
      </c>
      <c r="BE109" s="1341">
        <f t="shared" si="52"/>
        <v>0.1703751088711942</v>
      </c>
      <c r="BF109" s="1342">
        <f t="shared" si="53"/>
        <v>0.2759496177051679</v>
      </c>
      <c r="BG109" s="1342">
        <f t="shared" si="54"/>
        <v>5.8958039761752561E-2</v>
      </c>
      <c r="BH109" s="1342">
        <f t="shared" si="55"/>
        <v>0</v>
      </c>
      <c r="BI109" s="1342">
        <f t="shared" si="56"/>
        <v>0</v>
      </c>
      <c r="BJ109" s="1342">
        <f t="shared" si="57"/>
        <v>0</v>
      </c>
      <c r="BK109" s="1342">
        <f t="shared" si="58"/>
        <v>0.49471723366188547</v>
      </c>
      <c r="BL109" s="1342">
        <f t="shared" si="59"/>
        <v>1</v>
      </c>
      <c r="BM109" s="1237">
        <f t="shared" si="80"/>
        <v>0.19892488097366726</v>
      </c>
      <c r="BN109" s="713">
        <f t="shared" si="60"/>
        <v>0.26585903447659598</v>
      </c>
      <c r="BO109" s="713">
        <f t="shared" si="60"/>
        <v>8.9228108703258049E-2</v>
      </c>
      <c r="BP109" s="713">
        <f t="shared" si="60"/>
        <v>0</v>
      </c>
      <c r="BQ109" s="713">
        <f t="shared" si="60"/>
        <v>0</v>
      </c>
      <c r="BR109" s="713">
        <f t="shared" si="60"/>
        <v>0</v>
      </c>
      <c r="BS109" s="713">
        <f t="shared" si="60"/>
        <v>0.4459879758464787</v>
      </c>
      <c r="BT109" s="1001">
        <f t="shared" si="81"/>
        <v>1</v>
      </c>
      <c r="BV109" s="671">
        <f t="shared" si="24"/>
        <v>62.22980918734369</v>
      </c>
      <c r="BW109" s="713">
        <f t="shared" si="61"/>
        <v>0.81391728164353938</v>
      </c>
      <c r="BX109" s="1338">
        <f t="shared" si="25"/>
        <v>45.096434675122964</v>
      </c>
      <c r="BY109" s="671">
        <f t="shared" si="26"/>
        <v>65.827892898451012</v>
      </c>
      <c r="BZ109" s="713">
        <f t="shared" si="62"/>
        <v>0.8051997218498429</v>
      </c>
      <c r="CA109" s="1338">
        <f t="shared" si="27"/>
        <v>48.694518386230293</v>
      </c>
      <c r="CB109" s="713">
        <f t="shared" si="28"/>
        <v>0.62288032161257645</v>
      </c>
      <c r="CC109" s="713">
        <f t="shared" si="29"/>
        <v>0.85</v>
      </c>
      <c r="CD109" s="713">
        <f t="shared" si="63"/>
        <v>0.62288032161257645</v>
      </c>
      <c r="CE109" s="1001">
        <f t="shared" si="64"/>
        <v>0.85</v>
      </c>
    </row>
    <row r="110" spans="1:83" s="4" customFormat="1">
      <c r="A110" s="100">
        <f>'Input data'!A130</f>
        <v>2032</v>
      </c>
      <c r="B110" s="1343">
        <f>'Input data'!B130</f>
        <v>67.087000000000003</v>
      </c>
      <c r="C110" s="1344">
        <f>'Input data'!C130</f>
        <v>3857.2</v>
      </c>
      <c r="D110" s="1344">
        <f>'Input data'!D130</f>
        <v>43216003.555604555</v>
      </c>
      <c r="E110" s="1237">
        <f t="shared" ref="E110:F125" si="86">E109</f>
        <v>1</v>
      </c>
      <c r="F110" s="713">
        <f t="shared" si="86"/>
        <v>0.37</v>
      </c>
      <c r="G110" s="1238">
        <f>B110*F110*'Input data'!$C$9</f>
        <v>759.73431591492977</v>
      </c>
      <c r="H110" s="917">
        <f>'Input data'!I130</f>
        <v>424.26313389388866</v>
      </c>
      <c r="I110" s="1168">
        <f>'Input data'!K130</f>
        <v>28462.540863539311</v>
      </c>
      <c r="J110" s="917">
        <f>J95*(1-$G$6)</f>
        <v>39.432581034713571</v>
      </c>
      <c r="K110" s="1238">
        <f t="shared" si="67"/>
        <v>157.73032413885434</v>
      </c>
      <c r="L110" s="713">
        <f>C20</f>
        <v>0.7</v>
      </c>
      <c r="M110" s="713">
        <f>D20</f>
        <v>0.6</v>
      </c>
      <c r="N110" s="713">
        <f t="shared" si="85"/>
        <v>0.9</v>
      </c>
      <c r="O110" s="713">
        <f t="shared" si="85"/>
        <v>0.9</v>
      </c>
      <c r="P110" s="713">
        <f t="shared" si="85"/>
        <v>0.23600000000000002</v>
      </c>
      <c r="Q110" s="654">
        <f t="shared" si="35"/>
        <v>26.499337920908175</v>
      </c>
      <c r="R110" s="673">
        <f t="shared" si="36"/>
        <v>11.668960878701492</v>
      </c>
      <c r="S110" s="673">
        <f t="shared" si="14"/>
        <v>44.441191234244087</v>
      </c>
      <c r="T110" s="673">
        <f t="shared" si="15"/>
        <v>56.256962339656091</v>
      </c>
      <c r="U110" s="1336">
        <f t="shared" si="16"/>
        <v>0.67710709475193609</v>
      </c>
      <c r="V110" s="916">
        <f t="shared" si="17"/>
        <v>139.54355946826178</v>
      </c>
      <c r="W110" s="1237">
        <f t="shared" si="84"/>
        <v>0.5</v>
      </c>
      <c r="X110" s="1337">
        <f t="shared" si="18"/>
        <v>53.669159952994768</v>
      </c>
      <c r="Y110" s="1337">
        <f t="shared" si="19"/>
        <v>76.916015953074577</v>
      </c>
      <c r="Z110" s="1168">
        <f t="shared" si="68"/>
        <v>120.24688922049333</v>
      </c>
      <c r="AA110" s="1338">
        <f t="shared" si="20"/>
        <v>80.814308185779765</v>
      </c>
      <c r="AB110" s="1339">
        <f t="shared" si="37"/>
        <v>0.67206984488050125</v>
      </c>
      <c r="AC110" s="135" t="str">
        <f t="shared" si="38"/>
        <v>Policies met</v>
      </c>
      <c r="AD110" s="1353">
        <f t="shared" si="39"/>
        <v>0.67206984488050125</v>
      </c>
      <c r="AE110" s="135" t="str">
        <f t="shared" si="40"/>
        <v>No</v>
      </c>
      <c r="AF110" s="1420">
        <f t="shared" si="41"/>
        <v>139.12867530930757</v>
      </c>
      <c r="AG110" s="238">
        <f t="shared" si="42"/>
        <v>39.432581034713564</v>
      </c>
      <c r="AH110" s="1344">
        <f t="shared" si="21"/>
        <v>45.760541102354082</v>
      </c>
      <c r="AI110" s="1343">
        <f t="shared" si="22"/>
        <v>37.035832164635039</v>
      </c>
      <c r="AJ110" s="1343">
        <f t="shared" si="23"/>
        <v>16.899721007604906</v>
      </c>
      <c r="AK110" s="1344">
        <f t="shared" si="43"/>
        <v>139.1286753093076</v>
      </c>
      <c r="AL110" s="1344">
        <f t="shared" si="44"/>
        <v>0</v>
      </c>
      <c r="AM110" s="1237">
        <f t="shared" si="45"/>
        <v>0.2834252604436</v>
      </c>
      <c r="AN110" s="713">
        <f t="shared" si="46"/>
        <v>0.32890804861485473</v>
      </c>
      <c r="AO110" s="713">
        <f t="shared" si="47"/>
        <v>0.26619841008546835</v>
      </c>
      <c r="AP110" s="713">
        <f t="shared" si="48"/>
        <v>0.1214682808560769</v>
      </c>
      <c r="AQ110" s="713">
        <f t="shared" si="49"/>
        <v>0.99999999999999989</v>
      </c>
      <c r="AR110" s="916">
        <f t="shared" si="69"/>
        <v>6.718330286861506</v>
      </c>
      <c r="AS110" s="917">
        <f t="shared" si="70"/>
        <v>10.881405661657253</v>
      </c>
      <c r="AT110" s="917">
        <f t="shared" si="71"/>
        <v>2.3248676805531701</v>
      </c>
      <c r="AU110" s="917">
        <f t="shared" si="72"/>
        <v>0</v>
      </c>
      <c r="AV110" s="917">
        <f t="shared" si="73"/>
        <v>0</v>
      </c>
      <c r="AW110" s="917">
        <f t="shared" si="74"/>
        <v>0</v>
      </c>
      <c r="AX110" s="1338">
        <f t="shared" si="75"/>
        <v>16.236099971375594</v>
      </c>
      <c r="AY110" s="917">
        <f t="shared" si="76"/>
        <v>1.307809078845948</v>
      </c>
      <c r="AZ110" s="917">
        <f t="shared" si="77"/>
        <v>0.36762547566046921</v>
      </c>
      <c r="BA110" s="917">
        <f t="shared" si="78"/>
        <v>0.94950499551831991</v>
      </c>
      <c r="BB110" s="917">
        <f t="shared" si="79"/>
        <v>0.64693788424127452</v>
      </c>
      <c r="BC110" s="673">
        <f t="shared" si="50"/>
        <v>39.432581034713529</v>
      </c>
      <c r="BD110" s="1340">
        <f t="shared" si="51"/>
        <v>0</v>
      </c>
      <c r="BE110" s="1341">
        <f t="shared" si="52"/>
        <v>0.17037510887119423</v>
      </c>
      <c r="BF110" s="1342">
        <f t="shared" si="53"/>
        <v>0.2759496177051679</v>
      </c>
      <c r="BG110" s="1342">
        <f t="shared" si="54"/>
        <v>5.8958039761752561E-2</v>
      </c>
      <c r="BH110" s="1342">
        <f t="shared" si="55"/>
        <v>0</v>
      </c>
      <c r="BI110" s="1342">
        <f t="shared" si="56"/>
        <v>0</v>
      </c>
      <c r="BJ110" s="1342">
        <f t="shared" si="57"/>
        <v>0</v>
      </c>
      <c r="BK110" s="1342">
        <f t="shared" si="58"/>
        <v>0.49471723366188552</v>
      </c>
      <c r="BL110" s="1342">
        <f t="shared" si="59"/>
        <v>1.0000000000000002</v>
      </c>
      <c r="BM110" s="1237">
        <f t="shared" si="80"/>
        <v>0.19892488097366726</v>
      </c>
      <c r="BN110" s="713">
        <f t="shared" si="60"/>
        <v>0.26585903447659598</v>
      </c>
      <c r="BO110" s="713">
        <f t="shared" si="60"/>
        <v>8.9228108703258049E-2</v>
      </c>
      <c r="BP110" s="713">
        <f t="shared" si="60"/>
        <v>0</v>
      </c>
      <c r="BQ110" s="713">
        <f t="shared" si="60"/>
        <v>0</v>
      </c>
      <c r="BR110" s="713">
        <f t="shared" si="60"/>
        <v>0</v>
      </c>
      <c r="BS110" s="713">
        <f t="shared" si="60"/>
        <v>0.4459879758464787</v>
      </c>
      <c r="BT110" s="1001">
        <f t="shared" si="81"/>
        <v>1</v>
      </c>
      <c r="BV110" s="671">
        <f t="shared" si="24"/>
        <v>59.20616019635014</v>
      </c>
      <c r="BW110" s="713">
        <f t="shared" si="61"/>
        <v>0.7987169009839189</v>
      </c>
      <c r="BX110" s="1338">
        <f t="shared" si="25"/>
        <v>43.216003555604551</v>
      </c>
      <c r="BY110" s="671">
        <f t="shared" si="26"/>
        <v>64.684675026975881</v>
      </c>
      <c r="BZ110" s="713">
        <f t="shared" si="62"/>
        <v>0.78672715161729612</v>
      </c>
      <c r="CA110" s="1338">
        <f t="shared" si="27"/>
        <v>48.694518386230293</v>
      </c>
      <c r="CB110" s="713">
        <f t="shared" si="28"/>
        <v>0.67206984488050125</v>
      </c>
      <c r="CC110" s="713">
        <f t="shared" si="29"/>
        <v>0.85</v>
      </c>
      <c r="CD110" s="713">
        <f t="shared" si="63"/>
        <v>0.67206984488050125</v>
      </c>
      <c r="CE110" s="1001">
        <f t="shared" si="64"/>
        <v>0.85</v>
      </c>
    </row>
    <row r="111" spans="1:83">
      <c r="A111" s="127">
        <f>'Input data'!A131</f>
        <v>2033</v>
      </c>
      <c r="B111" s="828">
        <f>'Input data'!B131</f>
        <v>67.659000000000006</v>
      </c>
      <c r="C111" s="238">
        <f>'Input data'!C131</f>
        <v>3964.01</v>
      </c>
      <c r="D111" s="238">
        <f>'Input data'!D131</f>
        <v>41337268.045752093</v>
      </c>
      <c r="E111" s="1237">
        <f t="shared" si="86"/>
        <v>1</v>
      </c>
      <c r="F111" s="713">
        <f t="shared" si="86"/>
        <v>0.37</v>
      </c>
      <c r="G111" s="1238">
        <f>B111*F111*'Input data'!$C$9</f>
        <v>766.21199458148715</v>
      </c>
      <c r="H111" s="673">
        <f>'Input data'!I131</f>
        <v>424.26313389388866</v>
      </c>
      <c r="I111" s="672">
        <f>'Input data'!K131</f>
        <v>28705.219376126617</v>
      </c>
      <c r="J111" s="673">
        <f>J110</f>
        <v>39.432581034713571</v>
      </c>
      <c r="K111" s="674">
        <f t="shared" si="67"/>
        <v>157.73032413885434</v>
      </c>
      <c r="L111" s="510">
        <f t="shared" ref="L111:P125" si="87">L110</f>
        <v>0.7</v>
      </c>
      <c r="M111" s="510">
        <f t="shared" si="85"/>
        <v>0.6</v>
      </c>
      <c r="N111" s="510">
        <f t="shared" si="85"/>
        <v>0.9</v>
      </c>
      <c r="O111" s="510">
        <f t="shared" si="85"/>
        <v>0.9</v>
      </c>
      <c r="P111" s="510">
        <f t="shared" si="85"/>
        <v>0.23600000000000002</v>
      </c>
      <c r="Q111" s="654">
        <f t="shared" si="35"/>
        <v>26.499337920908175</v>
      </c>
      <c r="R111" s="673">
        <f t="shared" si="36"/>
        <v>11.668960878701492</v>
      </c>
      <c r="S111" s="673">
        <f t="shared" si="14"/>
        <v>44.441191234244087</v>
      </c>
      <c r="T111" s="673">
        <f t="shared" si="15"/>
        <v>56.256962339656091</v>
      </c>
      <c r="U111" s="802">
        <f t="shared" si="16"/>
        <v>0.67710709475193609</v>
      </c>
      <c r="V111" s="654">
        <f t="shared" si="17"/>
        <v>139.54355946826178</v>
      </c>
      <c r="W111" s="805">
        <f t="shared" si="84"/>
        <v>0.5</v>
      </c>
      <c r="X111" s="671">
        <f t="shared" si="18"/>
        <v>53.669159952994768</v>
      </c>
      <c r="Y111" s="671">
        <f t="shared" si="19"/>
        <v>76.916015953074577</v>
      </c>
      <c r="Z111" s="672">
        <f t="shared" si="68"/>
        <v>120.24688922049333</v>
      </c>
      <c r="AA111" s="696">
        <f t="shared" si="20"/>
        <v>80.814308185779765</v>
      </c>
      <c r="AB111" s="893">
        <f t="shared" si="37"/>
        <v>0.67206984488050125</v>
      </c>
      <c r="AC111" s="135" t="str">
        <f t="shared" si="38"/>
        <v>Policies met</v>
      </c>
      <c r="AD111" s="1353">
        <f t="shared" si="39"/>
        <v>0.67206984488050125</v>
      </c>
      <c r="AE111" s="135" t="str">
        <f t="shared" si="40"/>
        <v>No</v>
      </c>
      <c r="AF111" s="1420">
        <f t="shared" si="41"/>
        <v>139.12867530930757</v>
      </c>
      <c r="AG111" s="238">
        <f t="shared" si="42"/>
        <v>39.432581034713564</v>
      </c>
      <c r="AH111" s="238">
        <f t="shared" si="21"/>
        <v>45.760541102354082</v>
      </c>
      <c r="AI111" s="828">
        <f t="shared" si="22"/>
        <v>37.035832164635039</v>
      </c>
      <c r="AJ111" s="828">
        <f t="shared" si="23"/>
        <v>16.899721007604906</v>
      </c>
      <c r="AK111" s="238">
        <f t="shared" si="43"/>
        <v>139.1286753093076</v>
      </c>
      <c r="AL111" s="238">
        <f t="shared" si="44"/>
        <v>0</v>
      </c>
      <c r="AM111" s="805">
        <f t="shared" si="45"/>
        <v>0.2834252604436</v>
      </c>
      <c r="AN111" s="510">
        <f t="shared" si="46"/>
        <v>0.32890804861485473</v>
      </c>
      <c r="AO111" s="510">
        <f t="shared" si="47"/>
        <v>0.26619841008546835</v>
      </c>
      <c r="AP111" s="510">
        <f t="shared" si="48"/>
        <v>0.1214682808560769</v>
      </c>
      <c r="AQ111" s="510">
        <f t="shared" si="49"/>
        <v>0.99999999999999989</v>
      </c>
      <c r="AR111" s="916">
        <f t="shared" si="69"/>
        <v>6.718330286861506</v>
      </c>
      <c r="AS111" s="917">
        <f t="shared" si="70"/>
        <v>10.881405661657253</v>
      </c>
      <c r="AT111" s="917">
        <f t="shared" si="71"/>
        <v>2.3248676805531701</v>
      </c>
      <c r="AU111" s="917">
        <f t="shared" si="72"/>
        <v>0</v>
      </c>
      <c r="AV111" s="917">
        <f t="shared" si="73"/>
        <v>0</v>
      </c>
      <c r="AW111" s="917">
        <f t="shared" si="74"/>
        <v>0</v>
      </c>
      <c r="AX111" s="1338">
        <f t="shared" si="75"/>
        <v>16.236099971375594</v>
      </c>
      <c r="AY111" s="917">
        <f t="shared" si="76"/>
        <v>1.307809078845948</v>
      </c>
      <c r="AZ111" s="917">
        <f t="shared" si="77"/>
        <v>0.36762547566046921</v>
      </c>
      <c r="BA111" s="917">
        <f t="shared" si="78"/>
        <v>0.94950499551831991</v>
      </c>
      <c r="BB111" s="917">
        <f t="shared" si="79"/>
        <v>0.64693788424127452</v>
      </c>
      <c r="BC111" s="673">
        <f t="shared" si="50"/>
        <v>39.432581034713529</v>
      </c>
      <c r="BD111" s="922">
        <f t="shared" si="51"/>
        <v>0</v>
      </c>
      <c r="BE111" s="840">
        <f t="shared" si="52"/>
        <v>0.17037510887119423</v>
      </c>
      <c r="BF111" s="535">
        <f t="shared" si="53"/>
        <v>0.2759496177051679</v>
      </c>
      <c r="BG111" s="535">
        <f t="shared" si="54"/>
        <v>5.8958039761752561E-2</v>
      </c>
      <c r="BH111" s="535">
        <f t="shared" si="55"/>
        <v>0</v>
      </c>
      <c r="BI111" s="535">
        <f t="shared" si="56"/>
        <v>0</v>
      </c>
      <c r="BJ111" s="535">
        <f t="shared" si="57"/>
        <v>0</v>
      </c>
      <c r="BK111" s="535">
        <f t="shared" si="58"/>
        <v>0.49471723366188552</v>
      </c>
      <c r="BL111" s="1342">
        <f t="shared" si="59"/>
        <v>1.0000000000000002</v>
      </c>
      <c r="BM111" s="1237">
        <f t="shared" si="80"/>
        <v>0.19892488097366726</v>
      </c>
      <c r="BN111" s="713">
        <f t="shared" si="60"/>
        <v>0.26585903447659598</v>
      </c>
      <c r="BO111" s="713">
        <f t="shared" si="60"/>
        <v>8.9228108703258049E-2</v>
      </c>
      <c r="BP111" s="713">
        <f t="shared" si="60"/>
        <v>0</v>
      </c>
      <c r="BQ111" s="713">
        <f t="shared" si="60"/>
        <v>0</v>
      </c>
      <c r="BR111" s="713">
        <f t="shared" si="60"/>
        <v>0</v>
      </c>
      <c r="BS111" s="713">
        <f t="shared" si="60"/>
        <v>0.4459879758464787</v>
      </c>
      <c r="BT111" s="658">
        <f t="shared" si="81"/>
        <v>1</v>
      </c>
      <c r="BV111" s="671">
        <f t="shared" si="24"/>
        <v>57.591329999368007</v>
      </c>
      <c r="BW111" s="713">
        <f t="shared" si="61"/>
        <v>0.80360178668353943</v>
      </c>
      <c r="BX111" s="696">
        <f t="shared" si="25"/>
        <v>41.33726804575209</v>
      </c>
      <c r="BY111" s="671">
        <f t="shared" si="26"/>
        <v>64.948580339846202</v>
      </c>
      <c r="BZ111" s="713">
        <f t="shared" si="62"/>
        <v>0.78697036714436519</v>
      </c>
      <c r="CA111" s="696">
        <f t="shared" si="27"/>
        <v>48.694518386230293</v>
      </c>
      <c r="CB111" s="713">
        <f t="shared" si="28"/>
        <v>0.67206984488050125</v>
      </c>
      <c r="CC111" s="713">
        <f t="shared" si="29"/>
        <v>0.85</v>
      </c>
      <c r="CD111" s="713">
        <f t="shared" si="63"/>
        <v>0.67206984488050125</v>
      </c>
      <c r="CE111" s="1001">
        <f t="shared" si="64"/>
        <v>0.85</v>
      </c>
    </row>
    <row r="112" spans="1:83">
      <c r="A112" s="127">
        <f>'Input data'!A132</f>
        <v>2034</v>
      </c>
      <c r="B112" s="828">
        <f>'Input data'!B132</f>
        <v>68.236999999999995</v>
      </c>
      <c r="C112" s="238">
        <f>'Input data'!C132</f>
        <v>4078.22</v>
      </c>
      <c r="D112" s="238">
        <f>'Input data'!D132</f>
        <v>39458532.535899624</v>
      </c>
      <c r="E112" s="1237">
        <f t="shared" si="86"/>
        <v>1</v>
      </c>
      <c r="F112" s="713">
        <f t="shared" si="86"/>
        <v>0.37</v>
      </c>
      <c r="G112" s="1238">
        <f>B112*F112*'Input data'!$C$9</f>
        <v>772.75762092636501</v>
      </c>
      <c r="H112" s="673">
        <f>'Input data'!I132</f>
        <v>424.26313389388866</v>
      </c>
      <c r="I112" s="672">
        <f>'Input data'!K132</f>
        <v>28950.443467517278</v>
      </c>
      <c r="J112" s="673">
        <f t="shared" ref="J112:J128" si="88">J111</f>
        <v>39.432581034713571</v>
      </c>
      <c r="K112" s="674">
        <f t="shared" si="67"/>
        <v>157.73032413885434</v>
      </c>
      <c r="L112" s="510">
        <f t="shared" si="87"/>
        <v>0.7</v>
      </c>
      <c r="M112" s="510">
        <f t="shared" si="85"/>
        <v>0.6</v>
      </c>
      <c r="N112" s="510">
        <f t="shared" si="85"/>
        <v>0.9</v>
      </c>
      <c r="O112" s="510">
        <f t="shared" si="85"/>
        <v>0.9</v>
      </c>
      <c r="P112" s="510">
        <f t="shared" si="85"/>
        <v>0.23600000000000002</v>
      </c>
      <c r="Q112" s="654">
        <f t="shared" si="35"/>
        <v>26.499337920908175</v>
      </c>
      <c r="R112" s="673">
        <f t="shared" si="36"/>
        <v>11.668960878701492</v>
      </c>
      <c r="S112" s="673">
        <f t="shared" si="14"/>
        <v>44.441191234244087</v>
      </c>
      <c r="T112" s="673">
        <f t="shared" si="15"/>
        <v>56.256962339656091</v>
      </c>
      <c r="U112" s="802">
        <f t="shared" si="16"/>
        <v>0.67710709475193609</v>
      </c>
      <c r="V112" s="654">
        <f t="shared" si="17"/>
        <v>139.54355946826178</v>
      </c>
      <c r="W112" s="805">
        <f t="shared" si="84"/>
        <v>0.5</v>
      </c>
      <c r="X112" s="671">
        <f t="shared" si="18"/>
        <v>53.669159952994768</v>
      </c>
      <c r="Y112" s="671">
        <f t="shared" si="19"/>
        <v>76.916015953074577</v>
      </c>
      <c r="Z112" s="672">
        <f t="shared" si="68"/>
        <v>120.24688922049333</v>
      </c>
      <c r="AA112" s="696">
        <f t="shared" si="20"/>
        <v>80.814308185779765</v>
      </c>
      <c r="AB112" s="893">
        <f t="shared" si="37"/>
        <v>0.67206984488050125</v>
      </c>
      <c r="AC112" s="135" t="str">
        <f t="shared" si="38"/>
        <v>Policies met</v>
      </c>
      <c r="AD112" s="1353">
        <f t="shared" si="39"/>
        <v>0.67206984488050125</v>
      </c>
      <c r="AE112" s="135" t="str">
        <f t="shared" si="40"/>
        <v>No</v>
      </c>
      <c r="AF112" s="1420">
        <f t="shared" si="41"/>
        <v>139.12867530930757</v>
      </c>
      <c r="AG112" s="238">
        <f t="shared" si="42"/>
        <v>39.432581034713564</v>
      </c>
      <c r="AH112" s="238">
        <f t="shared" si="21"/>
        <v>45.760541102354082</v>
      </c>
      <c r="AI112" s="828">
        <f t="shared" si="22"/>
        <v>37.035832164635039</v>
      </c>
      <c r="AJ112" s="828">
        <f t="shared" si="23"/>
        <v>16.899721007604906</v>
      </c>
      <c r="AK112" s="238">
        <f t="shared" si="43"/>
        <v>139.1286753093076</v>
      </c>
      <c r="AL112" s="238">
        <f t="shared" si="44"/>
        <v>0</v>
      </c>
      <c r="AM112" s="805">
        <f t="shared" si="45"/>
        <v>0.2834252604436</v>
      </c>
      <c r="AN112" s="510">
        <f t="shared" si="46"/>
        <v>0.32890804861485473</v>
      </c>
      <c r="AO112" s="510">
        <f t="shared" si="47"/>
        <v>0.26619841008546835</v>
      </c>
      <c r="AP112" s="510">
        <f t="shared" si="48"/>
        <v>0.1214682808560769</v>
      </c>
      <c r="AQ112" s="510">
        <f t="shared" si="49"/>
        <v>0.99999999999999989</v>
      </c>
      <c r="AR112" s="916">
        <f t="shared" si="69"/>
        <v>6.718330286861506</v>
      </c>
      <c r="AS112" s="917">
        <f t="shared" si="70"/>
        <v>10.881405661657253</v>
      </c>
      <c r="AT112" s="917">
        <f t="shared" si="71"/>
        <v>2.3248676805531701</v>
      </c>
      <c r="AU112" s="917">
        <f t="shared" si="72"/>
        <v>0</v>
      </c>
      <c r="AV112" s="917">
        <f t="shared" si="73"/>
        <v>0</v>
      </c>
      <c r="AW112" s="917">
        <f t="shared" si="74"/>
        <v>0</v>
      </c>
      <c r="AX112" s="1338">
        <f t="shared" si="75"/>
        <v>16.236099971375594</v>
      </c>
      <c r="AY112" s="917">
        <f t="shared" si="76"/>
        <v>1.307809078845948</v>
      </c>
      <c r="AZ112" s="917">
        <f t="shared" si="77"/>
        <v>0.36762547566046921</v>
      </c>
      <c r="BA112" s="917">
        <f t="shared" si="78"/>
        <v>0.94950499551831991</v>
      </c>
      <c r="BB112" s="917">
        <f t="shared" si="79"/>
        <v>0.64693788424127452</v>
      </c>
      <c r="BC112" s="673">
        <f t="shared" si="50"/>
        <v>39.432581034713529</v>
      </c>
      <c r="BD112" s="922">
        <f t="shared" si="51"/>
        <v>0</v>
      </c>
      <c r="BE112" s="840">
        <f t="shared" si="52"/>
        <v>0.17037510887119423</v>
      </c>
      <c r="BF112" s="535">
        <f t="shared" si="53"/>
        <v>0.2759496177051679</v>
      </c>
      <c r="BG112" s="535">
        <f t="shared" si="54"/>
        <v>5.8958039761752561E-2</v>
      </c>
      <c r="BH112" s="535">
        <f t="shared" si="55"/>
        <v>0</v>
      </c>
      <c r="BI112" s="535">
        <f t="shared" si="56"/>
        <v>0</v>
      </c>
      <c r="BJ112" s="535">
        <f t="shared" si="57"/>
        <v>0</v>
      </c>
      <c r="BK112" s="535">
        <f t="shared" si="58"/>
        <v>0.49471723366188552</v>
      </c>
      <c r="BL112" s="1342">
        <f t="shared" si="59"/>
        <v>1.0000000000000002</v>
      </c>
      <c r="BM112" s="1237">
        <f t="shared" si="80"/>
        <v>0.19892488097366726</v>
      </c>
      <c r="BN112" s="713">
        <f t="shared" si="80"/>
        <v>0.26585903447659598</v>
      </c>
      <c r="BO112" s="713">
        <f t="shared" si="80"/>
        <v>8.9228108703258049E-2</v>
      </c>
      <c r="BP112" s="713">
        <f t="shared" si="80"/>
        <v>0</v>
      </c>
      <c r="BQ112" s="713">
        <f t="shared" si="80"/>
        <v>0</v>
      </c>
      <c r="BR112" s="713">
        <f t="shared" si="80"/>
        <v>0</v>
      </c>
      <c r="BS112" s="713">
        <f t="shared" si="80"/>
        <v>0.4459879758464787</v>
      </c>
      <c r="BT112" s="658">
        <f t="shared" si="81"/>
        <v>1</v>
      </c>
      <c r="BV112" s="671">
        <f t="shared" si="24"/>
        <v>55.990104871773084</v>
      </c>
      <c r="BW112" s="713">
        <f t="shared" si="61"/>
        <v>0.80873654338819967</v>
      </c>
      <c r="BX112" s="696">
        <f t="shared" si="25"/>
        <v>39.458532535899622</v>
      </c>
      <c r="BY112" s="671">
        <f t="shared" si="26"/>
        <v>65.226090722103748</v>
      </c>
      <c r="BZ112" s="713">
        <f t="shared" si="62"/>
        <v>0.78716506898172134</v>
      </c>
      <c r="CA112" s="696">
        <f t="shared" si="27"/>
        <v>48.694518386230293</v>
      </c>
      <c r="CB112" s="713">
        <f t="shared" si="28"/>
        <v>0.67206984488050125</v>
      </c>
      <c r="CC112" s="713">
        <f t="shared" si="29"/>
        <v>0.85</v>
      </c>
      <c r="CD112" s="713">
        <f t="shared" si="63"/>
        <v>0.67206984488050125</v>
      </c>
      <c r="CE112" s="1001">
        <f t="shared" si="64"/>
        <v>0.85</v>
      </c>
    </row>
    <row r="113" spans="1:83">
      <c r="A113" s="127">
        <f>'Input data'!A133</f>
        <v>2035</v>
      </c>
      <c r="B113" s="828">
        <f>'Input data'!B133</f>
        <v>68.819000000000003</v>
      </c>
      <c r="C113" s="238">
        <f>'Input data'!C133</f>
        <v>4200.2899999999991</v>
      </c>
      <c r="D113" s="238">
        <f>'Input data'!D133</f>
        <v>37579797.026047163</v>
      </c>
      <c r="E113" s="1237">
        <f t="shared" si="86"/>
        <v>1</v>
      </c>
      <c r="F113" s="713">
        <f t="shared" si="86"/>
        <v>0.37</v>
      </c>
      <c r="G113" s="1238">
        <f>B113*F113*'Input data'!$C$9</f>
        <v>779.34854572345671</v>
      </c>
      <c r="H113" s="673">
        <f>'Input data'!I133</f>
        <v>424.26313389388866</v>
      </c>
      <c r="I113" s="672">
        <f>'Input data'!K133</f>
        <v>29197.364611443525</v>
      </c>
      <c r="J113" s="673">
        <f t="shared" si="88"/>
        <v>39.432581034713571</v>
      </c>
      <c r="K113" s="674">
        <f t="shared" si="67"/>
        <v>157.73032413885434</v>
      </c>
      <c r="L113" s="510">
        <f t="shared" si="87"/>
        <v>0.7</v>
      </c>
      <c r="M113" s="510">
        <f t="shared" si="85"/>
        <v>0.6</v>
      </c>
      <c r="N113" s="510">
        <f t="shared" si="85"/>
        <v>0.9</v>
      </c>
      <c r="O113" s="510">
        <f t="shared" si="85"/>
        <v>0.9</v>
      </c>
      <c r="P113" s="510">
        <f t="shared" si="85"/>
        <v>0.23600000000000002</v>
      </c>
      <c r="Q113" s="654">
        <f t="shared" si="35"/>
        <v>26.499337920908175</v>
      </c>
      <c r="R113" s="673">
        <f t="shared" si="36"/>
        <v>11.668960878701492</v>
      </c>
      <c r="S113" s="673">
        <f t="shared" si="14"/>
        <v>44.441191234244087</v>
      </c>
      <c r="T113" s="673">
        <f t="shared" si="15"/>
        <v>56.256962339656091</v>
      </c>
      <c r="U113" s="802">
        <f t="shared" si="16"/>
        <v>0.67710709475193609</v>
      </c>
      <c r="V113" s="654">
        <f t="shared" si="17"/>
        <v>139.54355946826178</v>
      </c>
      <c r="W113" s="805">
        <f t="shared" si="84"/>
        <v>0.5</v>
      </c>
      <c r="X113" s="671">
        <f t="shared" si="18"/>
        <v>53.669159952994768</v>
      </c>
      <c r="Y113" s="671">
        <f t="shared" si="19"/>
        <v>76.916015953074577</v>
      </c>
      <c r="Z113" s="672">
        <f t="shared" si="68"/>
        <v>120.24688922049333</v>
      </c>
      <c r="AA113" s="696">
        <f t="shared" si="20"/>
        <v>80.814308185779765</v>
      </c>
      <c r="AB113" s="893">
        <f t="shared" si="37"/>
        <v>0.67206984488050125</v>
      </c>
      <c r="AC113" s="135" t="str">
        <f t="shared" si="38"/>
        <v>Policies met</v>
      </c>
      <c r="AD113" s="1353">
        <f t="shared" si="39"/>
        <v>0.67206984488050125</v>
      </c>
      <c r="AE113" s="135" t="str">
        <f t="shared" si="40"/>
        <v>No</v>
      </c>
      <c r="AF113" s="1420">
        <f t="shared" si="41"/>
        <v>139.12867530930757</v>
      </c>
      <c r="AG113" s="238">
        <f t="shared" si="42"/>
        <v>39.432581034713564</v>
      </c>
      <c r="AH113" s="238">
        <f t="shared" si="21"/>
        <v>45.760541102354082</v>
      </c>
      <c r="AI113" s="828">
        <f t="shared" si="22"/>
        <v>37.035832164635039</v>
      </c>
      <c r="AJ113" s="828">
        <f t="shared" si="23"/>
        <v>16.899721007604906</v>
      </c>
      <c r="AK113" s="238">
        <f t="shared" si="43"/>
        <v>139.1286753093076</v>
      </c>
      <c r="AL113" s="238">
        <f t="shared" si="44"/>
        <v>0</v>
      </c>
      <c r="AM113" s="805">
        <f t="shared" si="45"/>
        <v>0.2834252604436</v>
      </c>
      <c r="AN113" s="510">
        <f t="shared" si="46"/>
        <v>0.32890804861485473</v>
      </c>
      <c r="AO113" s="510">
        <f t="shared" si="47"/>
        <v>0.26619841008546835</v>
      </c>
      <c r="AP113" s="510">
        <f t="shared" si="48"/>
        <v>0.1214682808560769</v>
      </c>
      <c r="AQ113" s="510">
        <f t="shared" si="49"/>
        <v>0.99999999999999989</v>
      </c>
      <c r="AR113" s="916">
        <f t="shared" si="69"/>
        <v>6.718330286861506</v>
      </c>
      <c r="AS113" s="917">
        <f t="shared" si="70"/>
        <v>10.881405661657253</v>
      </c>
      <c r="AT113" s="917">
        <f t="shared" si="71"/>
        <v>2.3248676805531701</v>
      </c>
      <c r="AU113" s="917">
        <f t="shared" si="72"/>
        <v>0</v>
      </c>
      <c r="AV113" s="917">
        <f t="shared" si="73"/>
        <v>0</v>
      </c>
      <c r="AW113" s="917">
        <f t="shared" si="74"/>
        <v>0</v>
      </c>
      <c r="AX113" s="1338">
        <f t="shared" si="75"/>
        <v>16.236099971375594</v>
      </c>
      <c r="AY113" s="917">
        <f t="shared" si="76"/>
        <v>1.307809078845948</v>
      </c>
      <c r="AZ113" s="917">
        <f t="shared" si="77"/>
        <v>0.36762547566046921</v>
      </c>
      <c r="BA113" s="917">
        <f t="shared" si="78"/>
        <v>0.94950499551831991</v>
      </c>
      <c r="BB113" s="917">
        <f t="shared" si="79"/>
        <v>0.64693788424127452</v>
      </c>
      <c r="BC113" s="673">
        <f t="shared" si="50"/>
        <v>39.432581034713529</v>
      </c>
      <c r="BD113" s="922">
        <f t="shared" si="51"/>
        <v>0</v>
      </c>
      <c r="BE113" s="840">
        <f t="shared" si="52"/>
        <v>0.17037510887119423</v>
      </c>
      <c r="BF113" s="535">
        <f t="shared" si="53"/>
        <v>0.2759496177051679</v>
      </c>
      <c r="BG113" s="535">
        <f t="shared" si="54"/>
        <v>5.8958039761752561E-2</v>
      </c>
      <c r="BH113" s="535">
        <f t="shared" si="55"/>
        <v>0</v>
      </c>
      <c r="BI113" s="535">
        <f t="shared" si="56"/>
        <v>0</v>
      </c>
      <c r="BJ113" s="535">
        <f t="shared" si="57"/>
        <v>0</v>
      </c>
      <c r="BK113" s="535">
        <f t="shared" si="58"/>
        <v>0.49471723366188552</v>
      </c>
      <c r="BL113" s="1342">
        <f t="shared" si="59"/>
        <v>1.0000000000000002</v>
      </c>
      <c r="BM113" s="1237">
        <f t="shared" ref="BM113:BS128" si="89">BM112</f>
        <v>0.19892488097366726</v>
      </c>
      <c r="BN113" s="713">
        <f t="shared" si="89"/>
        <v>0.26585903447659598</v>
      </c>
      <c r="BO113" s="713">
        <f t="shared" si="89"/>
        <v>8.9228108703258049E-2</v>
      </c>
      <c r="BP113" s="713">
        <f t="shared" si="89"/>
        <v>0</v>
      </c>
      <c r="BQ113" s="713">
        <f t="shared" si="89"/>
        <v>0</v>
      </c>
      <c r="BR113" s="713">
        <f t="shared" si="89"/>
        <v>0</v>
      </c>
      <c r="BS113" s="713">
        <f t="shared" si="89"/>
        <v>0.4459879758464787</v>
      </c>
      <c r="BT113" s="658">
        <f t="shared" si="81"/>
        <v>1</v>
      </c>
      <c r="BV113" s="671">
        <f t="shared" si="24"/>
        <v>54.403000385508605</v>
      </c>
      <c r="BW113" s="713">
        <f t="shared" si="61"/>
        <v>0.81413181409276203</v>
      </c>
      <c r="BX113" s="696">
        <f t="shared" si="25"/>
        <v>37.57979702604716</v>
      </c>
      <c r="BY113" s="671">
        <f t="shared" si="26"/>
        <v>65.51772174569173</v>
      </c>
      <c r="BZ113" s="713">
        <f t="shared" si="62"/>
        <v>0.78730439124828855</v>
      </c>
      <c r="CA113" s="696">
        <f t="shared" si="27"/>
        <v>48.694518386230293</v>
      </c>
      <c r="CB113" s="713">
        <f t="shared" si="28"/>
        <v>0.67206984488050125</v>
      </c>
      <c r="CC113" s="713">
        <f t="shared" si="29"/>
        <v>0.85</v>
      </c>
      <c r="CD113" s="713">
        <f t="shared" si="63"/>
        <v>0.67206984488050125</v>
      </c>
      <c r="CE113" s="1001">
        <f t="shared" si="64"/>
        <v>0.85</v>
      </c>
    </row>
    <row r="114" spans="1:83">
      <c r="A114" s="127">
        <f>'Input data'!A134</f>
        <v>2036</v>
      </c>
      <c r="B114" s="828">
        <f>'Input data'!B134</f>
        <v>69.322999999999993</v>
      </c>
      <c r="C114" s="238">
        <f>'Input data'!C134</f>
        <v>4325.9699999999993</v>
      </c>
      <c r="D114" s="238">
        <f>'Input data'!D134</f>
        <v>34222489.887502141</v>
      </c>
      <c r="E114" s="1237">
        <f t="shared" si="86"/>
        <v>1</v>
      </c>
      <c r="F114" s="713">
        <f t="shared" si="86"/>
        <v>0.37</v>
      </c>
      <c r="G114" s="1238">
        <f>B114*F114*'Input data'!$C$9</f>
        <v>785.05615070238139</v>
      </c>
      <c r="H114" s="673">
        <f>'Input data'!I134</f>
        <v>424.26313389388866</v>
      </c>
      <c r="I114" s="672">
        <f>'Input data'!K134</f>
        <v>29411.193230926041</v>
      </c>
      <c r="J114" s="673">
        <f t="shared" si="88"/>
        <v>39.432581034713571</v>
      </c>
      <c r="K114" s="674">
        <f t="shared" si="67"/>
        <v>157.73032413885434</v>
      </c>
      <c r="L114" s="510">
        <f t="shared" si="87"/>
        <v>0.7</v>
      </c>
      <c r="M114" s="510">
        <f t="shared" si="85"/>
        <v>0.6</v>
      </c>
      <c r="N114" s="510">
        <f t="shared" si="85"/>
        <v>0.9</v>
      </c>
      <c r="O114" s="510">
        <f t="shared" si="85"/>
        <v>0.9</v>
      </c>
      <c r="P114" s="510">
        <f t="shared" si="85"/>
        <v>0.23600000000000002</v>
      </c>
      <c r="Q114" s="654">
        <f t="shared" si="35"/>
        <v>26.499337920908175</v>
      </c>
      <c r="R114" s="673">
        <f t="shared" si="36"/>
        <v>11.668960878701492</v>
      </c>
      <c r="S114" s="673">
        <f t="shared" si="14"/>
        <v>44.441191234244087</v>
      </c>
      <c r="T114" s="673">
        <f t="shared" si="15"/>
        <v>56.256962339656091</v>
      </c>
      <c r="U114" s="802">
        <f t="shared" si="16"/>
        <v>0.67710709475193609</v>
      </c>
      <c r="V114" s="654">
        <f t="shared" si="17"/>
        <v>139.54355946826178</v>
      </c>
      <c r="W114" s="805">
        <f t="shared" si="84"/>
        <v>0.5</v>
      </c>
      <c r="X114" s="671">
        <f t="shared" si="18"/>
        <v>53.669159952994768</v>
      </c>
      <c r="Y114" s="671">
        <f t="shared" si="19"/>
        <v>76.916015953074577</v>
      </c>
      <c r="Z114" s="672">
        <f t="shared" si="68"/>
        <v>120.24688922049333</v>
      </c>
      <c r="AA114" s="696">
        <f t="shared" si="20"/>
        <v>80.814308185779765</v>
      </c>
      <c r="AB114" s="893">
        <f t="shared" si="37"/>
        <v>0.67206984488050125</v>
      </c>
      <c r="AC114" s="135" t="str">
        <f t="shared" si="38"/>
        <v>Policies met</v>
      </c>
      <c r="AD114" s="1353">
        <f t="shared" si="39"/>
        <v>0.67206984488050125</v>
      </c>
      <c r="AE114" s="135" t="str">
        <f t="shared" si="40"/>
        <v>No</v>
      </c>
      <c r="AF114" s="1420">
        <f t="shared" si="41"/>
        <v>139.12867530930757</v>
      </c>
      <c r="AG114" s="238">
        <f t="shared" si="42"/>
        <v>39.432581034713564</v>
      </c>
      <c r="AH114" s="238">
        <f t="shared" si="21"/>
        <v>45.760541102354082</v>
      </c>
      <c r="AI114" s="828">
        <f t="shared" si="22"/>
        <v>37.035832164635039</v>
      </c>
      <c r="AJ114" s="828">
        <f t="shared" si="23"/>
        <v>16.899721007604906</v>
      </c>
      <c r="AK114" s="238">
        <f t="shared" si="43"/>
        <v>139.1286753093076</v>
      </c>
      <c r="AL114" s="238">
        <f t="shared" si="44"/>
        <v>0</v>
      </c>
      <c r="AM114" s="805">
        <f t="shared" si="45"/>
        <v>0.2834252604436</v>
      </c>
      <c r="AN114" s="510">
        <f t="shared" si="46"/>
        <v>0.32890804861485473</v>
      </c>
      <c r="AO114" s="510">
        <f t="shared" si="47"/>
        <v>0.26619841008546835</v>
      </c>
      <c r="AP114" s="510">
        <f t="shared" si="48"/>
        <v>0.1214682808560769</v>
      </c>
      <c r="AQ114" s="510">
        <f t="shared" si="49"/>
        <v>0.99999999999999989</v>
      </c>
      <c r="AR114" s="916">
        <f t="shared" si="69"/>
        <v>6.718330286861506</v>
      </c>
      <c r="AS114" s="917">
        <f t="shared" si="70"/>
        <v>10.881405661657253</v>
      </c>
      <c r="AT114" s="917">
        <f t="shared" si="71"/>
        <v>2.3248676805531701</v>
      </c>
      <c r="AU114" s="917">
        <f t="shared" si="72"/>
        <v>0</v>
      </c>
      <c r="AV114" s="917">
        <f t="shared" si="73"/>
        <v>0</v>
      </c>
      <c r="AW114" s="917">
        <f t="shared" si="74"/>
        <v>0</v>
      </c>
      <c r="AX114" s="1338">
        <f t="shared" si="75"/>
        <v>16.236099971375594</v>
      </c>
      <c r="AY114" s="917">
        <f t="shared" si="76"/>
        <v>1.307809078845948</v>
      </c>
      <c r="AZ114" s="917">
        <f t="shared" si="77"/>
        <v>0.36762547566046921</v>
      </c>
      <c r="BA114" s="917">
        <f t="shared" si="78"/>
        <v>0.94950499551831991</v>
      </c>
      <c r="BB114" s="917">
        <f t="shared" si="79"/>
        <v>0.64693788424127452</v>
      </c>
      <c r="BC114" s="673">
        <f t="shared" si="50"/>
        <v>39.432581034713529</v>
      </c>
      <c r="BD114" s="922">
        <f t="shared" si="51"/>
        <v>0</v>
      </c>
      <c r="BE114" s="840">
        <f t="shared" si="52"/>
        <v>0.17037510887119423</v>
      </c>
      <c r="BF114" s="535">
        <f t="shared" si="53"/>
        <v>0.2759496177051679</v>
      </c>
      <c r="BG114" s="535">
        <f t="shared" si="54"/>
        <v>5.8958039761752561E-2</v>
      </c>
      <c r="BH114" s="535">
        <f t="shared" si="55"/>
        <v>0</v>
      </c>
      <c r="BI114" s="535">
        <f t="shared" si="56"/>
        <v>0</v>
      </c>
      <c r="BJ114" s="535">
        <f t="shared" si="57"/>
        <v>0</v>
      </c>
      <c r="BK114" s="535">
        <f t="shared" si="58"/>
        <v>0.49471723366188552</v>
      </c>
      <c r="BL114" s="1342">
        <f t="shared" si="59"/>
        <v>1.0000000000000002</v>
      </c>
      <c r="BM114" s="1237">
        <f t="shared" si="89"/>
        <v>0.19892488097366726</v>
      </c>
      <c r="BN114" s="713">
        <f t="shared" si="89"/>
        <v>0.26585903447659598</v>
      </c>
      <c r="BO114" s="713">
        <f t="shared" si="89"/>
        <v>8.9228108703258049E-2</v>
      </c>
      <c r="BP114" s="713">
        <f t="shared" si="89"/>
        <v>0</v>
      </c>
      <c r="BQ114" s="713">
        <f t="shared" si="89"/>
        <v>0</v>
      </c>
      <c r="BR114" s="713">
        <f t="shared" si="89"/>
        <v>0</v>
      </c>
      <c r="BS114" s="713">
        <f t="shared" si="89"/>
        <v>0.4459879758464787</v>
      </c>
      <c r="BT114" s="658">
        <f t="shared" si="81"/>
        <v>1</v>
      </c>
      <c r="BV114" s="671">
        <f t="shared" si="24"/>
        <v>51.332702068118067</v>
      </c>
      <c r="BW114" s="713">
        <f t="shared" si="61"/>
        <v>0.82448969342990841</v>
      </c>
      <c r="BX114" s="696">
        <f t="shared" si="25"/>
        <v>34.222489887502142</v>
      </c>
      <c r="BY114" s="671">
        <f t="shared" si="26"/>
        <v>65.804730566846203</v>
      </c>
      <c r="BZ114" s="713">
        <f t="shared" si="62"/>
        <v>0.78726905246652079</v>
      </c>
      <c r="CA114" s="696">
        <f t="shared" si="27"/>
        <v>48.694518386230293</v>
      </c>
      <c r="CB114" s="713">
        <f t="shared" si="28"/>
        <v>0.67206984488050125</v>
      </c>
      <c r="CC114" s="713">
        <f t="shared" si="29"/>
        <v>0.85</v>
      </c>
      <c r="CD114" s="713">
        <f t="shared" si="63"/>
        <v>0.67206984488050125</v>
      </c>
      <c r="CE114" s="1001">
        <f t="shared" si="64"/>
        <v>0.85</v>
      </c>
    </row>
    <row r="115" spans="1:83" s="1" customFormat="1">
      <c r="A115" s="157">
        <f>'Input data'!A135</f>
        <v>2037</v>
      </c>
      <c r="B115" s="829">
        <f>'Input data'!B135</f>
        <v>69.83</v>
      </c>
      <c r="C115" s="662">
        <f>'Input data'!C135</f>
        <v>4457.0000000000018</v>
      </c>
      <c r="D115" s="662">
        <f>'Input data'!D135</f>
        <v>30865182.748957112</v>
      </c>
      <c r="E115" s="1237">
        <f t="shared" si="86"/>
        <v>1</v>
      </c>
      <c r="F115" s="713">
        <f t="shared" si="86"/>
        <v>0.37</v>
      </c>
      <c r="G115" s="1239">
        <f>B115*F115*'Input data'!$C$9</f>
        <v>790.79772952046653</v>
      </c>
      <c r="H115" s="815">
        <f>'Input data'!I135</f>
        <v>424.26313389388866</v>
      </c>
      <c r="I115" s="850">
        <f>'Input data'!K135</f>
        <v>29626.294639810243</v>
      </c>
      <c r="J115" s="673">
        <f t="shared" si="88"/>
        <v>39.432581034713571</v>
      </c>
      <c r="K115" s="674">
        <f t="shared" si="67"/>
        <v>157.73032413885434</v>
      </c>
      <c r="L115" s="498">
        <f t="shared" si="87"/>
        <v>0.7</v>
      </c>
      <c r="M115" s="498">
        <f t="shared" si="85"/>
        <v>0.6</v>
      </c>
      <c r="N115" s="498">
        <f t="shared" si="85"/>
        <v>0.9</v>
      </c>
      <c r="O115" s="498">
        <f t="shared" si="85"/>
        <v>0.9</v>
      </c>
      <c r="P115" s="498">
        <f>P114</f>
        <v>0.23600000000000002</v>
      </c>
      <c r="Q115" s="654">
        <f t="shared" si="35"/>
        <v>26.499337920908175</v>
      </c>
      <c r="R115" s="673">
        <f t="shared" si="36"/>
        <v>11.668960878701492</v>
      </c>
      <c r="S115" s="673">
        <f t="shared" si="14"/>
        <v>44.441191234244087</v>
      </c>
      <c r="T115" s="673">
        <f t="shared" si="15"/>
        <v>56.256962339656091</v>
      </c>
      <c r="U115" s="802">
        <f t="shared" si="16"/>
        <v>0.67710709475193609</v>
      </c>
      <c r="V115" s="654">
        <f t="shared" si="17"/>
        <v>139.54355946826178</v>
      </c>
      <c r="W115" s="805">
        <f t="shared" si="84"/>
        <v>0.5</v>
      </c>
      <c r="X115" s="671">
        <f t="shared" si="18"/>
        <v>53.669159952994768</v>
      </c>
      <c r="Y115" s="671">
        <f t="shared" si="19"/>
        <v>76.916015953074577</v>
      </c>
      <c r="Z115" s="672">
        <f t="shared" si="68"/>
        <v>120.24688922049333</v>
      </c>
      <c r="AA115" s="696">
        <f t="shared" si="20"/>
        <v>80.814308185779765</v>
      </c>
      <c r="AB115" s="893">
        <f t="shared" si="37"/>
        <v>0.67206984488050125</v>
      </c>
      <c r="AC115" s="135" t="str">
        <f t="shared" si="38"/>
        <v>Policies met</v>
      </c>
      <c r="AD115" s="1353">
        <f t="shared" si="39"/>
        <v>0.67206984488050125</v>
      </c>
      <c r="AE115" s="135" t="str">
        <f t="shared" si="40"/>
        <v>No</v>
      </c>
      <c r="AF115" s="1420">
        <f t="shared" si="41"/>
        <v>139.12867530930757</v>
      </c>
      <c r="AG115" s="238">
        <f t="shared" si="42"/>
        <v>39.432581034713564</v>
      </c>
      <c r="AH115" s="238">
        <f t="shared" si="21"/>
        <v>45.760541102354082</v>
      </c>
      <c r="AI115" s="828">
        <f t="shared" si="22"/>
        <v>37.035832164635039</v>
      </c>
      <c r="AJ115" s="828">
        <f t="shared" si="23"/>
        <v>16.899721007604906</v>
      </c>
      <c r="AK115" s="238">
        <f t="shared" si="43"/>
        <v>139.1286753093076</v>
      </c>
      <c r="AL115" s="238">
        <f t="shared" si="44"/>
        <v>0</v>
      </c>
      <c r="AM115" s="805">
        <f t="shared" si="45"/>
        <v>0.2834252604436</v>
      </c>
      <c r="AN115" s="510">
        <f t="shared" si="46"/>
        <v>0.32890804861485473</v>
      </c>
      <c r="AO115" s="510">
        <f t="shared" si="47"/>
        <v>0.26619841008546835</v>
      </c>
      <c r="AP115" s="510">
        <f t="shared" si="48"/>
        <v>0.1214682808560769</v>
      </c>
      <c r="AQ115" s="510">
        <f t="shared" si="49"/>
        <v>0.99999999999999989</v>
      </c>
      <c r="AR115" s="916">
        <f t="shared" si="69"/>
        <v>6.718330286861506</v>
      </c>
      <c r="AS115" s="917">
        <f t="shared" si="70"/>
        <v>10.881405661657253</v>
      </c>
      <c r="AT115" s="917">
        <f t="shared" si="71"/>
        <v>2.3248676805531701</v>
      </c>
      <c r="AU115" s="917">
        <f t="shared" si="72"/>
        <v>0</v>
      </c>
      <c r="AV115" s="917">
        <f t="shared" si="73"/>
        <v>0</v>
      </c>
      <c r="AW115" s="917">
        <f t="shared" si="74"/>
        <v>0</v>
      </c>
      <c r="AX115" s="1338">
        <f t="shared" si="75"/>
        <v>16.236099971375594</v>
      </c>
      <c r="AY115" s="917">
        <f t="shared" si="76"/>
        <v>1.307809078845948</v>
      </c>
      <c r="AZ115" s="917">
        <f t="shared" si="77"/>
        <v>0.36762547566046921</v>
      </c>
      <c r="BA115" s="917">
        <f t="shared" si="78"/>
        <v>0.94950499551831991</v>
      </c>
      <c r="BB115" s="917">
        <f t="shared" si="79"/>
        <v>0.64693788424127452</v>
      </c>
      <c r="BC115" s="673">
        <f t="shared" si="50"/>
        <v>39.432581034713529</v>
      </c>
      <c r="BD115" s="922">
        <f t="shared" si="51"/>
        <v>0</v>
      </c>
      <c r="BE115" s="840">
        <f t="shared" si="52"/>
        <v>0.17037510887119423</v>
      </c>
      <c r="BF115" s="535">
        <f t="shared" si="53"/>
        <v>0.2759496177051679</v>
      </c>
      <c r="BG115" s="535">
        <f t="shared" si="54"/>
        <v>5.8958039761752561E-2</v>
      </c>
      <c r="BH115" s="535">
        <f t="shared" si="55"/>
        <v>0</v>
      </c>
      <c r="BI115" s="535">
        <f t="shared" si="56"/>
        <v>0</v>
      </c>
      <c r="BJ115" s="535">
        <f t="shared" si="57"/>
        <v>0</v>
      </c>
      <c r="BK115" s="535">
        <f t="shared" si="58"/>
        <v>0.49471723366188552</v>
      </c>
      <c r="BL115" s="1342">
        <f t="shared" si="59"/>
        <v>1.0000000000000002</v>
      </c>
      <c r="BM115" s="1237">
        <f t="shared" si="89"/>
        <v>0.19892488097366726</v>
      </c>
      <c r="BN115" s="713">
        <f t="shared" si="89"/>
        <v>0.26585903447659598</v>
      </c>
      <c r="BO115" s="713">
        <f t="shared" si="89"/>
        <v>8.9228108703258049E-2</v>
      </c>
      <c r="BP115" s="713">
        <f t="shared" si="89"/>
        <v>0</v>
      </c>
      <c r="BQ115" s="713">
        <f t="shared" si="89"/>
        <v>0</v>
      </c>
      <c r="BR115" s="713">
        <f t="shared" si="89"/>
        <v>0</v>
      </c>
      <c r="BS115" s="713">
        <f t="shared" si="89"/>
        <v>0.4459879758464787</v>
      </c>
      <c r="BT115" s="658">
        <f t="shared" si="81"/>
        <v>1</v>
      </c>
      <c r="BV115" s="671">
        <f t="shared" si="24"/>
        <v>48.272053716583756</v>
      </c>
      <c r="BW115" s="713">
        <f t="shared" si="61"/>
        <v>0.83624642618945766</v>
      </c>
      <c r="BX115" s="696">
        <f t="shared" si="25"/>
        <v>30.865182748957114</v>
      </c>
      <c r="BY115" s="671">
        <f t="shared" si="26"/>
        <v>66.101389353856931</v>
      </c>
      <c r="BZ115" s="713">
        <f t="shared" si="62"/>
        <v>0.78719828235836653</v>
      </c>
      <c r="CA115" s="696">
        <f t="shared" si="27"/>
        <v>48.694518386230293</v>
      </c>
      <c r="CB115" s="713">
        <f t="shared" si="28"/>
        <v>0.67206984488050125</v>
      </c>
      <c r="CC115" s="713">
        <f t="shared" si="29"/>
        <v>0.85</v>
      </c>
      <c r="CD115" s="713">
        <f t="shared" si="63"/>
        <v>0.67206984488050125</v>
      </c>
      <c r="CE115" s="1001">
        <f t="shared" si="64"/>
        <v>0.85</v>
      </c>
    </row>
    <row r="116" spans="1:83">
      <c r="A116" s="127">
        <f>'Input data'!A136</f>
        <v>2038</v>
      </c>
      <c r="B116" s="828">
        <f>'Input data'!B136</f>
        <v>70.341999999999999</v>
      </c>
      <c r="C116" s="238">
        <f>'Input data'!C136</f>
        <v>4590.03</v>
      </c>
      <c r="D116" s="238">
        <f>'Input data'!D136</f>
        <v>27507875.610412091</v>
      </c>
      <c r="E116" s="1237">
        <f t="shared" si="86"/>
        <v>1</v>
      </c>
      <c r="F116" s="713">
        <f t="shared" si="86"/>
        <v>0.37</v>
      </c>
      <c r="G116" s="1238">
        <f>B116*F116*'Input data'!$C$9</f>
        <v>796.59593140381867</v>
      </c>
      <c r="H116" s="673">
        <f>'Input data'!I136</f>
        <v>424.26313389388866</v>
      </c>
      <c r="I116" s="672">
        <f>'Input data'!K136</f>
        <v>29843.517364363917</v>
      </c>
      <c r="J116" s="673">
        <f t="shared" si="88"/>
        <v>39.432581034713571</v>
      </c>
      <c r="K116" s="674">
        <f t="shared" si="67"/>
        <v>157.73032413885434</v>
      </c>
      <c r="L116" s="510">
        <f t="shared" si="87"/>
        <v>0.7</v>
      </c>
      <c r="M116" s="510">
        <f t="shared" si="85"/>
        <v>0.6</v>
      </c>
      <c r="N116" s="510">
        <f t="shared" si="85"/>
        <v>0.9</v>
      </c>
      <c r="O116" s="510">
        <f t="shared" si="85"/>
        <v>0.9</v>
      </c>
      <c r="P116" s="510">
        <f t="shared" si="85"/>
        <v>0.23600000000000002</v>
      </c>
      <c r="Q116" s="654">
        <f t="shared" si="35"/>
        <v>26.499337920908175</v>
      </c>
      <c r="R116" s="673">
        <f t="shared" si="36"/>
        <v>11.668960878701492</v>
      </c>
      <c r="S116" s="673">
        <f t="shared" si="14"/>
        <v>44.441191234244087</v>
      </c>
      <c r="T116" s="673">
        <f t="shared" si="15"/>
        <v>56.256962339656091</v>
      </c>
      <c r="U116" s="802">
        <f t="shared" si="16"/>
        <v>0.67710709475193609</v>
      </c>
      <c r="V116" s="654">
        <f t="shared" si="17"/>
        <v>139.54355946826178</v>
      </c>
      <c r="W116" s="805">
        <f t="shared" si="84"/>
        <v>0.5</v>
      </c>
      <c r="X116" s="671">
        <f t="shared" si="18"/>
        <v>53.669159952994768</v>
      </c>
      <c r="Y116" s="671">
        <f t="shared" si="19"/>
        <v>76.916015953074577</v>
      </c>
      <c r="Z116" s="672">
        <f t="shared" si="68"/>
        <v>120.24688922049333</v>
      </c>
      <c r="AA116" s="696">
        <f t="shared" si="20"/>
        <v>80.814308185779765</v>
      </c>
      <c r="AB116" s="893">
        <f t="shared" si="37"/>
        <v>0.67206984488050125</v>
      </c>
      <c r="AC116" s="135" t="str">
        <f t="shared" si="38"/>
        <v>Policies met</v>
      </c>
      <c r="AD116" s="1353">
        <f t="shared" si="39"/>
        <v>0.67206984488050125</v>
      </c>
      <c r="AE116" s="135" t="str">
        <f t="shared" si="40"/>
        <v>No</v>
      </c>
      <c r="AF116" s="1420">
        <f t="shared" si="41"/>
        <v>139.12867530930757</v>
      </c>
      <c r="AG116" s="238">
        <f t="shared" si="42"/>
        <v>39.432581034713564</v>
      </c>
      <c r="AH116" s="238">
        <f t="shared" si="21"/>
        <v>45.760541102354082</v>
      </c>
      <c r="AI116" s="828">
        <f t="shared" si="22"/>
        <v>37.035832164635039</v>
      </c>
      <c r="AJ116" s="828">
        <f t="shared" si="23"/>
        <v>16.899721007604906</v>
      </c>
      <c r="AK116" s="238">
        <f t="shared" si="43"/>
        <v>139.1286753093076</v>
      </c>
      <c r="AL116" s="238">
        <f t="shared" si="44"/>
        <v>0</v>
      </c>
      <c r="AM116" s="805">
        <f t="shared" si="45"/>
        <v>0.2834252604436</v>
      </c>
      <c r="AN116" s="510">
        <f t="shared" si="46"/>
        <v>0.32890804861485473</v>
      </c>
      <c r="AO116" s="510">
        <f t="shared" si="47"/>
        <v>0.26619841008546835</v>
      </c>
      <c r="AP116" s="510">
        <f t="shared" si="48"/>
        <v>0.1214682808560769</v>
      </c>
      <c r="AQ116" s="510">
        <f t="shared" si="49"/>
        <v>0.99999999999999989</v>
      </c>
      <c r="AR116" s="916">
        <f t="shared" si="69"/>
        <v>6.718330286861506</v>
      </c>
      <c r="AS116" s="917">
        <f t="shared" si="70"/>
        <v>10.881405661657253</v>
      </c>
      <c r="AT116" s="917">
        <f t="shared" si="71"/>
        <v>2.3248676805531701</v>
      </c>
      <c r="AU116" s="917">
        <f t="shared" si="72"/>
        <v>0</v>
      </c>
      <c r="AV116" s="917">
        <f t="shared" si="73"/>
        <v>0</v>
      </c>
      <c r="AW116" s="917">
        <f t="shared" si="74"/>
        <v>0</v>
      </c>
      <c r="AX116" s="1338">
        <f t="shared" si="75"/>
        <v>16.236099971375594</v>
      </c>
      <c r="AY116" s="917">
        <f t="shared" si="76"/>
        <v>1.307809078845948</v>
      </c>
      <c r="AZ116" s="917">
        <f t="shared" si="77"/>
        <v>0.36762547566046921</v>
      </c>
      <c r="BA116" s="917">
        <f t="shared" si="78"/>
        <v>0.94950499551831991</v>
      </c>
      <c r="BB116" s="917">
        <f t="shared" si="79"/>
        <v>0.64693788424127452</v>
      </c>
      <c r="BC116" s="673">
        <f t="shared" si="50"/>
        <v>39.432581034713529</v>
      </c>
      <c r="BD116" s="922">
        <f t="shared" si="51"/>
        <v>0</v>
      </c>
      <c r="BE116" s="840">
        <f t="shared" si="52"/>
        <v>0.17037510887119423</v>
      </c>
      <c r="BF116" s="535">
        <f t="shared" si="53"/>
        <v>0.2759496177051679</v>
      </c>
      <c r="BG116" s="535">
        <f t="shared" si="54"/>
        <v>5.8958039761752561E-2</v>
      </c>
      <c r="BH116" s="535">
        <f t="shared" si="55"/>
        <v>0</v>
      </c>
      <c r="BI116" s="535">
        <f t="shared" si="56"/>
        <v>0</v>
      </c>
      <c r="BJ116" s="535">
        <f t="shared" si="57"/>
        <v>0</v>
      </c>
      <c r="BK116" s="535">
        <f t="shared" si="58"/>
        <v>0.49471723366188552</v>
      </c>
      <c r="BL116" s="1342">
        <f t="shared" si="59"/>
        <v>1.0000000000000002</v>
      </c>
      <c r="BM116" s="1237">
        <f t="shared" si="89"/>
        <v>0.19892488097366726</v>
      </c>
      <c r="BN116" s="713">
        <f t="shared" si="89"/>
        <v>0.26585903447659598</v>
      </c>
      <c r="BO116" s="713">
        <f t="shared" si="89"/>
        <v>8.9228108703258049E-2</v>
      </c>
      <c r="BP116" s="713">
        <f t="shared" si="89"/>
        <v>0</v>
      </c>
      <c r="BQ116" s="713">
        <f t="shared" si="89"/>
        <v>0</v>
      </c>
      <c r="BR116" s="713">
        <f t="shared" si="89"/>
        <v>0</v>
      </c>
      <c r="BS116" s="713">
        <f t="shared" si="89"/>
        <v>0.4459879758464787</v>
      </c>
      <c r="BT116" s="658">
        <f t="shared" si="81"/>
        <v>1</v>
      </c>
      <c r="BV116" s="671">
        <f t="shared" si="24"/>
        <v>45.215552440138261</v>
      </c>
      <c r="BW116" s="713">
        <f t="shared" si="61"/>
        <v>0.84976438030340973</v>
      </c>
      <c r="BX116" s="696">
        <f t="shared" si="25"/>
        <v>27.507875610412093</v>
      </c>
      <c r="BY116" s="671">
        <f t="shared" si="26"/>
        <v>66.402195215956453</v>
      </c>
      <c r="BZ116" s="713">
        <f t="shared" si="62"/>
        <v>0.78712202397753595</v>
      </c>
      <c r="CA116" s="696">
        <f t="shared" si="27"/>
        <v>48.694518386230293</v>
      </c>
      <c r="CB116" s="713">
        <f t="shared" si="28"/>
        <v>0.67206984488050125</v>
      </c>
      <c r="CC116" s="713">
        <f t="shared" si="29"/>
        <v>0.85</v>
      </c>
      <c r="CD116" s="713">
        <f t="shared" si="63"/>
        <v>0.67206984488050125</v>
      </c>
      <c r="CE116" s="1001">
        <f t="shared" si="64"/>
        <v>0.85</v>
      </c>
    </row>
    <row r="117" spans="1:83">
      <c r="A117" s="127">
        <f>'Input data'!A137</f>
        <v>2039</v>
      </c>
      <c r="B117" s="828">
        <f>'Input data'!B137</f>
        <v>70.856999999999999</v>
      </c>
      <c r="C117" s="238">
        <f>'Input data'!C137</f>
        <v>4728.5300000000007</v>
      </c>
      <c r="D117" s="238">
        <f>'Input data'!D137</f>
        <v>24152264.081533</v>
      </c>
      <c r="E117" s="1237">
        <f t="shared" si="86"/>
        <v>1</v>
      </c>
      <c r="F117" s="713">
        <f t="shared" si="86"/>
        <v>0.37</v>
      </c>
      <c r="G117" s="1238">
        <f>B117*F117*'Input data'!$C$9</f>
        <v>802.42810712633093</v>
      </c>
      <c r="H117" s="673">
        <f>'Input data'!I137</f>
        <v>424.26313389388866</v>
      </c>
      <c r="I117" s="672">
        <f>'Input data'!K137</f>
        <v>30062.01287831927</v>
      </c>
      <c r="J117" s="673">
        <f t="shared" si="88"/>
        <v>39.432581034713571</v>
      </c>
      <c r="K117" s="674">
        <f t="shared" si="67"/>
        <v>157.73032413885434</v>
      </c>
      <c r="L117" s="510">
        <f t="shared" si="87"/>
        <v>0.7</v>
      </c>
      <c r="M117" s="510">
        <f t="shared" si="85"/>
        <v>0.6</v>
      </c>
      <c r="N117" s="510">
        <f t="shared" si="85"/>
        <v>0.9</v>
      </c>
      <c r="O117" s="510">
        <f t="shared" si="85"/>
        <v>0.9</v>
      </c>
      <c r="P117" s="510">
        <f t="shared" si="85"/>
        <v>0.23600000000000002</v>
      </c>
      <c r="Q117" s="654">
        <f t="shared" si="35"/>
        <v>26.499337920908175</v>
      </c>
      <c r="R117" s="673">
        <f t="shared" si="36"/>
        <v>11.668960878701492</v>
      </c>
      <c r="S117" s="673">
        <f t="shared" si="14"/>
        <v>44.441191234244087</v>
      </c>
      <c r="T117" s="673">
        <f t="shared" si="15"/>
        <v>56.256962339656091</v>
      </c>
      <c r="U117" s="802">
        <f t="shared" si="16"/>
        <v>0.67710709475193609</v>
      </c>
      <c r="V117" s="654">
        <f t="shared" si="17"/>
        <v>139.54355946826178</v>
      </c>
      <c r="W117" s="805">
        <f t="shared" si="84"/>
        <v>0.5</v>
      </c>
      <c r="X117" s="671">
        <f t="shared" si="18"/>
        <v>53.669159952994768</v>
      </c>
      <c r="Y117" s="671">
        <f t="shared" si="19"/>
        <v>76.916015953074577</v>
      </c>
      <c r="Z117" s="672">
        <f t="shared" si="68"/>
        <v>120.24688922049333</v>
      </c>
      <c r="AA117" s="696">
        <f t="shared" si="20"/>
        <v>80.814308185779765</v>
      </c>
      <c r="AB117" s="893">
        <f t="shared" si="37"/>
        <v>0.67206984488050125</v>
      </c>
      <c r="AC117" s="135" t="str">
        <f t="shared" si="38"/>
        <v>Policies met</v>
      </c>
      <c r="AD117" s="1353">
        <f t="shared" si="39"/>
        <v>0.67206984488050125</v>
      </c>
      <c r="AE117" s="135" t="str">
        <f t="shared" si="40"/>
        <v>No</v>
      </c>
      <c r="AF117" s="1420">
        <f t="shared" si="41"/>
        <v>139.12867530930757</v>
      </c>
      <c r="AG117" s="238">
        <f t="shared" si="42"/>
        <v>39.432581034713564</v>
      </c>
      <c r="AH117" s="238">
        <f t="shared" si="21"/>
        <v>45.760541102354082</v>
      </c>
      <c r="AI117" s="828">
        <f t="shared" si="22"/>
        <v>37.035832164635039</v>
      </c>
      <c r="AJ117" s="828">
        <f t="shared" si="23"/>
        <v>16.899721007604906</v>
      </c>
      <c r="AK117" s="238">
        <f t="shared" si="43"/>
        <v>139.1286753093076</v>
      </c>
      <c r="AL117" s="238">
        <f t="shared" si="44"/>
        <v>0</v>
      </c>
      <c r="AM117" s="805">
        <f t="shared" si="45"/>
        <v>0.2834252604436</v>
      </c>
      <c r="AN117" s="510">
        <f t="shared" si="46"/>
        <v>0.32890804861485473</v>
      </c>
      <c r="AO117" s="510">
        <f t="shared" si="47"/>
        <v>0.26619841008546835</v>
      </c>
      <c r="AP117" s="510">
        <f t="shared" si="48"/>
        <v>0.1214682808560769</v>
      </c>
      <c r="AQ117" s="510">
        <f t="shared" si="49"/>
        <v>0.99999999999999989</v>
      </c>
      <c r="AR117" s="916">
        <f t="shared" si="69"/>
        <v>6.718330286861506</v>
      </c>
      <c r="AS117" s="917">
        <f t="shared" si="70"/>
        <v>10.881405661657253</v>
      </c>
      <c r="AT117" s="917">
        <f t="shared" si="71"/>
        <v>2.3248676805531701</v>
      </c>
      <c r="AU117" s="917">
        <f t="shared" si="72"/>
        <v>0</v>
      </c>
      <c r="AV117" s="917">
        <f t="shared" si="73"/>
        <v>0</v>
      </c>
      <c r="AW117" s="917">
        <f t="shared" si="74"/>
        <v>0</v>
      </c>
      <c r="AX117" s="1338">
        <f t="shared" si="75"/>
        <v>16.236099971375594</v>
      </c>
      <c r="AY117" s="917">
        <f t="shared" si="76"/>
        <v>1.307809078845948</v>
      </c>
      <c r="AZ117" s="917">
        <f t="shared" si="77"/>
        <v>0.36762547566046921</v>
      </c>
      <c r="BA117" s="917">
        <f t="shared" si="78"/>
        <v>0.94950499551831991</v>
      </c>
      <c r="BB117" s="917">
        <f t="shared" si="79"/>
        <v>0.64693788424127452</v>
      </c>
      <c r="BC117" s="673">
        <f t="shared" si="50"/>
        <v>39.432581034713529</v>
      </c>
      <c r="BD117" s="922">
        <f t="shared" si="51"/>
        <v>0</v>
      </c>
      <c r="BE117" s="840">
        <f t="shared" si="52"/>
        <v>0.17037510887119423</v>
      </c>
      <c r="BF117" s="535">
        <f t="shared" si="53"/>
        <v>0.2759496177051679</v>
      </c>
      <c r="BG117" s="535">
        <f t="shared" si="54"/>
        <v>5.8958039761752561E-2</v>
      </c>
      <c r="BH117" s="535">
        <f t="shared" si="55"/>
        <v>0</v>
      </c>
      <c r="BI117" s="535">
        <f t="shared" si="56"/>
        <v>0</v>
      </c>
      <c r="BJ117" s="535">
        <f t="shared" si="57"/>
        <v>0</v>
      </c>
      <c r="BK117" s="535">
        <f t="shared" si="58"/>
        <v>0.49471723366188552</v>
      </c>
      <c r="BL117" s="1342">
        <f t="shared" si="59"/>
        <v>1.0000000000000002</v>
      </c>
      <c r="BM117" s="1237">
        <f t="shared" si="89"/>
        <v>0.19892488097366726</v>
      </c>
      <c r="BN117" s="713">
        <f t="shared" si="89"/>
        <v>0.26585903447659598</v>
      </c>
      <c r="BO117" s="713">
        <f t="shared" si="89"/>
        <v>8.9228108703258049E-2</v>
      </c>
      <c r="BP117" s="713">
        <f t="shared" si="89"/>
        <v>0</v>
      </c>
      <c r="BQ117" s="713">
        <f t="shared" si="89"/>
        <v>0</v>
      </c>
      <c r="BR117" s="713">
        <f t="shared" si="89"/>
        <v>0</v>
      </c>
      <c r="BS117" s="713">
        <f t="shared" si="89"/>
        <v>0.4459879758464787</v>
      </c>
      <c r="BT117" s="658">
        <f t="shared" si="81"/>
        <v>1</v>
      </c>
      <c r="BV117" s="671">
        <f t="shared" si="24"/>
        <v>45.975519156901633</v>
      </c>
      <c r="BW117" s="713">
        <f t="shared" si="61"/>
        <v>0.83257020027781348</v>
      </c>
      <c r="BX117" s="696">
        <f t="shared" si="25"/>
        <v>24.152264081533001</v>
      </c>
      <c r="BY117" s="671">
        <f t="shared" si="26"/>
        <v>66.712858129814961</v>
      </c>
      <c r="BZ117" s="713">
        <f t="shared" si="62"/>
        <v>0.78701016505842702</v>
      </c>
      <c r="CA117" s="696">
        <f t="shared" si="27"/>
        <v>48.694518386230293</v>
      </c>
      <c r="CB117" s="713">
        <f t="shared" si="28"/>
        <v>0.67206984488050125</v>
      </c>
      <c r="CC117" s="713">
        <f t="shared" si="29"/>
        <v>0.78005755371651353</v>
      </c>
      <c r="CD117" s="713">
        <f t="shared" si="63"/>
        <v>0.67206984488050125</v>
      </c>
      <c r="CE117" s="1001">
        <f t="shared" si="64"/>
        <v>0.85</v>
      </c>
    </row>
    <row r="118" spans="1:83">
      <c r="A118" s="127">
        <f>'Input data'!A138</f>
        <v>2040</v>
      </c>
      <c r="B118" s="828">
        <f>'Input data'!B138</f>
        <v>71.375</v>
      </c>
      <c r="C118" s="238">
        <f>'Input data'!C138</f>
        <v>4875.51</v>
      </c>
      <c r="D118" s="238">
        <f>'Input data'!D138</f>
        <v>20794956.942987975</v>
      </c>
      <c r="E118" s="1237">
        <f t="shared" si="86"/>
        <v>1</v>
      </c>
      <c r="F118" s="713">
        <f t="shared" si="86"/>
        <v>0.37</v>
      </c>
      <c r="G118" s="1238">
        <f>B118*F118*'Input data'!$C$9</f>
        <v>808.29425668800366</v>
      </c>
      <c r="H118" s="673">
        <f>'Input data'!I138</f>
        <v>424.26313389388866</v>
      </c>
      <c r="I118" s="672">
        <f>'Input data'!K138</f>
        <v>30281.781181676302</v>
      </c>
      <c r="J118" s="673">
        <f t="shared" si="88"/>
        <v>39.432581034713571</v>
      </c>
      <c r="K118" s="674">
        <f t="shared" si="67"/>
        <v>157.73032413885434</v>
      </c>
      <c r="L118" s="510">
        <f t="shared" si="87"/>
        <v>0.7</v>
      </c>
      <c r="M118" s="510">
        <f t="shared" si="85"/>
        <v>0.6</v>
      </c>
      <c r="N118" s="510">
        <f t="shared" si="85"/>
        <v>0.9</v>
      </c>
      <c r="O118" s="510">
        <f t="shared" si="85"/>
        <v>0.9</v>
      </c>
      <c r="P118" s="510">
        <f t="shared" si="85"/>
        <v>0.23600000000000002</v>
      </c>
      <c r="Q118" s="654">
        <f t="shared" si="35"/>
        <v>26.499337920908175</v>
      </c>
      <c r="R118" s="673">
        <f t="shared" si="36"/>
        <v>11.668960878701492</v>
      </c>
      <c r="S118" s="673">
        <f t="shared" si="14"/>
        <v>44.441191234244087</v>
      </c>
      <c r="T118" s="673">
        <f t="shared" si="15"/>
        <v>56.256962339656091</v>
      </c>
      <c r="U118" s="802">
        <f t="shared" si="16"/>
        <v>0.67710709475193609</v>
      </c>
      <c r="V118" s="654">
        <f t="shared" si="17"/>
        <v>139.54355946826178</v>
      </c>
      <c r="W118" s="805">
        <f t="shared" si="84"/>
        <v>0.5</v>
      </c>
      <c r="X118" s="671">
        <f t="shared" si="18"/>
        <v>53.669159952994768</v>
      </c>
      <c r="Y118" s="671">
        <f t="shared" si="19"/>
        <v>76.916015953074577</v>
      </c>
      <c r="Z118" s="672">
        <f t="shared" si="68"/>
        <v>120.24688922049333</v>
      </c>
      <c r="AA118" s="696">
        <f t="shared" si="20"/>
        <v>80.814308185779765</v>
      </c>
      <c r="AB118" s="893">
        <f t="shared" si="37"/>
        <v>0.67206984488050125</v>
      </c>
      <c r="AC118" s="135" t="str">
        <f t="shared" si="38"/>
        <v>Policies met</v>
      </c>
      <c r="AD118" s="1353">
        <f t="shared" si="39"/>
        <v>0.67206984488050125</v>
      </c>
      <c r="AE118" s="135" t="str">
        <f t="shared" si="40"/>
        <v>No</v>
      </c>
      <c r="AF118" s="1420">
        <f t="shared" si="41"/>
        <v>139.12867530930757</v>
      </c>
      <c r="AG118" s="238">
        <f t="shared" si="42"/>
        <v>39.432581034713564</v>
      </c>
      <c r="AH118" s="238">
        <f t="shared" si="21"/>
        <v>45.760541102354082</v>
      </c>
      <c r="AI118" s="828">
        <f t="shared" si="22"/>
        <v>37.035832164635039</v>
      </c>
      <c r="AJ118" s="828">
        <f t="shared" si="23"/>
        <v>16.899721007604906</v>
      </c>
      <c r="AK118" s="238">
        <f t="shared" si="43"/>
        <v>139.1286753093076</v>
      </c>
      <c r="AL118" s="238">
        <f t="shared" si="44"/>
        <v>0</v>
      </c>
      <c r="AM118" s="805">
        <f t="shared" si="45"/>
        <v>0.2834252604436</v>
      </c>
      <c r="AN118" s="510">
        <f t="shared" si="46"/>
        <v>0.32890804861485473</v>
      </c>
      <c r="AO118" s="510">
        <f t="shared" si="47"/>
        <v>0.26619841008546835</v>
      </c>
      <c r="AP118" s="510">
        <f t="shared" si="48"/>
        <v>0.1214682808560769</v>
      </c>
      <c r="AQ118" s="510">
        <f t="shared" si="49"/>
        <v>0.99999999999999989</v>
      </c>
      <c r="AR118" s="916">
        <f t="shared" si="69"/>
        <v>6.718330286861506</v>
      </c>
      <c r="AS118" s="917">
        <f t="shared" si="70"/>
        <v>10.881405661657253</v>
      </c>
      <c r="AT118" s="917">
        <f t="shared" si="71"/>
        <v>2.3248676805531701</v>
      </c>
      <c r="AU118" s="917">
        <f t="shared" si="72"/>
        <v>0</v>
      </c>
      <c r="AV118" s="917">
        <f t="shared" si="73"/>
        <v>0</v>
      </c>
      <c r="AW118" s="917">
        <f t="shared" si="74"/>
        <v>0</v>
      </c>
      <c r="AX118" s="1338">
        <f t="shared" si="75"/>
        <v>16.236099971375594</v>
      </c>
      <c r="AY118" s="917">
        <f t="shared" si="76"/>
        <v>1.307809078845948</v>
      </c>
      <c r="AZ118" s="917">
        <f t="shared" si="77"/>
        <v>0.36762547566046921</v>
      </c>
      <c r="BA118" s="917">
        <f t="shared" si="78"/>
        <v>0.94950499551831991</v>
      </c>
      <c r="BB118" s="917">
        <f t="shared" si="79"/>
        <v>0.64693788424127452</v>
      </c>
      <c r="BC118" s="673">
        <f t="shared" si="50"/>
        <v>39.432581034713529</v>
      </c>
      <c r="BD118" s="922">
        <f t="shared" si="51"/>
        <v>0</v>
      </c>
      <c r="BE118" s="840">
        <f t="shared" si="52"/>
        <v>0.17037510887119423</v>
      </c>
      <c r="BF118" s="535">
        <f t="shared" si="53"/>
        <v>0.2759496177051679</v>
      </c>
      <c r="BG118" s="535">
        <f t="shared" si="54"/>
        <v>5.8958039761752561E-2</v>
      </c>
      <c r="BH118" s="535">
        <f t="shared" si="55"/>
        <v>0</v>
      </c>
      <c r="BI118" s="535">
        <f t="shared" si="56"/>
        <v>0</v>
      </c>
      <c r="BJ118" s="535">
        <f t="shared" si="57"/>
        <v>0</v>
      </c>
      <c r="BK118" s="535">
        <f t="shared" si="58"/>
        <v>0.49471723366188552</v>
      </c>
      <c r="BL118" s="1342">
        <f t="shared" si="59"/>
        <v>1.0000000000000002</v>
      </c>
      <c r="BM118" s="1237">
        <f t="shared" si="89"/>
        <v>0.19892488097366726</v>
      </c>
      <c r="BN118" s="713">
        <f t="shared" si="89"/>
        <v>0.26585903447659598</v>
      </c>
      <c r="BO118" s="713">
        <f t="shared" si="89"/>
        <v>8.9228108703258049E-2</v>
      </c>
      <c r="BP118" s="713">
        <f t="shared" si="89"/>
        <v>0</v>
      </c>
      <c r="BQ118" s="713">
        <f t="shared" si="89"/>
        <v>0</v>
      </c>
      <c r="BR118" s="713">
        <f t="shared" si="89"/>
        <v>0</v>
      </c>
      <c r="BS118" s="713">
        <f t="shared" si="89"/>
        <v>0.4459879758464787</v>
      </c>
      <c r="BT118" s="658">
        <f t="shared" si="81"/>
        <v>1</v>
      </c>
      <c r="BV118" s="671">
        <f t="shared" si="24"/>
        <v>46.841942196849203</v>
      </c>
      <c r="BW118" s="713">
        <f t="shared" si="61"/>
        <v>0.81548052429422202</v>
      </c>
      <c r="BX118" s="696">
        <f t="shared" si="25"/>
        <v>20.794956942987973</v>
      </c>
      <c r="BY118" s="671">
        <f t="shared" si="26"/>
        <v>67.038572500159361</v>
      </c>
      <c r="BZ118" s="713">
        <f t="shared" si="62"/>
        <v>0.78684038553282265</v>
      </c>
      <c r="CA118" s="696">
        <f t="shared" si="27"/>
        <v>48.694518386230293</v>
      </c>
      <c r="CB118" s="713">
        <f t="shared" si="28"/>
        <v>0.67206984488050125</v>
      </c>
      <c r="CC118" s="713">
        <f t="shared" si="29"/>
        <v>0.71267236731830419</v>
      </c>
      <c r="CD118" s="713">
        <f t="shared" si="63"/>
        <v>0.67206984488050125</v>
      </c>
      <c r="CE118" s="1001">
        <f t="shared" si="64"/>
        <v>0.85</v>
      </c>
    </row>
    <row r="119" spans="1:83">
      <c r="A119" s="127">
        <f>'Input data'!A139</f>
        <v>2041</v>
      </c>
      <c r="B119" s="828">
        <f>'Input data'!B139</f>
        <v>71.819000000000003</v>
      </c>
      <c r="C119" s="238">
        <f>'Input data'!C139</f>
        <v>5028.54</v>
      </c>
      <c r="D119" s="238">
        <f>'Input data'!D139</f>
        <v>19523249.693539102</v>
      </c>
      <c r="E119" s="1237">
        <f t="shared" si="86"/>
        <v>1</v>
      </c>
      <c r="F119" s="713">
        <f t="shared" si="86"/>
        <v>0.37</v>
      </c>
      <c r="G119" s="1238">
        <f>B119*F119*'Input data'!$C$9</f>
        <v>813.32238488372309</v>
      </c>
      <c r="H119" s="673">
        <f>'Input data'!I139</f>
        <v>424.26313389388866</v>
      </c>
      <c r="I119" s="672">
        <f>'Input data'!K139</f>
        <v>30470.15401312519</v>
      </c>
      <c r="J119" s="673">
        <f t="shared" si="88"/>
        <v>39.432581034713571</v>
      </c>
      <c r="K119" s="674">
        <f t="shared" si="67"/>
        <v>157.73032413885434</v>
      </c>
      <c r="L119" s="510">
        <f t="shared" si="87"/>
        <v>0.7</v>
      </c>
      <c r="M119" s="510">
        <f t="shared" si="85"/>
        <v>0.6</v>
      </c>
      <c r="N119" s="510">
        <f t="shared" si="85"/>
        <v>0.9</v>
      </c>
      <c r="O119" s="510">
        <f t="shared" si="85"/>
        <v>0.9</v>
      </c>
      <c r="P119" s="510">
        <f t="shared" si="85"/>
        <v>0.23600000000000002</v>
      </c>
      <c r="Q119" s="654">
        <f t="shared" si="35"/>
        <v>26.499337920908175</v>
      </c>
      <c r="R119" s="673">
        <f t="shared" si="36"/>
        <v>11.668960878701492</v>
      </c>
      <c r="S119" s="673">
        <f t="shared" si="14"/>
        <v>44.441191234244087</v>
      </c>
      <c r="T119" s="673">
        <f t="shared" si="15"/>
        <v>56.256962339656091</v>
      </c>
      <c r="U119" s="802">
        <f t="shared" si="16"/>
        <v>0.67710709475193609</v>
      </c>
      <c r="V119" s="654">
        <f t="shared" si="17"/>
        <v>139.54355946826178</v>
      </c>
      <c r="W119" s="805">
        <f t="shared" si="84"/>
        <v>0.5</v>
      </c>
      <c r="X119" s="671">
        <f t="shared" si="18"/>
        <v>53.669159952994768</v>
      </c>
      <c r="Y119" s="671">
        <f t="shared" si="19"/>
        <v>76.916015953074577</v>
      </c>
      <c r="Z119" s="672">
        <f t="shared" si="68"/>
        <v>120.24688922049333</v>
      </c>
      <c r="AA119" s="696">
        <f t="shared" si="20"/>
        <v>80.814308185779765</v>
      </c>
      <c r="AB119" s="893">
        <f t="shared" si="37"/>
        <v>0.67206984488050125</v>
      </c>
      <c r="AC119" s="135" t="str">
        <f t="shared" si="38"/>
        <v>Policies met</v>
      </c>
      <c r="AD119" s="1353">
        <f t="shared" si="39"/>
        <v>0.67206984488050125</v>
      </c>
      <c r="AE119" s="135" t="str">
        <f t="shared" si="40"/>
        <v>No</v>
      </c>
      <c r="AF119" s="1420">
        <f t="shared" si="41"/>
        <v>139.12867530930757</v>
      </c>
      <c r="AG119" s="238">
        <f t="shared" si="42"/>
        <v>39.432581034713564</v>
      </c>
      <c r="AH119" s="238">
        <f t="shared" si="21"/>
        <v>45.760541102354082</v>
      </c>
      <c r="AI119" s="828">
        <f t="shared" si="22"/>
        <v>37.035832164635039</v>
      </c>
      <c r="AJ119" s="828">
        <f t="shared" si="23"/>
        <v>16.899721007604906</v>
      </c>
      <c r="AK119" s="238">
        <f t="shared" si="43"/>
        <v>139.1286753093076</v>
      </c>
      <c r="AL119" s="238">
        <f t="shared" si="44"/>
        <v>0</v>
      </c>
      <c r="AM119" s="805">
        <f t="shared" si="45"/>
        <v>0.2834252604436</v>
      </c>
      <c r="AN119" s="510">
        <f t="shared" si="46"/>
        <v>0.32890804861485473</v>
      </c>
      <c r="AO119" s="510">
        <f t="shared" si="47"/>
        <v>0.26619841008546835</v>
      </c>
      <c r="AP119" s="510">
        <f t="shared" si="48"/>
        <v>0.1214682808560769</v>
      </c>
      <c r="AQ119" s="510">
        <f t="shared" si="49"/>
        <v>0.99999999999999989</v>
      </c>
      <c r="AR119" s="916">
        <f t="shared" si="69"/>
        <v>6.718330286861506</v>
      </c>
      <c r="AS119" s="917">
        <f t="shared" si="70"/>
        <v>10.881405661657253</v>
      </c>
      <c r="AT119" s="917">
        <f t="shared" si="71"/>
        <v>2.3248676805531701</v>
      </c>
      <c r="AU119" s="917">
        <f t="shared" si="72"/>
        <v>0</v>
      </c>
      <c r="AV119" s="917">
        <f t="shared" si="73"/>
        <v>0</v>
      </c>
      <c r="AW119" s="917">
        <f t="shared" si="74"/>
        <v>0</v>
      </c>
      <c r="AX119" s="1338">
        <f t="shared" si="75"/>
        <v>16.236099971375594</v>
      </c>
      <c r="AY119" s="917">
        <f t="shared" si="76"/>
        <v>1.307809078845948</v>
      </c>
      <c r="AZ119" s="917">
        <f t="shared" si="77"/>
        <v>0.36762547566046921</v>
      </c>
      <c r="BA119" s="917">
        <f t="shared" si="78"/>
        <v>0.94950499551831991</v>
      </c>
      <c r="BB119" s="917">
        <f t="shared" si="79"/>
        <v>0.64693788424127452</v>
      </c>
      <c r="BC119" s="673">
        <f t="shared" si="50"/>
        <v>39.432581034713529</v>
      </c>
      <c r="BD119" s="922">
        <f t="shared" si="51"/>
        <v>0</v>
      </c>
      <c r="BE119" s="840">
        <f t="shared" si="52"/>
        <v>0.17037510887119423</v>
      </c>
      <c r="BF119" s="535">
        <f t="shared" si="53"/>
        <v>0.2759496177051679</v>
      </c>
      <c r="BG119" s="535">
        <f t="shared" si="54"/>
        <v>5.8958039761752561E-2</v>
      </c>
      <c r="BH119" s="535">
        <f t="shared" si="55"/>
        <v>0</v>
      </c>
      <c r="BI119" s="535">
        <f t="shared" si="56"/>
        <v>0</v>
      </c>
      <c r="BJ119" s="535">
        <f t="shared" si="57"/>
        <v>0</v>
      </c>
      <c r="BK119" s="535">
        <f t="shared" si="58"/>
        <v>0.49471723366188552</v>
      </c>
      <c r="BL119" s="1342">
        <f t="shared" si="59"/>
        <v>1.0000000000000002</v>
      </c>
      <c r="BM119" s="1237">
        <f t="shared" si="89"/>
        <v>0.19892488097366726</v>
      </c>
      <c r="BN119" s="713">
        <f t="shared" si="89"/>
        <v>0.26585903447659598</v>
      </c>
      <c r="BO119" s="713">
        <f t="shared" si="89"/>
        <v>8.9228108703258049E-2</v>
      </c>
      <c r="BP119" s="713">
        <f t="shared" si="89"/>
        <v>0</v>
      </c>
      <c r="BQ119" s="713">
        <f t="shared" si="89"/>
        <v>0</v>
      </c>
      <c r="BR119" s="713">
        <f t="shared" si="89"/>
        <v>0</v>
      </c>
      <c r="BS119" s="713">
        <f t="shared" si="89"/>
        <v>0.4459879758464787</v>
      </c>
      <c r="BT119" s="658">
        <f t="shared" si="81"/>
        <v>1</v>
      </c>
      <c r="BV119" s="671">
        <f t="shared" si="24"/>
        <v>47.908485794879859</v>
      </c>
      <c r="BW119" s="713">
        <f t="shared" si="61"/>
        <v>0.80511470795873352</v>
      </c>
      <c r="BX119" s="696">
        <f t="shared" si="25"/>
        <v>19.523249693539103</v>
      </c>
      <c r="BY119" s="671">
        <f t="shared" si="26"/>
        <v>67.364431929460494</v>
      </c>
      <c r="BZ119" s="713">
        <f t="shared" si="62"/>
        <v>0.78649178849059465</v>
      </c>
      <c r="CA119" s="696">
        <f t="shared" si="27"/>
        <v>48.694518386230293</v>
      </c>
      <c r="CB119" s="713">
        <f t="shared" si="28"/>
        <v>0.67206984488050125</v>
      </c>
      <c r="CC119" s="713">
        <f t="shared" si="29"/>
        <v>0.6820665212020679</v>
      </c>
      <c r="CD119" s="713">
        <f t="shared" si="63"/>
        <v>0.67206984488050125</v>
      </c>
      <c r="CE119" s="1001">
        <f t="shared" si="64"/>
        <v>0.85</v>
      </c>
    </row>
    <row r="120" spans="1:83">
      <c r="A120" s="127">
        <f>'Input data'!A140</f>
        <v>2042</v>
      </c>
      <c r="B120" s="828">
        <f>'Input data'!B140</f>
        <v>72.265000000000001</v>
      </c>
      <c r="C120" s="238">
        <f>'Input data'!C140</f>
        <v>5188.1000000000004</v>
      </c>
      <c r="D120" s="238">
        <f>'Input data'!D140</f>
        <v>18251542.444090229</v>
      </c>
      <c r="E120" s="1237">
        <f t="shared" si="86"/>
        <v>1</v>
      </c>
      <c r="F120" s="713">
        <f t="shared" si="86"/>
        <v>0.37</v>
      </c>
      <c r="G120" s="1238">
        <f>B120*F120*'Input data'!$C$9</f>
        <v>818.37316230554939</v>
      </c>
      <c r="H120" s="673">
        <f>'Input data'!I140</f>
        <v>424.26313389388866</v>
      </c>
      <c r="I120" s="672">
        <f>'Input data'!K140</f>
        <v>30659.375370841866</v>
      </c>
      <c r="J120" s="673">
        <f t="shared" si="88"/>
        <v>39.432581034713571</v>
      </c>
      <c r="K120" s="674">
        <f t="shared" si="67"/>
        <v>157.73032413885434</v>
      </c>
      <c r="L120" s="510">
        <f t="shared" si="87"/>
        <v>0.7</v>
      </c>
      <c r="M120" s="510">
        <f t="shared" si="85"/>
        <v>0.6</v>
      </c>
      <c r="N120" s="510">
        <f t="shared" si="85"/>
        <v>0.9</v>
      </c>
      <c r="O120" s="510">
        <f t="shared" si="85"/>
        <v>0.9</v>
      </c>
      <c r="P120" s="510">
        <f t="shared" si="85"/>
        <v>0.23600000000000002</v>
      </c>
      <c r="Q120" s="654">
        <f t="shared" si="35"/>
        <v>26.499337920908175</v>
      </c>
      <c r="R120" s="673">
        <f t="shared" si="36"/>
        <v>11.668960878701492</v>
      </c>
      <c r="S120" s="673">
        <f t="shared" si="14"/>
        <v>44.441191234244087</v>
      </c>
      <c r="T120" s="673">
        <f t="shared" si="15"/>
        <v>56.256962339656091</v>
      </c>
      <c r="U120" s="802">
        <f t="shared" si="16"/>
        <v>0.67710709475193609</v>
      </c>
      <c r="V120" s="654">
        <f t="shared" si="17"/>
        <v>139.54355946826178</v>
      </c>
      <c r="W120" s="805">
        <f t="shared" si="84"/>
        <v>0.5</v>
      </c>
      <c r="X120" s="671">
        <f t="shared" si="18"/>
        <v>53.669159952994768</v>
      </c>
      <c r="Y120" s="671">
        <f t="shared" si="19"/>
        <v>76.916015953074577</v>
      </c>
      <c r="Z120" s="672">
        <f t="shared" si="68"/>
        <v>120.24688922049333</v>
      </c>
      <c r="AA120" s="696">
        <f t="shared" si="20"/>
        <v>80.814308185779765</v>
      </c>
      <c r="AB120" s="893">
        <f t="shared" si="37"/>
        <v>0.67206984488050125</v>
      </c>
      <c r="AC120" s="135" t="str">
        <f t="shared" si="38"/>
        <v>Policies met</v>
      </c>
      <c r="AD120" s="1353">
        <f t="shared" si="39"/>
        <v>0.67206984488050125</v>
      </c>
      <c r="AE120" s="135" t="str">
        <f t="shared" si="40"/>
        <v>No</v>
      </c>
      <c r="AF120" s="1420">
        <f t="shared" si="41"/>
        <v>139.12867530930757</v>
      </c>
      <c r="AG120" s="238">
        <f t="shared" si="42"/>
        <v>39.432581034713564</v>
      </c>
      <c r="AH120" s="238">
        <f t="shared" si="21"/>
        <v>45.760541102354082</v>
      </c>
      <c r="AI120" s="828">
        <f t="shared" si="22"/>
        <v>37.035832164635039</v>
      </c>
      <c r="AJ120" s="828">
        <f t="shared" si="23"/>
        <v>16.899721007604906</v>
      </c>
      <c r="AK120" s="238">
        <f t="shared" si="43"/>
        <v>139.1286753093076</v>
      </c>
      <c r="AL120" s="238">
        <f t="shared" si="44"/>
        <v>0</v>
      </c>
      <c r="AM120" s="805">
        <f t="shared" si="45"/>
        <v>0.2834252604436</v>
      </c>
      <c r="AN120" s="510">
        <f t="shared" si="46"/>
        <v>0.32890804861485473</v>
      </c>
      <c r="AO120" s="510">
        <f t="shared" si="47"/>
        <v>0.26619841008546835</v>
      </c>
      <c r="AP120" s="510">
        <f t="shared" si="48"/>
        <v>0.1214682808560769</v>
      </c>
      <c r="AQ120" s="510">
        <f t="shared" si="49"/>
        <v>0.99999999999999989</v>
      </c>
      <c r="AR120" s="916">
        <f t="shared" si="69"/>
        <v>6.718330286861506</v>
      </c>
      <c r="AS120" s="917">
        <f t="shared" si="70"/>
        <v>10.881405661657253</v>
      </c>
      <c r="AT120" s="917">
        <f t="shared" si="71"/>
        <v>2.3248676805531701</v>
      </c>
      <c r="AU120" s="917">
        <f t="shared" si="72"/>
        <v>0</v>
      </c>
      <c r="AV120" s="917">
        <f t="shared" si="73"/>
        <v>0</v>
      </c>
      <c r="AW120" s="917">
        <f t="shared" si="74"/>
        <v>0</v>
      </c>
      <c r="AX120" s="1338">
        <f t="shared" si="75"/>
        <v>16.236099971375594</v>
      </c>
      <c r="AY120" s="917">
        <f t="shared" si="76"/>
        <v>1.307809078845948</v>
      </c>
      <c r="AZ120" s="917">
        <f t="shared" si="77"/>
        <v>0.36762547566046921</v>
      </c>
      <c r="BA120" s="917">
        <f t="shared" si="78"/>
        <v>0.94950499551831991</v>
      </c>
      <c r="BB120" s="917">
        <f t="shared" si="79"/>
        <v>0.64693788424127452</v>
      </c>
      <c r="BC120" s="673">
        <f t="shared" si="50"/>
        <v>39.432581034713529</v>
      </c>
      <c r="BD120" s="922">
        <f t="shared" si="51"/>
        <v>0</v>
      </c>
      <c r="BE120" s="840">
        <f t="shared" si="52"/>
        <v>0.17037510887119423</v>
      </c>
      <c r="BF120" s="535">
        <f t="shared" si="53"/>
        <v>0.2759496177051679</v>
      </c>
      <c r="BG120" s="535">
        <f t="shared" si="54"/>
        <v>5.8958039761752561E-2</v>
      </c>
      <c r="BH120" s="535">
        <f t="shared" si="55"/>
        <v>0</v>
      </c>
      <c r="BI120" s="535">
        <f t="shared" si="56"/>
        <v>0</v>
      </c>
      <c r="BJ120" s="535">
        <f t="shared" si="57"/>
        <v>0</v>
      </c>
      <c r="BK120" s="535">
        <f t="shared" si="58"/>
        <v>0.49471723366188552</v>
      </c>
      <c r="BL120" s="1342">
        <f t="shared" si="59"/>
        <v>1.0000000000000002</v>
      </c>
      <c r="BM120" s="1237">
        <f t="shared" si="89"/>
        <v>0.19892488097366726</v>
      </c>
      <c r="BN120" s="713">
        <f t="shared" si="89"/>
        <v>0.26585903447659598</v>
      </c>
      <c r="BO120" s="713">
        <f t="shared" si="89"/>
        <v>8.9228108703258049E-2</v>
      </c>
      <c r="BP120" s="713">
        <f t="shared" si="89"/>
        <v>0</v>
      </c>
      <c r="BQ120" s="713">
        <f t="shared" si="89"/>
        <v>0</v>
      </c>
      <c r="BR120" s="713">
        <f t="shared" si="89"/>
        <v>0</v>
      </c>
      <c r="BS120" s="713">
        <f t="shared" si="89"/>
        <v>0.4459879758464787</v>
      </c>
      <c r="BT120" s="658">
        <f t="shared" si="81"/>
        <v>1</v>
      </c>
      <c r="BV120" s="671">
        <f t="shared" si="24"/>
        <v>49.022519317246825</v>
      </c>
      <c r="BW120" s="713">
        <f t="shared" si="61"/>
        <v>0.79502034703665969</v>
      </c>
      <c r="BX120" s="696">
        <f t="shared" si="25"/>
        <v>18.25154244409023</v>
      </c>
      <c r="BY120" s="671">
        <f t="shared" si="26"/>
        <v>67.701838540652787</v>
      </c>
      <c r="BZ120" s="713">
        <f t="shared" si="62"/>
        <v>0.78610132014633283</v>
      </c>
      <c r="CA120" s="696">
        <f t="shared" si="27"/>
        <v>48.694518386230293</v>
      </c>
      <c r="CB120" s="713">
        <f t="shared" si="28"/>
        <v>0.67206984488050125</v>
      </c>
      <c r="CC120" s="713">
        <f t="shared" si="29"/>
        <v>0.65291390992733356</v>
      </c>
      <c r="CD120" s="713">
        <f t="shared" si="63"/>
        <v>0.67206984488050125</v>
      </c>
      <c r="CE120" s="1001">
        <f t="shared" si="64"/>
        <v>0.85</v>
      </c>
    </row>
    <row r="121" spans="1:83">
      <c r="A121" s="127">
        <f>'Input data'!A141</f>
        <v>2043</v>
      </c>
      <c r="B121" s="828">
        <f>'Input data'!B141</f>
        <v>72.713999999999999</v>
      </c>
      <c r="C121" s="238">
        <f>'Input data'!C141</f>
        <v>5353.7899999999991</v>
      </c>
      <c r="D121" s="238">
        <f>'Input data'!D141</f>
        <v>16979835.194641355</v>
      </c>
      <c r="E121" s="1237">
        <f t="shared" si="86"/>
        <v>1</v>
      </c>
      <c r="F121" s="713">
        <f t="shared" si="86"/>
        <v>0.37</v>
      </c>
      <c r="G121" s="1238">
        <f>B121*F121*'Input data'!$C$9</f>
        <v>823.45791356653592</v>
      </c>
      <c r="H121" s="673">
        <f>'Input data'!I141</f>
        <v>424.26313389388866</v>
      </c>
      <c r="I121" s="672">
        <f>'Input data'!K141</f>
        <v>30849.869517960218</v>
      </c>
      <c r="J121" s="673">
        <f t="shared" si="88"/>
        <v>39.432581034713571</v>
      </c>
      <c r="K121" s="674">
        <f t="shared" si="67"/>
        <v>157.73032413885434</v>
      </c>
      <c r="L121" s="510">
        <f t="shared" si="87"/>
        <v>0.7</v>
      </c>
      <c r="M121" s="510">
        <f t="shared" si="85"/>
        <v>0.6</v>
      </c>
      <c r="N121" s="510">
        <f t="shared" si="85"/>
        <v>0.9</v>
      </c>
      <c r="O121" s="510">
        <f t="shared" si="85"/>
        <v>0.9</v>
      </c>
      <c r="P121" s="510">
        <f t="shared" si="85"/>
        <v>0.23600000000000002</v>
      </c>
      <c r="Q121" s="654">
        <f t="shared" si="35"/>
        <v>26.499337920908175</v>
      </c>
      <c r="R121" s="673">
        <f t="shared" si="36"/>
        <v>11.668960878701492</v>
      </c>
      <c r="S121" s="673">
        <f t="shared" si="14"/>
        <v>44.441191234244087</v>
      </c>
      <c r="T121" s="673">
        <f t="shared" si="15"/>
        <v>56.256962339656091</v>
      </c>
      <c r="U121" s="802">
        <f t="shared" si="16"/>
        <v>0.67710709475193609</v>
      </c>
      <c r="V121" s="654">
        <f t="shared" si="17"/>
        <v>139.54355946826178</v>
      </c>
      <c r="W121" s="805">
        <f t="shared" si="84"/>
        <v>0.5</v>
      </c>
      <c r="X121" s="671">
        <f t="shared" si="18"/>
        <v>53.669159952994768</v>
      </c>
      <c r="Y121" s="671">
        <f t="shared" si="19"/>
        <v>76.916015953074577</v>
      </c>
      <c r="Z121" s="672">
        <f t="shared" si="68"/>
        <v>120.24688922049333</v>
      </c>
      <c r="AA121" s="696">
        <f t="shared" si="20"/>
        <v>80.814308185779765</v>
      </c>
      <c r="AB121" s="893">
        <f t="shared" si="37"/>
        <v>0.67206984488050125</v>
      </c>
      <c r="AC121" s="135" t="str">
        <f t="shared" si="38"/>
        <v>Policies met</v>
      </c>
      <c r="AD121" s="1353">
        <f t="shared" si="39"/>
        <v>0.67206984488050125</v>
      </c>
      <c r="AE121" s="135" t="str">
        <f t="shared" si="40"/>
        <v>No</v>
      </c>
      <c r="AF121" s="1420">
        <f t="shared" si="41"/>
        <v>139.12867530930757</v>
      </c>
      <c r="AG121" s="238">
        <f t="shared" si="42"/>
        <v>39.432581034713564</v>
      </c>
      <c r="AH121" s="238">
        <f t="shared" si="21"/>
        <v>45.760541102354082</v>
      </c>
      <c r="AI121" s="828">
        <f t="shared" si="22"/>
        <v>37.035832164635039</v>
      </c>
      <c r="AJ121" s="828">
        <f t="shared" si="23"/>
        <v>16.899721007604906</v>
      </c>
      <c r="AK121" s="238">
        <f t="shared" si="43"/>
        <v>139.1286753093076</v>
      </c>
      <c r="AL121" s="238">
        <f t="shared" si="44"/>
        <v>0</v>
      </c>
      <c r="AM121" s="805">
        <f t="shared" si="45"/>
        <v>0.2834252604436</v>
      </c>
      <c r="AN121" s="510">
        <f t="shared" si="46"/>
        <v>0.32890804861485473</v>
      </c>
      <c r="AO121" s="510">
        <f t="shared" si="47"/>
        <v>0.26619841008546835</v>
      </c>
      <c r="AP121" s="510">
        <f t="shared" si="48"/>
        <v>0.1214682808560769</v>
      </c>
      <c r="AQ121" s="510">
        <f t="shared" si="49"/>
        <v>0.99999999999999989</v>
      </c>
      <c r="AR121" s="916">
        <f t="shared" si="69"/>
        <v>6.718330286861506</v>
      </c>
      <c r="AS121" s="917">
        <f t="shared" si="70"/>
        <v>10.881405661657253</v>
      </c>
      <c r="AT121" s="917">
        <f t="shared" si="71"/>
        <v>2.3248676805531701</v>
      </c>
      <c r="AU121" s="917">
        <f t="shared" si="72"/>
        <v>0</v>
      </c>
      <c r="AV121" s="917">
        <f t="shared" si="73"/>
        <v>0</v>
      </c>
      <c r="AW121" s="917">
        <f t="shared" si="74"/>
        <v>0</v>
      </c>
      <c r="AX121" s="1338">
        <f t="shared" si="75"/>
        <v>16.236099971375594</v>
      </c>
      <c r="AY121" s="917">
        <f t="shared" si="76"/>
        <v>1.307809078845948</v>
      </c>
      <c r="AZ121" s="917">
        <f t="shared" si="77"/>
        <v>0.36762547566046921</v>
      </c>
      <c r="BA121" s="917">
        <f t="shared" si="78"/>
        <v>0.94950499551831991</v>
      </c>
      <c r="BB121" s="917">
        <f t="shared" si="79"/>
        <v>0.64693788424127452</v>
      </c>
      <c r="BC121" s="673">
        <f t="shared" si="50"/>
        <v>39.432581034713529</v>
      </c>
      <c r="BD121" s="922">
        <f t="shared" si="51"/>
        <v>0</v>
      </c>
      <c r="BE121" s="840">
        <f t="shared" si="52"/>
        <v>0.17037510887119423</v>
      </c>
      <c r="BF121" s="535">
        <f t="shared" si="53"/>
        <v>0.2759496177051679</v>
      </c>
      <c r="BG121" s="535">
        <f t="shared" si="54"/>
        <v>5.8958039761752561E-2</v>
      </c>
      <c r="BH121" s="535">
        <f t="shared" si="55"/>
        <v>0</v>
      </c>
      <c r="BI121" s="535">
        <f t="shared" si="56"/>
        <v>0</v>
      </c>
      <c r="BJ121" s="535">
        <f t="shared" si="57"/>
        <v>0</v>
      </c>
      <c r="BK121" s="535">
        <f t="shared" si="58"/>
        <v>0.49471723366188552</v>
      </c>
      <c r="BL121" s="1342">
        <f t="shared" si="59"/>
        <v>1.0000000000000002</v>
      </c>
      <c r="BM121" s="1237">
        <f t="shared" si="89"/>
        <v>0.19892488097366726</v>
      </c>
      <c r="BN121" s="713">
        <f t="shared" si="89"/>
        <v>0.26585903447659598</v>
      </c>
      <c r="BO121" s="713">
        <f t="shared" si="89"/>
        <v>8.9228108703258049E-2</v>
      </c>
      <c r="BP121" s="713">
        <f t="shared" si="89"/>
        <v>0</v>
      </c>
      <c r="BQ121" s="713">
        <f t="shared" si="89"/>
        <v>0</v>
      </c>
      <c r="BR121" s="713">
        <f t="shared" si="89"/>
        <v>0</v>
      </c>
      <c r="BS121" s="713">
        <f t="shared" si="89"/>
        <v>0.4459879758464787</v>
      </c>
      <c r="BT121" s="658">
        <f t="shared" si="81"/>
        <v>1</v>
      </c>
      <c r="BV121" s="671">
        <f t="shared" si="24"/>
        <v>50.181289906898819</v>
      </c>
      <c r="BW121" s="713">
        <f t="shared" si="61"/>
        <v>0.78522772456567103</v>
      </c>
      <c r="BX121" s="696">
        <f t="shared" si="25"/>
        <v>16.979835194641357</v>
      </c>
      <c r="BY121" s="671">
        <f t="shared" si="26"/>
        <v>68.050241176069065</v>
      </c>
      <c r="BZ121" s="713">
        <f t="shared" si="62"/>
        <v>0.78567464074495208</v>
      </c>
      <c r="CA121" s="696">
        <f t="shared" si="27"/>
        <v>48.694518386230293</v>
      </c>
      <c r="CB121" s="713">
        <f t="shared" si="28"/>
        <v>0.67206984488050125</v>
      </c>
      <c r="CC121" s="713">
        <f t="shared" si="29"/>
        <v>0.62521022322364217</v>
      </c>
      <c r="CD121" s="713">
        <f t="shared" si="63"/>
        <v>0.67206984488050125</v>
      </c>
      <c r="CE121" s="1001">
        <f t="shared" si="64"/>
        <v>0.85</v>
      </c>
    </row>
    <row r="122" spans="1:83">
      <c r="A122" s="127">
        <f>'Input data'!A142</f>
        <v>2044</v>
      </c>
      <c r="B122" s="828">
        <f>'Input data'!B142</f>
        <v>73.165000000000006</v>
      </c>
      <c r="C122" s="238">
        <f>'Input data'!C142</f>
        <v>5526.5000000000018</v>
      </c>
      <c r="D122" s="238">
        <f>'Input data'!D142</f>
        <v>15708127.94519248</v>
      </c>
      <c r="E122" s="1237">
        <f t="shared" si="86"/>
        <v>1</v>
      </c>
      <c r="F122" s="713">
        <f t="shared" si="86"/>
        <v>0.37</v>
      </c>
      <c r="G122" s="1238">
        <f>B122*F122*'Input data'!$C$9</f>
        <v>828.56531405362932</v>
      </c>
      <c r="H122" s="673">
        <f>'Input data'!I142</f>
        <v>424.26313389388866</v>
      </c>
      <c r="I122" s="672">
        <f>'Input data'!K142</f>
        <v>31041.212191346367</v>
      </c>
      <c r="J122" s="673">
        <f t="shared" si="88"/>
        <v>39.432581034713571</v>
      </c>
      <c r="K122" s="674">
        <f t="shared" si="67"/>
        <v>157.73032413885434</v>
      </c>
      <c r="L122" s="510">
        <f t="shared" si="87"/>
        <v>0.7</v>
      </c>
      <c r="M122" s="510">
        <f t="shared" si="85"/>
        <v>0.6</v>
      </c>
      <c r="N122" s="510">
        <f t="shared" si="85"/>
        <v>0.9</v>
      </c>
      <c r="O122" s="510">
        <f t="shared" si="85"/>
        <v>0.9</v>
      </c>
      <c r="P122" s="510">
        <f t="shared" si="85"/>
        <v>0.23600000000000002</v>
      </c>
      <c r="Q122" s="654">
        <f t="shared" si="35"/>
        <v>26.499337920908175</v>
      </c>
      <c r="R122" s="673">
        <f t="shared" si="36"/>
        <v>11.668960878701492</v>
      </c>
      <c r="S122" s="673">
        <f t="shared" si="14"/>
        <v>44.441191234244087</v>
      </c>
      <c r="T122" s="673">
        <f t="shared" si="15"/>
        <v>56.256962339656091</v>
      </c>
      <c r="U122" s="802">
        <f t="shared" si="16"/>
        <v>0.67710709475193609</v>
      </c>
      <c r="V122" s="654">
        <f t="shared" si="17"/>
        <v>139.54355946826178</v>
      </c>
      <c r="W122" s="805">
        <f t="shared" si="84"/>
        <v>0.5</v>
      </c>
      <c r="X122" s="671">
        <f t="shared" si="18"/>
        <v>53.669159952994768</v>
      </c>
      <c r="Y122" s="671">
        <f t="shared" si="19"/>
        <v>76.916015953074577</v>
      </c>
      <c r="Z122" s="672">
        <f t="shared" si="68"/>
        <v>120.24688922049333</v>
      </c>
      <c r="AA122" s="696">
        <f t="shared" si="20"/>
        <v>80.814308185779765</v>
      </c>
      <c r="AB122" s="893">
        <f t="shared" si="37"/>
        <v>0.67206984488050125</v>
      </c>
      <c r="AC122" s="135" t="str">
        <f t="shared" si="38"/>
        <v>Policies met</v>
      </c>
      <c r="AD122" s="1353">
        <f t="shared" si="39"/>
        <v>0.67206984488050125</v>
      </c>
      <c r="AE122" s="135" t="str">
        <f t="shared" si="40"/>
        <v>No</v>
      </c>
      <c r="AF122" s="1420">
        <f t="shared" si="41"/>
        <v>139.12867530930757</v>
      </c>
      <c r="AG122" s="238">
        <f t="shared" si="42"/>
        <v>39.432581034713564</v>
      </c>
      <c r="AH122" s="238">
        <f t="shared" si="21"/>
        <v>45.760541102354082</v>
      </c>
      <c r="AI122" s="828">
        <f t="shared" si="22"/>
        <v>37.035832164635039</v>
      </c>
      <c r="AJ122" s="828">
        <f t="shared" si="23"/>
        <v>16.899721007604906</v>
      </c>
      <c r="AK122" s="238">
        <f t="shared" si="43"/>
        <v>139.1286753093076</v>
      </c>
      <c r="AL122" s="238">
        <f t="shared" si="44"/>
        <v>0</v>
      </c>
      <c r="AM122" s="805">
        <f t="shared" si="45"/>
        <v>0.2834252604436</v>
      </c>
      <c r="AN122" s="510">
        <f t="shared" si="46"/>
        <v>0.32890804861485473</v>
      </c>
      <c r="AO122" s="510">
        <f t="shared" si="47"/>
        <v>0.26619841008546835</v>
      </c>
      <c r="AP122" s="510">
        <f t="shared" si="48"/>
        <v>0.1214682808560769</v>
      </c>
      <c r="AQ122" s="510">
        <f t="shared" si="49"/>
        <v>0.99999999999999989</v>
      </c>
      <c r="AR122" s="916">
        <f t="shared" si="69"/>
        <v>6.718330286861506</v>
      </c>
      <c r="AS122" s="917">
        <f t="shared" si="70"/>
        <v>10.881405661657253</v>
      </c>
      <c r="AT122" s="917">
        <f t="shared" si="71"/>
        <v>2.3248676805531701</v>
      </c>
      <c r="AU122" s="917">
        <f t="shared" si="72"/>
        <v>0</v>
      </c>
      <c r="AV122" s="917">
        <f t="shared" si="73"/>
        <v>0</v>
      </c>
      <c r="AW122" s="917">
        <f t="shared" si="74"/>
        <v>0</v>
      </c>
      <c r="AX122" s="1338">
        <f t="shared" si="75"/>
        <v>16.236099971375594</v>
      </c>
      <c r="AY122" s="917">
        <f t="shared" si="76"/>
        <v>1.307809078845948</v>
      </c>
      <c r="AZ122" s="917">
        <f t="shared" si="77"/>
        <v>0.36762547566046921</v>
      </c>
      <c r="BA122" s="917">
        <f t="shared" si="78"/>
        <v>0.94950499551831991</v>
      </c>
      <c r="BB122" s="917">
        <f t="shared" si="79"/>
        <v>0.64693788424127452</v>
      </c>
      <c r="BC122" s="673">
        <f t="shared" si="50"/>
        <v>39.432581034713529</v>
      </c>
      <c r="BD122" s="922">
        <f t="shared" si="51"/>
        <v>0</v>
      </c>
      <c r="BE122" s="840">
        <f t="shared" si="52"/>
        <v>0.17037510887119423</v>
      </c>
      <c r="BF122" s="535">
        <f t="shared" si="53"/>
        <v>0.2759496177051679</v>
      </c>
      <c r="BG122" s="535">
        <f t="shared" si="54"/>
        <v>5.8958039761752561E-2</v>
      </c>
      <c r="BH122" s="535">
        <f t="shared" si="55"/>
        <v>0</v>
      </c>
      <c r="BI122" s="535">
        <f t="shared" si="56"/>
        <v>0</v>
      </c>
      <c r="BJ122" s="535">
        <f t="shared" si="57"/>
        <v>0</v>
      </c>
      <c r="BK122" s="535">
        <f t="shared" si="58"/>
        <v>0.49471723366188552</v>
      </c>
      <c r="BL122" s="1342">
        <f t="shared" si="59"/>
        <v>1.0000000000000002</v>
      </c>
      <c r="BM122" s="1237">
        <f t="shared" si="89"/>
        <v>0.19892488097366726</v>
      </c>
      <c r="BN122" s="713">
        <f t="shared" si="89"/>
        <v>0.26585903447659598</v>
      </c>
      <c r="BO122" s="713">
        <f t="shared" si="89"/>
        <v>8.9228108703258049E-2</v>
      </c>
      <c r="BP122" s="713">
        <f t="shared" si="89"/>
        <v>0</v>
      </c>
      <c r="BQ122" s="713">
        <f t="shared" si="89"/>
        <v>0</v>
      </c>
      <c r="BR122" s="713">
        <f t="shared" si="89"/>
        <v>0</v>
      </c>
      <c r="BS122" s="713">
        <f t="shared" si="89"/>
        <v>0.4459879758464787</v>
      </c>
      <c r="BT122" s="658">
        <f t="shared" si="81"/>
        <v>1</v>
      </c>
      <c r="BV122" s="671">
        <f t="shared" si="24"/>
        <v>51.391093103402163</v>
      </c>
      <c r="BW122" s="713">
        <f t="shared" si="61"/>
        <v>0.7757037971396038</v>
      </c>
      <c r="BX122" s="696">
        <f t="shared" si="25"/>
        <v>15.70812794519248</v>
      </c>
      <c r="BY122" s="671">
        <f t="shared" si="26"/>
        <v>68.411036594146012</v>
      </c>
      <c r="BZ122" s="713">
        <f t="shared" si="62"/>
        <v>0.7852041902626834</v>
      </c>
      <c r="CA122" s="696">
        <f t="shared" si="27"/>
        <v>48.694518386230293</v>
      </c>
      <c r="CB122" s="713">
        <f t="shared" si="28"/>
        <v>0.67206984488050125</v>
      </c>
      <c r="CC122" s="713">
        <f t="shared" si="29"/>
        <v>0.59888070839722707</v>
      </c>
      <c r="CD122" s="713">
        <f t="shared" si="63"/>
        <v>0.67206984488050125</v>
      </c>
      <c r="CE122" s="1001">
        <f t="shared" si="64"/>
        <v>0.85</v>
      </c>
    </row>
    <row r="123" spans="1:83">
      <c r="A123" s="127">
        <f>'Input data'!A143</f>
        <v>2045</v>
      </c>
      <c r="B123" s="828">
        <f>'Input data'!B143</f>
        <v>73.62</v>
      </c>
      <c r="C123" s="238">
        <f>'Input data'!C143</f>
        <v>5709.93</v>
      </c>
      <c r="D123" s="238">
        <f>'Input data'!D143</f>
        <v>14436420.695743607</v>
      </c>
      <c r="E123" s="1237">
        <f t="shared" si="86"/>
        <v>1</v>
      </c>
      <c r="F123" s="713">
        <f t="shared" si="86"/>
        <v>0.37</v>
      </c>
      <c r="G123" s="1238">
        <f>B123*F123*'Input data'!$C$9</f>
        <v>833.71801299293634</v>
      </c>
      <c r="H123" s="673">
        <f>'Input data'!I143</f>
        <v>424.26313389388866</v>
      </c>
      <c r="I123" s="672">
        <f>'Input data'!K143</f>
        <v>31234.251917268084</v>
      </c>
      <c r="J123" s="673">
        <f t="shared" si="88"/>
        <v>39.432581034713571</v>
      </c>
      <c r="K123" s="674">
        <f t="shared" si="67"/>
        <v>157.73032413885434</v>
      </c>
      <c r="L123" s="510">
        <f t="shared" si="87"/>
        <v>0.7</v>
      </c>
      <c r="M123" s="510">
        <f t="shared" si="85"/>
        <v>0.6</v>
      </c>
      <c r="N123" s="510">
        <f t="shared" si="85"/>
        <v>0.9</v>
      </c>
      <c r="O123" s="510">
        <f t="shared" si="85"/>
        <v>0.9</v>
      </c>
      <c r="P123" s="510">
        <f t="shared" si="85"/>
        <v>0.23600000000000002</v>
      </c>
      <c r="Q123" s="654">
        <f t="shared" si="35"/>
        <v>26.499337920908175</v>
      </c>
      <c r="R123" s="673">
        <f t="shared" si="36"/>
        <v>11.668960878701492</v>
      </c>
      <c r="S123" s="673">
        <f t="shared" si="14"/>
        <v>44.441191234244087</v>
      </c>
      <c r="T123" s="673">
        <f t="shared" si="15"/>
        <v>56.256962339656091</v>
      </c>
      <c r="U123" s="802">
        <f t="shared" si="16"/>
        <v>0.67710709475193609</v>
      </c>
      <c r="V123" s="654">
        <f t="shared" si="17"/>
        <v>139.54355946826178</v>
      </c>
      <c r="W123" s="805">
        <f t="shared" si="84"/>
        <v>0.5</v>
      </c>
      <c r="X123" s="671">
        <f t="shared" si="18"/>
        <v>53.669159952994768</v>
      </c>
      <c r="Y123" s="671">
        <f t="shared" si="19"/>
        <v>76.916015953074577</v>
      </c>
      <c r="Z123" s="672">
        <f t="shared" si="68"/>
        <v>120.24688922049333</v>
      </c>
      <c r="AA123" s="696">
        <f t="shared" si="20"/>
        <v>80.814308185779765</v>
      </c>
      <c r="AB123" s="893">
        <f t="shared" si="37"/>
        <v>0.67206984488050125</v>
      </c>
      <c r="AC123" s="135" t="str">
        <f t="shared" si="38"/>
        <v>Policies met</v>
      </c>
      <c r="AD123" s="1353">
        <f t="shared" si="39"/>
        <v>0.67206984488050125</v>
      </c>
      <c r="AE123" s="135" t="str">
        <f t="shared" si="40"/>
        <v>No</v>
      </c>
      <c r="AF123" s="1420">
        <f t="shared" si="41"/>
        <v>139.12867530930757</v>
      </c>
      <c r="AG123" s="238">
        <f t="shared" si="42"/>
        <v>39.432581034713564</v>
      </c>
      <c r="AH123" s="238">
        <f t="shared" si="21"/>
        <v>45.760541102354082</v>
      </c>
      <c r="AI123" s="828">
        <f t="shared" si="22"/>
        <v>37.035832164635039</v>
      </c>
      <c r="AJ123" s="828">
        <f t="shared" si="23"/>
        <v>16.899721007604906</v>
      </c>
      <c r="AK123" s="238">
        <f t="shared" si="43"/>
        <v>139.1286753093076</v>
      </c>
      <c r="AL123" s="238">
        <f t="shared" si="44"/>
        <v>0</v>
      </c>
      <c r="AM123" s="805">
        <f t="shared" si="45"/>
        <v>0.2834252604436</v>
      </c>
      <c r="AN123" s="510">
        <f t="shared" si="46"/>
        <v>0.32890804861485473</v>
      </c>
      <c r="AO123" s="510">
        <f t="shared" si="47"/>
        <v>0.26619841008546835</v>
      </c>
      <c r="AP123" s="510">
        <f t="shared" si="48"/>
        <v>0.1214682808560769</v>
      </c>
      <c r="AQ123" s="510">
        <f t="shared" si="49"/>
        <v>0.99999999999999989</v>
      </c>
      <c r="AR123" s="916">
        <f t="shared" si="69"/>
        <v>6.718330286861506</v>
      </c>
      <c r="AS123" s="917">
        <f t="shared" si="70"/>
        <v>10.881405661657253</v>
      </c>
      <c r="AT123" s="917">
        <f t="shared" si="71"/>
        <v>2.3248676805531701</v>
      </c>
      <c r="AU123" s="917">
        <f t="shared" si="72"/>
        <v>0</v>
      </c>
      <c r="AV123" s="917">
        <f t="shared" si="73"/>
        <v>0</v>
      </c>
      <c r="AW123" s="917">
        <f t="shared" si="74"/>
        <v>0</v>
      </c>
      <c r="AX123" s="1338">
        <f t="shared" si="75"/>
        <v>16.236099971375594</v>
      </c>
      <c r="AY123" s="917">
        <f t="shared" si="76"/>
        <v>1.307809078845948</v>
      </c>
      <c r="AZ123" s="917">
        <f t="shared" si="77"/>
        <v>0.36762547566046921</v>
      </c>
      <c r="BA123" s="917">
        <f t="shared" si="78"/>
        <v>0.94950499551831991</v>
      </c>
      <c r="BB123" s="917">
        <f t="shared" si="79"/>
        <v>0.64693788424127452</v>
      </c>
      <c r="BC123" s="673">
        <f t="shared" si="50"/>
        <v>39.432581034713529</v>
      </c>
      <c r="BD123" s="922">
        <f t="shared" si="51"/>
        <v>0</v>
      </c>
      <c r="BE123" s="840">
        <f t="shared" si="52"/>
        <v>0.17037510887119423</v>
      </c>
      <c r="BF123" s="535">
        <f t="shared" si="53"/>
        <v>0.2759496177051679</v>
      </c>
      <c r="BG123" s="535">
        <f t="shared" si="54"/>
        <v>5.8958039761752561E-2</v>
      </c>
      <c r="BH123" s="535">
        <f t="shared" si="55"/>
        <v>0</v>
      </c>
      <c r="BI123" s="535">
        <f t="shared" si="56"/>
        <v>0</v>
      </c>
      <c r="BJ123" s="535">
        <f t="shared" si="57"/>
        <v>0</v>
      </c>
      <c r="BK123" s="535">
        <f t="shared" si="58"/>
        <v>0.49471723366188552</v>
      </c>
      <c r="BL123" s="1342">
        <f t="shared" si="59"/>
        <v>1.0000000000000002</v>
      </c>
      <c r="BM123" s="1237">
        <f t="shared" si="89"/>
        <v>0.19892488097366726</v>
      </c>
      <c r="BN123" s="713">
        <f t="shared" si="89"/>
        <v>0.26585903447659598</v>
      </c>
      <c r="BO123" s="713">
        <f t="shared" si="89"/>
        <v>8.9228108703258049E-2</v>
      </c>
      <c r="BP123" s="713">
        <f t="shared" si="89"/>
        <v>0</v>
      </c>
      <c r="BQ123" s="713">
        <f t="shared" si="89"/>
        <v>0</v>
      </c>
      <c r="BR123" s="713">
        <f t="shared" si="89"/>
        <v>0</v>
      </c>
      <c r="BS123" s="713">
        <f t="shared" si="89"/>
        <v>0.4459879758464787</v>
      </c>
      <c r="BT123" s="658">
        <f t="shared" si="81"/>
        <v>1</v>
      </c>
      <c r="BV123" s="671">
        <f t="shared" si="24"/>
        <v>52.678958032077809</v>
      </c>
      <c r="BW123" s="713">
        <f t="shared" si="61"/>
        <v>0.7663262452727585</v>
      </c>
      <c r="BX123" s="696">
        <f t="shared" si="25"/>
        <v>14.436420695743607</v>
      </c>
      <c r="BY123" s="671">
        <f t="shared" si="26"/>
        <v>68.790888200901932</v>
      </c>
      <c r="BZ123" s="713">
        <f t="shared" si="62"/>
        <v>0.78466741329346978</v>
      </c>
      <c r="CA123" s="696">
        <f t="shared" si="27"/>
        <v>48.694518386230293</v>
      </c>
      <c r="CB123" s="713">
        <f t="shared" si="28"/>
        <v>0.67206984488050125</v>
      </c>
      <c r="CC123" s="713">
        <f t="shared" si="29"/>
        <v>0.57376665571865815</v>
      </c>
      <c r="CD123" s="713">
        <f t="shared" si="63"/>
        <v>0.67206984488050125</v>
      </c>
      <c r="CE123" s="1001">
        <f t="shared" si="64"/>
        <v>0.85</v>
      </c>
    </row>
    <row r="124" spans="1:83">
      <c r="A124" s="127">
        <f>'Input data'!A144</f>
        <v>2046</v>
      </c>
      <c r="B124" s="828">
        <f>'Input data'!B144</f>
        <v>73.995000000000005</v>
      </c>
      <c r="C124" s="238">
        <f>'Input data'!C144</f>
        <v>5902.43</v>
      </c>
      <c r="D124" s="238">
        <f>'Input data'!D144</f>
        <v>13163017.836628802</v>
      </c>
      <c r="E124" s="1237">
        <f t="shared" si="86"/>
        <v>1</v>
      </c>
      <c r="F124" s="713">
        <f t="shared" si="86"/>
        <v>0.37</v>
      </c>
      <c r="G124" s="1238">
        <f>B124*F124*'Input data'!$C$9</f>
        <v>837.96474288796969</v>
      </c>
      <c r="H124" s="673">
        <f>'Input data'!I144</f>
        <v>424.26313389388866</v>
      </c>
      <c r="I124" s="672">
        <f>'Input data'!K144</f>
        <v>31393.350592478295</v>
      </c>
      <c r="J124" s="673">
        <f t="shared" si="88"/>
        <v>39.432581034713571</v>
      </c>
      <c r="K124" s="674">
        <f t="shared" si="67"/>
        <v>157.73032413885434</v>
      </c>
      <c r="L124" s="510">
        <f t="shared" si="87"/>
        <v>0.7</v>
      </c>
      <c r="M124" s="510">
        <f t="shared" si="85"/>
        <v>0.6</v>
      </c>
      <c r="N124" s="510">
        <f t="shared" si="85"/>
        <v>0.9</v>
      </c>
      <c r="O124" s="510">
        <f t="shared" si="85"/>
        <v>0.9</v>
      </c>
      <c r="P124" s="510">
        <f t="shared" si="85"/>
        <v>0.23600000000000002</v>
      </c>
      <c r="Q124" s="654">
        <f t="shared" si="35"/>
        <v>26.499337920908175</v>
      </c>
      <c r="R124" s="673">
        <f t="shared" si="36"/>
        <v>11.668960878701492</v>
      </c>
      <c r="S124" s="673">
        <f t="shared" si="14"/>
        <v>44.441191234244087</v>
      </c>
      <c r="T124" s="673">
        <f t="shared" si="15"/>
        <v>56.256962339656091</v>
      </c>
      <c r="U124" s="802">
        <f t="shared" si="16"/>
        <v>0.67710709475193609</v>
      </c>
      <c r="V124" s="654">
        <f t="shared" si="17"/>
        <v>139.54355946826178</v>
      </c>
      <c r="W124" s="805">
        <f t="shared" si="84"/>
        <v>0.5</v>
      </c>
      <c r="X124" s="671">
        <f t="shared" si="18"/>
        <v>53.669159952994768</v>
      </c>
      <c r="Y124" s="671">
        <f t="shared" si="19"/>
        <v>76.916015953074577</v>
      </c>
      <c r="Z124" s="672">
        <f t="shared" si="68"/>
        <v>120.24688922049333</v>
      </c>
      <c r="AA124" s="696">
        <f t="shared" si="20"/>
        <v>80.814308185779765</v>
      </c>
      <c r="AB124" s="893">
        <f t="shared" si="37"/>
        <v>0.67206984488050125</v>
      </c>
      <c r="AC124" s="135" t="str">
        <f t="shared" si="38"/>
        <v>Policies met</v>
      </c>
      <c r="AD124" s="1353">
        <f t="shared" si="39"/>
        <v>0.67206984488050125</v>
      </c>
      <c r="AE124" s="135" t="str">
        <f t="shared" si="40"/>
        <v>No</v>
      </c>
      <c r="AF124" s="1420">
        <f t="shared" si="41"/>
        <v>139.12867530930757</v>
      </c>
      <c r="AG124" s="238">
        <f t="shared" si="42"/>
        <v>39.432581034713564</v>
      </c>
      <c r="AH124" s="238">
        <f t="shared" si="21"/>
        <v>45.760541102354082</v>
      </c>
      <c r="AI124" s="828">
        <f t="shared" si="22"/>
        <v>37.035832164635039</v>
      </c>
      <c r="AJ124" s="828">
        <f t="shared" si="23"/>
        <v>16.899721007604906</v>
      </c>
      <c r="AK124" s="238">
        <f t="shared" si="43"/>
        <v>139.1286753093076</v>
      </c>
      <c r="AL124" s="238">
        <f t="shared" si="44"/>
        <v>0</v>
      </c>
      <c r="AM124" s="805">
        <f t="shared" si="45"/>
        <v>0.2834252604436</v>
      </c>
      <c r="AN124" s="510">
        <f t="shared" si="46"/>
        <v>0.32890804861485473</v>
      </c>
      <c r="AO124" s="510">
        <f t="shared" si="47"/>
        <v>0.26619841008546835</v>
      </c>
      <c r="AP124" s="510">
        <f t="shared" si="48"/>
        <v>0.1214682808560769</v>
      </c>
      <c r="AQ124" s="510">
        <f t="shared" si="49"/>
        <v>0.99999999999999989</v>
      </c>
      <c r="AR124" s="916">
        <f t="shared" si="69"/>
        <v>6.718330286861506</v>
      </c>
      <c r="AS124" s="917">
        <f t="shared" si="70"/>
        <v>10.881405661657253</v>
      </c>
      <c r="AT124" s="917">
        <f t="shared" si="71"/>
        <v>2.3248676805531701</v>
      </c>
      <c r="AU124" s="917">
        <f t="shared" si="72"/>
        <v>0</v>
      </c>
      <c r="AV124" s="917">
        <f t="shared" si="73"/>
        <v>0</v>
      </c>
      <c r="AW124" s="917">
        <f t="shared" si="74"/>
        <v>0</v>
      </c>
      <c r="AX124" s="1338">
        <f t="shared" si="75"/>
        <v>16.236099971375594</v>
      </c>
      <c r="AY124" s="917">
        <f t="shared" si="76"/>
        <v>1.307809078845948</v>
      </c>
      <c r="AZ124" s="917">
        <f t="shared" si="77"/>
        <v>0.36762547566046921</v>
      </c>
      <c r="BA124" s="917">
        <f t="shared" si="78"/>
        <v>0.94950499551831991</v>
      </c>
      <c r="BB124" s="917">
        <f t="shared" si="79"/>
        <v>0.64693788424127452</v>
      </c>
      <c r="BC124" s="673">
        <f t="shared" si="50"/>
        <v>39.432581034713529</v>
      </c>
      <c r="BD124" s="922">
        <f t="shared" si="51"/>
        <v>0</v>
      </c>
      <c r="BE124" s="840">
        <f t="shared" si="52"/>
        <v>0.17037510887119423</v>
      </c>
      <c r="BF124" s="535">
        <f t="shared" si="53"/>
        <v>0.2759496177051679</v>
      </c>
      <c r="BG124" s="535">
        <f t="shared" si="54"/>
        <v>5.8958039761752561E-2</v>
      </c>
      <c r="BH124" s="535">
        <f t="shared" si="55"/>
        <v>0</v>
      </c>
      <c r="BI124" s="535">
        <f t="shared" si="56"/>
        <v>0</v>
      </c>
      <c r="BJ124" s="535">
        <f t="shared" si="57"/>
        <v>0</v>
      </c>
      <c r="BK124" s="535">
        <f t="shared" si="58"/>
        <v>0.49471723366188552</v>
      </c>
      <c r="BL124" s="1342">
        <f t="shared" si="59"/>
        <v>1.0000000000000002</v>
      </c>
      <c r="BM124" s="1237">
        <f t="shared" si="89"/>
        <v>0.19892488097366726</v>
      </c>
      <c r="BN124" s="713">
        <f t="shared" si="89"/>
        <v>0.26585903447659598</v>
      </c>
      <c r="BO124" s="713">
        <f t="shared" si="89"/>
        <v>8.9228108703258049E-2</v>
      </c>
      <c r="BP124" s="713">
        <f t="shared" si="89"/>
        <v>0</v>
      </c>
      <c r="BQ124" s="713">
        <f t="shared" si="89"/>
        <v>0</v>
      </c>
      <c r="BR124" s="713">
        <f t="shared" si="89"/>
        <v>0</v>
      </c>
      <c r="BS124" s="713">
        <f t="shared" si="89"/>
        <v>0.4459879758464787</v>
      </c>
      <c r="BT124" s="658">
        <f t="shared" si="81"/>
        <v>1</v>
      </c>
      <c r="BV124" s="671">
        <f t="shared" si="24"/>
        <v>54.021132935113719</v>
      </c>
      <c r="BW124" s="713">
        <f t="shared" si="61"/>
        <v>0.75699021444823655</v>
      </c>
      <c r="BX124" s="696">
        <f t="shared" si="25"/>
        <v>13.163017836628802</v>
      </c>
      <c r="BY124" s="671">
        <f t="shared" si="26"/>
        <v>69.175261756448222</v>
      </c>
      <c r="BZ124" s="713">
        <f t="shared" si="62"/>
        <v>0.78392897808228323</v>
      </c>
      <c r="CA124" s="696">
        <f t="shared" si="27"/>
        <v>48.694518386230293</v>
      </c>
      <c r="CB124" s="713">
        <f t="shared" si="28"/>
        <v>0.67206984488050125</v>
      </c>
      <c r="CC124" s="713">
        <f t="shared" si="29"/>
        <v>0.5499184514241563</v>
      </c>
      <c r="CD124" s="713">
        <f t="shared" si="63"/>
        <v>0.67206984488050125</v>
      </c>
      <c r="CE124" s="1001">
        <f t="shared" si="64"/>
        <v>0.85</v>
      </c>
    </row>
    <row r="125" spans="1:83" s="1" customFormat="1">
      <c r="A125" s="157">
        <f>'Input data'!A145</f>
        <v>2047</v>
      </c>
      <c r="B125" s="829">
        <f>'Input data'!B145</f>
        <v>74.373000000000005</v>
      </c>
      <c r="C125" s="662">
        <f>'Input data'!C145</f>
        <v>6104.119999999999</v>
      </c>
      <c r="D125" s="662">
        <f>'Input data'!D145</f>
        <v>11891310.587179929</v>
      </c>
      <c r="E125" s="1237">
        <f t="shared" si="86"/>
        <v>1</v>
      </c>
      <c r="F125" s="713">
        <f t="shared" si="86"/>
        <v>0.37</v>
      </c>
      <c r="G125" s="1239">
        <f>B125*F125*'Input data'!$C$9</f>
        <v>842.24544662216317</v>
      </c>
      <c r="H125" s="815">
        <f>'Input data'!I145</f>
        <v>424.26313389388866</v>
      </c>
      <c r="I125" s="850">
        <f>'Input data'!K145</f>
        <v>31553.722057090185</v>
      </c>
      <c r="J125" s="673">
        <f t="shared" si="88"/>
        <v>39.432581034713571</v>
      </c>
      <c r="K125" s="674">
        <f t="shared" si="67"/>
        <v>157.73032413885434</v>
      </c>
      <c r="L125" s="498">
        <f t="shared" si="87"/>
        <v>0.7</v>
      </c>
      <c r="M125" s="498">
        <f t="shared" si="87"/>
        <v>0.6</v>
      </c>
      <c r="N125" s="498">
        <f t="shared" si="87"/>
        <v>0.9</v>
      </c>
      <c r="O125" s="498">
        <f t="shared" si="87"/>
        <v>0.9</v>
      </c>
      <c r="P125" s="498">
        <f t="shared" si="87"/>
        <v>0.23600000000000002</v>
      </c>
      <c r="Q125" s="654">
        <f t="shared" si="35"/>
        <v>26.499337920908175</v>
      </c>
      <c r="R125" s="673">
        <f t="shared" si="36"/>
        <v>11.668960878701492</v>
      </c>
      <c r="S125" s="673">
        <f t="shared" si="14"/>
        <v>44.441191234244087</v>
      </c>
      <c r="T125" s="673">
        <f t="shared" si="15"/>
        <v>56.256962339656091</v>
      </c>
      <c r="U125" s="802">
        <f t="shared" si="16"/>
        <v>0.67710709475193609</v>
      </c>
      <c r="V125" s="654">
        <f t="shared" si="17"/>
        <v>139.54355946826178</v>
      </c>
      <c r="W125" s="805">
        <f t="shared" si="84"/>
        <v>0.5</v>
      </c>
      <c r="X125" s="671">
        <f t="shared" si="18"/>
        <v>53.669159952994768</v>
      </c>
      <c r="Y125" s="671">
        <f t="shared" si="19"/>
        <v>76.916015953074577</v>
      </c>
      <c r="Z125" s="672">
        <f t="shared" si="68"/>
        <v>120.24688922049333</v>
      </c>
      <c r="AA125" s="696">
        <f t="shared" si="20"/>
        <v>80.814308185779765</v>
      </c>
      <c r="AB125" s="893">
        <f t="shared" si="37"/>
        <v>0.67206984488050125</v>
      </c>
      <c r="AC125" s="135" t="str">
        <f t="shared" si="38"/>
        <v>Policies met</v>
      </c>
      <c r="AD125" s="1353">
        <f t="shared" si="39"/>
        <v>0.67206984488050125</v>
      </c>
      <c r="AE125" s="135" t="str">
        <f t="shared" si="40"/>
        <v>No</v>
      </c>
      <c r="AF125" s="1420">
        <f t="shared" si="41"/>
        <v>139.12867530930757</v>
      </c>
      <c r="AG125" s="238">
        <f t="shared" si="42"/>
        <v>39.432581034713564</v>
      </c>
      <c r="AH125" s="238">
        <f t="shared" si="21"/>
        <v>45.760541102354082</v>
      </c>
      <c r="AI125" s="828">
        <f t="shared" si="22"/>
        <v>37.035832164635039</v>
      </c>
      <c r="AJ125" s="828">
        <f t="shared" si="23"/>
        <v>16.899721007604906</v>
      </c>
      <c r="AK125" s="238">
        <f t="shared" si="43"/>
        <v>139.1286753093076</v>
      </c>
      <c r="AL125" s="238">
        <f t="shared" si="44"/>
        <v>0</v>
      </c>
      <c r="AM125" s="805">
        <f t="shared" si="45"/>
        <v>0.2834252604436</v>
      </c>
      <c r="AN125" s="510">
        <f t="shared" si="46"/>
        <v>0.32890804861485473</v>
      </c>
      <c r="AO125" s="510">
        <f t="shared" si="47"/>
        <v>0.26619841008546835</v>
      </c>
      <c r="AP125" s="510">
        <f t="shared" si="48"/>
        <v>0.1214682808560769</v>
      </c>
      <c r="AQ125" s="510">
        <f t="shared" si="49"/>
        <v>0.99999999999999989</v>
      </c>
      <c r="AR125" s="916">
        <f t="shared" si="69"/>
        <v>6.718330286861506</v>
      </c>
      <c r="AS125" s="917">
        <f t="shared" si="70"/>
        <v>10.881405661657253</v>
      </c>
      <c r="AT125" s="917">
        <f t="shared" si="71"/>
        <v>2.3248676805531701</v>
      </c>
      <c r="AU125" s="917">
        <f t="shared" si="72"/>
        <v>0</v>
      </c>
      <c r="AV125" s="917">
        <f t="shared" si="73"/>
        <v>0</v>
      </c>
      <c r="AW125" s="917">
        <f t="shared" si="74"/>
        <v>0</v>
      </c>
      <c r="AX125" s="1338">
        <f t="shared" si="75"/>
        <v>16.236099971375594</v>
      </c>
      <c r="AY125" s="917">
        <f t="shared" si="76"/>
        <v>1.307809078845948</v>
      </c>
      <c r="AZ125" s="917">
        <f t="shared" si="77"/>
        <v>0.36762547566046921</v>
      </c>
      <c r="BA125" s="917">
        <f t="shared" si="78"/>
        <v>0.94950499551831991</v>
      </c>
      <c r="BB125" s="917">
        <f t="shared" si="79"/>
        <v>0.64693788424127452</v>
      </c>
      <c r="BC125" s="673">
        <f t="shared" si="50"/>
        <v>39.432581034713529</v>
      </c>
      <c r="BD125" s="922">
        <f t="shared" si="51"/>
        <v>0</v>
      </c>
      <c r="BE125" s="840">
        <f t="shared" si="52"/>
        <v>0.17037510887119423</v>
      </c>
      <c r="BF125" s="535">
        <f t="shared" si="53"/>
        <v>0.2759496177051679</v>
      </c>
      <c r="BG125" s="535">
        <f t="shared" si="54"/>
        <v>5.8958039761752561E-2</v>
      </c>
      <c r="BH125" s="535">
        <f t="shared" si="55"/>
        <v>0</v>
      </c>
      <c r="BI125" s="535">
        <f t="shared" si="56"/>
        <v>0</v>
      </c>
      <c r="BJ125" s="535">
        <f t="shared" si="57"/>
        <v>0</v>
      </c>
      <c r="BK125" s="535">
        <f t="shared" si="58"/>
        <v>0.49471723366188552</v>
      </c>
      <c r="BL125" s="1342">
        <f t="shared" si="59"/>
        <v>1.0000000000000002</v>
      </c>
      <c r="BM125" s="1237">
        <f t="shared" si="89"/>
        <v>0.19892488097366726</v>
      </c>
      <c r="BN125" s="713">
        <f t="shared" si="89"/>
        <v>0.26585903447659598</v>
      </c>
      <c r="BO125" s="713">
        <f t="shared" si="89"/>
        <v>8.9228108703258049E-2</v>
      </c>
      <c r="BP125" s="713">
        <f t="shared" si="89"/>
        <v>0</v>
      </c>
      <c r="BQ125" s="713">
        <f t="shared" si="89"/>
        <v>0</v>
      </c>
      <c r="BR125" s="713">
        <f t="shared" si="89"/>
        <v>0</v>
      </c>
      <c r="BS125" s="713">
        <f t="shared" si="89"/>
        <v>0.4459879758464787</v>
      </c>
      <c r="BT125" s="658">
        <f t="shared" si="81"/>
        <v>1</v>
      </c>
      <c r="BV125" s="671">
        <f t="shared" si="24"/>
        <v>55.43030410420684</v>
      </c>
      <c r="BW125" s="713">
        <f t="shared" si="61"/>
        <v>0.74791555399401666</v>
      </c>
      <c r="BX125" s="696">
        <f t="shared" si="25"/>
        <v>11.891310587179929</v>
      </c>
      <c r="BY125" s="671">
        <f t="shared" si="26"/>
        <v>69.57591202673828</v>
      </c>
      <c r="BZ125" s="713">
        <f t="shared" si="62"/>
        <v>0.78313840382997202</v>
      </c>
      <c r="CA125" s="696">
        <f t="shared" si="27"/>
        <v>48.694518386230293</v>
      </c>
      <c r="CB125" s="713">
        <f t="shared" si="28"/>
        <v>0.67206984488050125</v>
      </c>
      <c r="CC125" s="713">
        <f t="shared" si="29"/>
        <v>0.52736401101028396</v>
      </c>
      <c r="CD125" s="713">
        <f t="shared" si="63"/>
        <v>0.67206984488050125</v>
      </c>
      <c r="CE125" s="1001">
        <f t="shared" si="64"/>
        <v>0.85</v>
      </c>
    </row>
    <row r="126" spans="1:83">
      <c r="A126" s="127">
        <f>'Input data'!A146</f>
        <v>2048</v>
      </c>
      <c r="B126" s="828">
        <f>'Input data'!B146</f>
        <v>74.753</v>
      </c>
      <c r="C126" s="238">
        <f>'Input data'!C146</f>
        <v>6308.13</v>
      </c>
      <c r="D126" s="238">
        <f>'Input data'!D146</f>
        <v>10619603.337731058</v>
      </c>
      <c r="E126" s="1237">
        <f t="shared" ref="E126:F128" si="90">E125</f>
        <v>1</v>
      </c>
      <c r="F126" s="713">
        <f t="shared" si="90"/>
        <v>0.37</v>
      </c>
      <c r="G126" s="1238">
        <f>B126*F126*'Input data'!$C$9</f>
        <v>846.54879958246352</v>
      </c>
      <c r="H126" s="673">
        <f>'Input data'!I146</f>
        <v>424.26313389388866</v>
      </c>
      <c r="I126" s="672">
        <f>'Input data'!K146</f>
        <v>31714.94204796986</v>
      </c>
      <c r="J126" s="673">
        <f t="shared" si="88"/>
        <v>39.432581034713571</v>
      </c>
      <c r="K126" s="674">
        <f t="shared" si="67"/>
        <v>157.73032413885434</v>
      </c>
      <c r="L126" s="510">
        <f t="shared" ref="L126:P128" si="91">L125</f>
        <v>0.7</v>
      </c>
      <c r="M126" s="510">
        <f t="shared" si="91"/>
        <v>0.6</v>
      </c>
      <c r="N126" s="510">
        <f t="shared" si="91"/>
        <v>0.9</v>
      </c>
      <c r="O126" s="510">
        <f t="shared" si="91"/>
        <v>0.9</v>
      </c>
      <c r="P126" s="510">
        <f t="shared" si="91"/>
        <v>0.23600000000000002</v>
      </c>
      <c r="Q126" s="654">
        <f t="shared" si="35"/>
        <v>26.499337920908175</v>
      </c>
      <c r="R126" s="673">
        <f t="shared" si="36"/>
        <v>11.668960878701492</v>
      </c>
      <c r="S126" s="673">
        <f t="shared" si="14"/>
        <v>44.441191234244087</v>
      </c>
      <c r="T126" s="673">
        <f t="shared" si="15"/>
        <v>56.256962339656091</v>
      </c>
      <c r="U126" s="802">
        <f t="shared" si="16"/>
        <v>0.67710709475193609</v>
      </c>
      <c r="V126" s="654">
        <f t="shared" si="17"/>
        <v>139.54355946826178</v>
      </c>
      <c r="W126" s="805">
        <f t="shared" si="84"/>
        <v>0.5</v>
      </c>
      <c r="X126" s="671">
        <f t="shared" si="18"/>
        <v>53.669159952994768</v>
      </c>
      <c r="Y126" s="671">
        <f t="shared" si="19"/>
        <v>76.916015953074577</v>
      </c>
      <c r="Z126" s="672">
        <f t="shared" si="68"/>
        <v>120.24688922049333</v>
      </c>
      <c r="AA126" s="696">
        <f t="shared" si="20"/>
        <v>80.814308185779765</v>
      </c>
      <c r="AB126" s="893">
        <f t="shared" si="37"/>
        <v>0.67206984488050125</v>
      </c>
      <c r="AC126" s="135" t="str">
        <f t="shared" si="38"/>
        <v>Policies met</v>
      </c>
      <c r="AD126" s="1353">
        <f t="shared" si="39"/>
        <v>0.67206984488050125</v>
      </c>
      <c r="AE126" s="135" t="str">
        <f t="shared" si="40"/>
        <v>No</v>
      </c>
      <c r="AF126" s="1420">
        <f t="shared" si="41"/>
        <v>139.12867530930757</v>
      </c>
      <c r="AG126" s="238">
        <f t="shared" si="42"/>
        <v>39.432581034713564</v>
      </c>
      <c r="AH126" s="238">
        <f t="shared" si="21"/>
        <v>45.760541102354082</v>
      </c>
      <c r="AI126" s="828">
        <f t="shared" si="22"/>
        <v>37.035832164635039</v>
      </c>
      <c r="AJ126" s="828">
        <f t="shared" si="23"/>
        <v>16.899721007604906</v>
      </c>
      <c r="AK126" s="238">
        <f t="shared" si="43"/>
        <v>139.1286753093076</v>
      </c>
      <c r="AL126" s="238">
        <f t="shared" si="44"/>
        <v>0</v>
      </c>
      <c r="AM126" s="805">
        <f t="shared" si="45"/>
        <v>0.2834252604436</v>
      </c>
      <c r="AN126" s="510">
        <f t="shared" si="46"/>
        <v>0.32890804861485473</v>
      </c>
      <c r="AO126" s="510">
        <f t="shared" si="47"/>
        <v>0.26619841008546835</v>
      </c>
      <c r="AP126" s="510">
        <f t="shared" si="48"/>
        <v>0.1214682808560769</v>
      </c>
      <c r="AQ126" s="510">
        <f t="shared" si="49"/>
        <v>0.99999999999999989</v>
      </c>
      <c r="AR126" s="916">
        <f t="shared" si="69"/>
        <v>6.718330286861506</v>
      </c>
      <c r="AS126" s="917">
        <f t="shared" si="70"/>
        <v>10.881405661657253</v>
      </c>
      <c r="AT126" s="917">
        <f t="shared" si="71"/>
        <v>2.3248676805531701</v>
      </c>
      <c r="AU126" s="917">
        <f t="shared" si="72"/>
        <v>0</v>
      </c>
      <c r="AV126" s="917">
        <f t="shared" si="73"/>
        <v>0</v>
      </c>
      <c r="AW126" s="917">
        <f t="shared" si="74"/>
        <v>0</v>
      </c>
      <c r="AX126" s="1338">
        <f t="shared" si="75"/>
        <v>16.236099971375594</v>
      </c>
      <c r="AY126" s="917">
        <f t="shared" si="76"/>
        <v>1.307809078845948</v>
      </c>
      <c r="AZ126" s="917">
        <f t="shared" si="77"/>
        <v>0.36762547566046921</v>
      </c>
      <c r="BA126" s="917">
        <f t="shared" si="78"/>
        <v>0.94950499551831991</v>
      </c>
      <c r="BB126" s="917">
        <f t="shared" si="79"/>
        <v>0.64693788424127452</v>
      </c>
      <c r="BC126" s="673">
        <f t="shared" si="50"/>
        <v>39.432581034713529</v>
      </c>
      <c r="BD126" s="922">
        <f t="shared" si="51"/>
        <v>0</v>
      </c>
      <c r="BE126" s="840">
        <f t="shared" si="52"/>
        <v>0.17037510887119423</v>
      </c>
      <c r="BF126" s="535">
        <f t="shared" si="53"/>
        <v>0.2759496177051679</v>
      </c>
      <c r="BG126" s="535">
        <f t="shared" si="54"/>
        <v>5.8958039761752561E-2</v>
      </c>
      <c r="BH126" s="535">
        <f t="shared" si="55"/>
        <v>0</v>
      </c>
      <c r="BI126" s="535">
        <f t="shared" si="56"/>
        <v>0</v>
      </c>
      <c r="BJ126" s="535">
        <f t="shared" si="57"/>
        <v>0</v>
      </c>
      <c r="BK126" s="535">
        <f t="shared" si="58"/>
        <v>0.49471723366188552</v>
      </c>
      <c r="BL126" s="1342">
        <f t="shared" si="59"/>
        <v>1.0000000000000002</v>
      </c>
      <c r="BM126" s="1237">
        <f t="shared" si="89"/>
        <v>0.19892488097366726</v>
      </c>
      <c r="BN126" s="713">
        <f t="shared" si="89"/>
        <v>0.26585903447659598</v>
      </c>
      <c r="BO126" s="713">
        <f t="shared" si="89"/>
        <v>8.9228108703258049E-2</v>
      </c>
      <c r="BP126" s="713">
        <f t="shared" si="89"/>
        <v>0</v>
      </c>
      <c r="BQ126" s="713">
        <f t="shared" si="89"/>
        <v>0</v>
      </c>
      <c r="BR126" s="713">
        <f t="shared" si="89"/>
        <v>0</v>
      </c>
      <c r="BS126" s="713">
        <f t="shared" si="89"/>
        <v>0.4459879758464787</v>
      </c>
      <c r="BT126" s="658">
        <f t="shared" si="81"/>
        <v>1</v>
      </c>
      <c r="BV126" s="671">
        <f t="shared" si="24"/>
        <v>56.856527047864482</v>
      </c>
      <c r="BW126" s="713">
        <f t="shared" si="61"/>
        <v>0.73931272849614882</v>
      </c>
      <c r="BX126" s="696">
        <f t="shared" si="25"/>
        <v>10.619603337731057</v>
      </c>
      <c r="BY126" s="671">
        <f t="shared" si="26"/>
        <v>69.980844215165178</v>
      </c>
      <c r="BZ126" s="713">
        <f t="shared" si="62"/>
        <v>0.78234452786340936</v>
      </c>
      <c r="CA126" s="696">
        <f t="shared" si="27"/>
        <v>48.694518386230293</v>
      </c>
      <c r="CB126" s="713">
        <f t="shared" si="28"/>
        <v>0.67206984488050125</v>
      </c>
      <c r="CC126" s="713">
        <f t="shared" si="29"/>
        <v>0.50620283457389159</v>
      </c>
      <c r="CD126" s="713">
        <f t="shared" si="63"/>
        <v>0.67206984488050125</v>
      </c>
      <c r="CE126" s="1001">
        <f t="shared" si="64"/>
        <v>0.85</v>
      </c>
    </row>
    <row r="127" spans="1:83">
      <c r="A127" s="127">
        <f>'Input data'!A147</f>
        <v>2049</v>
      </c>
      <c r="B127" s="828">
        <f>'Input data'!B147</f>
        <v>75.134</v>
      </c>
      <c r="C127" s="238">
        <f>'Input data'!C147</f>
        <v>6522.2000000000007</v>
      </c>
      <c r="D127" s="238">
        <f>'Input data'!D147</f>
        <v>9347896.0882821828</v>
      </c>
      <c r="E127" s="1237">
        <f t="shared" si="90"/>
        <v>1</v>
      </c>
      <c r="F127" s="713">
        <f t="shared" si="90"/>
        <v>0.37</v>
      </c>
      <c r="G127" s="1238">
        <f>B127*F127*'Input data'!$C$9</f>
        <v>850.86347715581735</v>
      </c>
      <c r="H127" s="673">
        <f>'Input data'!I147</f>
        <v>424.26313389388866</v>
      </c>
      <c r="I127" s="672">
        <f>'Input data'!K147</f>
        <v>31876.586301983432</v>
      </c>
      <c r="J127" s="673">
        <f t="shared" si="88"/>
        <v>39.432581034713571</v>
      </c>
      <c r="K127" s="674">
        <f t="shared" si="67"/>
        <v>157.73032413885434</v>
      </c>
      <c r="L127" s="510">
        <f t="shared" si="91"/>
        <v>0.7</v>
      </c>
      <c r="M127" s="510">
        <f t="shared" si="91"/>
        <v>0.6</v>
      </c>
      <c r="N127" s="510">
        <f t="shared" si="91"/>
        <v>0.9</v>
      </c>
      <c r="O127" s="510">
        <f t="shared" si="91"/>
        <v>0.9</v>
      </c>
      <c r="P127" s="510">
        <f t="shared" si="91"/>
        <v>0.23600000000000002</v>
      </c>
      <c r="Q127" s="654">
        <f t="shared" ref="Q127:Q128" si="92">H127*$E$75*L127</f>
        <v>26.499337920908175</v>
      </c>
      <c r="R127" s="673">
        <f t="shared" si="36"/>
        <v>11.668960878701492</v>
      </c>
      <c r="S127" s="673">
        <f t="shared" si="14"/>
        <v>44.441191234244087</v>
      </c>
      <c r="T127" s="673">
        <f t="shared" si="15"/>
        <v>56.256962339656091</v>
      </c>
      <c r="U127" s="802">
        <f t="shared" si="16"/>
        <v>0.67710709475193609</v>
      </c>
      <c r="V127" s="654">
        <f t="shared" si="17"/>
        <v>139.54355946826178</v>
      </c>
      <c r="W127" s="805">
        <f t="shared" si="84"/>
        <v>0.5</v>
      </c>
      <c r="X127" s="671">
        <f t="shared" si="18"/>
        <v>53.669159952994768</v>
      </c>
      <c r="Y127" s="671">
        <f t="shared" si="19"/>
        <v>76.916015953074577</v>
      </c>
      <c r="Z127" s="672">
        <f t="shared" si="68"/>
        <v>120.24688922049333</v>
      </c>
      <c r="AA127" s="696">
        <f t="shared" si="20"/>
        <v>80.814308185779765</v>
      </c>
      <c r="AB127" s="893">
        <f t="shared" si="37"/>
        <v>0.67206984488050125</v>
      </c>
      <c r="AC127" s="135" t="str">
        <f t="shared" si="38"/>
        <v>Policies met</v>
      </c>
      <c r="AD127" s="1353">
        <f t="shared" si="39"/>
        <v>0.67206984488050125</v>
      </c>
      <c r="AE127" s="135" t="str">
        <f t="shared" si="40"/>
        <v>No</v>
      </c>
      <c r="AF127" s="1420">
        <f t="shared" si="41"/>
        <v>139.12867530930757</v>
      </c>
      <c r="AG127" s="238">
        <f t="shared" si="42"/>
        <v>39.432581034713564</v>
      </c>
      <c r="AH127" s="238">
        <f t="shared" si="21"/>
        <v>45.760541102354082</v>
      </c>
      <c r="AI127" s="828">
        <f t="shared" si="22"/>
        <v>37.035832164635039</v>
      </c>
      <c r="AJ127" s="828">
        <f t="shared" si="23"/>
        <v>16.899721007604906</v>
      </c>
      <c r="AK127" s="238">
        <f t="shared" si="43"/>
        <v>139.1286753093076</v>
      </c>
      <c r="AL127" s="238">
        <f t="shared" si="44"/>
        <v>0</v>
      </c>
      <c r="AM127" s="805">
        <f t="shared" si="45"/>
        <v>0.2834252604436</v>
      </c>
      <c r="AN127" s="510">
        <f t="shared" si="46"/>
        <v>0.32890804861485473</v>
      </c>
      <c r="AO127" s="510">
        <f t="shared" si="47"/>
        <v>0.26619841008546835</v>
      </c>
      <c r="AP127" s="510">
        <f t="shared" si="48"/>
        <v>0.1214682808560769</v>
      </c>
      <c r="AQ127" s="510">
        <f t="shared" si="49"/>
        <v>0.99999999999999989</v>
      </c>
      <c r="AR127" s="916">
        <f t="shared" si="69"/>
        <v>6.718330286861506</v>
      </c>
      <c r="AS127" s="917">
        <f t="shared" si="70"/>
        <v>10.881405661657253</v>
      </c>
      <c r="AT127" s="917">
        <f t="shared" si="71"/>
        <v>2.3248676805531701</v>
      </c>
      <c r="AU127" s="917">
        <f t="shared" si="72"/>
        <v>0</v>
      </c>
      <c r="AV127" s="917">
        <f t="shared" si="73"/>
        <v>0</v>
      </c>
      <c r="AW127" s="917">
        <f t="shared" si="74"/>
        <v>0</v>
      </c>
      <c r="AX127" s="1338">
        <f t="shared" si="75"/>
        <v>16.236099971375594</v>
      </c>
      <c r="AY127" s="917">
        <f t="shared" si="76"/>
        <v>1.307809078845948</v>
      </c>
      <c r="AZ127" s="917">
        <f t="shared" si="77"/>
        <v>0.36762547566046921</v>
      </c>
      <c r="BA127" s="917">
        <f t="shared" si="78"/>
        <v>0.94950499551831991</v>
      </c>
      <c r="BB127" s="917">
        <f t="shared" si="79"/>
        <v>0.64693788424127452</v>
      </c>
      <c r="BC127" s="673">
        <f t="shared" si="50"/>
        <v>39.432581034713529</v>
      </c>
      <c r="BD127" s="922">
        <f t="shared" si="51"/>
        <v>0</v>
      </c>
      <c r="BE127" s="840">
        <f t="shared" si="52"/>
        <v>0.17037510887119423</v>
      </c>
      <c r="BF127" s="535">
        <f t="shared" si="53"/>
        <v>0.2759496177051679</v>
      </c>
      <c r="BG127" s="535">
        <f t="shared" si="54"/>
        <v>5.8958039761752561E-2</v>
      </c>
      <c r="BH127" s="535">
        <f t="shared" si="55"/>
        <v>0</v>
      </c>
      <c r="BI127" s="535">
        <f t="shared" si="56"/>
        <v>0</v>
      </c>
      <c r="BJ127" s="535">
        <f t="shared" si="57"/>
        <v>0</v>
      </c>
      <c r="BK127" s="535">
        <f t="shared" si="58"/>
        <v>0.49471723366188552</v>
      </c>
      <c r="BL127" s="1342">
        <f t="shared" si="59"/>
        <v>1.0000000000000002</v>
      </c>
      <c r="BM127" s="1237">
        <f t="shared" si="89"/>
        <v>0.19892488097366726</v>
      </c>
      <c r="BN127" s="713">
        <f t="shared" si="89"/>
        <v>0.26585903447659598</v>
      </c>
      <c r="BO127" s="713">
        <f t="shared" si="89"/>
        <v>8.9228108703258049E-2</v>
      </c>
      <c r="BP127" s="713">
        <f t="shared" si="89"/>
        <v>0</v>
      </c>
      <c r="BQ127" s="713">
        <f t="shared" si="89"/>
        <v>0</v>
      </c>
      <c r="BR127" s="713">
        <f t="shared" si="89"/>
        <v>0</v>
      </c>
      <c r="BS127" s="713">
        <f t="shared" si="89"/>
        <v>0.4459879758464787</v>
      </c>
      <c r="BT127" s="658">
        <f t="shared" si="81"/>
        <v>1</v>
      </c>
      <c r="BV127" s="671">
        <f t="shared" si="24"/>
        <v>58.355622561219775</v>
      </c>
      <c r="BW127" s="713">
        <f t="shared" si="61"/>
        <v>0.73093304892195665</v>
      </c>
      <c r="BX127" s="696">
        <f t="shared" si="25"/>
        <v>9.347896088282182</v>
      </c>
      <c r="BY127" s="671">
        <f t="shared" si="26"/>
        <v>70.403276233780105</v>
      </c>
      <c r="BZ127" s="713">
        <f t="shared" si="62"/>
        <v>0.78149115310275541</v>
      </c>
      <c r="CA127" s="696">
        <f t="shared" si="27"/>
        <v>48.694518386230293</v>
      </c>
      <c r="CB127" s="713">
        <f t="shared" si="28"/>
        <v>0.67206984488050125</v>
      </c>
      <c r="CC127" s="713">
        <f t="shared" si="29"/>
        <v>0.48619044852324067</v>
      </c>
      <c r="CD127" s="713">
        <f t="shared" si="63"/>
        <v>0.67206984488050125</v>
      </c>
      <c r="CE127" s="1001">
        <f t="shared" si="64"/>
        <v>0.85</v>
      </c>
    </row>
    <row r="128" spans="1:83" ht="15.75" thickBot="1">
      <c r="A128" s="172">
        <f>'Input data'!A148</f>
        <v>2050</v>
      </c>
      <c r="B128" s="831">
        <f>'Input data'!B148</f>
        <v>75.518000000000001</v>
      </c>
      <c r="C128" s="241">
        <f>'Input data'!C148</f>
        <v>6747.1300000000019</v>
      </c>
      <c r="D128" s="241">
        <f>'Input data'!D148</f>
        <v>8077884.4484992418</v>
      </c>
      <c r="E128" s="1241">
        <f t="shared" si="90"/>
        <v>1</v>
      </c>
      <c r="F128" s="1012">
        <f t="shared" si="90"/>
        <v>0.37</v>
      </c>
      <c r="G128" s="1242">
        <f>B128*F128*'Input data'!$C$9</f>
        <v>855.21212856833142</v>
      </c>
      <c r="H128" s="814">
        <f>'Input data'!I148</f>
        <v>424.26313389388866</v>
      </c>
      <c r="I128" s="834">
        <f>'Input data'!K148</f>
        <v>32039.503345398683</v>
      </c>
      <c r="J128" s="814">
        <f t="shared" si="88"/>
        <v>39.432581034713571</v>
      </c>
      <c r="K128" s="825">
        <f t="shared" si="67"/>
        <v>157.73032413885434</v>
      </c>
      <c r="L128" s="807">
        <f t="shared" si="91"/>
        <v>0.7</v>
      </c>
      <c r="M128" s="807">
        <f t="shared" si="91"/>
        <v>0.6</v>
      </c>
      <c r="N128" s="807">
        <f t="shared" si="91"/>
        <v>0.9</v>
      </c>
      <c r="O128" s="807">
        <f t="shared" si="91"/>
        <v>0.9</v>
      </c>
      <c r="P128" s="807">
        <f t="shared" si="91"/>
        <v>0.23600000000000002</v>
      </c>
      <c r="Q128" s="810">
        <f t="shared" si="92"/>
        <v>26.499337920908175</v>
      </c>
      <c r="R128" s="814">
        <f t="shared" si="36"/>
        <v>11.668960878701492</v>
      </c>
      <c r="S128" s="814">
        <f t="shared" si="14"/>
        <v>44.441191234244087</v>
      </c>
      <c r="T128" s="814">
        <f t="shared" si="15"/>
        <v>56.256962339656091</v>
      </c>
      <c r="U128" s="811">
        <f t="shared" si="16"/>
        <v>0.67710709475193609</v>
      </c>
      <c r="V128" s="810">
        <f t="shared" si="17"/>
        <v>139.54355946826178</v>
      </c>
      <c r="W128" s="806">
        <f t="shared" si="84"/>
        <v>0.5</v>
      </c>
      <c r="X128" s="837">
        <f t="shared" si="18"/>
        <v>53.669159952994768</v>
      </c>
      <c r="Y128" s="837">
        <f t="shared" si="19"/>
        <v>76.916015953074577</v>
      </c>
      <c r="Z128" s="834">
        <f t="shared" si="68"/>
        <v>120.24688922049333</v>
      </c>
      <c r="AA128" s="849">
        <f t="shared" si="20"/>
        <v>80.814308185779765</v>
      </c>
      <c r="AB128" s="894">
        <f t="shared" si="37"/>
        <v>0.67206984488050125</v>
      </c>
      <c r="AC128" s="1390" t="str">
        <f t="shared" si="38"/>
        <v>Policies met</v>
      </c>
      <c r="AD128" s="1362">
        <f t="shared" si="39"/>
        <v>0.67206984488050125</v>
      </c>
      <c r="AE128" s="1390" t="str">
        <f t="shared" si="40"/>
        <v>No</v>
      </c>
      <c r="AF128" s="1421">
        <f t="shared" si="41"/>
        <v>139.12867530930757</v>
      </c>
      <c r="AG128" s="241">
        <f t="shared" si="42"/>
        <v>39.432581034713564</v>
      </c>
      <c r="AH128" s="241">
        <f t="shared" si="21"/>
        <v>45.760541102354082</v>
      </c>
      <c r="AI128" s="831">
        <f t="shared" si="22"/>
        <v>37.035832164635039</v>
      </c>
      <c r="AJ128" s="831">
        <f t="shared" si="23"/>
        <v>16.899721007604906</v>
      </c>
      <c r="AK128" s="241">
        <f t="shared" si="43"/>
        <v>139.1286753093076</v>
      </c>
      <c r="AL128" s="241">
        <f t="shared" si="44"/>
        <v>0</v>
      </c>
      <c r="AM128" s="806">
        <f t="shared" si="45"/>
        <v>0.2834252604436</v>
      </c>
      <c r="AN128" s="807">
        <f t="shared" si="46"/>
        <v>0.32890804861485473</v>
      </c>
      <c r="AO128" s="807">
        <f t="shared" si="47"/>
        <v>0.26619841008546835</v>
      </c>
      <c r="AP128" s="807">
        <f t="shared" si="48"/>
        <v>0.1214682808560769</v>
      </c>
      <c r="AQ128" s="807">
        <f t="shared" si="49"/>
        <v>0.99999999999999989</v>
      </c>
      <c r="AR128" s="918">
        <f t="shared" si="69"/>
        <v>6.718330286861506</v>
      </c>
      <c r="AS128" s="919">
        <f t="shared" si="70"/>
        <v>10.881405661657253</v>
      </c>
      <c r="AT128" s="919">
        <f t="shared" si="71"/>
        <v>2.3248676805531701</v>
      </c>
      <c r="AU128" s="919">
        <f t="shared" si="72"/>
        <v>0</v>
      </c>
      <c r="AV128" s="919">
        <f t="shared" si="73"/>
        <v>0</v>
      </c>
      <c r="AW128" s="919">
        <f t="shared" si="74"/>
        <v>0</v>
      </c>
      <c r="AX128" s="1494">
        <f t="shared" si="75"/>
        <v>16.236099971375594</v>
      </c>
      <c r="AY128" s="919">
        <f t="shared" si="76"/>
        <v>1.307809078845948</v>
      </c>
      <c r="AZ128" s="919">
        <f t="shared" si="77"/>
        <v>0.36762547566046921</v>
      </c>
      <c r="BA128" s="919">
        <f t="shared" si="78"/>
        <v>0.94950499551831991</v>
      </c>
      <c r="BB128" s="919">
        <f t="shared" si="79"/>
        <v>0.64693788424127452</v>
      </c>
      <c r="BC128" s="814">
        <f t="shared" si="50"/>
        <v>39.432581034713529</v>
      </c>
      <c r="BD128" s="923">
        <f t="shared" si="51"/>
        <v>0</v>
      </c>
      <c r="BE128" s="848">
        <f t="shared" si="52"/>
        <v>0.17037510887119423</v>
      </c>
      <c r="BF128" s="859">
        <f t="shared" si="53"/>
        <v>0.2759496177051679</v>
      </c>
      <c r="BG128" s="859">
        <f t="shared" si="54"/>
        <v>5.8958039761752561E-2</v>
      </c>
      <c r="BH128" s="859">
        <f t="shared" si="55"/>
        <v>0</v>
      </c>
      <c r="BI128" s="859">
        <f t="shared" si="56"/>
        <v>0</v>
      </c>
      <c r="BJ128" s="859">
        <f t="shared" si="57"/>
        <v>0</v>
      </c>
      <c r="BK128" s="859">
        <f t="shared" si="58"/>
        <v>0.49471723366188552</v>
      </c>
      <c r="BL128" s="1347">
        <f t="shared" si="59"/>
        <v>1.0000000000000002</v>
      </c>
      <c r="BM128" s="1241">
        <f t="shared" si="89"/>
        <v>0.19892488097366726</v>
      </c>
      <c r="BN128" s="1012">
        <f t="shared" si="89"/>
        <v>0.26585903447659598</v>
      </c>
      <c r="BO128" s="1012">
        <f t="shared" si="89"/>
        <v>8.9228108703258049E-2</v>
      </c>
      <c r="BP128" s="1012">
        <f t="shared" si="89"/>
        <v>0</v>
      </c>
      <c r="BQ128" s="1012">
        <f t="shared" si="89"/>
        <v>0</v>
      </c>
      <c r="BR128" s="1012">
        <f t="shared" si="89"/>
        <v>0</v>
      </c>
      <c r="BS128" s="1012">
        <f t="shared" si="89"/>
        <v>0.4459879758464787</v>
      </c>
      <c r="BT128" s="808">
        <f t="shared" si="81"/>
        <v>1</v>
      </c>
      <c r="BV128" s="837">
        <f t="shared" si="24"/>
        <v>59.933788381040593</v>
      </c>
      <c r="BW128" s="1012">
        <f t="shared" si="61"/>
        <v>0.72277857084154584</v>
      </c>
      <c r="BX128" s="849">
        <f t="shared" si="25"/>
        <v>8.0778844484992423</v>
      </c>
      <c r="BY128" s="837">
        <f t="shared" si="26"/>
        <v>70.8448669126185</v>
      </c>
      <c r="BZ128" s="1012">
        <f t="shared" si="62"/>
        <v>0.78057803150418648</v>
      </c>
      <c r="CA128" s="849">
        <f t="shared" si="27"/>
        <v>48.694518386230293</v>
      </c>
      <c r="CB128" s="1012">
        <f t="shared" si="28"/>
        <v>0.67206984488050125</v>
      </c>
      <c r="CC128" s="1012">
        <f t="shared" si="29"/>
        <v>0.46731576769954508</v>
      </c>
      <c r="CD128" s="1012">
        <f t="shared" si="63"/>
        <v>0.67206984488050125</v>
      </c>
      <c r="CE128" s="1004">
        <f t="shared" si="64"/>
        <v>0.85</v>
      </c>
    </row>
    <row r="129" spans="1:45">
      <c r="AM129" s="672"/>
      <c r="AN129" s="779"/>
      <c r="AO129" s="779"/>
      <c r="AP129" s="779"/>
      <c r="AS129" s="114"/>
    </row>
    <row r="130" spans="1:45" ht="23.25">
      <c r="A130" s="865" t="s">
        <v>783</v>
      </c>
      <c r="AM130" s="672"/>
      <c r="AO130" s="779"/>
      <c r="AS130" s="114"/>
    </row>
    <row r="131" spans="1:45" ht="15.75" thickBot="1">
      <c r="AM131" s="672"/>
    </row>
    <row r="132" spans="1:45" ht="21.6" customHeight="1" thickBot="1">
      <c r="A132" s="1593" t="s">
        <v>688</v>
      </c>
      <c r="B132" s="1594"/>
      <c r="C132" s="1594"/>
      <c r="D132" s="1595"/>
      <c r="E132" s="1621" t="s">
        <v>690</v>
      </c>
      <c r="F132" s="1622"/>
      <c r="G132" s="1622"/>
      <c r="H132" s="1622"/>
      <c r="I132" s="1623"/>
      <c r="J132" s="1349" t="s">
        <v>691</v>
      </c>
      <c r="K132" s="1350"/>
      <c r="L132" s="1350"/>
      <c r="M132" s="1627" t="s">
        <v>698</v>
      </c>
      <c r="N132" s="1629" t="s">
        <v>696</v>
      </c>
      <c r="O132" s="1670"/>
      <c r="P132" s="1602" t="s">
        <v>675</v>
      </c>
      <c r="Q132" s="1604" t="s">
        <v>681</v>
      </c>
      <c r="R132" s="1604" t="s">
        <v>661</v>
      </c>
      <c r="S132" s="1604" t="s">
        <v>729</v>
      </c>
      <c r="T132" s="1606" t="s">
        <v>731</v>
      </c>
      <c r="U132" s="1604" t="s">
        <v>730</v>
      </c>
      <c r="V132" s="1606" t="s">
        <v>733</v>
      </c>
      <c r="W132" s="1609" t="s">
        <v>699</v>
      </c>
      <c r="X132" s="1369" t="s">
        <v>672</v>
      </c>
      <c r="Y132" s="1369"/>
      <c r="Z132" s="1369"/>
      <c r="AA132" s="1369"/>
      <c r="AB132" s="1369"/>
      <c r="AC132" s="1369"/>
      <c r="AD132" s="1369"/>
      <c r="AE132" s="1369"/>
      <c r="AF132" s="1369"/>
      <c r="AG132" s="1369"/>
      <c r="AH132" s="1369"/>
      <c r="AI132" s="1369"/>
      <c r="AJ132" s="1370"/>
      <c r="AM132" s="672"/>
    </row>
    <row r="133" spans="1:45" ht="43.15" customHeight="1">
      <c r="A133" s="1619" t="s">
        <v>217</v>
      </c>
      <c r="B133" s="884" t="s">
        <v>218</v>
      </c>
      <c r="C133" s="884" t="s">
        <v>464</v>
      </c>
      <c r="D133" s="644" t="s">
        <v>724</v>
      </c>
      <c r="E133" s="886" t="s">
        <v>551</v>
      </c>
      <c r="F133" s="885" t="s">
        <v>555</v>
      </c>
      <c r="G133" s="885" t="s">
        <v>677</v>
      </c>
      <c r="H133" s="887" t="s">
        <v>680</v>
      </c>
      <c r="I133" s="887" t="s">
        <v>721</v>
      </c>
      <c r="J133" s="634" t="s">
        <v>367</v>
      </c>
      <c r="K133" s="1329" t="s">
        <v>367</v>
      </c>
      <c r="L133" s="888" t="s">
        <v>693</v>
      </c>
      <c r="M133" s="1628"/>
      <c r="N133" s="639" t="s">
        <v>694</v>
      </c>
      <c r="O133" s="642" t="s">
        <v>695</v>
      </c>
      <c r="P133" s="1603"/>
      <c r="Q133" s="1605"/>
      <c r="R133" s="1605"/>
      <c r="S133" s="1605"/>
      <c r="T133" s="1607"/>
      <c r="U133" s="1605"/>
      <c r="V133" s="1607"/>
      <c r="W133" s="1610"/>
      <c r="X133" s="1360" t="s">
        <v>549</v>
      </c>
      <c r="Y133" s="901" t="s">
        <v>565</v>
      </c>
      <c r="Z133" s="901" t="s">
        <v>428</v>
      </c>
      <c r="AA133" s="901" t="s">
        <v>429</v>
      </c>
      <c r="AB133" s="901" t="s">
        <v>553</v>
      </c>
      <c r="AC133" s="901" t="s">
        <v>225</v>
      </c>
      <c r="AD133" s="905" t="s">
        <v>671</v>
      </c>
      <c r="AE133" s="1360" t="s">
        <v>549</v>
      </c>
      <c r="AF133" s="901" t="s">
        <v>565</v>
      </c>
      <c r="AG133" s="901" t="s">
        <v>428</v>
      </c>
      <c r="AH133" s="901" t="s">
        <v>429</v>
      </c>
      <c r="AI133" s="901" t="s">
        <v>553</v>
      </c>
      <c r="AJ133" s="902" t="s">
        <v>225</v>
      </c>
      <c r="AM133" s="672"/>
    </row>
    <row r="134" spans="1:45" ht="45" customHeight="1" thickBot="1">
      <c r="A134" s="1631"/>
      <c r="B134" s="567" t="s">
        <v>232</v>
      </c>
      <c r="C134" s="568" t="s">
        <v>558</v>
      </c>
      <c r="D134" s="605" t="s">
        <v>556</v>
      </c>
      <c r="E134" s="1371" t="s">
        <v>689</v>
      </c>
      <c r="F134" s="1372" t="s">
        <v>689</v>
      </c>
      <c r="G134" s="1372" t="str">
        <f>F134</f>
        <v>Gg/GDP ZAR billion</v>
      </c>
      <c r="H134" s="1358" t="str">
        <f>G134</f>
        <v>Gg/GDP ZAR billion</v>
      </c>
      <c r="I134" s="1358" t="s">
        <v>692</v>
      </c>
      <c r="J134" s="889" t="s">
        <v>229</v>
      </c>
      <c r="K134" s="890" t="s">
        <v>692</v>
      </c>
      <c r="L134" s="892" t="s">
        <v>692</v>
      </c>
      <c r="M134" s="1359" t="s">
        <v>692</v>
      </c>
      <c r="N134" s="868" t="s">
        <v>229</v>
      </c>
      <c r="O134" s="1363" t="s">
        <v>692</v>
      </c>
      <c r="P134" s="1364" t="s">
        <v>692</v>
      </c>
      <c r="Q134" s="1365" t="s">
        <v>692</v>
      </c>
      <c r="R134" s="1365" t="s">
        <v>692</v>
      </c>
      <c r="S134" s="1411" t="s">
        <v>28</v>
      </c>
      <c r="T134" s="1608"/>
      <c r="U134" s="1411" t="s">
        <v>28</v>
      </c>
      <c r="V134" s="1608"/>
      <c r="W134" s="1366" t="s">
        <v>692</v>
      </c>
      <c r="X134" s="1410" t="s">
        <v>228</v>
      </c>
      <c r="Y134" s="1367" t="s">
        <v>228</v>
      </c>
      <c r="Z134" s="1367" t="s">
        <v>228</v>
      </c>
      <c r="AA134" s="1367" t="s">
        <v>228</v>
      </c>
      <c r="AB134" s="1367" t="s">
        <v>228</v>
      </c>
      <c r="AC134" s="1367" t="s">
        <v>228</v>
      </c>
      <c r="AD134" s="1368" t="s">
        <v>669</v>
      </c>
      <c r="AE134" s="1361" t="s">
        <v>229</v>
      </c>
      <c r="AF134" s="903" t="s">
        <v>229</v>
      </c>
      <c r="AG134" s="903" t="s">
        <v>229</v>
      </c>
      <c r="AH134" s="903" t="s">
        <v>229</v>
      </c>
      <c r="AI134" s="903" t="s">
        <v>229</v>
      </c>
      <c r="AJ134" s="906" t="s">
        <v>229</v>
      </c>
      <c r="AM134" s="672"/>
    </row>
    <row r="135" spans="1:45">
      <c r="A135" s="127">
        <f>'Input data'!A115</f>
        <v>2017</v>
      </c>
      <c r="B135" s="238">
        <f>'Input data'!B115</f>
        <v>56.521999999999998</v>
      </c>
      <c r="C135" s="238">
        <f>'Input data'!C115</f>
        <v>3120.54</v>
      </c>
      <c r="D135" s="239">
        <f>'Input data'!D115</f>
        <v>49995051</v>
      </c>
      <c r="E135" s="654">
        <f>'Input data'!J115</f>
        <v>11.504772374209397</v>
      </c>
      <c r="F135" s="673">
        <f>'Input data'!L115/C135</f>
        <v>27.526054267727826</v>
      </c>
      <c r="G135" s="696">
        <f>F135*B11</f>
        <v>23.573842715560573</v>
      </c>
      <c r="H135" s="696">
        <f t="shared" ref="H135:H168" si="93">E135*$B$12+I135*$E$80-G135</f>
        <v>0</v>
      </c>
      <c r="I135" s="1351">
        <f t="shared" ref="I135:I168" si="94">D135/1000/C135</f>
        <v>16.021281893518431</v>
      </c>
      <c r="J135" s="805">
        <f>H17</f>
        <v>6.154773859516615E-2</v>
      </c>
      <c r="K135" s="696">
        <f>(I135)*J135</f>
        <v>0.98607366994174095</v>
      </c>
      <c r="L135" s="673">
        <f t="shared" ref="L135:L168" si="95">(E135)*$C$12*$G$12</f>
        <v>0.96248877021284696</v>
      </c>
      <c r="M135" s="802">
        <f>K135+L135</f>
        <v>1.9485624401545878</v>
      </c>
      <c r="N135" s="805">
        <v>0</v>
      </c>
      <c r="O135" s="1407">
        <f t="shared" ref="O135:O168" si="96">N135*E135*($C$84)*$B$12</f>
        <v>0</v>
      </c>
      <c r="P135" s="898">
        <f>O135+(K135-I135*$J$135)</f>
        <v>0</v>
      </c>
      <c r="Q135" s="696">
        <f t="shared" ref="Q135:Q168" si="97">E135*$B$12+I135*(1-$H$80)-P135</f>
        <v>23.573842715560573</v>
      </c>
      <c r="R135" s="673">
        <f t="shared" ref="R135:R168" si="98">Q135-G135</f>
        <v>0</v>
      </c>
      <c r="S135" s="1486">
        <f>R135/(Q135-(I135-K135))</f>
        <v>0</v>
      </c>
      <c r="T135" s="135" t="str">
        <f>IF(AND(S135&gt;=0,S135&lt;=0.85),"Policies met","Policies not met")</f>
        <v>Policies met</v>
      </c>
      <c r="U135" s="1353">
        <f>IF(S135&lt;=0,0,IF(S135&gt;=0.85,0.85,S135))</f>
        <v>0</v>
      </c>
      <c r="V135" s="135" t="str">
        <f>IF(AND(S135&gt;=0,S135&lt;=0.85),"No","Yes")</f>
        <v>No</v>
      </c>
      <c r="W135" s="1354">
        <f>($E$135)*(1-U135)+I135</f>
        <v>27.526054267727829</v>
      </c>
      <c r="X135" s="696">
        <f>Q135-U135*(Q135-(I135-K135))</f>
        <v>23.573842715560573</v>
      </c>
      <c r="Y135" s="118">
        <f>(L135)*(1-U135)+K135</f>
        <v>1.9485624401545878</v>
      </c>
      <c r="Z135" s="673">
        <f>($C$12*$H$12*$E$135+O135)*(1-U135)</f>
        <v>1.9789482589551808</v>
      </c>
      <c r="AA135" s="673">
        <f>$F$135*$D$11*(1-U135)</f>
        <v>0</v>
      </c>
      <c r="AB135" s="673">
        <f>$E$135*$E$12*(1-U135)</f>
        <v>2.4700853057483641E-2</v>
      </c>
      <c r="AC135" s="673">
        <f>SUM(X135:AB135)</f>
        <v>27.526054267727829</v>
      </c>
      <c r="AD135" s="674">
        <f>AC135-W135</f>
        <v>0</v>
      </c>
      <c r="AE135" s="803">
        <f>X135/AC135</f>
        <v>0.85641924869700925</v>
      </c>
      <c r="AF135" s="803">
        <f>Y135/AC135</f>
        <v>7.0789747822270571E-2</v>
      </c>
      <c r="AG135" s="803">
        <f>Z135/AC135</f>
        <v>7.1893640828694608E-2</v>
      </c>
      <c r="AH135" s="803">
        <f>AB135/AC135</f>
        <v>8.9736265202541149E-4</v>
      </c>
      <c r="AI135" s="803">
        <f>AB135/AC135</f>
        <v>8.9736265202541149E-4</v>
      </c>
      <c r="AJ135" s="907">
        <f>SUM(AE135:AI135)</f>
        <v>1.0008973626520252</v>
      </c>
      <c r="AM135" s="672"/>
    </row>
    <row r="136" spans="1:45">
      <c r="A136" s="127">
        <f>'Input data'!A116</f>
        <v>2018</v>
      </c>
      <c r="B136" s="828">
        <f>'Input data'!B116</f>
        <v>57.436</v>
      </c>
      <c r="C136" s="238">
        <f>'Input data'!C116</f>
        <v>3152.24</v>
      </c>
      <c r="D136" s="239">
        <f>'Input data'!D116</f>
        <v>48694518.38623029</v>
      </c>
      <c r="E136" s="654">
        <f>'Input data'!J116</f>
        <v>11.504772374209397</v>
      </c>
      <c r="F136" s="673">
        <f>'Input data'!L116/C136</f>
        <v>26.95236468514711</v>
      </c>
      <c r="G136" s="696">
        <f>G135*0.94</f>
        <v>22.159412152626938</v>
      </c>
      <c r="H136" s="696">
        <f t="shared" si="93"/>
        <v>0.87605027681636471</v>
      </c>
      <c r="I136" s="1351">
        <f t="shared" si="94"/>
        <v>15.447592310937711</v>
      </c>
      <c r="J136" s="805">
        <f>($J$148-$J$135)/($A$148-$A$135)+J135</f>
        <v>8.7582527933999524E-2</v>
      </c>
      <c r="K136" s="696">
        <f>(I136)*J136</f>
        <v>1.3529391850857384</v>
      </c>
      <c r="L136" s="673">
        <f t="shared" si="95"/>
        <v>0.96248877021284696</v>
      </c>
      <c r="M136" s="802">
        <f>K136+L136</f>
        <v>2.3154279552985852</v>
      </c>
      <c r="N136" s="805">
        <v>0.05</v>
      </c>
      <c r="O136" s="1407">
        <f t="shared" si="96"/>
        <v>0.10361992776035385</v>
      </c>
      <c r="P136" s="898">
        <f>O136+(K136-I136*$J$135)</f>
        <v>0.50579473936779951</v>
      </c>
      <c r="Q136" s="696">
        <f t="shared" si="97"/>
        <v>22.529667690075502</v>
      </c>
      <c r="R136" s="673">
        <f t="shared" si="98"/>
        <v>0.3702555374485641</v>
      </c>
      <c r="S136" s="1486">
        <f>R136/(Q136-(I136-K136))</f>
        <v>4.389506794913843E-2</v>
      </c>
      <c r="T136" s="135" t="str">
        <f t="shared" ref="T136:T168" si="99">IF(AND(S136&gt;=0,S136&lt;=0.85),"Policies met","Policies not met")</f>
        <v>Policies met</v>
      </c>
      <c r="U136" s="1353">
        <f t="shared" ref="U136:U168" si="100">IF(S136&lt;=0,0,IF(S136&gt;=0.85,0.85,S136))</f>
        <v>4.389506794913843E-2</v>
      </c>
      <c r="V136" s="135" t="str">
        <f t="shared" ref="V136:V168" si="101">IF(AND(S136&gt;=0,S136&lt;=0.85),"No","Yes")</f>
        <v>No</v>
      </c>
      <c r="W136" s="1354">
        <f t="shared" ref="W136:W168" si="102">($E$135)*(1-U136)+I136</f>
        <v>26.447361920041814</v>
      </c>
      <c r="X136" s="696">
        <f t="shared" ref="X136:X168" si="103">Q136-U136*(Q136-(I136-K136))</f>
        <v>22.159412152626938</v>
      </c>
      <c r="Y136" s="118">
        <f t="shared" ref="Y136:Y168" si="104">(L136)*(1-U136)+K136</f>
        <v>2.2731794453298098</v>
      </c>
      <c r="Z136" s="673">
        <f t="shared" ref="Z136:Z168" si="105">($C$12*$H$12*$E$135+O136)*(1-U136)</f>
        <v>1.9911537146509424</v>
      </c>
      <c r="AA136" s="673">
        <f t="shared" ref="AA136:AA168" si="106">$F$135*$D$11*(1-U136)</f>
        <v>0</v>
      </c>
      <c r="AB136" s="673">
        <f t="shared" ref="AB136:AB168" si="107">$E$135*$E$12*(1-U136)</f>
        <v>2.3616607434123714E-2</v>
      </c>
      <c r="AC136" s="673">
        <f t="shared" ref="AC136:AC168" si="108">SUM(X136:AB136)</f>
        <v>26.447361920041814</v>
      </c>
      <c r="AD136" s="847">
        <f>AC136-W136</f>
        <v>0</v>
      </c>
      <c r="AE136" s="510">
        <f t="shared" ref="AE136:AE168" si="109">X136/AC136</f>
        <v>0.83786852615475926</v>
      </c>
      <c r="AF136" s="510">
        <f t="shared" ref="AF136:AF168" si="110">Y136/AC136</f>
        <v>8.5951084732091718E-2</v>
      </c>
      <c r="AG136" s="510">
        <f t="shared" ref="AG136:AG168" si="111">Z136/AC136</f>
        <v>7.5287422642409021E-2</v>
      </c>
      <c r="AH136" s="510">
        <f t="shared" ref="AH136:AH168" si="112">AB136/AC136</f>
        <v>8.9296647074001904E-4</v>
      </c>
      <c r="AI136" s="510">
        <f t="shared" ref="AI136:AI167" si="113">AB136/AC136</f>
        <v>8.9296647074001904E-4</v>
      </c>
      <c r="AJ136" s="658">
        <f t="shared" ref="AJ136:AJ168" si="114">SUM(AE136:AI136)</f>
        <v>1.00089296647074</v>
      </c>
      <c r="AM136" s="672"/>
    </row>
    <row r="137" spans="1:45">
      <c r="A137" s="127">
        <f>'Input data'!A117</f>
        <v>2019</v>
      </c>
      <c r="B137" s="828">
        <f>'Input data'!B117</f>
        <v>58.365000000000002</v>
      </c>
      <c r="C137" s="238">
        <f>'Input data'!C117</f>
        <v>3179.2899999999995</v>
      </c>
      <c r="D137" s="239">
        <f>'Input data'!D117</f>
        <v>47939972.084890619</v>
      </c>
      <c r="E137" s="654">
        <f>'Input data'!J117</f>
        <v>11.504772374209397</v>
      </c>
      <c r="F137" s="673">
        <f>'Input data'!L117/C137</f>
        <v>26.583601950904391</v>
      </c>
      <c r="G137" s="696">
        <f>G135*0.89</f>
        <v>20.98072001684891</v>
      </c>
      <c r="H137" s="696">
        <f t="shared" si="93"/>
        <v>1.708676190722489</v>
      </c>
      <c r="I137" s="1351">
        <f t="shared" si="94"/>
        <v>15.078829576694995</v>
      </c>
      <c r="J137" s="805">
        <f t="shared" ref="J137:J147" si="115">($J$148-$J$135)/($A$148-$A$135)+J136</f>
        <v>0.11361731727283289</v>
      </c>
      <c r="K137" s="696">
        <f t="shared" ref="K137:K168" si="116">(I137)*J137</f>
        <v>1.7132161641183317</v>
      </c>
      <c r="L137" s="673">
        <f t="shared" si="95"/>
        <v>0.96248877021284696</v>
      </c>
      <c r="M137" s="802">
        <f t="shared" ref="M137:M168" si="117">K137+L137</f>
        <v>2.6757049343311787</v>
      </c>
      <c r="N137" s="805">
        <v>0.1</v>
      </c>
      <c r="O137" s="1407">
        <f t="shared" si="96"/>
        <v>0.2072398555207077</v>
      </c>
      <c r="P137" s="898">
        <f t="shared" ref="P137:P168" si="118">O137+(K137-I137*$J$135)</f>
        <v>0.99238815853155593</v>
      </c>
      <c r="Q137" s="696">
        <f t="shared" si="97"/>
        <v>21.697008049039844</v>
      </c>
      <c r="R137" s="673">
        <f t="shared" si="98"/>
        <v>0.71628803219093484</v>
      </c>
      <c r="S137" s="1486">
        <f t="shared" ref="S137:S168" si="119">R137/(Q137-(I137-K137))</f>
        <v>8.597456529739074E-2</v>
      </c>
      <c r="T137" s="135" t="str">
        <f t="shared" si="99"/>
        <v>Policies met</v>
      </c>
      <c r="U137" s="1353">
        <f t="shared" si="100"/>
        <v>8.597456529739074E-2</v>
      </c>
      <c r="V137" s="135" t="str">
        <f t="shared" si="101"/>
        <v>No</v>
      </c>
      <c r="W137" s="1354">
        <f t="shared" si="102"/>
        <v>25.594484147186307</v>
      </c>
      <c r="X137" s="696">
        <f t="shared" si="103"/>
        <v>20.98072001684891</v>
      </c>
      <c r="Y137" s="118">
        <f t="shared" si="104"/>
        <v>2.5929553807085091</v>
      </c>
      <c r="Z137" s="673">
        <f t="shared" si="105"/>
        <v>1.9982315416755014</v>
      </c>
      <c r="AA137" s="673">
        <f t="shared" si="106"/>
        <v>0</v>
      </c>
      <c r="AB137" s="673">
        <f t="shared" si="107"/>
        <v>2.257720795339176E-2</v>
      </c>
      <c r="AC137" s="673">
        <f t="shared" si="108"/>
        <v>25.594484147186314</v>
      </c>
      <c r="AD137" s="847">
        <f t="shared" ref="AD137:AD161" si="120">AC137-W137</f>
        <v>0</v>
      </c>
      <c r="AE137" s="510">
        <f t="shared" si="109"/>
        <v>0.81973599843602973</v>
      </c>
      <c r="AF137" s="510">
        <f t="shared" si="110"/>
        <v>0.10130914793192115</v>
      </c>
      <c r="AG137" s="510">
        <f t="shared" si="111"/>
        <v>7.8072741383817798E-2</v>
      </c>
      <c r="AH137" s="510">
        <f t="shared" si="112"/>
        <v>8.821122482311778E-4</v>
      </c>
      <c r="AI137" s="510">
        <f t="shared" si="113"/>
        <v>8.821122482311778E-4</v>
      </c>
      <c r="AJ137" s="658">
        <f t="shared" si="114"/>
        <v>1.000882112248231</v>
      </c>
    </row>
    <row r="138" spans="1:45">
      <c r="A138" s="127">
        <f>'Input data'!A118</f>
        <v>2020</v>
      </c>
      <c r="B138" s="828">
        <f>'Input data'!B118</f>
        <v>59.308999999999997</v>
      </c>
      <c r="C138" s="238">
        <f>'Input data'!C118</f>
        <v>2948.9199999999987</v>
      </c>
      <c r="D138" s="239">
        <f>'Input data'!D118</f>
        <v>45386383.927997284</v>
      </c>
      <c r="E138" s="654">
        <f>'Input data'!J118</f>
        <v>11.504772374209397</v>
      </c>
      <c r="F138" s="673">
        <f>'Input data'!L118/C138</f>
        <v>26.895621881146617</v>
      </c>
      <c r="G138" s="696">
        <f>G135*0.81</f>
        <v>19.094812599604065</v>
      </c>
      <c r="H138" s="696">
        <f t="shared" si="93"/>
        <v>3.8873994171065256</v>
      </c>
      <c r="I138" s="1351">
        <f t="shared" si="94"/>
        <v>15.390849506937219</v>
      </c>
      <c r="J138" s="805">
        <f t="shared" si="115"/>
        <v>0.13965210661166627</v>
      </c>
      <c r="K138" s="696">
        <f t="shared" si="116"/>
        <v>2.1493645561869079</v>
      </c>
      <c r="L138" s="673">
        <f t="shared" si="95"/>
        <v>0.96248877021284696</v>
      </c>
      <c r="M138" s="802">
        <f t="shared" si="117"/>
        <v>3.1118533263997548</v>
      </c>
      <c r="N138" s="805">
        <f>($N$140-$N$135)/($A$100-$A$95)+N137</f>
        <v>0.2</v>
      </c>
      <c r="O138" s="1407">
        <f t="shared" si="96"/>
        <v>0.4144797110414154</v>
      </c>
      <c r="P138" s="898">
        <f t="shared" si="118"/>
        <v>1.6165722850178095</v>
      </c>
      <c r="Q138" s="696">
        <f t="shared" si="97"/>
        <v>21.365639731692781</v>
      </c>
      <c r="R138" s="673">
        <f t="shared" si="98"/>
        <v>2.2708271320887157</v>
      </c>
      <c r="S138" s="1486">
        <f t="shared" si="119"/>
        <v>0.27951549340438347</v>
      </c>
      <c r="T138" s="135" t="str">
        <f t="shared" si="99"/>
        <v>Policies met</v>
      </c>
      <c r="U138" s="1353">
        <f t="shared" si="100"/>
        <v>0.27951549340438347</v>
      </c>
      <c r="V138" s="135" t="str">
        <f t="shared" si="101"/>
        <v>No</v>
      </c>
      <c r="W138" s="1354">
        <f t="shared" si="102"/>
        <v>23.679859754464353</v>
      </c>
      <c r="X138" s="696">
        <f t="shared" si="103"/>
        <v>19.094812599604065</v>
      </c>
      <c r="Y138" s="118">
        <f t="shared" si="104"/>
        <v>2.8428228028975324</v>
      </c>
      <c r="Z138" s="673">
        <f t="shared" si="105"/>
        <v>1.7244277700351456</v>
      </c>
      <c r="AA138" s="673">
        <f t="shared" si="106"/>
        <v>0</v>
      </c>
      <c r="AB138" s="673">
        <f t="shared" si="107"/>
        <v>1.7796581927611927E-2</v>
      </c>
      <c r="AC138" s="673">
        <f t="shared" si="108"/>
        <v>23.679859754464356</v>
      </c>
      <c r="AD138" s="847">
        <f t="shared" si="120"/>
        <v>0</v>
      </c>
      <c r="AE138" s="510">
        <f t="shared" si="109"/>
        <v>0.80637355109352482</v>
      </c>
      <c r="AF138" s="510">
        <f t="shared" si="110"/>
        <v>0.12005234964964588</v>
      </c>
      <c r="AG138" s="510">
        <f t="shared" si="111"/>
        <v>7.2822549960839186E-2</v>
      </c>
      <c r="AH138" s="510">
        <f t="shared" si="112"/>
        <v>7.5154929599009735E-4</v>
      </c>
      <c r="AI138" s="510">
        <f t="shared" si="113"/>
        <v>7.5154929599009735E-4</v>
      </c>
      <c r="AJ138" s="658">
        <f t="shared" si="114"/>
        <v>1.00075154929599</v>
      </c>
    </row>
    <row r="139" spans="1:45">
      <c r="A139" s="127">
        <f>'Input data'!A119</f>
        <v>2021</v>
      </c>
      <c r="B139" s="828">
        <f>'Input data'!B119</f>
        <v>59.991999999999997</v>
      </c>
      <c r="C139" s="238">
        <f>'Input data'!C119</f>
        <v>3014.38</v>
      </c>
      <c r="D139" s="239">
        <f>'Input data'!D119</f>
        <v>45579683.429913521</v>
      </c>
      <c r="E139" s="654">
        <f>'Input data'!J119</f>
        <v>11.504772374209397</v>
      </c>
      <c r="F139" s="673">
        <f>'Input data'!L119/C139</f>
        <v>26.625521393879616</v>
      </c>
      <c r="G139" s="696">
        <f>G135*0.65</f>
        <v>15.322997765114373</v>
      </c>
      <c r="H139" s="696">
        <f t="shared" si="93"/>
        <v>7.4057378385139572</v>
      </c>
      <c r="I139" s="1351">
        <f t="shared" si="94"/>
        <v>15.120749019670221</v>
      </c>
      <c r="J139" s="805">
        <f t="shared" si="115"/>
        <v>0.16568689595049965</v>
      </c>
      <c r="K139" s="696">
        <f t="shared" si="116"/>
        <v>2.5053099695157197</v>
      </c>
      <c r="L139" s="673">
        <f t="shared" si="95"/>
        <v>0.96248877021284696</v>
      </c>
      <c r="M139" s="802">
        <f t="shared" si="117"/>
        <v>3.4677987397285666</v>
      </c>
      <c r="N139" s="805">
        <v>0.4</v>
      </c>
      <c r="O139" s="1407">
        <f t="shared" si="96"/>
        <v>0.8289594220828308</v>
      </c>
      <c r="P139" s="898">
        <f t="shared" si="118"/>
        <v>2.4036214835727727</v>
      </c>
      <c r="Q139" s="696">
        <f t="shared" si="97"/>
        <v>20.325114120055556</v>
      </c>
      <c r="R139" s="673">
        <f t="shared" si="98"/>
        <v>5.0021163549411831</v>
      </c>
      <c r="S139" s="1486">
        <f t="shared" si="119"/>
        <v>0.64881026886200277</v>
      </c>
      <c r="T139" s="135" t="str">
        <f t="shared" si="99"/>
        <v>Policies met</v>
      </c>
      <c r="U139" s="1353">
        <f t="shared" si="100"/>
        <v>0.64881026886200277</v>
      </c>
      <c r="V139" s="135" t="str">
        <f t="shared" si="101"/>
        <v>No</v>
      </c>
      <c r="W139" s="1354">
        <f t="shared" si="102"/>
        <v>19.161106936572679</v>
      </c>
      <c r="X139" s="696">
        <f t="shared" si="103"/>
        <v>15.322997765114373</v>
      </c>
      <c r="Y139" s="118">
        <f t="shared" si="104"/>
        <v>2.843326141950111</v>
      </c>
      <c r="Z139" s="673">
        <f t="shared" si="105"/>
        <v>0.98610834356405652</v>
      </c>
      <c r="AA139" s="673">
        <f t="shared" si="106"/>
        <v>0</v>
      </c>
      <c r="AB139" s="673">
        <f t="shared" si="107"/>
        <v>8.6746859441368569E-3</v>
      </c>
      <c r="AC139" s="673">
        <f t="shared" si="108"/>
        <v>19.161106936572676</v>
      </c>
      <c r="AD139" s="847">
        <f t="shared" si="120"/>
        <v>0</v>
      </c>
      <c r="AE139" s="510">
        <f t="shared" si="109"/>
        <v>0.79969272212908904</v>
      </c>
      <c r="AF139" s="510">
        <f t="shared" si="110"/>
        <v>0.14839049494176526</v>
      </c>
      <c r="AG139" s="510">
        <f t="shared" si="111"/>
        <v>5.1464059296171358E-2</v>
      </c>
      <c r="AH139" s="510">
        <f t="shared" si="112"/>
        <v>4.5272363297443646E-4</v>
      </c>
      <c r="AI139" s="510">
        <f t="shared" si="113"/>
        <v>4.5272363297443646E-4</v>
      </c>
      <c r="AJ139" s="658">
        <f t="shared" si="114"/>
        <v>1.0004527236329743</v>
      </c>
    </row>
    <row r="140" spans="1:45">
      <c r="A140" s="127">
        <f>'Input data'!A120</f>
        <v>2022</v>
      </c>
      <c r="B140" s="829">
        <f>'Input data'!B120</f>
        <v>60.682000000000002</v>
      </c>
      <c r="C140" s="238">
        <f>'Input data'!C120</f>
        <v>3077.2</v>
      </c>
      <c r="D140" s="830">
        <f>'Input data'!D120</f>
        <v>45460990.75329829</v>
      </c>
      <c r="E140" s="809">
        <f>'Input data'!J120</f>
        <v>11.504772374209397</v>
      </c>
      <c r="F140" s="673">
        <f>'Input data'!L120/C140</f>
        <v>26.278264754717096</v>
      </c>
      <c r="G140" s="940">
        <f>G135*(1-E4)</f>
        <v>11.786921357780287</v>
      </c>
      <c r="H140" s="696">
        <f t="shared" si="93"/>
        <v>10.615930467538128</v>
      </c>
      <c r="I140" s="1351">
        <f t="shared" si="94"/>
        <v>14.773492380507699</v>
      </c>
      <c r="J140" s="805">
        <f t="shared" si="115"/>
        <v>0.19172168528933303</v>
      </c>
      <c r="K140" s="696">
        <f t="shared" si="116"/>
        <v>2.8323988568000567</v>
      </c>
      <c r="L140" s="673">
        <f t="shared" si="95"/>
        <v>0.96248877021284696</v>
      </c>
      <c r="M140" s="802">
        <f t="shared" si="117"/>
        <v>3.7948876270129035</v>
      </c>
      <c r="N140" s="804">
        <f>$E$26</f>
        <v>0.5</v>
      </c>
      <c r="O140" s="1407">
        <f t="shared" si="96"/>
        <v>1.0361992776035385</v>
      </c>
      <c r="P140" s="898">
        <f t="shared" si="118"/>
        <v>2.9593230872304286</v>
      </c>
      <c r="Q140" s="696">
        <f t="shared" si="97"/>
        <v>19.443528738087984</v>
      </c>
      <c r="R140" s="673">
        <f t="shared" si="98"/>
        <v>7.6566073803076975</v>
      </c>
      <c r="S140" s="1486">
        <f t="shared" si="119"/>
        <v>1.0205496164274561</v>
      </c>
      <c r="T140" s="135" t="str">
        <f t="shared" si="99"/>
        <v>Policies not met</v>
      </c>
      <c r="U140" s="1353">
        <f t="shared" si="100"/>
        <v>0.85</v>
      </c>
      <c r="V140" s="135" t="str">
        <f t="shared" si="101"/>
        <v>Yes</v>
      </c>
      <c r="W140" s="1354">
        <f t="shared" si="102"/>
        <v>16.49920823663911</v>
      </c>
      <c r="X140" s="696">
        <f t="shared" si="103"/>
        <v>13.066458805864695</v>
      </c>
      <c r="Y140" s="118">
        <f t="shared" si="104"/>
        <v>2.9767721723319838</v>
      </c>
      <c r="Z140" s="673">
        <f t="shared" si="105"/>
        <v>0.45227213048380793</v>
      </c>
      <c r="AA140" s="673">
        <f t="shared" si="106"/>
        <v>0</v>
      </c>
      <c r="AB140" s="673">
        <f t="shared" si="107"/>
        <v>3.7051279586225467E-3</v>
      </c>
      <c r="AC140" s="673">
        <f t="shared" si="108"/>
        <v>16.49920823663911</v>
      </c>
      <c r="AD140" s="847">
        <f t="shared" si="120"/>
        <v>0</v>
      </c>
      <c r="AE140" s="510">
        <f t="shared" si="109"/>
        <v>0.79194459627756864</v>
      </c>
      <c r="AF140" s="510">
        <f t="shared" si="110"/>
        <v>0.18041909221568517</v>
      </c>
      <c r="AG140" s="510">
        <f t="shared" si="111"/>
        <v>2.7411747521282018E-2</v>
      </c>
      <c r="AH140" s="510">
        <f t="shared" si="112"/>
        <v>2.2456398546414624E-4</v>
      </c>
      <c r="AI140" s="510">
        <f t="shared" si="113"/>
        <v>2.2456398546414624E-4</v>
      </c>
      <c r="AJ140" s="658">
        <f t="shared" si="114"/>
        <v>1.0002245639854641</v>
      </c>
    </row>
    <row r="141" spans="1:45">
      <c r="A141" s="127">
        <f>'Input data'!A121</f>
        <v>2023</v>
      </c>
      <c r="B141" s="828">
        <f>'Input data'!B121</f>
        <v>61.381</v>
      </c>
      <c r="C141" s="238">
        <f>'Input data'!C121</f>
        <v>3140.61</v>
      </c>
      <c r="D141" s="239">
        <f>'Input data'!D121</f>
        <v>45566118.552586071</v>
      </c>
      <c r="E141" s="654">
        <f>'Input data'!J121</f>
        <v>11.504772374209397</v>
      </c>
      <c r="F141" s="673">
        <f>'Input data'!L121/C141</f>
        <v>26.013456531932281</v>
      </c>
      <c r="G141" s="696">
        <f>($G$145-$G$140)/($A$145-$A$140)+G140</f>
        <v>11.079706076313469</v>
      </c>
      <c r="H141" s="696">
        <f t="shared" si="93"/>
        <v>11.074635873493941</v>
      </c>
      <c r="I141" s="1351">
        <f t="shared" si="94"/>
        <v>14.508684157722884</v>
      </c>
      <c r="J141" s="805">
        <f t="shared" si="115"/>
        <v>0.21775647462816641</v>
      </c>
      <c r="K141" s="696">
        <f t="shared" si="116"/>
        <v>3.1593599136792632</v>
      </c>
      <c r="L141" s="673">
        <f t="shared" si="95"/>
        <v>0.96248877021284696</v>
      </c>
      <c r="M141" s="802">
        <f t="shared" si="117"/>
        <v>4.12184868389211</v>
      </c>
      <c r="N141" s="805">
        <f>($N$145-$N$140)/($A$105-$A$100)+N140</f>
        <v>0.5</v>
      </c>
      <c r="O141" s="1407">
        <f t="shared" si="96"/>
        <v>1.0361992776035385</v>
      </c>
      <c r="P141" s="898">
        <f t="shared" si="118"/>
        <v>3.3025824913834452</v>
      </c>
      <c r="Q141" s="696">
        <f t="shared" si="97"/>
        <v>18.851759458423963</v>
      </c>
      <c r="R141" s="673">
        <f t="shared" si="98"/>
        <v>7.772053382110494</v>
      </c>
      <c r="S141" s="1486">
        <f t="shared" si="119"/>
        <v>1.0359374203209859</v>
      </c>
      <c r="T141" s="135" t="str">
        <f t="shared" si="99"/>
        <v>Policies not met</v>
      </c>
      <c r="U141" s="1353">
        <f t="shared" si="100"/>
        <v>0.85</v>
      </c>
      <c r="V141" s="135" t="str">
        <f t="shared" si="101"/>
        <v>Yes</v>
      </c>
      <c r="W141" s="1354">
        <f t="shared" si="102"/>
        <v>16.234400013854295</v>
      </c>
      <c r="X141" s="696">
        <f t="shared" si="103"/>
        <v>12.474689526200674</v>
      </c>
      <c r="Y141" s="118">
        <f t="shared" si="104"/>
        <v>3.3037332292111903</v>
      </c>
      <c r="Z141" s="673">
        <f t="shared" si="105"/>
        <v>0.45227213048380793</v>
      </c>
      <c r="AA141" s="673">
        <f t="shared" si="106"/>
        <v>0</v>
      </c>
      <c r="AB141" s="673">
        <f t="shared" si="107"/>
        <v>3.7051279586225467E-3</v>
      </c>
      <c r="AC141" s="673">
        <f t="shared" si="108"/>
        <v>16.234400013854295</v>
      </c>
      <c r="AD141" s="847">
        <f t="shared" si="120"/>
        <v>0</v>
      </c>
      <c r="AE141" s="510">
        <f t="shared" si="109"/>
        <v>0.76841087539760533</v>
      </c>
      <c r="AF141" s="510">
        <f t="shared" si="110"/>
        <v>0.20350202202679576</v>
      </c>
      <c r="AG141" s="510">
        <f t="shared" si="111"/>
        <v>2.7858875603523559E-2</v>
      </c>
      <c r="AH141" s="510">
        <f t="shared" si="112"/>
        <v>2.2822697207538456E-4</v>
      </c>
      <c r="AI141" s="510">
        <f t="shared" si="113"/>
        <v>2.2822697207538456E-4</v>
      </c>
      <c r="AJ141" s="658">
        <f t="shared" si="114"/>
        <v>1.0002282269720755</v>
      </c>
    </row>
    <row r="142" spans="1:45">
      <c r="A142" s="127">
        <f>'Input data'!A122</f>
        <v>2024</v>
      </c>
      <c r="B142" s="828">
        <f>'Input data'!B122</f>
        <v>62.088000000000001</v>
      </c>
      <c r="C142" s="238">
        <f>'Input data'!C122</f>
        <v>3201.77</v>
      </c>
      <c r="D142" s="239">
        <f>'Input data'!D122</f>
        <v>45550858.065592684</v>
      </c>
      <c r="E142" s="654">
        <f>'Input data'!J122</f>
        <v>11.504772374209397</v>
      </c>
      <c r="F142" s="673">
        <f>'Input data'!L122/C142</f>
        <v>25.731546335359852</v>
      </c>
      <c r="G142" s="696">
        <f t="shared" ref="G142:G144" si="121">($G$145-$G$140)/($A$145-$A$140)+G141</f>
        <v>10.372490794846652</v>
      </c>
      <c r="H142" s="696">
        <f t="shared" si="93"/>
        <v>11.517291893474283</v>
      </c>
      <c r="I142" s="1351">
        <f t="shared" si="94"/>
        <v>14.226773961150453</v>
      </c>
      <c r="J142" s="805">
        <f t="shared" si="115"/>
        <v>0.24379126396699979</v>
      </c>
      <c r="K142" s="696">
        <f t="shared" si="116"/>
        <v>3.4683632061616696</v>
      </c>
      <c r="L142" s="673">
        <f t="shared" si="95"/>
        <v>0.96248877021284696</v>
      </c>
      <c r="M142" s="802">
        <f t="shared" si="117"/>
        <v>4.4308519763745169</v>
      </c>
      <c r="N142" s="805">
        <f>($N$145-$N$140)/($A$105-$A$100)+N141</f>
        <v>0.5</v>
      </c>
      <c r="O142" s="1407">
        <f t="shared" si="96"/>
        <v>1.0361992776035385</v>
      </c>
      <c r="P142" s="898">
        <f t="shared" si="118"/>
        <v>3.6289367189518034</v>
      </c>
      <c r="Q142" s="696">
        <f t="shared" si="97"/>
        <v>18.260845969369132</v>
      </c>
      <c r="R142" s="673">
        <f t="shared" si="98"/>
        <v>7.8883551745224807</v>
      </c>
      <c r="S142" s="1486">
        <f t="shared" si="119"/>
        <v>1.0514392925916132</v>
      </c>
      <c r="T142" s="135" t="str">
        <f t="shared" si="99"/>
        <v>Policies not met</v>
      </c>
      <c r="U142" s="1353">
        <f t="shared" si="100"/>
        <v>0.85</v>
      </c>
      <c r="V142" s="135" t="str">
        <f t="shared" si="101"/>
        <v>Yes</v>
      </c>
      <c r="W142" s="1354">
        <f t="shared" si="102"/>
        <v>15.952489817281863</v>
      </c>
      <c r="X142" s="696">
        <f t="shared" si="103"/>
        <v>11.883776037145836</v>
      </c>
      <c r="Y142" s="118">
        <f t="shared" si="104"/>
        <v>3.6127365216935967</v>
      </c>
      <c r="Z142" s="673">
        <f t="shared" si="105"/>
        <v>0.45227213048380793</v>
      </c>
      <c r="AA142" s="673">
        <f t="shared" si="106"/>
        <v>0</v>
      </c>
      <c r="AB142" s="673">
        <f t="shared" si="107"/>
        <v>3.7051279586225467E-3</v>
      </c>
      <c r="AC142" s="673">
        <f t="shared" si="108"/>
        <v>15.952489817281863</v>
      </c>
      <c r="AD142" s="847">
        <f t="shared" si="120"/>
        <v>0</v>
      </c>
      <c r="AE142" s="510">
        <f t="shared" si="109"/>
        <v>0.74494804091783495</v>
      </c>
      <c r="AF142" s="510">
        <f t="shared" si="110"/>
        <v>0.22646850510945313</v>
      </c>
      <c r="AG142" s="510">
        <f t="shared" si="111"/>
        <v>2.8351193805110378E-2</v>
      </c>
      <c r="AH142" s="510">
        <f t="shared" si="112"/>
        <v>2.3226016760146483E-4</v>
      </c>
      <c r="AI142" s="510">
        <f t="shared" si="113"/>
        <v>2.3226016760146483E-4</v>
      </c>
      <c r="AJ142" s="658">
        <f t="shared" si="114"/>
        <v>1.0002322601676015</v>
      </c>
    </row>
    <row r="143" spans="1:45">
      <c r="A143" s="127">
        <f>'Input data'!A123</f>
        <v>2025</v>
      </c>
      <c r="B143" s="828">
        <f>'Input data'!B123</f>
        <v>62.802999999999997</v>
      </c>
      <c r="C143" s="238">
        <f>'Input data'!C123</f>
        <v>3265.54</v>
      </c>
      <c r="D143" s="239">
        <f>'Input data'!D123</f>
        <v>46410532.166220129</v>
      </c>
      <c r="E143" s="654">
        <f>'Input data'!J123</f>
        <v>11.504772374209397</v>
      </c>
      <c r="F143" s="673">
        <f>'Input data'!L123/C143</f>
        <v>25.716979900750225</v>
      </c>
      <c r="G143" s="673">
        <f t="shared" si="121"/>
        <v>9.665275513379834</v>
      </c>
      <c r="H143" s="696">
        <f t="shared" si="93"/>
        <v>12.210837271441092</v>
      </c>
      <c r="I143" s="1351">
        <f t="shared" si="94"/>
        <v>14.212207526540826</v>
      </c>
      <c r="J143" s="805">
        <f t="shared" si="115"/>
        <v>0.26982605330583315</v>
      </c>
      <c r="K143" s="696">
        <f t="shared" si="116"/>
        <v>3.8348238656499682</v>
      </c>
      <c r="L143" s="673">
        <f t="shared" si="95"/>
        <v>0.96248877021284696</v>
      </c>
      <c r="M143" s="802">
        <f t="shared" si="117"/>
        <v>4.7973126358628155</v>
      </c>
      <c r="N143" s="805">
        <f>($N$145-$N$140)/($A$105-$A$100)+N142</f>
        <v>0.5</v>
      </c>
      <c r="O143" s="1407">
        <f t="shared" si="96"/>
        <v>1.0361992776035385</v>
      </c>
      <c r="P143" s="898">
        <f t="shared" si="118"/>
        <v>3.9962939095497187</v>
      </c>
      <c r="Q143" s="696">
        <f t="shared" si="97"/>
        <v>17.879818875271205</v>
      </c>
      <c r="R143" s="673">
        <f t="shared" si="98"/>
        <v>8.214543361891371</v>
      </c>
      <c r="S143" s="1486">
        <f t="shared" si="119"/>
        <v>1.0949169339238127</v>
      </c>
      <c r="T143" s="135" t="str">
        <f t="shared" si="99"/>
        <v>Policies not met</v>
      </c>
      <c r="U143" s="1353">
        <f t="shared" si="100"/>
        <v>0.85</v>
      </c>
      <c r="V143" s="135" t="str">
        <f t="shared" si="101"/>
        <v>Yes</v>
      </c>
      <c r="W143" s="1354">
        <f t="shared" si="102"/>
        <v>15.937923382672237</v>
      </c>
      <c r="X143" s="696">
        <f t="shared" si="103"/>
        <v>11.50274894304791</v>
      </c>
      <c r="Y143" s="118">
        <f t="shared" si="104"/>
        <v>3.9791971811818954</v>
      </c>
      <c r="Z143" s="673">
        <f t="shared" si="105"/>
        <v>0.45227213048380793</v>
      </c>
      <c r="AA143" s="673">
        <f t="shared" si="106"/>
        <v>0</v>
      </c>
      <c r="AB143" s="673">
        <f t="shared" si="107"/>
        <v>3.7051279586225467E-3</v>
      </c>
      <c r="AC143" s="673">
        <f t="shared" si="108"/>
        <v>15.937923382672237</v>
      </c>
      <c r="AD143" s="847">
        <f t="shared" si="120"/>
        <v>0</v>
      </c>
      <c r="AE143" s="510">
        <f t="shared" si="109"/>
        <v>0.72172193747359437</v>
      </c>
      <c r="AF143" s="510">
        <f t="shared" si="110"/>
        <v>0.24966848476057374</v>
      </c>
      <c r="AG143" s="510">
        <f t="shared" si="111"/>
        <v>2.8377105324494136E-2</v>
      </c>
      <c r="AH143" s="510">
        <f t="shared" si="112"/>
        <v>2.3247244133766976E-4</v>
      </c>
      <c r="AI143" s="510">
        <f t="shared" si="113"/>
        <v>2.3247244133766976E-4</v>
      </c>
      <c r="AJ143" s="658">
        <f t="shared" si="114"/>
        <v>1.0002324724413374</v>
      </c>
    </row>
    <row r="144" spans="1:45">
      <c r="A144" s="127">
        <f>'Input data'!A124</f>
        <v>2026</v>
      </c>
      <c r="B144" s="828">
        <f>'Input data'!B124</f>
        <v>63.420999999999999</v>
      </c>
      <c r="C144" s="238">
        <f>'Input data'!C124</f>
        <v>3341.28</v>
      </c>
      <c r="D144" s="239">
        <f>'Input data'!D124</f>
        <v>46524138.013837561</v>
      </c>
      <c r="E144" s="654">
        <f>'Input data'!J124</f>
        <v>11.504772374209397</v>
      </c>
      <c r="F144" s="673">
        <f>'Input data'!L124/C144</f>
        <v>25.42881885155866</v>
      </c>
      <c r="G144" s="673">
        <f t="shared" si="121"/>
        <v>8.9580602319130165</v>
      </c>
      <c r="H144" s="696">
        <f t="shared" si="93"/>
        <v>12.6476271646453</v>
      </c>
      <c r="I144" s="1351">
        <f t="shared" si="94"/>
        <v>13.924046477349266</v>
      </c>
      <c r="J144" s="805">
        <f t="shared" si="115"/>
        <v>0.2958608426446665</v>
      </c>
      <c r="K144" s="696">
        <f t="shared" si="116"/>
        <v>4.119580123812054</v>
      </c>
      <c r="L144" s="673">
        <f t="shared" si="95"/>
        <v>0.96248877021284696</v>
      </c>
      <c r="M144" s="802">
        <f t="shared" si="117"/>
        <v>5.0820688940249008</v>
      </c>
      <c r="N144" s="805">
        <f>($N$145-$N$140)/($A$105-$A$100)+N143</f>
        <v>0.5</v>
      </c>
      <c r="O144" s="1407">
        <f t="shared" si="96"/>
        <v>1.0361992776035385</v>
      </c>
      <c r="P144" s="898">
        <f t="shared" si="118"/>
        <v>4.2987858286407556</v>
      </c>
      <c r="Q144" s="696">
        <f t="shared" si="97"/>
        <v>17.30690156791756</v>
      </c>
      <c r="R144" s="673">
        <f t="shared" si="98"/>
        <v>8.3488413360045435</v>
      </c>
      <c r="S144" s="1486">
        <f t="shared" si="119"/>
        <v>1.1128175182375237</v>
      </c>
      <c r="T144" s="135" t="str">
        <f t="shared" si="99"/>
        <v>Policies not met</v>
      </c>
      <c r="U144" s="1353">
        <f t="shared" si="100"/>
        <v>0.85</v>
      </c>
      <c r="V144" s="135" t="str">
        <f t="shared" si="101"/>
        <v>Yes</v>
      </c>
      <c r="W144" s="1354">
        <f t="shared" si="102"/>
        <v>15.649762333480677</v>
      </c>
      <c r="X144" s="696">
        <f t="shared" si="103"/>
        <v>10.929831635694264</v>
      </c>
      <c r="Y144" s="118">
        <f t="shared" si="104"/>
        <v>4.2639534393439806</v>
      </c>
      <c r="Z144" s="673">
        <f t="shared" si="105"/>
        <v>0.45227213048380793</v>
      </c>
      <c r="AA144" s="673">
        <f t="shared" si="106"/>
        <v>0</v>
      </c>
      <c r="AB144" s="673">
        <f t="shared" si="107"/>
        <v>3.7051279586225467E-3</v>
      </c>
      <c r="AC144" s="673">
        <f t="shared" si="108"/>
        <v>15.649762333480675</v>
      </c>
      <c r="AD144" s="847">
        <f t="shared" si="120"/>
        <v>0</v>
      </c>
      <c r="AE144" s="510">
        <f t="shared" si="109"/>
        <v>0.69840240399761722</v>
      </c>
      <c r="AF144" s="510">
        <f t="shared" si="110"/>
        <v>0.27246122646998894</v>
      </c>
      <c r="AG144" s="510">
        <f t="shared" si="111"/>
        <v>2.8899616546650634E-2</v>
      </c>
      <c r="AH144" s="510">
        <f t="shared" si="112"/>
        <v>2.3675298574316986E-4</v>
      </c>
      <c r="AI144" s="510">
        <f t="shared" si="113"/>
        <v>2.3675298574316986E-4</v>
      </c>
      <c r="AJ144" s="658">
        <f t="shared" si="114"/>
        <v>1.0002367529857432</v>
      </c>
    </row>
    <row r="145" spans="1:36">
      <c r="A145" s="127">
        <f>'Input data'!A125</f>
        <v>2027</v>
      </c>
      <c r="B145" s="829">
        <f>'Input data'!B125</f>
        <v>64.046000000000006</v>
      </c>
      <c r="C145" s="238">
        <f>'Input data'!C125</f>
        <v>3416.2799999999997</v>
      </c>
      <c r="D145" s="830">
        <f>'Input data'!D125</f>
        <v>46636048.251789063</v>
      </c>
      <c r="E145" s="809">
        <f>'Input data'!J125</f>
        <v>11.504772374209397</v>
      </c>
      <c r="F145" s="673">
        <f>'Input data'!L125/C145</f>
        <v>25.155892379533629</v>
      </c>
      <c r="G145" s="938">
        <f>G135*(1-E5)</f>
        <v>8.2508449504462007</v>
      </c>
      <c r="H145" s="696">
        <f t="shared" si="93"/>
        <v>13.098713981242977</v>
      </c>
      <c r="I145" s="1351">
        <f t="shared" si="94"/>
        <v>13.651120005324232</v>
      </c>
      <c r="J145" s="805">
        <f t="shared" si="115"/>
        <v>0.32189563198349985</v>
      </c>
      <c r="K145" s="696">
        <f t="shared" si="116"/>
        <v>4.394235901396442</v>
      </c>
      <c r="L145" s="673">
        <f t="shared" si="95"/>
        <v>0.96248877021284696</v>
      </c>
      <c r="M145" s="802">
        <f t="shared" si="117"/>
        <v>5.3567246716092889</v>
      </c>
      <c r="N145" s="804">
        <f>$C$27</f>
        <v>0.5</v>
      </c>
      <c r="O145" s="1407">
        <f t="shared" si="96"/>
        <v>1.0361992776035385</v>
      </c>
      <c r="P145" s="898">
        <f t="shared" si="118"/>
        <v>4.5902396133810415</v>
      </c>
      <c r="Q145" s="696">
        <f t="shared" si="97"/>
        <v>16.759319318308137</v>
      </c>
      <c r="R145" s="673">
        <f t="shared" si="98"/>
        <v>8.5084743678619361</v>
      </c>
      <c r="S145" s="1486">
        <f t="shared" si="119"/>
        <v>1.1340950137834256</v>
      </c>
      <c r="T145" s="135" t="str">
        <f t="shared" si="99"/>
        <v>Policies not met</v>
      </c>
      <c r="U145" s="1353">
        <f t="shared" si="100"/>
        <v>0.85</v>
      </c>
      <c r="V145" s="135" t="str">
        <f t="shared" si="101"/>
        <v>Yes</v>
      </c>
      <c r="W145" s="1354">
        <f t="shared" si="102"/>
        <v>15.376835861455643</v>
      </c>
      <c r="X145" s="696">
        <f t="shared" si="103"/>
        <v>10.382249386084842</v>
      </c>
      <c r="Y145" s="118">
        <f t="shared" si="104"/>
        <v>4.5386092169283687</v>
      </c>
      <c r="Z145" s="673">
        <f t="shared" si="105"/>
        <v>0.45227213048380793</v>
      </c>
      <c r="AA145" s="673">
        <f t="shared" si="106"/>
        <v>0</v>
      </c>
      <c r="AB145" s="673">
        <f t="shared" si="107"/>
        <v>3.7051279586225467E-3</v>
      </c>
      <c r="AC145" s="673">
        <f t="shared" si="108"/>
        <v>15.376835861455643</v>
      </c>
      <c r="AD145" s="847">
        <f t="shared" si="120"/>
        <v>0</v>
      </c>
      <c r="AE145" s="510">
        <f t="shared" si="109"/>
        <v>0.6751876315536095</v>
      </c>
      <c r="AF145" s="510">
        <f t="shared" si="110"/>
        <v>0.29515885178335532</v>
      </c>
      <c r="AG145" s="510">
        <f t="shared" si="111"/>
        <v>2.9412561502168089E-2</v>
      </c>
      <c r="AH145" s="510">
        <f t="shared" si="112"/>
        <v>2.4095516086700312E-4</v>
      </c>
      <c r="AI145" s="510">
        <f t="shared" si="113"/>
        <v>2.4095516086700312E-4</v>
      </c>
      <c r="AJ145" s="658">
        <f t="shared" si="114"/>
        <v>1.0002409551608669</v>
      </c>
    </row>
    <row r="146" spans="1:36">
      <c r="A146" s="127">
        <f>'Input data'!A126</f>
        <v>2028</v>
      </c>
      <c r="B146" s="828">
        <f>'Input data'!B126</f>
        <v>64.676000000000002</v>
      </c>
      <c r="C146" s="238">
        <f>'Input data'!C126</f>
        <v>3494.8800000000006</v>
      </c>
      <c r="D146" s="239">
        <f>'Input data'!D126</f>
        <v>46747958.489740558</v>
      </c>
      <c r="E146" s="654">
        <f>'Input data'!J126</f>
        <v>11.504772374209397</v>
      </c>
      <c r="F146" s="673">
        <f>'Input data'!L126/C146</f>
        <v>24.880899305531948</v>
      </c>
      <c r="G146" s="673">
        <f>($G$150-$G$145)/($A$150-$A$145)+G145</f>
        <v>7.5436296689793831</v>
      </c>
      <c r="H146" s="696">
        <f t="shared" si="93"/>
        <v>13.547861390542247</v>
      </c>
      <c r="I146" s="1351">
        <f t="shared" si="94"/>
        <v>13.376126931322549</v>
      </c>
      <c r="J146" s="805">
        <f t="shared" si="115"/>
        <v>0.34793042132233321</v>
      </c>
      <c r="K146" s="696">
        <f t="shared" si="116"/>
        <v>4.6539614788760622</v>
      </c>
      <c r="L146" s="673">
        <f t="shared" si="95"/>
        <v>0.96248877021284696</v>
      </c>
      <c r="M146" s="802">
        <f t="shared" si="117"/>
        <v>5.616450249088909</v>
      </c>
      <c r="N146" s="805">
        <f>N145</f>
        <v>0.5</v>
      </c>
      <c r="O146" s="1407">
        <f t="shared" si="96"/>
        <v>1.0361992776035385</v>
      </c>
      <c r="P146" s="898">
        <f t="shared" si="118"/>
        <v>4.8668903926947982</v>
      </c>
      <c r="Q146" s="696">
        <f t="shared" si="97"/>
        <v>16.224600666826831</v>
      </c>
      <c r="R146" s="673">
        <f t="shared" si="98"/>
        <v>8.6809709978474476</v>
      </c>
      <c r="S146" s="1486">
        <f t="shared" si="119"/>
        <v>1.1570870990272779</v>
      </c>
      <c r="T146" s="135" t="str">
        <f t="shared" si="99"/>
        <v>Policies not met</v>
      </c>
      <c r="U146" s="1353">
        <f t="shared" si="100"/>
        <v>0.85</v>
      </c>
      <c r="V146" s="135" t="str">
        <f t="shared" si="101"/>
        <v>Yes</v>
      </c>
      <c r="W146" s="1354">
        <f t="shared" si="102"/>
        <v>15.101842787453959</v>
      </c>
      <c r="X146" s="696">
        <f t="shared" si="103"/>
        <v>9.8475307346035379</v>
      </c>
      <c r="Y146" s="118">
        <f t="shared" si="104"/>
        <v>4.7983347944079888</v>
      </c>
      <c r="Z146" s="673">
        <f t="shared" si="105"/>
        <v>0.45227213048380793</v>
      </c>
      <c r="AA146" s="673">
        <f t="shared" si="106"/>
        <v>0</v>
      </c>
      <c r="AB146" s="673">
        <f t="shared" si="107"/>
        <v>3.7051279586225467E-3</v>
      </c>
      <c r="AC146" s="673">
        <f t="shared" si="108"/>
        <v>15.101842787453958</v>
      </c>
      <c r="AD146" s="847">
        <f t="shared" si="120"/>
        <v>0</v>
      </c>
      <c r="AE146" s="510">
        <f t="shared" si="109"/>
        <v>0.65207477479400699</v>
      </c>
      <c r="AF146" s="510">
        <f t="shared" si="110"/>
        <v>0.31773174055250164</v>
      </c>
      <c r="AG146" s="510">
        <f t="shared" si="111"/>
        <v>2.9948141882362767E-2</v>
      </c>
      <c r="AH146" s="510">
        <f t="shared" si="112"/>
        <v>2.4534277112860873E-4</v>
      </c>
      <c r="AI146" s="510">
        <f t="shared" si="113"/>
        <v>2.4534277112860873E-4</v>
      </c>
      <c r="AJ146" s="658">
        <f t="shared" si="114"/>
        <v>1.0002453427711286</v>
      </c>
    </row>
    <row r="147" spans="1:36">
      <c r="A147" s="127">
        <f>'Input data'!A127</f>
        <v>2029</v>
      </c>
      <c r="B147" s="828">
        <f>'Input data'!B127</f>
        <v>65.313000000000002</v>
      </c>
      <c r="C147" s="238">
        <f>'Input data'!C127</f>
        <v>3576.08</v>
      </c>
      <c r="D147" s="239">
        <f>'Input data'!D127</f>
        <v>46861564.337357998</v>
      </c>
      <c r="E147" s="654">
        <f>'Input data'!J127</f>
        <v>11.504772374209397</v>
      </c>
      <c r="F147" s="673">
        <f>'Input data'!L127/C147</f>
        <v>24.608943516174339</v>
      </c>
      <c r="G147" s="673">
        <f t="shared" ref="G147:G149" si="122">($G$150-$G$145)/($A$150-$A$145)+G146</f>
        <v>6.8364143875125656</v>
      </c>
      <c r="H147" s="696">
        <f t="shared" si="93"/>
        <v>13.999859146484287</v>
      </c>
      <c r="I147" s="1351">
        <f t="shared" si="94"/>
        <v>13.104171141964944</v>
      </c>
      <c r="J147" s="805">
        <f t="shared" si="115"/>
        <v>0.37396521066116656</v>
      </c>
      <c r="K147" s="696">
        <f t="shared" si="116"/>
        <v>4.9005041216449001</v>
      </c>
      <c r="L147" s="673">
        <f t="shared" si="95"/>
        <v>0.96248877021284696</v>
      </c>
      <c r="M147" s="802">
        <f t="shared" si="117"/>
        <v>5.862992891857747</v>
      </c>
      <c r="N147" s="805">
        <f t="shared" ref="N147:N168" si="123">N146</f>
        <v>0.5</v>
      </c>
      <c r="O147" s="1407">
        <f t="shared" si="96"/>
        <v>1.0361992776035385</v>
      </c>
      <c r="P147" s="898">
        <f t="shared" si="118"/>
        <v>5.1301712992964603</v>
      </c>
      <c r="Q147" s="696">
        <f t="shared" si="97"/>
        <v>15.706102234700392</v>
      </c>
      <c r="R147" s="673">
        <f t="shared" si="98"/>
        <v>8.8696878471878264</v>
      </c>
      <c r="S147" s="1486">
        <f t="shared" si="119"/>
        <v>1.1822411781959525</v>
      </c>
      <c r="T147" s="135" t="str">
        <f t="shared" si="99"/>
        <v>Policies not met</v>
      </c>
      <c r="U147" s="1353">
        <f t="shared" si="100"/>
        <v>0.85</v>
      </c>
      <c r="V147" s="135" t="str">
        <f t="shared" si="101"/>
        <v>Yes</v>
      </c>
      <c r="W147" s="1354">
        <f t="shared" si="102"/>
        <v>14.829886998096354</v>
      </c>
      <c r="X147" s="696">
        <f t="shared" si="103"/>
        <v>9.3290323024770956</v>
      </c>
      <c r="Y147" s="118">
        <f t="shared" si="104"/>
        <v>5.0448774371768268</v>
      </c>
      <c r="Z147" s="673">
        <f t="shared" si="105"/>
        <v>0.45227213048380793</v>
      </c>
      <c r="AA147" s="673">
        <f t="shared" si="106"/>
        <v>0</v>
      </c>
      <c r="AB147" s="673">
        <f t="shared" si="107"/>
        <v>3.7051279586225467E-3</v>
      </c>
      <c r="AC147" s="673">
        <f t="shared" si="108"/>
        <v>14.829886998096352</v>
      </c>
      <c r="AD147" s="847">
        <f t="shared" si="120"/>
        <v>0</v>
      </c>
      <c r="AE147" s="510">
        <f t="shared" si="109"/>
        <v>0.62906968230267857</v>
      </c>
      <c r="AF147" s="510">
        <f t="shared" si="110"/>
        <v>0.34018313408756357</v>
      </c>
      <c r="AG147" s="510">
        <f t="shared" si="111"/>
        <v>3.0497341654853075E-2</v>
      </c>
      <c r="AH147" s="510">
        <f t="shared" si="112"/>
        <v>2.4984195490485923E-4</v>
      </c>
      <c r="AI147" s="510">
        <f t="shared" si="113"/>
        <v>2.4984195490485923E-4</v>
      </c>
      <c r="AJ147" s="658">
        <f t="shared" si="114"/>
        <v>1.0002498419549049</v>
      </c>
    </row>
    <row r="148" spans="1:36">
      <c r="A148" s="127">
        <f>'Input data'!A128</f>
        <v>2030</v>
      </c>
      <c r="B148" s="829">
        <f>'Input data'!B128</f>
        <v>65.956000000000003</v>
      </c>
      <c r="C148" s="238">
        <f>'Input data'!C128</f>
        <v>3660.12</v>
      </c>
      <c r="D148" s="830">
        <f>'Input data'!D128</f>
        <v>46973474.5753095</v>
      </c>
      <c r="E148" s="809">
        <f>'Input data'!J128</f>
        <v>11.504772374209397</v>
      </c>
      <c r="F148" s="673">
        <f>'Input data'!L128/C148</f>
        <v>24.338634262701987</v>
      </c>
      <c r="G148" s="673">
        <f t="shared" si="122"/>
        <v>6.129199106045748</v>
      </c>
      <c r="H148" s="696">
        <f t="shared" si="93"/>
        <v>14.45340209775132</v>
      </c>
      <c r="I148" s="1351">
        <f t="shared" si="94"/>
        <v>12.83386188849259</v>
      </c>
      <c r="J148" s="804">
        <f>$H$19</f>
        <v>0.4</v>
      </c>
      <c r="K148" s="696">
        <f t="shared" si="116"/>
        <v>5.1335447553970361</v>
      </c>
      <c r="L148" s="673">
        <f t="shared" si="95"/>
        <v>0.96248877021284696</v>
      </c>
      <c r="M148" s="802">
        <f t="shared" si="117"/>
        <v>6.096033525609883</v>
      </c>
      <c r="N148" s="805">
        <f t="shared" si="123"/>
        <v>0.5</v>
      </c>
      <c r="O148" s="1407">
        <f t="shared" si="96"/>
        <v>1.0361992776035385</v>
      </c>
      <c r="P148" s="898">
        <f t="shared" si="118"/>
        <v>5.3798488563211668</v>
      </c>
      <c r="Q148" s="696">
        <f t="shared" si="97"/>
        <v>15.202752347475901</v>
      </c>
      <c r="R148" s="673">
        <f t="shared" si="98"/>
        <v>9.0735532414301527</v>
      </c>
      <c r="S148" s="1486">
        <f t="shared" si="119"/>
        <v>1.2094144077430158</v>
      </c>
      <c r="T148" s="135" t="str">
        <f t="shared" si="99"/>
        <v>Policies not met</v>
      </c>
      <c r="U148" s="1353">
        <f t="shared" si="100"/>
        <v>0.85</v>
      </c>
      <c r="V148" s="135" t="str">
        <f t="shared" si="101"/>
        <v>Yes</v>
      </c>
      <c r="W148" s="1354">
        <f t="shared" si="102"/>
        <v>14.559577744624001</v>
      </c>
      <c r="X148" s="696">
        <f t="shared" si="103"/>
        <v>8.8256824152526061</v>
      </c>
      <c r="Y148" s="118">
        <f t="shared" si="104"/>
        <v>5.2779180709289628</v>
      </c>
      <c r="Z148" s="673">
        <f t="shared" si="105"/>
        <v>0.45227213048380793</v>
      </c>
      <c r="AA148" s="673">
        <f t="shared" si="106"/>
        <v>0</v>
      </c>
      <c r="AB148" s="673">
        <f t="shared" si="107"/>
        <v>3.7051279586225467E-3</v>
      </c>
      <c r="AC148" s="673">
        <f t="shared" si="108"/>
        <v>14.559577744624001</v>
      </c>
      <c r="AD148" s="847">
        <f t="shared" si="120"/>
        <v>0</v>
      </c>
      <c r="AE148" s="510">
        <f t="shared" si="109"/>
        <v>0.60617708631772738</v>
      </c>
      <c r="AF148" s="510">
        <f t="shared" si="110"/>
        <v>0.36250488602787873</v>
      </c>
      <c r="AG148" s="510">
        <f t="shared" si="111"/>
        <v>3.106354720011063E-2</v>
      </c>
      <c r="AH148" s="510">
        <f t="shared" si="112"/>
        <v>2.5448045428313559E-4</v>
      </c>
      <c r="AI148" s="510">
        <f t="shared" si="113"/>
        <v>2.5448045428313559E-4</v>
      </c>
      <c r="AJ148" s="658">
        <f t="shared" si="114"/>
        <v>1.000254480454283</v>
      </c>
    </row>
    <row r="149" spans="1:36">
      <c r="A149" s="127">
        <f>'Input data'!A129</f>
        <v>2031</v>
      </c>
      <c r="B149" s="828">
        <f>'Input data'!B129</f>
        <v>66.519000000000005</v>
      </c>
      <c r="C149" s="238">
        <f>'Input data'!C129</f>
        <v>3761.03</v>
      </c>
      <c r="D149" s="239">
        <f>'Input data'!D129</f>
        <v>45096434.675122961</v>
      </c>
      <c r="E149" s="654">
        <f>'Input data'!J129</f>
        <v>11.504772374209397</v>
      </c>
      <c r="F149" s="673">
        <f>'Input data'!L129/C149</f>
        <v>23.495220383165176</v>
      </c>
      <c r="G149" s="673">
        <f t="shared" si="122"/>
        <v>5.4219838245789305</v>
      </c>
      <c r="H149" s="696">
        <f t="shared" si="93"/>
        <v>14.369113716666597</v>
      </c>
      <c r="I149" s="1351">
        <f t="shared" si="94"/>
        <v>11.990448008955781</v>
      </c>
      <c r="J149" s="805">
        <f>J148</f>
        <v>0.4</v>
      </c>
      <c r="K149" s="696">
        <f t="shared" si="116"/>
        <v>4.7961792035823123</v>
      </c>
      <c r="L149" s="673">
        <f t="shared" si="95"/>
        <v>0.96248877021284696</v>
      </c>
      <c r="M149" s="802">
        <f t="shared" si="117"/>
        <v>5.7586679737951592</v>
      </c>
      <c r="N149" s="805">
        <f t="shared" si="123"/>
        <v>0.5</v>
      </c>
      <c r="O149" s="1407">
        <f t="shared" si="96"/>
        <v>1.0361992776035385</v>
      </c>
      <c r="P149" s="898">
        <f t="shared" si="118"/>
        <v>5.0943935214917095</v>
      </c>
      <c r="Q149" s="696">
        <f t="shared" si="97"/>
        <v>14.696704019753817</v>
      </c>
      <c r="R149" s="673">
        <f t="shared" si="98"/>
        <v>9.2747201951748863</v>
      </c>
      <c r="S149" s="1486">
        <f t="shared" si="119"/>
        <v>1.2362279620085885</v>
      </c>
      <c r="T149" s="135" t="str">
        <f t="shared" si="99"/>
        <v>Policies not met</v>
      </c>
      <c r="U149" s="1353">
        <f t="shared" si="100"/>
        <v>0.85</v>
      </c>
      <c r="V149" s="135" t="str">
        <f t="shared" si="101"/>
        <v>Yes</v>
      </c>
      <c r="W149" s="1354">
        <f t="shared" si="102"/>
        <v>13.716163865087191</v>
      </c>
      <c r="X149" s="696">
        <f t="shared" si="103"/>
        <v>8.3196340875305204</v>
      </c>
      <c r="Y149" s="118">
        <f t="shared" si="104"/>
        <v>4.940552519114239</v>
      </c>
      <c r="Z149" s="673">
        <f t="shared" si="105"/>
        <v>0.45227213048380793</v>
      </c>
      <c r="AA149" s="673">
        <f t="shared" si="106"/>
        <v>0</v>
      </c>
      <c r="AB149" s="673">
        <f t="shared" si="107"/>
        <v>3.7051279586225467E-3</v>
      </c>
      <c r="AC149" s="673">
        <f t="shared" si="108"/>
        <v>13.716163865087189</v>
      </c>
      <c r="AD149" s="847">
        <f t="shared" si="120"/>
        <v>0</v>
      </c>
      <c r="AE149" s="510">
        <f t="shared" si="109"/>
        <v>0.60655691849141047</v>
      </c>
      <c r="AF149" s="510">
        <f t="shared" si="110"/>
        <v>0.36019929243407545</v>
      </c>
      <c r="AG149" s="510">
        <f t="shared" si="111"/>
        <v>3.2973660487901513E-2</v>
      </c>
      <c r="AH149" s="510">
        <f t="shared" si="112"/>
        <v>2.7012858661258014E-4</v>
      </c>
      <c r="AI149" s="510">
        <f t="shared" si="113"/>
        <v>2.7012858661258014E-4</v>
      </c>
      <c r="AJ149" s="658">
        <f t="shared" si="114"/>
        <v>1.0002701285866127</v>
      </c>
    </row>
    <row r="150" spans="1:36">
      <c r="A150" s="127">
        <f>'Input data'!A130</f>
        <v>2032</v>
      </c>
      <c r="B150" s="828">
        <f>'Input data'!B130</f>
        <v>67.087000000000003</v>
      </c>
      <c r="C150" s="238">
        <f>'Input data'!C130</f>
        <v>3857.2</v>
      </c>
      <c r="D150" s="239">
        <f>'Input data'!D130</f>
        <v>43216003.555604555</v>
      </c>
      <c r="E150" s="654">
        <f>'Input data'!J130</f>
        <v>11.504772374209397</v>
      </c>
      <c r="F150" s="673">
        <f>'Input data'!L130/C150</f>
        <v>22.708755459246355</v>
      </c>
      <c r="G150" s="939">
        <f>G135*(1-E6)</f>
        <v>4.7147685431121138</v>
      </c>
      <c r="H150" s="696">
        <f t="shared" si="93"/>
        <v>14.33826921176621</v>
      </c>
      <c r="I150" s="1351">
        <f t="shared" si="94"/>
        <v>11.203983085036958</v>
      </c>
      <c r="J150" s="805">
        <f t="shared" ref="J150:J168" si="124">J149</f>
        <v>0.4</v>
      </c>
      <c r="K150" s="696">
        <f t="shared" si="116"/>
        <v>4.4815932340147837</v>
      </c>
      <c r="L150" s="673">
        <f t="shared" si="95"/>
        <v>0.96248877021284696</v>
      </c>
      <c r="M150" s="802">
        <f t="shared" si="117"/>
        <v>5.4440820042276306</v>
      </c>
      <c r="N150" s="805">
        <f t="shared" si="123"/>
        <v>0.5</v>
      </c>
      <c r="O150" s="1407">
        <f t="shared" si="96"/>
        <v>1.0361992776035385</v>
      </c>
      <c r="P150" s="898">
        <f t="shared" si="118"/>
        <v>4.8282126894758042</v>
      </c>
      <c r="Q150" s="696">
        <f t="shared" si="97"/>
        <v>14.22482506540252</v>
      </c>
      <c r="R150" s="673">
        <f t="shared" si="98"/>
        <v>9.5100565222904052</v>
      </c>
      <c r="S150" s="1486">
        <f t="shared" si="119"/>
        <v>1.2675959539193271</v>
      </c>
      <c r="T150" s="135" t="str">
        <f t="shared" si="99"/>
        <v>Policies not met</v>
      </c>
      <c r="U150" s="1353">
        <f t="shared" si="100"/>
        <v>0.85</v>
      </c>
      <c r="V150" s="135" t="str">
        <f t="shared" si="101"/>
        <v>Yes</v>
      </c>
      <c r="W150" s="1354">
        <f t="shared" si="102"/>
        <v>12.929698941168368</v>
      </c>
      <c r="X150" s="696">
        <f t="shared" si="103"/>
        <v>7.8477551331792261</v>
      </c>
      <c r="Y150" s="118">
        <f t="shared" si="104"/>
        <v>4.6259665495467104</v>
      </c>
      <c r="Z150" s="673">
        <f t="shared" si="105"/>
        <v>0.45227213048380793</v>
      </c>
      <c r="AA150" s="673">
        <f t="shared" si="106"/>
        <v>0</v>
      </c>
      <c r="AB150" s="673">
        <f t="shared" si="107"/>
        <v>3.7051279586225467E-3</v>
      </c>
      <c r="AC150" s="673">
        <f t="shared" si="108"/>
        <v>12.929698941168368</v>
      </c>
      <c r="AD150" s="847">
        <f t="shared" si="120"/>
        <v>0</v>
      </c>
      <c r="AE150" s="510">
        <f t="shared" si="109"/>
        <v>0.60695575116539247</v>
      </c>
      <c r="AF150" s="510">
        <f t="shared" si="110"/>
        <v>0.35777836518819156</v>
      </c>
      <c r="AG150" s="510">
        <f t="shared" si="111"/>
        <v>3.4979324154545181E-2</v>
      </c>
      <c r="AH150" s="510">
        <f t="shared" si="112"/>
        <v>2.8655949187071634E-4</v>
      </c>
      <c r="AI150" s="510">
        <f t="shared" si="113"/>
        <v>2.8655949187071634E-4</v>
      </c>
      <c r="AJ150" s="658">
        <f t="shared" si="114"/>
        <v>1.0002865594918706</v>
      </c>
    </row>
    <row r="151" spans="1:36">
      <c r="A151" s="127">
        <f>'Input data'!A131</f>
        <v>2033</v>
      </c>
      <c r="B151" s="828">
        <f>'Input data'!B131</f>
        <v>67.659000000000006</v>
      </c>
      <c r="C151" s="238">
        <f>'Input data'!C131</f>
        <v>3964.01</v>
      </c>
      <c r="D151" s="239">
        <f>'Input data'!D131</f>
        <v>41337268.045752093</v>
      </c>
      <c r="E151" s="654">
        <f>'Input data'!J131</f>
        <v>11.504772374209397</v>
      </c>
      <c r="F151" s="673">
        <f>'Input data'!L131/C151</f>
        <v>21.932916613439893</v>
      </c>
      <c r="G151" s="673">
        <f>G150</f>
        <v>4.7147685431121138</v>
      </c>
      <c r="H151" s="696">
        <f t="shared" si="93"/>
        <v>13.610181492433419</v>
      </c>
      <c r="I151" s="1351">
        <f t="shared" si="94"/>
        <v>10.428144239230498</v>
      </c>
      <c r="J151" s="805">
        <f t="shared" si="124"/>
        <v>0.4</v>
      </c>
      <c r="K151" s="696">
        <f t="shared" si="116"/>
        <v>4.1712576956921996</v>
      </c>
      <c r="L151" s="673">
        <f t="shared" si="95"/>
        <v>0.96248877021284696</v>
      </c>
      <c r="M151" s="802">
        <f t="shared" si="117"/>
        <v>5.1337464659050465</v>
      </c>
      <c r="N151" s="805">
        <f t="shared" si="123"/>
        <v>0.5</v>
      </c>
      <c r="O151" s="1407">
        <f t="shared" si="96"/>
        <v>1.0361992776035385</v>
      </c>
      <c r="P151" s="898">
        <f t="shared" si="118"/>
        <v>4.5656282776268915</v>
      </c>
      <c r="Q151" s="696">
        <f t="shared" si="97"/>
        <v>13.759321757918642</v>
      </c>
      <c r="R151" s="673">
        <f t="shared" si="98"/>
        <v>9.0445532148065269</v>
      </c>
      <c r="S151" s="1486">
        <f t="shared" si="119"/>
        <v>1.2055489926084693</v>
      </c>
      <c r="T151" s="135" t="str">
        <f t="shared" si="99"/>
        <v>Policies not met</v>
      </c>
      <c r="U151" s="1353">
        <f t="shared" si="100"/>
        <v>0.85</v>
      </c>
      <c r="V151" s="135" t="str">
        <f t="shared" si="101"/>
        <v>Yes</v>
      </c>
      <c r="W151" s="1354">
        <f t="shared" si="102"/>
        <v>12.153860095361908</v>
      </c>
      <c r="X151" s="696">
        <f t="shared" si="103"/>
        <v>7.3822518256953504</v>
      </c>
      <c r="Y151" s="118">
        <f t="shared" si="104"/>
        <v>4.3156310112241263</v>
      </c>
      <c r="Z151" s="673">
        <f t="shared" si="105"/>
        <v>0.45227213048380793</v>
      </c>
      <c r="AA151" s="673">
        <f t="shared" si="106"/>
        <v>0</v>
      </c>
      <c r="AB151" s="673">
        <f t="shared" si="107"/>
        <v>3.7051279586225467E-3</v>
      </c>
      <c r="AC151" s="673">
        <f t="shared" si="108"/>
        <v>12.153860095361907</v>
      </c>
      <c r="AD151" s="847">
        <f t="shared" si="120"/>
        <v>0</v>
      </c>
      <c r="AE151" s="510">
        <f t="shared" si="109"/>
        <v>0.60739976993091493</v>
      </c>
      <c r="AF151" s="510">
        <f t="shared" si="110"/>
        <v>0.3550831569034627</v>
      </c>
      <c r="AG151" s="510">
        <f t="shared" si="111"/>
        <v>3.7212221214920987E-2</v>
      </c>
      <c r="AH151" s="510">
        <f t="shared" si="112"/>
        <v>3.0485195070136428E-4</v>
      </c>
      <c r="AI151" s="510">
        <f t="shared" si="113"/>
        <v>3.0485195070136428E-4</v>
      </c>
      <c r="AJ151" s="658">
        <f t="shared" si="114"/>
        <v>1.0003048519507014</v>
      </c>
    </row>
    <row r="152" spans="1:36">
      <c r="A152" s="127">
        <f>'Input data'!A132</f>
        <v>2034</v>
      </c>
      <c r="B152" s="828">
        <f>'Input data'!B132</f>
        <v>68.236999999999995</v>
      </c>
      <c r="C152" s="238">
        <f>'Input data'!C132</f>
        <v>4078.22</v>
      </c>
      <c r="D152" s="239">
        <f>'Input data'!D132</f>
        <v>39458532.535899624</v>
      </c>
      <c r="E152" s="654">
        <f>'Input data'!J132</f>
        <v>11.504772374209397</v>
      </c>
      <c r="F152" s="673">
        <f>'Input data'!L132/C152</f>
        <v>21.180202472610077</v>
      </c>
      <c r="G152" s="673">
        <f t="shared" ref="G152:G168" si="125">G151</f>
        <v>4.7147685431121138</v>
      </c>
      <c r="H152" s="696">
        <f t="shared" si="93"/>
        <v>12.903795204780284</v>
      </c>
      <c r="I152" s="1351">
        <f t="shared" si="94"/>
        <v>9.6754300984006818</v>
      </c>
      <c r="J152" s="805">
        <f t="shared" si="124"/>
        <v>0.4</v>
      </c>
      <c r="K152" s="696">
        <f t="shared" si="116"/>
        <v>3.870172039360273</v>
      </c>
      <c r="L152" s="673">
        <f t="shared" si="95"/>
        <v>0.96248877021284696</v>
      </c>
      <c r="M152" s="802">
        <f t="shared" si="117"/>
        <v>4.8326608095731203</v>
      </c>
      <c r="N152" s="805">
        <f t="shared" si="123"/>
        <v>0.5</v>
      </c>
      <c r="O152" s="1407">
        <f t="shared" si="96"/>
        <v>1.0361992776035385</v>
      </c>
      <c r="P152" s="898">
        <f t="shared" si="118"/>
        <v>4.3108704744716437</v>
      </c>
      <c r="Q152" s="696">
        <f t="shared" si="97"/>
        <v>13.307693273420755</v>
      </c>
      <c r="R152" s="673">
        <f t="shared" si="98"/>
        <v>8.592924730308642</v>
      </c>
      <c r="S152" s="1486">
        <f t="shared" si="119"/>
        <v>1.1453514072121664</v>
      </c>
      <c r="T152" s="135" t="str">
        <f t="shared" si="99"/>
        <v>Policies not met</v>
      </c>
      <c r="U152" s="1353">
        <f t="shared" si="100"/>
        <v>0.85</v>
      </c>
      <c r="V152" s="135" t="str">
        <f t="shared" si="101"/>
        <v>Yes</v>
      </c>
      <c r="W152" s="1354">
        <f t="shared" si="102"/>
        <v>11.401145954532092</v>
      </c>
      <c r="X152" s="696">
        <f t="shared" si="103"/>
        <v>6.9306233411974603</v>
      </c>
      <c r="Y152" s="118">
        <f t="shared" si="104"/>
        <v>4.0145453548922001</v>
      </c>
      <c r="Z152" s="673">
        <f t="shared" si="105"/>
        <v>0.45227213048380793</v>
      </c>
      <c r="AA152" s="673">
        <f t="shared" si="106"/>
        <v>0</v>
      </c>
      <c r="AB152" s="673">
        <f t="shared" si="107"/>
        <v>3.7051279586225467E-3</v>
      </c>
      <c r="AC152" s="673">
        <f t="shared" si="108"/>
        <v>11.40114595453209</v>
      </c>
      <c r="AD152" s="847">
        <f t="shared" si="120"/>
        <v>0</v>
      </c>
      <c r="AE152" s="510">
        <f t="shared" si="109"/>
        <v>0.60788830954685358</v>
      </c>
      <c r="AF152" s="510">
        <f t="shared" si="110"/>
        <v>0.35211770561505451</v>
      </c>
      <c r="AG152" s="510">
        <f t="shared" si="111"/>
        <v>3.966900628125232E-2</v>
      </c>
      <c r="AH152" s="510">
        <f t="shared" si="112"/>
        <v>3.2497855683969335E-4</v>
      </c>
      <c r="AI152" s="510">
        <f t="shared" si="113"/>
        <v>3.2497855683969335E-4</v>
      </c>
      <c r="AJ152" s="658">
        <f t="shared" si="114"/>
        <v>1.00032497855684</v>
      </c>
    </row>
    <row r="153" spans="1:36">
      <c r="A153" s="127">
        <f>'Input data'!A133</f>
        <v>2035</v>
      </c>
      <c r="B153" s="828">
        <f>'Input data'!B133</f>
        <v>68.819000000000003</v>
      </c>
      <c r="C153" s="238">
        <f>'Input data'!C133</f>
        <v>4200.2899999999991</v>
      </c>
      <c r="D153" s="239">
        <f>'Input data'!D133</f>
        <v>37579797.026047163</v>
      </c>
      <c r="E153" s="654">
        <f>'Input data'!J133</f>
        <v>11.504772374209397</v>
      </c>
      <c r="F153" s="673">
        <f>'Input data'!L133/C153</f>
        <v>20.451725328897567</v>
      </c>
      <c r="G153" s="673">
        <f t="shared" si="125"/>
        <v>4.7147685431121138</v>
      </c>
      <c r="H153" s="696">
        <f t="shared" si="93"/>
        <v>12.220154181881544</v>
      </c>
      <c r="I153" s="1351">
        <f t="shared" si="94"/>
        <v>8.9469529546881699</v>
      </c>
      <c r="J153" s="805">
        <f t="shared" si="124"/>
        <v>0.4</v>
      </c>
      <c r="K153" s="696">
        <f t="shared" si="116"/>
        <v>3.5787811818752679</v>
      </c>
      <c r="L153" s="673">
        <f t="shared" si="95"/>
        <v>0.96248877021284696</v>
      </c>
      <c r="M153" s="802">
        <f t="shared" si="117"/>
        <v>4.5412699520881148</v>
      </c>
      <c r="N153" s="805">
        <f t="shared" si="123"/>
        <v>0.5</v>
      </c>
      <c r="O153" s="1407">
        <f t="shared" si="96"/>
        <v>1.0361992776035385</v>
      </c>
      <c r="P153" s="898">
        <f t="shared" si="118"/>
        <v>4.0643157378004098</v>
      </c>
      <c r="Q153" s="696">
        <f t="shared" si="97"/>
        <v>12.870606987193248</v>
      </c>
      <c r="R153" s="673">
        <f t="shared" si="98"/>
        <v>8.1558384440811338</v>
      </c>
      <c r="S153" s="1486">
        <f t="shared" si="119"/>
        <v>1.0870921522185719</v>
      </c>
      <c r="T153" s="135" t="str">
        <f t="shared" si="99"/>
        <v>Policies not met</v>
      </c>
      <c r="U153" s="1353">
        <f t="shared" si="100"/>
        <v>0.85</v>
      </c>
      <c r="V153" s="135" t="str">
        <f t="shared" si="101"/>
        <v>Yes</v>
      </c>
      <c r="W153" s="1354">
        <f t="shared" si="102"/>
        <v>10.67266881081958</v>
      </c>
      <c r="X153" s="696">
        <f t="shared" si="103"/>
        <v>6.4935370549699538</v>
      </c>
      <c r="Y153" s="118">
        <f t="shared" si="104"/>
        <v>3.7231544974071951</v>
      </c>
      <c r="Z153" s="673">
        <f t="shared" si="105"/>
        <v>0.45227213048380793</v>
      </c>
      <c r="AA153" s="673">
        <f t="shared" si="106"/>
        <v>0</v>
      </c>
      <c r="AB153" s="673">
        <f t="shared" si="107"/>
        <v>3.7051279586225467E-3</v>
      </c>
      <c r="AC153" s="673">
        <f t="shared" si="108"/>
        <v>10.67266881081958</v>
      </c>
      <c r="AD153" s="847">
        <f t="shared" si="120"/>
        <v>0</v>
      </c>
      <c r="AE153" s="510">
        <f t="shared" si="109"/>
        <v>0.60842673656162105</v>
      </c>
      <c r="AF153" s="510">
        <f t="shared" si="110"/>
        <v>0.34884943620032421</v>
      </c>
      <c r="AG153" s="510">
        <f t="shared" si="111"/>
        <v>4.2376666839442273E-2</v>
      </c>
      <c r="AH153" s="510">
        <f t="shared" si="112"/>
        <v>3.4716039861242736E-4</v>
      </c>
      <c r="AI153" s="510">
        <f t="shared" si="113"/>
        <v>3.4716039861242736E-4</v>
      </c>
      <c r="AJ153" s="658">
        <f t="shared" si="114"/>
        <v>1.0003471603986123</v>
      </c>
    </row>
    <row r="154" spans="1:36">
      <c r="A154" s="127">
        <f>'Input data'!A134</f>
        <v>2036</v>
      </c>
      <c r="B154" s="828">
        <f>'Input data'!B134</f>
        <v>69.322999999999993</v>
      </c>
      <c r="C154" s="238">
        <f>'Input data'!C134</f>
        <v>4325.9699999999993</v>
      </c>
      <c r="D154" s="239">
        <f>'Input data'!D134</f>
        <v>34222489.887502141</v>
      </c>
      <c r="E154" s="654">
        <f>'Input data'!J134</f>
        <v>11.504772374209397</v>
      </c>
      <c r="F154" s="673">
        <f>'Input data'!L134/C154</f>
        <v>19.415712553522276</v>
      </c>
      <c r="G154" s="673">
        <f t="shared" si="125"/>
        <v>4.7147685431121138</v>
      </c>
      <c r="H154" s="696">
        <f t="shared" si="93"/>
        <v>11.247905649986304</v>
      </c>
      <c r="I154" s="1351">
        <f t="shared" si="94"/>
        <v>7.9109401793128811</v>
      </c>
      <c r="J154" s="805">
        <f t="shared" si="124"/>
        <v>0.4</v>
      </c>
      <c r="K154" s="696">
        <f t="shared" si="116"/>
        <v>3.1643760717251528</v>
      </c>
      <c r="L154" s="673">
        <f t="shared" si="95"/>
        <v>0.96248877021284696</v>
      </c>
      <c r="M154" s="802">
        <f t="shared" si="117"/>
        <v>4.1268648419379996</v>
      </c>
      <c r="N154" s="805">
        <f t="shared" si="123"/>
        <v>0.5</v>
      </c>
      <c r="O154" s="1407">
        <f t="shared" si="96"/>
        <v>1.0361992776035385</v>
      </c>
      <c r="P154" s="898">
        <f t="shared" si="118"/>
        <v>3.7136748711303449</v>
      </c>
      <c r="Q154" s="696">
        <f t="shared" si="97"/>
        <v>12.248999321968075</v>
      </c>
      <c r="R154" s="673">
        <f t="shared" si="98"/>
        <v>7.534230778855961</v>
      </c>
      <c r="S154" s="1486">
        <f t="shared" si="119"/>
        <v>1.0042380325277145</v>
      </c>
      <c r="T154" s="135" t="str">
        <f t="shared" si="99"/>
        <v>Policies not met</v>
      </c>
      <c r="U154" s="1353">
        <f t="shared" si="100"/>
        <v>0.85</v>
      </c>
      <c r="V154" s="135" t="str">
        <f t="shared" si="101"/>
        <v>Yes</v>
      </c>
      <c r="W154" s="1354">
        <f t="shared" si="102"/>
        <v>9.6366560354442914</v>
      </c>
      <c r="X154" s="696">
        <f t="shared" si="103"/>
        <v>5.8719293897447802</v>
      </c>
      <c r="Y154" s="118">
        <f t="shared" si="104"/>
        <v>3.3087493872570799</v>
      </c>
      <c r="Z154" s="673">
        <f t="shared" si="105"/>
        <v>0.45227213048380793</v>
      </c>
      <c r="AA154" s="673">
        <f t="shared" si="106"/>
        <v>0</v>
      </c>
      <c r="AB154" s="673">
        <f t="shared" si="107"/>
        <v>3.7051279586225467E-3</v>
      </c>
      <c r="AC154" s="673">
        <f t="shared" si="108"/>
        <v>9.6366560354442914</v>
      </c>
      <c r="AD154" s="847">
        <f t="shared" si="120"/>
        <v>0</v>
      </c>
      <c r="AE154" s="510">
        <f t="shared" si="109"/>
        <v>0.60933267392209656</v>
      </c>
      <c r="AF154" s="510">
        <f t="shared" si="110"/>
        <v>0.34335036708659822</v>
      </c>
      <c r="AG154" s="510">
        <f t="shared" si="111"/>
        <v>4.6932476246980236E-2</v>
      </c>
      <c r="AH154" s="510">
        <f t="shared" si="112"/>
        <v>3.8448274432488077E-4</v>
      </c>
      <c r="AI154" s="510">
        <f t="shared" si="113"/>
        <v>3.8448274432488077E-4</v>
      </c>
      <c r="AJ154" s="658">
        <f t="shared" si="114"/>
        <v>1.0003844827443249</v>
      </c>
    </row>
    <row r="155" spans="1:36">
      <c r="A155" s="127">
        <f>'Input data'!A135</f>
        <v>2037</v>
      </c>
      <c r="B155" s="829">
        <f>'Input data'!B135</f>
        <v>69.83</v>
      </c>
      <c r="C155" s="238">
        <f>'Input data'!C135</f>
        <v>4457.0000000000018</v>
      </c>
      <c r="D155" s="830">
        <f>'Input data'!D135</f>
        <v>30865182.748957112</v>
      </c>
      <c r="E155" s="809">
        <f>'Input data'!J135</f>
        <v>11.504772374209397</v>
      </c>
      <c r="F155" s="673">
        <f>'Input data'!L135/C155</f>
        <v>18.429875077587699</v>
      </c>
      <c r="G155" s="673">
        <f t="shared" si="125"/>
        <v>4.7147685431121138</v>
      </c>
      <c r="H155" s="696">
        <f t="shared" si="93"/>
        <v>10.322744241317867</v>
      </c>
      <c r="I155" s="1351">
        <f t="shared" si="94"/>
        <v>6.9251027033783039</v>
      </c>
      <c r="J155" s="804">
        <f t="shared" si="124"/>
        <v>0.4</v>
      </c>
      <c r="K155" s="696">
        <f t="shared" si="116"/>
        <v>2.7700410813513217</v>
      </c>
      <c r="L155" s="673">
        <f t="shared" si="95"/>
        <v>0.96248877021284696</v>
      </c>
      <c r="M155" s="802">
        <f t="shared" si="117"/>
        <v>3.7325298515641685</v>
      </c>
      <c r="N155" s="805">
        <f t="shared" si="123"/>
        <v>0.5</v>
      </c>
      <c r="O155" s="1407">
        <f t="shared" si="96"/>
        <v>1.0361992776035385</v>
      </c>
      <c r="P155" s="898">
        <f t="shared" si="118"/>
        <v>3.3800159480226535</v>
      </c>
      <c r="Q155" s="696">
        <f t="shared" si="97"/>
        <v>11.657496836407329</v>
      </c>
      <c r="R155" s="673">
        <f t="shared" si="98"/>
        <v>6.9427282932952155</v>
      </c>
      <c r="S155" s="1486">
        <f t="shared" si="119"/>
        <v>0.92539663388064863</v>
      </c>
      <c r="T155" s="135" t="str">
        <f t="shared" si="99"/>
        <v>Policies not met</v>
      </c>
      <c r="U155" s="1353">
        <f t="shared" si="100"/>
        <v>0.85</v>
      </c>
      <c r="V155" s="135" t="str">
        <f t="shared" si="101"/>
        <v>Yes</v>
      </c>
      <c r="W155" s="1354">
        <f t="shared" si="102"/>
        <v>8.6508185595097142</v>
      </c>
      <c r="X155" s="696">
        <f t="shared" si="103"/>
        <v>5.2804269041840346</v>
      </c>
      <c r="Y155" s="118">
        <f t="shared" si="104"/>
        <v>2.9144143968832488</v>
      </c>
      <c r="Z155" s="673">
        <f t="shared" si="105"/>
        <v>0.45227213048380793</v>
      </c>
      <c r="AA155" s="673">
        <f t="shared" si="106"/>
        <v>0</v>
      </c>
      <c r="AB155" s="673">
        <f t="shared" si="107"/>
        <v>3.7051279586225467E-3</v>
      </c>
      <c r="AC155" s="673">
        <f t="shared" si="108"/>
        <v>8.6508185595097142</v>
      </c>
      <c r="AD155" s="847">
        <f t="shared" si="120"/>
        <v>0</v>
      </c>
      <c r="AE155" s="510">
        <f t="shared" si="109"/>
        <v>0.61039621486215789</v>
      </c>
      <c r="AF155" s="510">
        <f t="shared" si="110"/>
        <v>0.33689463914134193</v>
      </c>
      <c r="AG155" s="510">
        <f t="shared" si="111"/>
        <v>5.2280848034505591E-2</v>
      </c>
      <c r="AH155" s="510">
        <f t="shared" si="112"/>
        <v>4.2829796199453927E-4</v>
      </c>
      <c r="AI155" s="510">
        <f t="shared" si="113"/>
        <v>4.2829796199453927E-4</v>
      </c>
      <c r="AJ155" s="658">
        <f t="shared" si="114"/>
        <v>1.0004282979619945</v>
      </c>
    </row>
    <row r="156" spans="1:36">
      <c r="A156" s="127">
        <f>'Input data'!A136</f>
        <v>2038</v>
      </c>
      <c r="B156" s="828">
        <f>'Input data'!B136</f>
        <v>70.341999999999999</v>
      </c>
      <c r="C156" s="238">
        <f>'Input data'!C136</f>
        <v>4590.03</v>
      </c>
      <c r="D156" s="239">
        <f>'Input data'!D136</f>
        <v>27507875.610412091</v>
      </c>
      <c r="E156" s="654">
        <f>'Input data'!J136</f>
        <v>11.504772374209397</v>
      </c>
      <c r="F156" s="673">
        <f>'Input data'!L136/C156</f>
        <v>17.497734426834782</v>
      </c>
      <c r="G156" s="673">
        <f t="shared" si="125"/>
        <v>4.7147685431121138</v>
      </c>
      <c r="H156" s="696">
        <f t="shared" si="93"/>
        <v>9.447974739671416</v>
      </c>
      <c r="I156" s="1351">
        <f t="shared" si="94"/>
        <v>5.9929620526253844</v>
      </c>
      <c r="J156" s="805">
        <f t="shared" si="124"/>
        <v>0.4</v>
      </c>
      <c r="K156" s="696">
        <f t="shared" si="116"/>
        <v>2.3971848210501538</v>
      </c>
      <c r="L156" s="673">
        <f t="shared" si="95"/>
        <v>0.96248877021284696</v>
      </c>
      <c r="M156" s="802">
        <f t="shared" si="117"/>
        <v>3.3596735912630007</v>
      </c>
      <c r="N156" s="805">
        <f t="shared" si="123"/>
        <v>0.5</v>
      </c>
      <c r="O156" s="1407">
        <f t="shared" si="96"/>
        <v>1.0361992776035385</v>
      </c>
      <c r="P156" s="898">
        <f t="shared" si="118"/>
        <v>3.0645308368279549</v>
      </c>
      <c r="Q156" s="696">
        <f t="shared" si="97"/>
        <v>11.098212445955575</v>
      </c>
      <c r="R156" s="673">
        <f t="shared" si="98"/>
        <v>6.3834439028434611</v>
      </c>
      <c r="S156" s="1486">
        <f t="shared" si="119"/>
        <v>0.85084958689252665</v>
      </c>
      <c r="T156" s="135" t="str">
        <f t="shared" si="99"/>
        <v>Policies not met</v>
      </c>
      <c r="U156" s="1353">
        <f t="shared" si="100"/>
        <v>0.85</v>
      </c>
      <c r="V156" s="135" t="str">
        <f t="shared" si="101"/>
        <v>Yes</v>
      </c>
      <c r="W156" s="1354">
        <f t="shared" si="102"/>
        <v>7.7186779087567938</v>
      </c>
      <c r="X156" s="696">
        <f t="shared" si="103"/>
        <v>4.721142513732282</v>
      </c>
      <c r="Y156" s="118">
        <f t="shared" si="104"/>
        <v>2.541558136582081</v>
      </c>
      <c r="Z156" s="673">
        <f t="shared" si="105"/>
        <v>0.45227213048380793</v>
      </c>
      <c r="AA156" s="673">
        <f t="shared" si="106"/>
        <v>0</v>
      </c>
      <c r="AB156" s="673">
        <f t="shared" si="107"/>
        <v>3.7051279586225467E-3</v>
      </c>
      <c r="AC156" s="673">
        <f t="shared" si="108"/>
        <v>7.7186779087567929</v>
      </c>
      <c r="AD156" s="847">
        <f t="shared" si="120"/>
        <v>0</v>
      </c>
      <c r="AE156" s="510">
        <f t="shared" si="109"/>
        <v>0.61165170635973487</v>
      </c>
      <c r="AF156" s="510">
        <f t="shared" si="110"/>
        <v>0.32927376509631251</v>
      </c>
      <c r="AG156" s="510">
        <f t="shared" si="111"/>
        <v>5.8594507483037732E-2</v>
      </c>
      <c r="AH156" s="510">
        <f t="shared" si="112"/>
        <v>4.8002106091499187E-4</v>
      </c>
      <c r="AI156" s="510">
        <f t="shared" si="113"/>
        <v>4.8002106091499187E-4</v>
      </c>
      <c r="AJ156" s="658">
        <f t="shared" si="114"/>
        <v>1.000480021060915</v>
      </c>
    </row>
    <row r="157" spans="1:36">
      <c r="A157" s="127">
        <f>'Input data'!A137</f>
        <v>2039</v>
      </c>
      <c r="B157" s="828">
        <f>'Input data'!B137</f>
        <v>70.856999999999999</v>
      </c>
      <c r="C157" s="238">
        <f>'Input data'!C137</f>
        <v>4728.5300000000007</v>
      </c>
      <c r="D157" s="239">
        <f>'Input data'!D137</f>
        <v>24152264.081533</v>
      </c>
      <c r="E157" s="654">
        <f>'Input data'!J137</f>
        <v>11.504772374209397</v>
      </c>
      <c r="F157" s="673">
        <f>'Input data'!L137/C157</f>
        <v>16.612546689172611</v>
      </c>
      <c r="G157" s="673">
        <f t="shared" si="125"/>
        <v>4.7147685431121138</v>
      </c>
      <c r="H157" s="696">
        <f t="shared" si="93"/>
        <v>8.6172683054945232</v>
      </c>
      <c r="I157" s="1351">
        <f t="shared" si="94"/>
        <v>5.107774314963212</v>
      </c>
      <c r="J157" s="805">
        <f t="shared" si="124"/>
        <v>0.4</v>
      </c>
      <c r="K157" s="696">
        <f t="shared" si="116"/>
        <v>2.0431097259852851</v>
      </c>
      <c r="L157" s="673">
        <f t="shared" si="95"/>
        <v>0.96248877021284696</v>
      </c>
      <c r="M157" s="802">
        <f t="shared" si="117"/>
        <v>3.0055984961981319</v>
      </c>
      <c r="N157" s="805">
        <f t="shared" si="123"/>
        <v>0.5</v>
      </c>
      <c r="O157" s="1407">
        <f t="shared" si="96"/>
        <v>1.0361992776035385</v>
      </c>
      <c r="P157" s="898">
        <f t="shared" si="118"/>
        <v>2.7649370452483639</v>
      </c>
      <c r="Q157" s="696">
        <f t="shared" si="97"/>
        <v>10.567099803358275</v>
      </c>
      <c r="R157" s="673">
        <f t="shared" si="98"/>
        <v>5.852331260246161</v>
      </c>
      <c r="S157" s="1486">
        <f t="shared" si="119"/>
        <v>0.78005755371651353</v>
      </c>
      <c r="T157" s="135" t="str">
        <f t="shared" si="99"/>
        <v>Policies met</v>
      </c>
      <c r="U157" s="1353">
        <f t="shared" si="100"/>
        <v>0.78005755371651353</v>
      </c>
      <c r="V157" s="135" t="str">
        <f t="shared" si="101"/>
        <v>No</v>
      </c>
      <c r="W157" s="1354">
        <f t="shared" si="102"/>
        <v>7.6381620948815012</v>
      </c>
      <c r="X157" s="696">
        <f t="shared" si="103"/>
        <v>4.7147685431121138</v>
      </c>
      <c r="Y157" s="118">
        <f t="shared" si="104"/>
        <v>2.2548018606262832</v>
      </c>
      <c r="Z157" s="673">
        <f t="shared" si="105"/>
        <v>0.66315892509635266</v>
      </c>
      <c r="AA157" s="673">
        <f t="shared" si="106"/>
        <v>0</v>
      </c>
      <c r="AB157" s="673">
        <f t="shared" si="107"/>
        <v>5.4327660467518883E-3</v>
      </c>
      <c r="AC157" s="673">
        <f t="shared" si="108"/>
        <v>7.6381620948815012</v>
      </c>
      <c r="AD157" s="847">
        <f t="shared" si="120"/>
        <v>0</v>
      </c>
      <c r="AE157" s="510">
        <f t="shared" si="109"/>
        <v>0.61726479283171831</v>
      </c>
      <c r="AF157" s="510">
        <f t="shared" si="110"/>
        <v>0.29520214845103576</v>
      </c>
      <c r="AG157" s="510">
        <f t="shared" si="111"/>
        <v>8.6821792580279208E-2</v>
      </c>
      <c r="AH157" s="510">
        <f t="shared" si="112"/>
        <v>7.112661369667061E-4</v>
      </c>
      <c r="AI157" s="510">
        <f t="shared" si="113"/>
        <v>7.112661369667061E-4</v>
      </c>
      <c r="AJ157" s="658">
        <f t="shared" si="114"/>
        <v>1.0007112661369668</v>
      </c>
    </row>
    <row r="158" spans="1:36">
      <c r="A158" s="127">
        <f>'Input data'!A138</f>
        <v>2040</v>
      </c>
      <c r="B158" s="828">
        <f>'Input data'!B138</f>
        <v>71.375</v>
      </c>
      <c r="C158" s="238">
        <f>'Input data'!C138</f>
        <v>4875.51</v>
      </c>
      <c r="D158" s="239">
        <f>'Input data'!D138</f>
        <v>20794956.942987975</v>
      </c>
      <c r="E158" s="654">
        <f>'Input data'!J138</f>
        <v>11.504772374209397</v>
      </c>
      <c r="F158" s="673">
        <f>'Input data'!L138/C158</f>
        <v>15.769958363570094</v>
      </c>
      <c r="G158" s="673">
        <f t="shared" si="125"/>
        <v>4.7147685431121138</v>
      </c>
      <c r="H158" s="696">
        <f t="shared" si="93"/>
        <v>7.8265393858995305</v>
      </c>
      <c r="I158" s="1351">
        <f t="shared" si="94"/>
        <v>4.2651859893606971</v>
      </c>
      <c r="J158" s="805">
        <f t="shared" si="124"/>
        <v>0.4</v>
      </c>
      <c r="K158" s="696">
        <f t="shared" si="116"/>
        <v>1.706074395744279</v>
      </c>
      <c r="L158" s="673">
        <f t="shared" si="95"/>
        <v>0.96248877021284696</v>
      </c>
      <c r="M158" s="802">
        <f t="shared" si="117"/>
        <v>2.6685631659571261</v>
      </c>
      <c r="N158" s="805">
        <f t="shared" si="123"/>
        <v>0.5</v>
      </c>
      <c r="O158" s="1407">
        <f t="shared" si="96"/>
        <v>1.0361992776035385</v>
      </c>
      <c r="P158" s="898">
        <f t="shared" si="118"/>
        <v>2.4797611210148802</v>
      </c>
      <c r="Q158" s="696">
        <f t="shared" si="97"/>
        <v>10.061546807996764</v>
      </c>
      <c r="R158" s="673">
        <f t="shared" si="98"/>
        <v>5.3467782648846507</v>
      </c>
      <c r="S158" s="1486">
        <f t="shared" si="119"/>
        <v>0.71267236731830419</v>
      </c>
      <c r="T158" s="135" t="str">
        <f t="shared" si="99"/>
        <v>Policies met</v>
      </c>
      <c r="U158" s="1353">
        <f t="shared" si="100"/>
        <v>0.71267236731830419</v>
      </c>
      <c r="V158" s="135" t="str">
        <f t="shared" si="101"/>
        <v>No</v>
      </c>
      <c r="W158" s="1354">
        <f t="shared" si="102"/>
        <v>7.5708250001840565</v>
      </c>
      <c r="X158" s="696">
        <f t="shared" si="103"/>
        <v>4.7147685431121138</v>
      </c>
      <c r="Y158" s="118">
        <f t="shared" si="104"/>
        <v>1.982624015572253</v>
      </c>
      <c r="Z158" s="673">
        <f t="shared" si="105"/>
        <v>0.86633520386546359</v>
      </c>
      <c r="AA158" s="673">
        <f t="shared" si="106"/>
        <v>0</v>
      </c>
      <c r="AB158" s="673">
        <f t="shared" si="107"/>
        <v>7.0972376342252029E-3</v>
      </c>
      <c r="AC158" s="673">
        <f t="shared" si="108"/>
        <v>7.5708250001840556</v>
      </c>
      <c r="AD158" s="847">
        <f t="shared" si="120"/>
        <v>0</v>
      </c>
      <c r="AE158" s="510">
        <f t="shared" si="109"/>
        <v>0.62275492340629879</v>
      </c>
      <c r="AF158" s="510">
        <f t="shared" si="110"/>
        <v>0.26187687808449583</v>
      </c>
      <c r="AG158" s="510">
        <f t="shared" si="111"/>
        <v>0.11443075277058999</v>
      </c>
      <c r="AH158" s="510">
        <f t="shared" si="112"/>
        <v>9.3744573861536372E-4</v>
      </c>
      <c r="AI158" s="510">
        <f t="shared" si="113"/>
        <v>9.3744573861536372E-4</v>
      </c>
      <c r="AJ158" s="658">
        <f t="shared" si="114"/>
        <v>1.0009374457386153</v>
      </c>
    </row>
    <row r="159" spans="1:36">
      <c r="A159" s="127">
        <f>'Input data'!A139</f>
        <v>2041</v>
      </c>
      <c r="B159" s="828">
        <f>'Input data'!B139</f>
        <v>71.819000000000003</v>
      </c>
      <c r="C159" s="238">
        <f>'Input data'!C139</f>
        <v>5028.54</v>
      </c>
      <c r="D159" s="239">
        <f>'Input data'!D139</f>
        <v>19523249.693539102</v>
      </c>
      <c r="E159" s="654">
        <f>'Input data'!J139</f>
        <v>11.504772374209397</v>
      </c>
      <c r="F159" s="673">
        <f>'Input data'!L139/C159</f>
        <v>15.387261067456164</v>
      </c>
      <c r="G159" s="673">
        <f t="shared" si="125"/>
        <v>4.7147685431121138</v>
      </c>
      <c r="H159" s="696">
        <f t="shared" si="93"/>
        <v>7.4673962429278982</v>
      </c>
      <c r="I159" s="1351">
        <f t="shared" si="94"/>
        <v>3.8824886932467679</v>
      </c>
      <c r="J159" s="805">
        <f t="shared" si="124"/>
        <v>0.4</v>
      </c>
      <c r="K159" s="696">
        <f t="shared" si="116"/>
        <v>1.5529954772987073</v>
      </c>
      <c r="L159" s="673">
        <f t="shared" si="95"/>
        <v>0.96248877021284696</v>
      </c>
      <c r="M159" s="802">
        <f t="shared" si="117"/>
        <v>2.5154842475115542</v>
      </c>
      <c r="N159" s="805">
        <f t="shared" si="123"/>
        <v>0.5</v>
      </c>
      <c r="O159" s="1407">
        <f t="shared" si="96"/>
        <v>1.0361992776035385</v>
      </c>
      <c r="P159" s="898">
        <f t="shared" si="118"/>
        <v>2.3502363557116057</v>
      </c>
      <c r="Q159" s="696">
        <f t="shared" si="97"/>
        <v>9.8319284303284071</v>
      </c>
      <c r="R159" s="673">
        <f t="shared" si="98"/>
        <v>5.1171598872162933</v>
      </c>
      <c r="S159" s="1486">
        <f t="shared" si="119"/>
        <v>0.6820665212020679</v>
      </c>
      <c r="T159" s="135" t="str">
        <f t="shared" si="99"/>
        <v>Policies met</v>
      </c>
      <c r="U159" s="1353">
        <f t="shared" si="100"/>
        <v>0.6820665212020679</v>
      </c>
      <c r="V159" s="135" t="str">
        <f t="shared" si="101"/>
        <v>No</v>
      </c>
      <c r="W159" s="1354">
        <f t="shared" si="102"/>
        <v>7.5402409969575057</v>
      </c>
      <c r="X159" s="696">
        <f t="shared" si="103"/>
        <v>4.7147685431121138</v>
      </c>
      <c r="Y159" s="118">
        <f t="shared" si="104"/>
        <v>1.8590028803164214</v>
      </c>
      <c r="Z159" s="673">
        <f t="shared" si="105"/>
        <v>0.9586163453871287</v>
      </c>
      <c r="AA159" s="673">
        <f t="shared" si="106"/>
        <v>0</v>
      </c>
      <c r="AB159" s="673">
        <f t="shared" si="107"/>
        <v>7.8532281418423108E-3</v>
      </c>
      <c r="AC159" s="673">
        <f t="shared" si="108"/>
        <v>7.5402409969575066</v>
      </c>
      <c r="AD159" s="847">
        <f t="shared" si="120"/>
        <v>0</v>
      </c>
      <c r="AE159" s="510">
        <f t="shared" si="109"/>
        <v>0.62528088227080891</v>
      </c>
      <c r="AF159" s="510">
        <f t="shared" si="110"/>
        <v>0.24654422598250247</v>
      </c>
      <c r="AG159" s="510">
        <f t="shared" si="111"/>
        <v>0.12713338284199818</v>
      </c>
      <c r="AH159" s="510">
        <f t="shared" si="112"/>
        <v>1.0415089046903268E-3</v>
      </c>
      <c r="AI159" s="510">
        <f t="shared" si="113"/>
        <v>1.0415089046903268E-3</v>
      </c>
      <c r="AJ159" s="658">
        <f t="shared" si="114"/>
        <v>1.0010415089046902</v>
      </c>
    </row>
    <row r="160" spans="1:36">
      <c r="A160" s="127">
        <f>'Input data'!A140</f>
        <v>2042</v>
      </c>
      <c r="B160" s="828">
        <f>'Input data'!B140</f>
        <v>72.265000000000001</v>
      </c>
      <c r="C160" s="238">
        <f>'Input data'!C140</f>
        <v>5188.1000000000004</v>
      </c>
      <c r="D160" s="239">
        <f>'Input data'!D140</f>
        <v>18251542.444090229</v>
      </c>
      <c r="E160" s="654">
        <f>'Input data'!J140</f>
        <v>11.504772374209397</v>
      </c>
      <c r="F160" s="673">
        <f>'Input data'!L140/C160</f>
        <v>15.02273510509165</v>
      </c>
      <c r="G160" s="673">
        <f t="shared" si="125"/>
        <v>4.7147685431121138</v>
      </c>
      <c r="H160" s="696">
        <f t="shared" si="93"/>
        <v>7.1253060292061479</v>
      </c>
      <c r="I160" s="1351">
        <f t="shared" si="94"/>
        <v>3.517962730882255</v>
      </c>
      <c r="J160" s="805">
        <f t="shared" si="124"/>
        <v>0.4</v>
      </c>
      <c r="K160" s="696">
        <f t="shared" si="116"/>
        <v>1.4071850923529021</v>
      </c>
      <c r="L160" s="673">
        <f t="shared" si="95"/>
        <v>0.96248877021284696</v>
      </c>
      <c r="M160" s="802">
        <f t="shared" si="117"/>
        <v>2.3696738625657492</v>
      </c>
      <c r="N160" s="805">
        <f t="shared" si="123"/>
        <v>0.5</v>
      </c>
      <c r="O160" s="1407">
        <f t="shared" si="96"/>
        <v>1.0361992776035385</v>
      </c>
      <c r="P160" s="898">
        <f t="shared" si="118"/>
        <v>2.2268617194085625</v>
      </c>
      <c r="Q160" s="696">
        <f t="shared" si="97"/>
        <v>9.6132128529096992</v>
      </c>
      <c r="R160" s="673">
        <f t="shared" si="98"/>
        <v>4.8984443097975854</v>
      </c>
      <c r="S160" s="1486">
        <f t="shared" si="119"/>
        <v>0.65291390992733356</v>
      </c>
      <c r="T160" s="135" t="str">
        <f t="shared" si="99"/>
        <v>Policies met</v>
      </c>
      <c r="U160" s="1353">
        <f t="shared" si="100"/>
        <v>0.65291390992733356</v>
      </c>
      <c r="V160" s="135" t="str">
        <f t="shared" si="101"/>
        <v>No</v>
      </c>
      <c r="W160" s="1354">
        <f t="shared" si="102"/>
        <v>7.511109191422622</v>
      </c>
      <c r="X160" s="696">
        <f t="shared" si="103"/>
        <v>4.7147685431121138</v>
      </c>
      <c r="Y160" s="118">
        <f t="shared" si="104"/>
        <v>1.7412515563449282</v>
      </c>
      <c r="Z160" s="673">
        <f t="shared" si="105"/>
        <v>1.0465157694563978</v>
      </c>
      <c r="AA160" s="673">
        <f t="shared" si="106"/>
        <v>0</v>
      </c>
      <c r="AB160" s="673">
        <f t="shared" si="107"/>
        <v>8.5733225091814656E-3</v>
      </c>
      <c r="AC160" s="673">
        <f t="shared" si="108"/>
        <v>7.5111091914226211</v>
      </c>
      <c r="AD160" s="847">
        <f t="shared" si="120"/>
        <v>0</v>
      </c>
      <c r="AE160" s="510">
        <f t="shared" si="109"/>
        <v>0.62770603155339377</v>
      </c>
      <c r="AF160" s="510">
        <f t="shared" si="110"/>
        <v>0.23182349130716487</v>
      </c>
      <c r="AG160" s="510">
        <f t="shared" si="111"/>
        <v>0.13932905817045982</v>
      </c>
      <c r="AH160" s="510">
        <f t="shared" si="112"/>
        <v>1.1414189689815518E-3</v>
      </c>
      <c r="AI160" s="510">
        <f t="shared" si="113"/>
        <v>1.1414189689815518E-3</v>
      </c>
      <c r="AJ160" s="658">
        <f t="shared" si="114"/>
        <v>1.0011414189689816</v>
      </c>
    </row>
    <row r="161" spans="1:36">
      <c r="A161" s="127">
        <f>'Input data'!A141</f>
        <v>2043</v>
      </c>
      <c r="B161" s="828">
        <f>'Input data'!B141</f>
        <v>72.713999999999999</v>
      </c>
      <c r="C161" s="238">
        <f>'Input data'!C141</f>
        <v>5353.7899999999991</v>
      </c>
      <c r="D161" s="239">
        <f>'Input data'!D141</f>
        <v>16979835.194641355</v>
      </c>
      <c r="E161" s="654">
        <f>'Input data'!J141</f>
        <v>11.504772374209397</v>
      </c>
      <c r="F161" s="673">
        <f>'Input data'!L141/C161</f>
        <v>14.676326580601758</v>
      </c>
      <c r="G161" s="673">
        <f t="shared" si="125"/>
        <v>4.7147685431121138</v>
      </c>
      <c r="H161" s="696">
        <f t="shared" si="93"/>
        <v>6.8002181660286967</v>
      </c>
      <c r="I161" s="1351">
        <f t="shared" si="94"/>
        <v>3.1715542063923614</v>
      </c>
      <c r="J161" s="805">
        <f t="shared" si="124"/>
        <v>0.4</v>
      </c>
      <c r="K161" s="696">
        <f t="shared" si="116"/>
        <v>1.2686216825569447</v>
      </c>
      <c r="L161" s="673">
        <f t="shared" si="95"/>
        <v>0.96248877021284696</v>
      </c>
      <c r="M161" s="802">
        <f t="shared" si="117"/>
        <v>2.2311104527697916</v>
      </c>
      <c r="N161" s="805">
        <f t="shared" si="123"/>
        <v>0.5</v>
      </c>
      <c r="O161" s="1407">
        <f t="shared" si="96"/>
        <v>1.0361992776035385</v>
      </c>
      <c r="P161" s="898">
        <f t="shared" si="118"/>
        <v>2.1096189709250464</v>
      </c>
      <c r="Q161" s="696">
        <f t="shared" si="97"/>
        <v>9.4053677382157641</v>
      </c>
      <c r="R161" s="673">
        <f t="shared" si="98"/>
        <v>4.6905991951036503</v>
      </c>
      <c r="S161" s="1486">
        <f t="shared" si="119"/>
        <v>0.62521022322364217</v>
      </c>
      <c r="T161" s="135" t="str">
        <f t="shared" si="99"/>
        <v>Policies met</v>
      </c>
      <c r="U161" s="1353">
        <f t="shared" si="100"/>
        <v>0.62521022322364217</v>
      </c>
      <c r="V161" s="135" t="str">
        <f t="shared" si="101"/>
        <v>No</v>
      </c>
      <c r="W161" s="1354">
        <f t="shared" si="102"/>
        <v>7.4834252763851099</v>
      </c>
      <c r="X161" s="696">
        <f t="shared" si="103"/>
        <v>4.7147685431121138</v>
      </c>
      <c r="Y161" s="118">
        <f t="shared" si="104"/>
        <v>1.6293526338947688</v>
      </c>
      <c r="Z161" s="673">
        <f t="shared" si="105"/>
        <v>1.1300464721746275</v>
      </c>
      <c r="AA161" s="673">
        <f t="shared" si="106"/>
        <v>0</v>
      </c>
      <c r="AB161" s="673">
        <f t="shared" si="107"/>
        <v>9.2576272035999104E-3</v>
      </c>
      <c r="AC161" s="673">
        <f t="shared" si="108"/>
        <v>7.4834252763851099</v>
      </c>
      <c r="AD161" s="847">
        <f t="shared" si="120"/>
        <v>0</v>
      </c>
      <c r="AE161" s="510">
        <f t="shared" si="109"/>
        <v>0.63002814473075042</v>
      </c>
      <c r="AF161" s="510">
        <f t="shared" si="110"/>
        <v>0.21772818912702932</v>
      </c>
      <c r="AG161" s="510">
        <f t="shared" si="111"/>
        <v>0.15100658193790367</v>
      </c>
      <c r="AH161" s="510">
        <f t="shared" si="112"/>
        <v>1.2370842043166407E-3</v>
      </c>
      <c r="AI161" s="510">
        <f t="shared" si="113"/>
        <v>1.2370842043166407E-3</v>
      </c>
      <c r="AJ161" s="658">
        <f t="shared" si="114"/>
        <v>1.0012370842043166</v>
      </c>
    </row>
    <row r="162" spans="1:36">
      <c r="A162" s="127">
        <f>'Input data'!A142</f>
        <v>2044</v>
      </c>
      <c r="B162" s="828">
        <f>'Input data'!B142</f>
        <v>73.165000000000006</v>
      </c>
      <c r="C162" s="238">
        <f>'Input data'!C142</f>
        <v>5526.5000000000018</v>
      </c>
      <c r="D162" s="239">
        <f>'Input data'!D142</f>
        <v>15708127.94519248</v>
      </c>
      <c r="E162" s="654">
        <f>'Input data'!J142</f>
        <v>11.504772374209397</v>
      </c>
      <c r="F162" s="673">
        <f>'Input data'!L142/C162</f>
        <v>14.347100781916351</v>
      </c>
      <c r="G162" s="673">
        <f t="shared" si="125"/>
        <v>4.7147685431121138</v>
      </c>
      <c r="H162" s="696">
        <f t="shared" si="93"/>
        <v>6.4912554707395609</v>
      </c>
      <c r="I162" s="1351">
        <f t="shared" si="94"/>
        <v>2.8423284077069528</v>
      </c>
      <c r="J162" s="805">
        <f t="shared" si="124"/>
        <v>0.4</v>
      </c>
      <c r="K162" s="696">
        <f t="shared" si="116"/>
        <v>1.1369313630827811</v>
      </c>
      <c r="L162" s="673">
        <f t="shared" si="95"/>
        <v>0.96248877021284696</v>
      </c>
      <c r="M162" s="802">
        <f t="shared" si="117"/>
        <v>2.0994201332956282</v>
      </c>
      <c r="N162" s="805">
        <f t="shared" si="123"/>
        <v>0.5</v>
      </c>
      <c r="O162" s="1407">
        <f t="shared" si="96"/>
        <v>1.0361992776035385</v>
      </c>
      <c r="P162" s="898">
        <f t="shared" si="118"/>
        <v>1.9981917548471571</v>
      </c>
      <c r="Q162" s="696">
        <f t="shared" si="97"/>
        <v>9.2078322590045172</v>
      </c>
      <c r="R162" s="673">
        <f t="shared" si="98"/>
        <v>4.4930637158924034</v>
      </c>
      <c r="S162" s="1486">
        <f t="shared" si="119"/>
        <v>0.59888070839722707</v>
      </c>
      <c r="T162" s="135" t="str">
        <f t="shared" si="99"/>
        <v>Policies met</v>
      </c>
      <c r="U162" s="1353">
        <f t="shared" si="100"/>
        <v>0.59888070839722707</v>
      </c>
      <c r="V162" s="135" t="str">
        <f t="shared" si="101"/>
        <v>No</v>
      </c>
      <c r="W162" s="1354">
        <f t="shared" si="102"/>
        <v>7.4571145525009781</v>
      </c>
      <c r="X162" s="696">
        <f t="shared" si="103"/>
        <v>4.7147685431121138</v>
      </c>
      <c r="Y162" s="118">
        <f t="shared" si="104"/>
        <v>1.5230041767661824</v>
      </c>
      <c r="Z162" s="673">
        <f t="shared" si="105"/>
        <v>1.2094338439422794</v>
      </c>
      <c r="AA162" s="673">
        <f t="shared" si="106"/>
        <v>0</v>
      </c>
      <c r="AB162" s="673">
        <f t="shared" si="107"/>
        <v>9.9079886804020259E-3</v>
      </c>
      <c r="AC162" s="673">
        <f t="shared" si="108"/>
        <v>7.4571145525009772</v>
      </c>
      <c r="AD162" s="847">
        <f t="shared" ref="AD162:AD168" si="126">AC162-W162</f>
        <v>0</v>
      </c>
      <c r="AE162" s="510">
        <f t="shared" si="109"/>
        <v>0.6322510550050312</v>
      </c>
      <c r="AF162" s="510">
        <f t="shared" si="110"/>
        <v>0.20423505178090567</v>
      </c>
      <c r="AG162" s="510">
        <f t="shared" si="111"/>
        <v>0.16218523068505872</v>
      </c>
      <c r="AH162" s="510">
        <f t="shared" si="112"/>
        <v>1.3286625290044754E-3</v>
      </c>
      <c r="AI162" s="510">
        <f t="shared" si="113"/>
        <v>1.3286625290044754E-3</v>
      </c>
      <c r="AJ162" s="658">
        <f t="shared" si="114"/>
        <v>1.0013286625290045</v>
      </c>
    </row>
    <row r="163" spans="1:36">
      <c r="A163" s="127">
        <f>'Input data'!A143</f>
        <v>2045</v>
      </c>
      <c r="B163" s="828">
        <f>'Input data'!B143</f>
        <v>73.62</v>
      </c>
      <c r="C163" s="238">
        <f>'Input data'!C143</f>
        <v>5709.93</v>
      </c>
      <c r="D163" s="239">
        <f>'Input data'!D143</f>
        <v>14436420.695743607</v>
      </c>
      <c r="E163" s="654">
        <f>'Input data'!J143</f>
        <v>11.504772374209397</v>
      </c>
      <c r="F163" s="673">
        <f>'Input data'!L143/C163</f>
        <v>14.033073193263855</v>
      </c>
      <c r="G163" s="673">
        <f t="shared" si="125"/>
        <v>4.7147685431121138</v>
      </c>
      <c r="H163" s="696">
        <f t="shared" si="93"/>
        <v>6.1965555700251178</v>
      </c>
      <c r="I163" s="1351">
        <f t="shared" si="94"/>
        <v>2.5283008190544556</v>
      </c>
      <c r="J163" s="805">
        <f t="shared" si="124"/>
        <v>0.4</v>
      </c>
      <c r="K163" s="696">
        <f t="shared" si="116"/>
        <v>1.0113203276217824</v>
      </c>
      <c r="L163" s="673">
        <f t="shared" si="95"/>
        <v>0.96248877021284696</v>
      </c>
      <c r="M163" s="802">
        <f t="shared" si="117"/>
        <v>1.9738090978346294</v>
      </c>
      <c r="N163" s="805">
        <f t="shared" si="123"/>
        <v>0.5</v>
      </c>
      <c r="O163" s="1407">
        <f t="shared" si="96"/>
        <v>1.0361992776035385</v>
      </c>
      <c r="P163" s="898">
        <f t="shared" si="118"/>
        <v>1.8919084073242127</v>
      </c>
      <c r="Q163" s="696">
        <f t="shared" si="97"/>
        <v>9.0194157058130191</v>
      </c>
      <c r="R163" s="673">
        <f t="shared" si="98"/>
        <v>4.3046471627009053</v>
      </c>
      <c r="S163" s="1486">
        <f t="shared" si="119"/>
        <v>0.57376665571865815</v>
      </c>
      <c r="T163" s="135" t="str">
        <f t="shared" si="99"/>
        <v>Policies met</v>
      </c>
      <c r="U163" s="1353">
        <f t="shared" si="100"/>
        <v>0.57376665571865815</v>
      </c>
      <c r="V163" s="135" t="str">
        <f t="shared" si="101"/>
        <v>No</v>
      </c>
      <c r="W163" s="1354">
        <f t="shared" si="102"/>
        <v>7.4320184233093194</v>
      </c>
      <c r="X163" s="696">
        <f t="shared" si="103"/>
        <v>4.7147685431121138</v>
      </c>
      <c r="Y163" s="118">
        <f t="shared" si="104"/>
        <v>1.4215651349828402</v>
      </c>
      <c r="Z163" s="673">
        <f t="shared" si="105"/>
        <v>1.2851564180090722</v>
      </c>
      <c r="AA163" s="673">
        <f t="shared" si="106"/>
        <v>0</v>
      </c>
      <c r="AB163" s="673">
        <f t="shared" si="107"/>
        <v>1.052832720529326E-2</v>
      </c>
      <c r="AC163" s="673">
        <f t="shared" si="108"/>
        <v>7.4320184233093194</v>
      </c>
      <c r="AD163" s="847">
        <f t="shared" si="126"/>
        <v>0</v>
      </c>
      <c r="AE163" s="510">
        <f t="shared" si="109"/>
        <v>0.63438601394272753</v>
      </c>
      <c r="AF163" s="510">
        <f t="shared" si="110"/>
        <v>0.19127578189584837</v>
      </c>
      <c r="AG163" s="510">
        <f t="shared" si="111"/>
        <v>0.17292158668207652</v>
      </c>
      <c r="AH163" s="510">
        <f t="shared" si="112"/>
        <v>1.4166174793475849E-3</v>
      </c>
      <c r="AI163" s="510">
        <f t="shared" si="113"/>
        <v>1.4166174793475849E-3</v>
      </c>
      <c r="AJ163" s="658">
        <f t="shared" si="114"/>
        <v>1.0014166174793475</v>
      </c>
    </row>
    <row r="164" spans="1:36">
      <c r="A164" s="127">
        <f>'Input data'!A144</f>
        <v>2046</v>
      </c>
      <c r="B164" s="828">
        <f>'Input data'!B144</f>
        <v>73.995000000000005</v>
      </c>
      <c r="C164" s="238">
        <f>'Input data'!C144</f>
        <v>5902.43</v>
      </c>
      <c r="D164" s="239">
        <f>'Input data'!D144</f>
        <v>13163017.836628802</v>
      </c>
      <c r="E164" s="654">
        <f>'Input data'!J144</f>
        <v>11.504772374209397</v>
      </c>
      <c r="F164" s="673">
        <f>'Input data'!L144/C164</f>
        <v>13.734873847099173</v>
      </c>
      <c r="G164" s="673">
        <f t="shared" si="125"/>
        <v>4.7147685431121138</v>
      </c>
      <c r="H164" s="696">
        <f t="shared" si="93"/>
        <v>5.9167097192674314</v>
      </c>
      <c r="I164" s="1351">
        <f t="shared" si="94"/>
        <v>2.2301014728897761</v>
      </c>
      <c r="J164" s="805">
        <f t="shared" si="124"/>
        <v>0.4</v>
      </c>
      <c r="K164" s="696">
        <f t="shared" si="116"/>
        <v>0.89204058915591045</v>
      </c>
      <c r="L164" s="673">
        <f t="shared" si="95"/>
        <v>0.96248877021284696</v>
      </c>
      <c r="M164" s="802">
        <f t="shared" si="117"/>
        <v>1.8545293593687573</v>
      </c>
      <c r="N164" s="805">
        <f t="shared" si="123"/>
        <v>0.5</v>
      </c>
      <c r="O164" s="1407">
        <f t="shared" si="96"/>
        <v>1.0361992776035385</v>
      </c>
      <c r="P164" s="898">
        <f t="shared" si="118"/>
        <v>1.7909821642653339</v>
      </c>
      <c r="Q164" s="696">
        <f t="shared" si="97"/>
        <v>8.8404960981142118</v>
      </c>
      <c r="R164" s="673">
        <f t="shared" si="98"/>
        <v>4.125727555002098</v>
      </c>
      <c r="S164" s="1486">
        <f t="shared" si="119"/>
        <v>0.5499184514241563</v>
      </c>
      <c r="T164" s="135" t="str">
        <f t="shared" si="99"/>
        <v>Policies met</v>
      </c>
      <c r="U164" s="1353">
        <f t="shared" si="100"/>
        <v>0.5499184514241563</v>
      </c>
      <c r="V164" s="135" t="str">
        <f t="shared" si="101"/>
        <v>No</v>
      </c>
      <c r="W164" s="1354">
        <f t="shared" si="102"/>
        <v>7.4081872390865282</v>
      </c>
      <c r="X164" s="696">
        <f t="shared" si="103"/>
        <v>4.7147685431121138</v>
      </c>
      <c r="Y164" s="118">
        <f t="shared" si="104"/>
        <v>1.325239025340168</v>
      </c>
      <c r="Z164" s="673">
        <f t="shared" si="105"/>
        <v>1.3570622724389885</v>
      </c>
      <c r="AA164" s="673">
        <f t="shared" si="106"/>
        <v>0</v>
      </c>
      <c r="AB164" s="673">
        <f t="shared" si="107"/>
        <v>1.1117398195256601E-2</v>
      </c>
      <c r="AC164" s="673">
        <f t="shared" si="108"/>
        <v>7.4081872390865273</v>
      </c>
      <c r="AD164" s="847">
        <f t="shared" si="126"/>
        <v>0</v>
      </c>
      <c r="AE164" s="510">
        <f t="shared" si="109"/>
        <v>0.63642675204487298</v>
      </c>
      <c r="AF164" s="510">
        <f t="shared" si="110"/>
        <v>0.17888843553359995</v>
      </c>
      <c r="AG164" s="510">
        <f t="shared" si="111"/>
        <v>0.18318412165380449</v>
      </c>
      <c r="AH164" s="510">
        <f t="shared" si="112"/>
        <v>1.5006907677224748E-3</v>
      </c>
      <c r="AI164" s="510">
        <f t="shared" si="113"/>
        <v>1.5006907677224748E-3</v>
      </c>
      <c r="AJ164" s="658">
        <f t="shared" si="114"/>
        <v>1.0015006907677224</v>
      </c>
    </row>
    <row r="165" spans="1:36">
      <c r="A165" s="127">
        <f>'Input data'!A145</f>
        <v>2047</v>
      </c>
      <c r="B165" s="829">
        <f>'Input data'!B145</f>
        <v>74.373000000000005</v>
      </c>
      <c r="C165" s="238">
        <f>'Input data'!C145</f>
        <v>6104.119999999999</v>
      </c>
      <c r="D165" s="830">
        <f>'Input data'!D145</f>
        <v>11891310.587179929</v>
      </c>
      <c r="E165" s="809">
        <f>'Input data'!J145</f>
        <v>11.504772374209397</v>
      </c>
      <c r="F165" s="673">
        <f>'Input data'!L145/C165</f>
        <v>13.452851800429709</v>
      </c>
      <c r="G165" s="673">
        <f t="shared" si="125"/>
        <v>4.7147685431121138</v>
      </c>
      <c r="H165" s="696">
        <f t="shared" si="93"/>
        <v>5.6520454918044534</v>
      </c>
      <c r="I165" s="1351">
        <f t="shared" si="94"/>
        <v>1.948079426220312</v>
      </c>
      <c r="J165" s="804">
        <f t="shared" si="124"/>
        <v>0.4</v>
      </c>
      <c r="K165" s="696">
        <f t="shared" si="116"/>
        <v>0.77923177048812486</v>
      </c>
      <c r="L165" s="673">
        <f t="shared" si="95"/>
        <v>0.96248877021284696</v>
      </c>
      <c r="M165" s="802">
        <f t="shared" si="117"/>
        <v>1.7417205407009719</v>
      </c>
      <c r="N165" s="805">
        <f t="shared" si="123"/>
        <v>0.5</v>
      </c>
      <c r="O165" s="1407">
        <f t="shared" si="96"/>
        <v>1.0361992776035385</v>
      </c>
      <c r="P165" s="898">
        <f t="shared" si="118"/>
        <v>1.6955311648040343</v>
      </c>
      <c r="Q165" s="696">
        <f t="shared" si="97"/>
        <v>8.6712828701125328</v>
      </c>
      <c r="R165" s="673">
        <f t="shared" si="98"/>
        <v>3.9565143270004191</v>
      </c>
      <c r="S165" s="1486">
        <f t="shared" si="119"/>
        <v>0.52736401101028396</v>
      </c>
      <c r="T165" s="135" t="str">
        <f t="shared" si="99"/>
        <v>Policies met</v>
      </c>
      <c r="U165" s="1353">
        <f t="shared" si="100"/>
        <v>0.52736401101028396</v>
      </c>
      <c r="V165" s="135" t="str">
        <f t="shared" si="101"/>
        <v>No</v>
      </c>
      <c r="W165" s="1354">
        <f t="shared" si="102"/>
        <v>7.3856488954063337</v>
      </c>
      <c r="X165" s="696">
        <f t="shared" si="103"/>
        <v>4.7147685431121147</v>
      </c>
      <c r="Y165" s="118">
        <f t="shared" si="104"/>
        <v>1.2341386022891694</v>
      </c>
      <c r="Z165" s="673">
        <f t="shared" si="105"/>
        <v>1.4250672378913363</v>
      </c>
      <c r="AA165" s="673">
        <f t="shared" si="106"/>
        <v>0</v>
      </c>
      <c r="AB165" s="673">
        <f t="shared" si="107"/>
        <v>1.1674512113713433E-2</v>
      </c>
      <c r="AC165" s="673">
        <f t="shared" si="108"/>
        <v>7.3856488954063337</v>
      </c>
      <c r="AD165" s="847">
        <f t="shared" si="126"/>
        <v>0</v>
      </c>
      <c r="AE165" s="510">
        <f t="shared" si="109"/>
        <v>0.63836889755815074</v>
      </c>
      <c r="AF165" s="510">
        <f t="shared" si="110"/>
        <v>0.16709954937835847</v>
      </c>
      <c r="AG165" s="510">
        <f t="shared" si="111"/>
        <v>0.19295085077462701</v>
      </c>
      <c r="AH165" s="510">
        <f t="shared" si="112"/>
        <v>1.580702288863833E-3</v>
      </c>
      <c r="AI165" s="510">
        <f t="shared" si="113"/>
        <v>1.580702288863833E-3</v>
      </c>
      <c r="AJ165" s="658">
        <f t="shared" si="114"/>
        <v>1.0015807022888639</v>
      </c>
    </row>
    <row r="166" spans="1:36">
      <c r="A166" s="127">
        <f>'Input data'!A146</f>
        <v>2048</v>
      </c>
      <c r="B166" s="828">
        <f>'Input data'!B146</f>
        <v>74.753</v>
      </c>
      <c r="C166" s="238">
        <f>'Input data'!C146</f>
        <v>6308.13</v>
      </c>
      <c r="D166" s="239">
        <f>'Input data'!D146</f>
        <v>10619603.337731058</v>
      </c>
      <c r="E166" s="654">
        <f>'Input data'!J146</f>
        <v>11.504772374209397</v>
      </c>
      <c r="F166" s="673">
        <f>'Input data'!L146/C166</f>
        <v>13.188251208306198</v>
      </c>
      <c r="G166" s="673">
        <f t="shared" si="125"/>
        <v>4.7147685431121138</v>
      </c>
      <c r="H166" s="696">
        <f t="shared" si="93"/>
        <v>5.4037304677570868</v>
      </c>
      <c r="I166" s="1351">
        <f t="shared" si="94"/>
        <v>1.6834788340968017</v>
      </c>
      <c r="J166" s="805">
        <f t="shared" si="124"/>
        <v>0.4</v>
      </c>
      <c r="K166" s="696">
        <f t="shared" si="116"/>
        <v>0.67339153363872073</v>
      </c>
      <c r="L166" s="673">
        <f t="shared" si="95"/>
        <v>0.96248877021284696</v>
      </c>
      <c r="M166" s="802">
        <f t="shared" si="117"/>
        <v>1.6358803038515677</v>
      </c>
      <c r="N166" s="805">
        <f t="shared" si="123"/>
        <v>0.5</v>
      </c>
      <c r="O166" s="1407">
        <f t="shared" si="96"/>
        <v>1.0361992776035385</v>
      </c>
      <c r="P166" s="898">
        <f t="shared" si="118"/>
        <v>1.6059764960307743</v>
      </c>
      <c r="Q166" s="696">
        <f t="shared" si="97"/>
        <v>8.5125225148384267</v>
      </c>
      <c r="R166" s="673">
        <f t="shared" si="98"/>
        <v>3.7977539717263129</v>
      </c>
      <c r="S166" s="1486">
        <f t="shared" si="119"/>
        <v>0.50620283457389159</v>
      </c>
      <c r="T166" s="135" t="str">
        <f t="shared" si="99"/>
        <v>Policies met</v>
      </c>
      <c r="U166" s="1353">
        <f t="shared" si="100"/>
        <v>0.50620283457389159</v>
      </c>
      <c r="V166" s="135" t="str">
        <f t="shared" si="101"/>
        <v>No</v>
      </c>
      <c r="W166" s="1354">
        <f t="shared" si="102"/>
        <v>7.3645028213540007</v>
      </c>
      <c r="X166" s="696">
        <f t="shared" si="103"/>
        <v>4.7147685431121138</v>
      </c>
      <c r="Y166" s="118">
        <f t="shared" si="104"/>
        <v>1.1486657601242856</v>
      </c>
      <c r="Z166" s="673">
        <f t="shared" si="105"/>
        <v>1.488871306894209</v>
      </c>
      <c r="AA166" s="673">
        <f t="shared" si="106"/>
        <v>0</v>
      </c>
      <c r="AB166" s="673">
        <f t="shared" si="107"/>
        <v>1.2197211223392245E-2</v>
      </c>
      <c r="AC166" s="673">
        <f t="shared" si="108"/>
        <v>7.3645028213540007</v>
      </c>
      <c r="AD166" s="847">
        <f t="shared" si="126"/>
        <v>0</v>
      </c>
      <c r="AE166" s="510">
        <f t="shared" si="109"/>
        <v>0.6402018788615631</v>
      </c>
      <c r="AF166" s="510">
        <f t="shared" si="110"/>
        <v>0.15597329351190303</v>
      </c>
      <c r="AG166" s="510">
        <f t="shared" si="111"/>
        <v>0.20216861110801673</v>
      </c>
      <c r="AH166" s="510">
        <f t="shared" si="112"/>
        <v>1.6562165185170948E-3</v>
      </c>
      <c r="AI166" s="510">
        <f t="shared" si="113"/>
        <v>1.6562165185170948E-3</v>
      </c>
      <c r="AJ166" s="658">
        <f t="shared" si="114"/>
        <v>1.001656216518517</v>
      </c>
    </row>
    <row r="167" spans="1:36">
      <c r="A167" s="127">
        <f>'Input data'!A147</f>
        <v>2049</v>
      </c>
      <c r="B167" s="828">
        <f>'Input data'!B147</f>
        <v>75.134</v>
      </c>
      <c r="C167" s="238">
        <f>'Input data'!C147</f>
        <v>6522.2000000000007</v>
      </c>
      <c r="D167" s="239">
        <f>'Input data'!D147</f>
        <v>9347896.0882821828</v>
      </c>
      <c r="E167" s="654">
        <f>'Input data'!J147</f>
        <v>11.504772374209397</v>
      </c>
      <c r="F167" s="673">
        <f>'Input data'!L147/C167</f>
        <v>12.938015158589236</v>
      </c>
      <c r="G167" s="673">
        <f t="shared" si="125"/>
        <v>4.7147685431121138</v>
      </c>
      <c r="H167" s="696">
        <f t="shared" si="93"/>
        <v>5.1688958810151915</v>
      </c>
      <c r="I167" s="1351">
        <f t="shared" si="94"/>
        <v>1.4332427843798383</v>
      </c>
      <c r="J167" s="805">
        <f t="shared" si="124"/>
        <v>0.4</v>
      </c>
      <c r="K167" s="696">
        <f t="shared" si="116"/>
        <v>0.57329711375193537</v>
      </c>
      <c r="L167" s="673">
        <f t="shared" si="95"/>
        <v>0.96248877021284696</v>
      </c>
      <c r="M167" s="802">
        <f t="shared" si="117"/>
        <v>1.5357858839647824</v>
      </c>
      <c r="N167" s="805">
        <f t="shared" si="123"/>
        <v>0.5</v>
      </c>
      <c r="O167" s="1407">
        <f t="shared" si="96"/>
        <v>1.0361992776035385</v>
      </c>
      <c r="P167" s="898">
        <f t="shared" si="118"/>
        <v>1.5212835391190556</v>
      </c>
      <c r="Q167" s="696">
        <f t="shared" si="97"/>
        <v>8.3623808850082497</v>
      </c>
      <c r="R167" s="673">
        <f t="shared" si="98"/>
        <v>3.6476123418961359</v>
      </c>
      <c r="S167" s="1486">
        <f t="shared" si="119"/>
        <v>0.48619044852324067</v>
      </c>
      <c r="T167" s="135" t="str">
        <f t="shared" si="99"/>
        <v>Policies met</v>
      </c>
      <c r="U167" s="1353">
        <f t="shared" si="100"/>
        <v>0.48619044852324067</v>
      </c>
      <c r="V167" s="135" t="str">
        <f t="shared" si="101"/>
        <v>No</v>
      </c>
      <c r="W167" s="1354">
        <f t="shared" si="102"/>
        <v>7.3445047178145799</v>
      </c>
      <c r="X167" s="696">
        <f t="shared" si="103"/>
        <v>4.7147685431121138</v>
      </c>
      <c r="Y167" s="118">
        <f t="shared" si="104"/>
        <v>1.067833037076416</v>
      </c>
      <c r="Z167" s="673">
        <f t="shared" si="105"/>
        <v>1.5492116033954912</v>
      </c>
      <c r="AA167" s="673">
        <f t="shared" si="106"/>
        <v>0</v>
      </c>
      <c r="AB167" s="673">
        <f t="shared" si="107"/>
        <v>1.2691534230559008E-2</v>
      </c>
      <c r="AC167" s="673">
        <f t="shared" si="108"/>
        <v>7.3445047178145799</v>
      </c>
      <c r="AD167" s="847">
        <f t="shared" si="126"/>
        <v>0</v>
      </c>
      <c r="AE167" s="510">
        <f t="shared" si="109"/>
        <v>0.6419450629088892</v>
      </c>
      <c r="AF167" s="510">
        <f t="shared" si="110"/>
        <v>0.14539210989766493</v>
      </c>
      <c r="AG167" s="510">
        <f t="shared" si="111"/>
        <v>0.21093479586687125</v>
      </c>
      <c r="AH167" s="510">
        <f t="shared" si="112"/>
        <v>1.7280313265746643E-3</v>
      </c>
      <c r="AI167" s="510">
        <f t="shared" si="113"/>
        <v>1.7280313265746643E-3</v>
      </c>
      <c r="AJ167" s="658">
        <f t="shared" si="114"/>
        <v>1.0017280313265746</v>
      </c>
    </row>
    <row r="168" spans="1:36" ht="15.75" thickBot="1">
      <c r="A168" s="172">
        <f>'Input data'!A148</f>
        <v>2050</v>
      </c>
      <c r="B168" s="831">
        <f>'Input data'!B148</f>
        <v>75.518000000000001</v>
      </c>
      <c r="C168" s="241">
        <f>'Input data'!C148</f>
        <v>6747.1300000000019</v>
      </c>
      <c r="D168" s="242">
        <f>'Input data'!D148</f>
        <v>8077884.4484992418</v>
      </c>
      <c r="E168" s="810">
        <f>'Input data'!J148</f>
        <v>11.504772374209397</v>
      </c>
      <c r="F168" s="814">
        <f>'Input data'!L148/C168</f>
        <v>12.702005041802764</v>
      </c>
      <c r="G168" s="814">
        <f t="shared" si="125"/>
        <v>4.7147685431121138</v>
      </c>
      <c r="H168" s="849">
        <f t="shared" si="93"/>
        <v>4.9474116532025088</v>
      </c>
      <c r="I168" s="1352">
        <f t="shared" si="94"/>
        <v>1.1972326675933678</v>
      </c>
      <c r="J168" s="806">
        <f t="shared" si="124"/>
        <v>0.4</v>
      </c>
      <c r="K168" s="849">
        <f t="shared" si="116"/>
        <v>0.47889306703734713</v>
      </c>
      <c r="L168" s="814">
        <f t="shared" si="95"/>
        <v>0.96248877021284696</v>
      </c>
      <c r="M168" s="811">
        <f t="shared" si="117"/>
        <v>1.4413818372501941</v>
      </c>
      <c r="N168" s="806">
        <f t="shared" si="123"/>
        <v>0.5</v>
      </c>
      <c r="O168" s="1408">
        <f t="shared" si="96"/>
        <v>1.0361992776035385</v>
      </c>
      <c r="P168" s="899">
        <f t="shared" si="118"/>
        <v>1.4414053813782557</v>
      </c>
      <c r="Q168" s="849">
        <f t="shared" si="97"/>
        <v>8.220774814936366</v>
      </c>
      <c r="R168" s="814">
        <f t="shared" si="98"/>
        <v>3.5060062718242522</v>
      </c>
      <c r="S168" s="1487">
        <f t="shared" si="119"/>
        <v>0.46731576769954508</v>
      </c>
      <c r="T168" s="1390" t="str">
        <f t="shared" si="99"/>
        <v>Policies met</v>
      </c>
      <c r="U168" s="1362">
        <f t="shared" si="100"/>
        <v>0.46731576769954508</v>
      </c>
      <c r="V168" s="1390" t="str">
        <f t="shared" si="101"/>
        <v>No</v>
      </c>
      <c r="W168" s="1355">
        <f t="shared" si="102"/>
        <v>7.3256435075405824</v>
      </c>
      <c r="X168" s="849">
        <f t="shared" si="103"/>
        <v>4.7147685431121138</v>
      </c>
      <c r="Y168" s="121">
        <f t="shared" si="104"/>
        <v>0.99159565869598643</v>
      </c>
      <c r="Z168" s="814">
        <f t="shared" si="105"/>
        <v>1.6061215507843891</v>
      </c>
      <c r="AA168" s="814">
        <f t="shared" si="106"/>
        <v>0</v>
      </c>
      <c r="AB168" s="814">
        <f t="shared" si="107"/>
        <v>1.3157754948092019E-2</v>
      </c>
      <c r="AC168" s="814">
        <f t="shared" si="108"/>
        <v>7.3256435075405806</v>
      </c>
      <c r="AD168" s="860">
        <f t="shared" si="126"/>
        <v>0</v>
      </c>
      <c r="AE168" s="807">
        <f t="shared" si="109"/>
        <v>0.64359786799057483</v>
      </c>
      <c r="AF168" s="807">
        <f t="shared" si="110"/>
        <v>0.13535952953147351</v>
      </c>
      <c r="AG168" s="807">
        <f t="shared" si="111"/>
        <v>0.21924647972988903</v>
      </c>
      <c r="AH168" s="807">
        <f t="shared" si="112"/>
        <v>1.7961227480627756E-3</v>
      </c>
      <c r="AI168" s="807">
        <f>AB168/AC168</f>
        <v>1.7961227480627756E-3</v>
      </c>
      <c r="AJ168" s="808">
        <f t="shared" si="114"/>
        <v>1.0017961227480627</v>
      </c>
    </row>
    <row r="169" spans="1:36">
      <c r="F169" s="917"/>
      <c r="G169" s="917"/>
      <c r="S169" s="104"/>
      <c r="T169" s="1338"/>
    </row>
    <row r="170" spans="1:36" ht="23.25">
      <c r="A170" s="865" t="s">
        <v>784</v>
      </c>
    </row>
    <row r="171" spans="1:36" ht="24" thickBot="1">
      <c r="A171" s="865"/>
    </row>
    <row r="172" spans="1:36" ht="21.6" customHeight="1" thickBot="1">
      <c r="A172" s="1593" t="s">
        <v>688</v>
      </c>
      <c r="B172" s="1594"/>
      <c r="C172" s="1594"/>
      <c r="D172" s="1595"/>
      <c r="E172" s="1621" t="s">
        <v>690</v>
      </c>
      <c r="F172" s="1622"/>
      <c r="G172" s="1622"/>
      <c r="H172" s="1622"/>
      <c r="I172" s="1623"/>
      <c r="J172" s="1624" t="s">
        <v>691</v>
      </c>
      <c r="K172" s="1625"/>
      <c r="L172" s="1626"/>
      <c r="M172" s="1627" t="s">
        <v>698</v>
      </c>
      <c r="N172" s="1629" t="s">
        <v>696</v>
      </c>
      <c r="O172" s="1670"/>
      <c r="P172" s="1602" t="s">
        <v>675</v>
      </c>
      <c r="Q172" s="1604" t="s">
        <v>681</v>
      </c>
      <c r="R172" s="1604" t="s">
        <v>661</v>
      </c>
      <c r="S172" s="1604" t="s">
        <v>729</v>
      </c>
      <c r="T172" s="1606" t="s">
        <v>731</v>
      </c>
      <c r="U172" s="1604" t="s">
        <v>730</v>
      </c>
      <c r="V172" s="1606" t="s">
        <v>733</v>
      </c>
      <c r="W172" s="1609" t="s">
        <v>699</v>
      </c>
      <c r="X172" s="1440" t="s">
        <v>672</v>
      </c>
      <c r="Y172" s="1440"/>
      <c r="Z172" s="1440"/>
      <c r="AA172" s="1440"/>
      <c r="AB172" s="1440"/>
      <c r="AC172" s="1440"/>
      <c r="AD172" s="1440"/>
      <c r="AE172" s="1440"/>
      <c r="AF172" s="1440"/>
      <c r="AG172" s="1440"/>
      <c r="AH172" s="1440"/>
      <c r="AI172" s="1440"/>
      <c r="AJ172" s="1441"/>
    </row>
    <row r="173" spans="1:36" ht="37.9" customHeight="1">
      <c r="A173" s="1619" t="s">
        <v>217</v>
      </c>
      <c r="B173" s="884" t="s">
        <v>218</v>
      </c>
      <c r="C173" s="884" t="s">
        <v>464</v>
      </c>
      <c r="D173" s="579" t="s">
        <v>725</v>
      </c>
      <c r="E173" s="886" t="s">
        <v>551</v>
      </c>
      <c r="F173" s="885" t="s">
        <v>555</v>
      </c>
      <c r="G173" s="885" t="s">
        <v>677</v>
      </c>
      <c r="H173" s="887" t="s">
        <v>680</v>
      </c>
      <c r="I173" s="887" t="s">
        <v>721</v>
      </c>
      <c r="J173" s="634" t="s">
        <v>367</v>
      </c>
      <c r="K173" s="1438" t="s">
        <v>367</v>
      </c>
      <c r="L173" s="888" t="s">
        <v>693</v>
      </c>
      <c r="M173" s="1628"/>
      <c r="N173" s="639" t="s">
        <v>694</v>
      </c>
      <c r="O173" s="642" t="s">
        <v>695</v>
      </c>
      <c r="P173" s="1603"/>
      <c r="Q173" s="1605"/>
      <c r="R173" s="1605"/>
      <c r="S173" s="1605"/>
      <c r="T173" s="1607"/>
      <c r="U173" s="1605"/>
      <c r="V173" s="1607"/>
      <c r="W173" s="1610"/>
      <c r="X173" s="1360" t="s">
        <v>549</v>
      </c>
      <c r="Y173" s="901" t="s">
        <v>565</v>
      </c>
      <c r="Z173" s="901" t="s">
        <v>428</v>
      </c>
      <c r="AA173" s="901" t="s">
        <v>429</v>
      </c>
      <c r="AB173" s="901" t="s">
        <v>553</v>
      </c>
      <c r="AC173" s="901" t="s">
        <v>225</v>
      </c>
      <c r="AD173" s="905" t="s">
        <v>671</v>
      </c>
      <c r="AE173" s="900" t="s">
        <v>549</v>
      </c>
      <c r="AF173" s="901" t="s">
        <v>565</v>
      </c>
      <c r="AG173" s="901" t="s">
        <v>428</v>
      </c>
      <c r="AH173" s="901" t="s">
        <v>429</v>
      </c>
      <c r="AI173" s="901" t="s">
        <v>553</v>
      </c>
      <c r="AJ173" s="902" t="s">
        <v>225</v>
      </c>
    </row>
    <row r="174" spans="1:36" ht="36" customHeight="1" thickBot="1">
      <c r="A174" s="1620"/>
      <c r="B174" s="1430" t="s">
        <v>232</v>
      </c>
      <c r="C174" s="1431" t="s">
        <v>558</v>
      </c>
      <c r="D174" s="1432" t="s">
        <v>556</v>
      </c>
      <c r="E174" s="1433" t="s">
        <v>689</v>
      </c>
      <c r="F174" s="1434" t="s">
        <v>689</v>
      </c>
      <c r="G174" s="1434" t="str">
        <f>F174</f>
        <v>Gg/GDP ZAR billion</v>
      </c>
      <c r="H174" s="1435" t="str">
        <f>G174</f>
        <v>Gg/GDP ZAR billion</v>
      </c>
      <c r="I174" s="1435" t="s">
        <v>692</v>
      </c>
      <c r="J174" s="889" t="s">
        <v>229</v>
      </c>
      <c r="K174" s="890" t="s">
        <v>692</v>
      </c>
      <c r="L174" s="892" t="s">
        <v>692</v>
      </c>
      <c r="M174" s="1359" t="s">
        <v>692</v>
      </c>
      <c r="N174" s="868" t="s">
        <v>229</v>
      </c>
      <c r="O174" s="642" t="s">
        <v>692</v>
      </c>
      <c r="P174" s="1366" t="s">
        <v>692</v>
      </c>
      <c r="Q174" s="1366" t="s">
        <v>692</v>
      </c>
      <c r="R174" s="1366" t="s">
        <v>692</v>
      </c>
      <c r="S174" s="1411" t="s">
        <v>28</v>
      </c>
      <c r="T174" s="1608"/>
      <c r="U174" s="1411" t="s">
        <v>28</v>
      </c>
      <c r="V174" s="1608"/>
      <c r="W174" s="1366" t="s">
        <v>692</v>
      </c>
      <c r="X174" s="1410" t="s">
        <v>228</v>
      </c>
      <c r="Y174" s="1367" t="s">
        <v>228</v>
      </c>
      <c r="Z174" s="1367" t="s">
        <v>228</v>
      </c>
      <c r="AA174" s="1367" t="s">
        <v>228</v>
      </c>
      <c r="AB174" s="1367" t="s">
        <v>228</v>
      </c>
      <c r="AC174" s="1367" t="s">
        <v>228</v>
      </c>
      <c r="AD174" s="1368" t="s">
        <v>669</v>
      </c>
      <c r="AE174" s="908" t="s">
        <v>229</v>
      </c>
      <c r="AF174" s="903" t="s">
        <v>229</v>
      </c>
      <c r="AG174" s="903" t="s">
        <v>229</v>
      </c>
      <c r="AH174" s="903" t="s">
        <v>229</v>
      </c>
      <c r="AI174" s="903" t="s">
        <v>229</v>
      </c>
      <c r="AJ174" s="906" t="s">
        <v>229</v>
      </c>
    </row>
    <row r="175" spans="1:36">
      <c r="A175" s="934">
        <f>'Input data'!A115</f>
        <v>2017</v>
      </c>
      <c r="B175" s="935">
        <f>'Input data'!B115</f>
        <v>56.521999999999998</v>
      </c>
      <c r="C175" s="936">
        <f>'Input data'!C115</f>
        <v>3120.54</v>
      </c>
      <c r="D175" s="115">
        <f>'Input data'!E115</f>
        <v>49995051</v>
      </c>
      <c r="E175" s="812">
        <f>'Input data'!J115</f>
        <v>11.504772374209397</v>
      </c>
      <c r="F175" s="813">
        <f>'Input data'!L115/C135</f>
        <v>27.526054267727826</v>
      </c>
      <c r="G175" s="851">
        <f>F175*B11</f>
        <v>23.573842715560573</v>
      </c>
      <c r="H175" s="851">
        <f t="shared" ref="H175:H208" si="127">E175*$B$12+I175*$E$80-G175</f>
        <v>0</v>
      </c>
      <c r="I175" s="1436">
        <f t="shared" ref="I175:I208" si="128">D175/1000/C175</f>
        <v>16.021281893518431</v>
      </c>
      <c r="J175" s="510">
        <f>H17</f>
        <v>6.154773859516615E-2</v>
      </c>
      <c r="K175" s="696">
        <f>(I175)*J175</f>
        <v>0.98607366994174095</v>
      </c>
      <c r="L175" s="673">
        <f t="shared" ref="L175:L208" si="129">(E175)*$C$12*$G$12</f>
        <v>0.96248877021284696</v>
      </c>
      <c r="M175" s="802">
        <f>L175+K175</f>
        <v>1.9485624401545878</v>
      </c>
      <c r="N175" s="805">
        <v>0</v>
      </c>
      <c r="O175" s="1407">
        <f t="shared" ref="O175:O208" si="130">N175*E175*($C$84)*$B$12</f>
        <v>0</v>
      </c>
      <c r="P175" s="861">
        <f>O175+(K175-I175*$J$135)</f>
        <v>0</v>
      </c>
      <c r="Q175" s="696">
        <f t="shared" ref="Q175:Q208" si="131">E175*$B$12+I175*(1-$H$80)-P175</f>
        <v>23.573842715560573</v>
      </c>
      <c r="R175" s="673">
        <f t="shared" ref="R175:R208" si="132">Q175-G175</f>
        <v>0</v>
      </c>
      <c r="S175" s="1353">
        <f>R175/(Q175-(I175-K175))</f>
        <v>0</v>
      </c>
      <c r="T175" s="135" t="str">
        <f>IF(AND(S175&gt;=0,S175&lt;=0.85),"Policies met","Policies not met")</f>
        <v>Policies met</v>
      </c>
      <c r="U175" s="1353">
        <f>IF(S175&lt;=0,0,IF(S175&gt;=0.85,0.85,S175))</f>
        <v>0</v>
      </c>
      <c r="V175" s="135" t="str">
        <f>IF(AND(S175&gt;=0,S175&lt;=0.85),"No","Yes")</f>
        <v>No</v>
      </c>
      <c r="W175" s="1354">
        <f>($E$135)*(1-U175)+I175</f>
        <v>27.526054267727829</v>
      </c>
      <c r="X175" s="696">
        <f>Q175-U175*(Q175-(I175-K175))</f>
        <v>23.573842715560573</v>
      </c>
      <c r="Y175" s="118">
        <f>(L175)*(1-U175)+K175</f>
        <v>1.9485624401545878</v>
      </c>
      <c r="Z175" s="673">
        <f>($C$12*$H$12*$E$135+O175)*(1-U175)</f>
        <v>1.9789482589551808</v>
      </c>
      <c r="AA175" s="673">
        <f>$F$135*$D$11*(1-U175)</f>
        <v>0</v>
      </c>
      <c r="AB175" s="673">
        <f>$E$135*$E$12*(1-U175)</f>
        <v>2.4700853057483641E-2</v>
      </c>
      <c r="AC175" s="673">
        <f>SUM(X175:AB175)</f>
        <v>27.526054267727829</v>
      </c>
      <c r="AD175" s="674">
        <f t="shared" ref="AD175:AD193" si="133">AC175-W175</f>
        <v>0</v>
      </c>
      <c r="AE175" s="891">
        <f>X175/AC175</f>
        <v>0.85641924869700925</v>
      </c>
      <c r="AF175" s="803">
        <f>Y175/AC175</f>
        <v>7.0789747822270571E-2</v>
      </c>
      <c r="AG175" s="803">
        <f>Z175/AC175</f>
        <v>7.1893640828694608E-2</v>
      </c>
      <c r="AH175" s="803">
        <f>AB175/AC175</f>
        <v>8.9736265202541149E-4</v>
      </c>
      <c r="AI175" s="803">
        <f>AB175/AC175</f>
        <v>8.9736265202541149E-4</v>
      </c>
      <c r="AJ175" s="907">
        <f>SUM(AE175:AI175)</f>
        <v>1.0008973626520252</v>
      </c>
    </row>
    <row r="176" spans="1:36">
      <c r="A176" s="127">
        <f>'Input data'!A116</f>
        <v>2018</v>
      </c>
      <c r="B176" s="828">
        <f>'Input data'!B116</f>
        <v>57.436</v>
      </c>
      <c r="C176" s="238">
        <f>'Input data'!C116</f>
        <v>3152.24</v>
      </c>
      <c r="D176" s="104">
        <f>'Input data'!E116</f>
        <v>48694518.38623029</v>
      </c>
      <c r="E176" s="654">
        <f>'Input data'!J116</f>
        <v>11.504772374209397</v>
      </c>
      <c r="F176" s="673">
        <f>'Input data'!L116/C136</f>
        <v>26.95236468514711</v>
      </c>
      <c r="G176" s="696">
        <f>G175*0.94</f>
        <v>22.159412152626938</v>
      </c>
      <c r="H176" s="696">
        <f t="shared" si="127"/>
        <v>0.87605027681636471</v>
      </c>
      <c r="I176" s="1351">
        <f t="shared" si="128"/>
        <v>15.447592310937711</v>
      </c>
      <c r="J176" s="805">
        <f>($J$188-$J$175)/($A$188-$A$175)+J175</f>
        <v>8.7582527933999524E-2</v>
      </c>
      <c r="K176" s="696">
        <f>(I176)*J176</f>
        <v>1.3529391850857384</v>
      </c>
      <c r="L176" s="673">
        <f t="shared" si="129"/>
        <v>0.96248877021284696</v>
      </c>
      <c r="M176" s="802">
        <f t="shared" ref="M176:M208" si="134">L176+K176</f>
        <v>2.3154279552985852</v>
      </c>
      <c r="N176" s="805">
        <v>0.05</v>
      </c>
      <c r="O176" s="1407">
        <f t="shared" si="130"/>
        <v>0.10361992776035385</v>
      </c>
      <c r="P176" s="861">
        <f>O176+(K176-I176*$J$135)</f>
        <v>0.50579473936779951</v>
      </c>
      <c r="Q176" s="696">
        <f t="shared" si="131"/>
        <v>22.529667690075502</v>
      </c>
      <c r="R176" s="673">
        <f t="shared" si="132"/>
        <v>0.3702555374485641</v>
      </c>
      <c r="S176" s="1353">
        <f>R176/(Q176-(I176-K176))</f>
        <v>4.389506794913843E-2</v>
      </c>
      <c r="T176" s="135" t="str">
        <f t="shared" ref="T176:T208" si="135">IF(AND(S176&gt;=0,S176&lt;=0.85),"Policies met","Policies not met")</f>
        <v>Policies met</v>
      </c>
      <c r="U176" s="1353">
        <f t="shared" ref="U176:U208" si="136">IF(S176&lt;=0,0,IF(S176&gt;=0.85,0.85,S176))</f>
        <v>4.389506794913843E-2</v>
      </c>
      <c r="V176" s="135" t="str">
        <f t="shared" ref="V176:V208" si="137">IF(AND(S176&gt;=0,S176&lt;=0.85),"No","Yes")</f>
        <v>No</v>
      </c>
      <c r="W176" s="1354">
        <f t="shared" ref="W176:W208" si="138">($E$135)*(1-U176)+I176</f>
        <v>26.447361920041814</v>
      </c>
      <c r="X176" s="696">
        <f t="shared" ref="X176:X208" si="139">Q176-U176*(Q176-(I176-K176))</f>
        <v>22.159412152626938</v>
      </c>
      <c r="Y176" s="118">
        <f t="shared" ref="Y176:Y208" si="140">(L176)*(1-U176)+K176</f>
        <v>2.2731794453298098</v>
      </c>
      <c r="Z176" s="673">
        <f t="shared" ref="Z176:Z208" si="141">($C$12*$H$12*$E$135+O176)*(1-U176)</f>
        <v>1.9911537146509424</v>
      </c>
      <c r="AA176" s="673">
        <f t="shared" ref="AA176:AA208" si="142">$F$135*$D$11*(1-U176)</f>
        <v>0</v>
      </c>
      <c r="AB176" s="673">
        <f t="shared" ref="AB176:AB208" si="143">$E$135*$E$12*(1-U176)</f>
        <v>2.3616607434123714E-2</v>
      </c>
      <c r="AC176" s="673">
        <f t="shared" ref="AC176:AC208" si="144">SUM(X176:AB176)</f>
        <v>26.447361920041814</v>
      </c>
      <c r="AD176" s="847">
        <f t="shared" si="133"/>
        <v>0</v>
      </c>
      <c r="AE176" s="805">
        <f t="shared" ref="AE176:AE208" si="145">X176/AC176</f>
        <v>0.83786852615475926</v>
      </c>
      <c r="AF176" s="510">
        <f t="shared" ref="AF176:AF208" si="146">Y176/AC176</f>
        <v>8.5951084732091718E-2</v>
      </c>
      <c r="AG176" s="510">
        <f t="shared" ref="AG176:AG208" si="147">Z176/AC176</f>
        <v>7.5287422642409021E-2</v>
      </c>
      <c r="AH176" s="510">
        <f t="shared" ref="AH176:AH208" si="148">AB176/AC176</f>
        <v>8.9296647074001904E-4</v>
      </c>
      <c r="AI176" s="510">
        <f t="shared" ref="AI176:AI207" si="149">AB176/AC176</f>
        <v>8.9296647074001904E-4</v>
      </c>
      <c r="AJ176" s="658">
        <f t="shared" ref="AJ176:AJ208" si="150">SUM(AE176:AI176)</f>
        <v>1.00089296647074</v>
      </c>
    </row>
    <row r="177" spans="1:36">
      <c r="A177" s="127">
        <f>'Input data'!A117</f>
        <v>2019</v>
      </c>
      <c r="B177" s="828">
        <f>'Input data'!B117</f>
        <v>58.365000000000002</v>
      </c>
      <c r="C177" s="238">
        <f>'Input data'!C117</f>
        <v>3179.2899999999995</v>
      </c>
      <c r="D177" s="104">
        <f>'Input data'!E117</f>
        <v>48694518.38623029</v>
      </c>
      <c r="E177" s="654">
        <f>'Input data'!J117</f>
        <v>11.504772374209397</v>
      </c>
      <c r="F177" s="673">
        <f>'Input data'!L117/C137</f>
        <v>26.583601950904391</v>
      </c>
      <c r="G177" s="696">
        <f>G175*0.89</f>
        <v>20.98072001684891</v>
      </c>
      <c r="H177" s="696">
        <f t="shared" si="127"/>
        <v>1.9314006615404544</v>
      </c>
      <c r="I177" s="1351">
        <f t="shared" si="128"/>
        <v>15.316161276961301</v>
      </c>
      <c r="J177" s="805">
        <f t="shared" ref="J177:J187" si="151">($J$188-$J$175)/($A$188-$A$175)+J176</f>
        <v>0.11361731727283289</v>
      </c>
      <c r="K177" s="696">
        <f t="shared" ref="K177:K208" si="152">(I177)*J177</f>
        <v>1.7401811552063895</v>
      </c>
      <c r="L177" s="673">
        <f t="shared" si="129"/>
        <v>0.96248877021284696</v>
      </c>
      <c r="M177" s="802">
        <f t="shared" si="134"/>
        <v>2.7026699254192366</v>
      </c>
      <c r="N177" s="805">
        <v>0.1</v>
      </c>
      <c r="O177" s="1407">
        <f t="shared" si="130"/>
        <v>0.2072398555207077</v>
      </c>
      <c r="P177" s="861">
        <f t="shared" ref="P177:P208" si="153">O177+(K177-I177*$J$135)</f>
        <v>1.004745920171277</v>
      </c>
      <c r="Q177" s="696">
        <f t="shared" si="131"/>
        <v>21.907374758218086</v>
      </c>
      <c r="R177" s="673">
        <f t="shared" si="132"/>
        <v>0.9266547413691768</v>
      </c>
      <c r="S177" s="1353">
        <f t="shared" ref="S177:S208" si="154">R177/(Q177-(I177-K177))</f>
        <v>0.11122444462222213</v>
      </c>
      <c r="T177" s="135" t="str">
        <f t="shared" si="135"/>
        <v>Policies met</v>
      </c>
      <c r="U177" s="1353">
        <f t="shared" si="136"/>
        <v>0.11122444462222213</v>
      </c>
      <c r="V177" s="135" t="str">
        <f t="shared" si="137"/>
        <v>No</v>
      </c>
      <c r="W177" s="1354">
        <f t="shared" si="138"/>
        <v>25.541321733344173</v>
      </c>
      <c r="X177" s="696">
        <f t="shared" si="139"/>
        <v>20.98072001684891</v>
      </c>
      <c r="Y177" s="118">
        <f t="shared" si="140"/>
        <v>2.5956176464971872</v>
      </c>
      <c r="Z177" s="673">
        <f t="shared" si="141"/>
        <v>1.9430305556036047</v>
      </c>
      <c r="AA177" s="673">
        <f t="shared" si="142"/>
        <v>0</v>
      </c>
      <c r="AB177" s="673">
        <f t="shared" si="143"/>
        <v>2.1953514394469905E-2</v>
      </c>
      <c r="AC177" s="673">
        <f t="shared" si="144"/>
        <v>25.541321733344169</v>
      </c>
      <c r="AD177" s="847">
        <f t="shared" si="133"/>
        <v>0</v>
      </c>
      <c r="AE177" s="805">
        <f t="shared" si="145"/>
        <v>0.82144221962713082</v>
      </c>
      <c r="AF177" s="510">
        <f t="shared" si="146"/>
        <v>0.10162424926931683</v>
      </c>
      <c r="AG177" s="510">
        <f t="shared" si="147"/>
        <v>7.6074001803398461E-2</v>
      </c>
      <c r="AH177" s="510">
        <f t="shared" si="148"/>
        <v>8.5952930015401724E-4</v>
      </c>
      <c r="AI177" s="510">
        <f t="shared" si="149"/>
        <v>8.5952930015401724E-4</v>
      </c>
      <c r="AJ177" s="658">
        <f t="shared" si="150"/>
        <v>1.0008595293001543</v>
      </c>
    </row>
    <row r="178" spans="1:36">
      <c r="A178" s="127">
        <f>'Input data'!A118</f>
        <v>2020</v>
      </c>
      <c r="B178" s="828">
        <f>'Input data'!B118</f>
        <v>59.308999999999997</v>
      </c>
      <c r="C178" s="238">
        <f>'Input data'!C118</f>
        <v>2948.9199999999987</v>
      </c>
      <c r="D178" s="104">
        <f>'Input data'!E118</f>
        <v>48694518.38623029</v>
      </c>
      <c r="E178" s="654">
        <f>'Input data'!J118</f>
        <v>11.504772374209397</v>
      </c>
      <c r="F178" s="673">
        <f>'Input data'!L118/C138</f>
        <v>26.895621881146617</v>
      </c>
      <c r="G178" s="696">
        <f>G175*0.81</f>
        <v>19.094812599604065</v>
      </c>
      <c r="H178" s="696">
        <f t="shared" si="127"/>
        <v>4.9401666211541162</v>
      </c>
      <c r="I178" s="1351">
        <f t="shared" si="128"/>
        <v>16.512661715553595</v>
      </c>
      <c r="J178" s="805">
        <f t="shared" si="151"/>
        <v>0.13965210661166627</v>
      </c>
      <c r="K178" s="696">
        <f t="shared" si="152"/>
        <v>2.3060279943428705</v>
      </c>
      <c r="L178" s="673">
        <f t="shared" si="129"/>
        <v>0.96248877021284696</v>
      </c>
      <c r="M178" s="802">
        <f t="shared" si="134"/>
        <v>3.2685167645557174</v>
      </c>
      <c r="N178" s="805">
        <f>($N$140-$N$135)/($A$100-$A$95)+N177</f>
        <v>0.2</v>
      </c>
      <c r="O178" s="1407">
        <f t="shared" si="130"/>
        <v>0.4144797110414154</v>
      </c>
      <c r="P178" s="861">
        <f t="shared" si="153"/>
        <v>1.7041907186049854</v>
      </c>
      <c r="Q178" s="696">
        <f t="shared" si="131"/>
        <v>22.330788502153197</v>
      </c>
      <c r="R178" s="673">
        <f t="shared" si="132"/>
        <v>3.2359759025491321</v>
      </c>
      <c r="S178" s="1353">
        <f t="shared" si="154"/>
        <v>0.39831539277661704</v>
      </c>
      <c r="T178" s="135" t="str">
        <f t="shared" si="135"/>
        <v>Policies met</v>
      </c>
      <c r="U178" s="1353">
        <f t="shared" si="136"/>
        <v>0.39831539277661704</v>
      </c>
      <c r="V178" s="135" t="str">
        <f t="shared" si="137"/>
        <v>No</v>
      </c>
      <c r="W178" s="1354">
        <f t="shared" si="138"/>
        <v>23.434906162724204</v>
      </c>
      <c r="X178" s="696">
        <f t="shared" si="139"/>
        <v>19.094812599604065</v>
      </c>
      <c r="Y178" s="118">
        <f t="shared" si="140"/>
        <v>2.8851426720053044</v>
      </c>
      <c r="Z178" s="673">
        <f t="shared" si="141"/>
        <v>1.4400887680448611</v>
      </c>
      <c r="AA178" s="673">
        <f t="shared" si="142"/>
        <v>0</v>
      </c>
      <c r="AB178" s="673">
        <f t="shared" si="143"/>
        <v>1.4862123069974545E-2</v>
      </c>
      <c r="AC178" s="673">
        <f t="shared" si="144"/>
        <v>23.434906162724207</v>
      </c>
      <c r="AD178" s="847">
        <f t="shared" si="133"/>
        <v>0</v>
      </c>
      <c r="AE178" s="805">
        <f t="shared" si="145"/>
        <v>0.81480217872501925</v>
      </c>
      <c r="AF178" s="510">
        <f t="shared" si="146"/>
        <v>0.12311304564105491</v>
      </c>
      <c r="AG178" s="510">
        <f t="shared" si="147"/>
        <v>6.1450588197168907E-2</v>
      </c>
      <c r="AH178" s="510">
        <f t="shared" si="148"/>
        <v>6.3418743675681467E-4</v>
      </c>
      <c r="AI178" s="510">
        <f t="shared" si="149"/>
        <v>6.3418743675681467E-4</v>
      </c>
      <c r="AJ178" s="658">
        <f t="shared" si="150"/>
        <v>1.0006341874367568</v>
      </c>
    </row>
    <row r="179" spans="1:36">
      <c r="A179" s="127">
        <f>'Input data'!A119</f>
        <v>2021</v>
      </c>
      <c r="B179" s="828">
        <f>'Input data'!B119</f>
        <v>59.991999999999997</v>
      </c>
      <c r="C179" s="238">
        <f>'Input data'!C119</f>
        <v>3014.38</v>
      </c>
      <c r="D179" s="104">
        <f>'Input data'!E119</f>
        <v>48694518.38623029</v>
      </c>
      <c r="E179" s="654">
        <f>'Input data'!J119</f>
        <v>11.504772374209397</v>
      </c>
      <c r="F179" s="673">
        <f>'Input data'!L119/C139</f>
        <v>26.625521393879616</v>
      </c>
      <c r="G179" s="696">
        <f>G175*0.65</f>
        <v>15.322997765114373</v>
      </c>
      <c r="H179" s="696">
        <f t="shared" si="127"/>
        <v>8.3754642527876371</v>
      </c>
      <c r="I179" s="1351">
        <f t="shared" si="128"/>
        <v>16.154074266094614</v>
      </c>
      <c r="J179" s="805">
        <f t="shared" si="151"/>
        <v>0.16568689595049965</v>
      </c>
      <c r="K179" s="696">
        <f t="shared" si="152"/>
        <v>2.6765184221030625</v>
      </c>
      <c r="L179" s="673">
        <f t="shared" si="129"/>
        <v>0.96248877021284696</v>
      </c>
      <c r="M179" s="802">
        <f t="shared" si="134"/>
        <v>3.6390071923159093</v>
      </c>
      <c r="N179" s="805">
        <v>0.4</v>
      </c>
      <c r="O179" s="1407">
        <f t="shared" si="130"/>
        <v>0.8289594220828308</v>
      </c>
      <c r="P179" s="861">
        <f t="shared" si="153"/>
        <v>2.5112311040094015</v>
      </c>
      <c r="Q179" s="696">
        <f t="shared" si="131"/>
        <v>21.187230913892609</v>
      </c>
      <c r="R179" s="673">
        <f t="shared" si="132"/>
        <v>5.8642331487782364</v>
      </c>
      <c r="S179" s="1353">
        <f t="shared" si="154"/>
        <v>0.76063298331112372</v>
      </c>
      <c r="T179" s="135" t="str">
        <f t="shared" si="135"/>
        <v>Policies met</v>
      </c>
      <c r="U179" s="1353">
        <f t="shared" si="136"/>
        <v>0.76063298331112372</v>
      </c>
      <c r="V179" s="135" t="str">
        <f t="shared" si="137"/>
        <v>No</v>
      </c>
      <c r="W179" s="1354">
        <f t="shared" si="138"/>
        <v>18.907937306993716</v>
      </c>
      <c r="X179" s="696">
        <f t="shared" si="139"/>
        <v>15.322997765114373</v>
      </c>
      <c r="Y179" s="118">
        <f t="shared" si="140"/>
        <v>2.9069064876254571</v>
      </c>
      <c r="Z179" s="673">
        <f t="shared" si="141"/>
        <v>0.67212048474784958</v>
      </c>
      <c r="AA179" s="673">
        <f t="shared" si="142"/>
        <v>0</v>
      </c>
      <c r="AB179" s="673">
        <f t="shared" si="143"/>
        <v>5.9125695060401676E-3</v>
      </c>
      <c r="AC179" s="673">
        <f t="shared" si="144"/>
        <v>18.90793730699372</v>
      </c>
      <c r="AD179" s="847">
        <f t="shared" si="133"/>
        <v>0</v>
      </c>
      <c r="AE179" s="805">
        <f t="shared" si="145"/>
        <v>0.81040028408845322</v>
      </c>
      <c r="AF179" s="510">
        <f t="shared" si="146"/>
        <v>0.1537400108974469</v>
      </c>
      <c r="AG179" s="510">
        <f t="shared" si="147"/>
        <v>3.5547001972512558E-2</v>
      </c>
      <c r="AH179" s="510">
        <f t="shared" si="148"/>
        <v>3.127030415873661E-4</v>
      </c>
      <c r="AI179" s="510">
        <f t="shared" si="149"/>
        <v>3.127030415873661E-4</v>
      </c>
      <c r="AJ179" s="658">
        <f t="shared" si="150"/>
        <v>1.0003127030415873</v>
      </c>
    </row>
    <row r="180" spans="1:36">
      <c r="A180" s="127">
        <f>'Input data'!A120</f>
        <v>2022</v>
      </c>
      <c r="B180" s="829">
        <f>'Input data'!B120</f>
        <v>60.682000000000002</v>
      </c>
      <c r="C180" s="662">
        <f>'Input data'!C120</f>
        <v>3077.2</v>
      </c>
      <c r="D180" s="104">
        <f>'Input data'!E120</f>
        <v>48694518.38623029</v>
      </c>
      <c r="E180" s="654">
        <f>'Input data'!J120</f>
        <v>11.504772374209397</v>
      </c>
      <c r="F180" s="673">
        <f>'Input data'!L120/C140</f>
        <v>26.278264754717096</v>
      </c>
      <c r="G180" s="940">
        <f>G135*(1-E4)</f>
        <v>11.786921357780287</v>
      </c>
      <c r="H180" s="696">
        <f t="shared" si="127"/>
        <v>11.602057894887686</v>
      </c>
      <c r="I180" s="1351">
        <f t="shared" si="128"/>
        <v>15.82429428903883</v>
      </c>
      <c r="J180" s="805">
        <f t="shared" si="151"/>
        <v>0.19172168528933303</v>
      </c>
      <c r="K180" s="696">
        <f t="shared" si="152"/>
        <v>3.0338603696088926</v>
      </c>
      <c r="L180" s="673">
        <f t="shared" si="129"/>
        <v>0.96248877021284696</v>
      </c>
      <c r="M180" s="802">
        <f t="shared" si="134"/>
        <v>3.9963491398217394</v>
      </c>
      <c r="N180" s="804">
        <f>$E$26</f>
        <v>0.5</v>
      </c>
      <c r="O180" s="1407">
        <f t="shared" si="130"/>
        <v>1.0361992776035385</v>
      </c>
      <c r="P180" s="861">
        <f t="shared" si="153"/>
        <v>3.0961101188576885</v>
      </c>
      <c r="Q180" s="696">
        <f t="shared" si="131"/>
        <v>20.292869133810285</v>
      </c>
      <c r="R180" s="673">
        <f t="shared" si="132"/>
        <v>8.5059477760299984</v>
      </c>
      <c r="S180" s="1353">
        <f>R180/(Q180-(I180-K180))</f>
        <v>1.1337582442199781</v>
      </c>
      <c r="T180" s="135" t="str">
        <f t="shared" si="135"/>
        <v>Policies not met</v>
      </c>
      <c r="U180" s="1353">
        <f t="shared" si="136"/>
        <v>0.85</v>
      </c>
      <c r="V180" s="135" t="str">
        <f t="shared" si="137"/>
        <v>Yes</v>
      </c>
      <c r="W180" s="1354">
        <f t="shared" si="138"/>
        <v>17.550010145170241</v>
      </c>
      <c r="X180" s="696">
        <f t="shared" si="139"/>
        <v>13.915799201586989</v>
      </c>
      <c r="Y180" s="118">
        <f t="shared" si="140"/>
        <v>3.1782336851408197</v>
      </c>
      <c r="Z180" s="673">
        <f t="shared" si="141"/>
        <v>0.45227213048380793</v>
      </c>
      <c r="AA180" s="673">
        <f t="shared" si="142"/>
        <v>0</v>
      </c>
      <c r="AB180" s="673">
        <f t="shared" si="143"/>
        <v>3.7051279586225467E-3</v>
      </c>
      <c r="AC180" s="673">
        <f t="shared" si="144"/>
        <v>17.550010145170241</v>
      </c>
      <c r="AD180" s="847">
        <f t="shared" si="133"/>
        <v>0</v>
      </c>
      <c r="AE180" s="805">
        <f t="shared" si="145"/>
        <v>0.79292257306282032</v>
      </c>
      <c r="AF180" s="510">
        <f t="shared" si="146"/>
        <v>0.18109583178876218</v>
      </c>
      <c r="AG180" s="510">
        <f t="shared" si="147"/>
        <v>2.5770476868258285E-2</v>
      </c>
      <c r="AH180" s="510">
        <f t="shared" si="148"/>
        <v>2.1111828015906857E-4</v>
      </c>
      <c r="AI180" s="510">
        <f t="shared" si="149"/>
        <v>2.1111828015906857E-4</v>
      </c>
      <c r="AJ180" s="658">
        <f t="shared" si="150"/>
        <v>1.000211118280159</v>
      </c>
    </row>
    <row r="181" spans="1:36">
      <c r="A181" s="127">
        <f>'Input data'!A121</f>
        <v>2023</v>
      </c>
      <c r="B181" s="828">
        <f>'Input data'!B121</f>
        <v>61.381</v>
      </c>
      <c r="C181" s="238">
        <f>'Input data'!C121</f>
        <v>3140.61</v>
      </c>
      <c r="D181" s="104">
        <f>'Input data'!E121</f>
        <v>48694518.38623029</v>
      </c>
      <c r="E181" s="654">
        <f>'Input data'!J121</f>
        <v>11.504772374209397</v>
      </c>
      <c r="F181" s="673">
        <f>'Input data'!L121/C141</f>
        <v>26.013456531932281</v>
      </c>
      <c r="G181" s="696">
        <f>($G$145-$G$140)/($A$145-$A$140)+G180</f>
        <v>11.079706076313469</v>
      </c>
      <c r="H181" s="696">
        <f t="shared" si="127"/>
        <v>12.009439589479667</v>
      </c>
      <c r="I181" s="1351">
        <f t="shared" si="128"/>
        <v>15.504796324991096</v>
      </c>
      <c r="J181" s="805">
        <f t="shared" si="151"/>
        <v>0.21775647462816641</v>
      </c>
      <c r="K181" s="696">
        <f t="shared" si="152"/>
        <v>3.3762697875578116</v>
      </c>
      <c r="L181" s="673">
        <f t="shared" si="129"/>
        <v>0.96248877021284696</v>
      </c>
      <c r="M181" s="802">
        <f t="shared" si="134"/>
        <v>4.3387585577706584</v>
      </c>
      <c r="N181" s="805">
        <f>($N$145-$N$140)/($A$105-$A$100)+N180</f>
        <v>0.5</v>
      </c>
      <c r="O181" s="1407">
        <f t="shared" si="130"/>
        <v>1.0361992776035385</v>
      </c>
      <c r="P181" s="861">
        <f t="shared" si="153"/>
        <v>3.4581839139795054</v>
      </c>
      <c r="Q181" s="696">
        <f t="shared" si="131"/>
        <v>19.630961751813629</v>
      </c>
      <c r="R181" s="673">
        <f t="shared" si="132"/>
        <v>8.5512556755001601</v>
      </c>
      <c r="S181" s="1353">
        <f t="shared" si="154"/>
        <v>1.1397973366180465</v>
      </c>
      <c r="T181" s="135" t="str">
        <f t="shared" si="135"/>
        <v>Policies not met</v>
      </c>
      <c r="U181" s="1353">
        <f t="shared" si="136"/>
        <v>0.85</v>
      </c>
      <c r="V181" s="135" t="str">
        <f t="shared" si="137"/>
        <v>Yes</v>
      </c>
      <c r="W181" s="1354">
        <f t="shared" si="138"/>
        <v>17.230512181122506</v>
      </c>
      <c r="X181" s="696">
        <f t="shared" si="139"/>
        <v>13.253891819590336</v>
      </c>
      <c r="Y181" s="118">
        <f t="shared" si="140"/>
        <v>3.5206431030897387</v>
      </c>
      <c r="Z181" s="673">
        <f t="shared" si="141"/>
        <v>0.45227213048380793</v>
      </c>
      <c r="AA181" s="673">
        <f t="shared" si="142"/>
        <v>0</v>
      </c>
      <c r="AB181" s="673">
        <f t="shared" si="143"/>
        <v>3.7051279586225467E-3</v>
      </c>
      <c r="AC181" s="673">
        <f t="shared" si="144"/>
        <v>17.230512181122506</v>
      </c>
      <c r="AD181" s="847">
        <f t="shared" si="133"/>
        <v>0</v>
      </c>
      <c r="AE181" s="805">
        <f t="shared" si="145"/>
        <v>0.76921055394459503</v>
      </c>
      <c r="AF181" s="510">
        <f t="shared" si="146"/>
        <v>0.2043260853816582</v>
      </c>
      <c r="AG181" s="510">
        <f t="shared" si="147"/>
        <v>2.624832771827355E-2</v>
      </c>
      <c r="AH181" s="510">
        <f t="shared" si="148"/>
        <v>2.1503295547313039E-4</v>
      </c>
      <c r="AI181" s="510">
        <f t="shared" si="149"/>
        <v>2.1503295547313039E-4</v>
      </c>
      <c r="AJ181" s="658">
        <f t="shared" si="150"/>
        <v>1.0002150329554731</v>
      </c>
    </row>
    <row r="182" spans="1:36">
      <c r="A182" s="127">
        <f>'Input data'!A122</f>
        <v>2024</v>
      </c>
      <c r="B182" s="828">
        <f>'Input data'!B122</f>
        <v>62.088000000000001</v>
      </c>
      <c r="C182" s="238">
        <f>'Input data'!C122</f>
        <v>3201.77</v>
      </c>
      <c r="D182" s="104">
        <f>'Input data'!E122</f>
        <v>48694518.38623029</v>
      </c>
      <c r="E182" s="654">
        <f>'Input data'!J122</f>
        <v>11.504772374209397</v>
      </c>
      <c r="F182" s="673">
        <f>'Input data'!L122/C142</f>
        <v>25.731546335359852</v>
      </c>
      <c r="G182" s="696">
        <f t="shared" ref="G182:G184" si="155">($G$145-$G$140)/($A$145-$A$140)+G181</f>
        <v>10.372490794846652</v>
      </c>
      <c r="H182" s="696">
        <f t="shared" si="127"/>
        <v>12.438711963307842</v>
      </c>
      <c r="I182" s="1351">
        <f t="shared" si="128"/>
        <v>15.208624725145869</v>
      </c>
      <c r="J182" s="805">
        <f t="shared" si="151"/>
        <v>0.24379126396699979</v>
      </c>
      <c r="K182" s="696">
        <f t="shared" si="152"/>
        <v>3.7077298449430764</v>
      </c>
      <c r="L182" s="673">
        <f t="shared" si="129"/>
        <v>0.96248877021284696</v>
      </c>
      <c r="M182" s="802">
        <f t="shared" si="134"/>
        <v>4.6702186151559237</v>
      </c>
      <c r="N182" s="805">
        <f>($N$145-$N$140)/($A$105-$A$100)+N181</f>
        <v>0.5</v>
      </c>
      <c r="O182" s="1407">
        <f t="shared" si="130"/>
        <v>1.0361992776035385</v>
      </c>
      <c r="P182" s="861">
        <f t="shared" si="153"/>
        <v>3.8078726635713567</v>
      </c>
      <c r="Q182" s="696">
        <f t="shared" si="131"/>
        <v>19.003330094583138</v>
      </c>
      <c r="R182" s="673">
        <f t="shared" si="132"/>
        <v>8.6308392997364862</v>
      </c>
      <c r="S182" s="1353">
        <f t="shared" si="154"/>
        <v>1.1504050422445855</v>
      </c>
      <c r="T182" s="135" t="str">
        <f t="shared" si="135"/>
        <v>Policies not met</v>
      </c>
      <c r="U182" s="1353">
        <f t="shared" si="136"/>
        <v>0.85</v>
      </c>
      <c r="V182" s="135" t="str">
        <f t="shared" si="137"/>
        <v>Yes</v>
      </c>
      <c r="W182" s="1354">
        <f t="shared" si="138"/>
        <v>16.934340581277279</v>
      </c>
      <c r="X182" s="696">
        <f t="shared" si="139"/>
        <v>12.626260162359845</v>
      </c>
      <c r="Y182" s="118">
        <f t="shared" si="140"/>
        <v>3.8521031604750036</v>
      </c>
      <c r="Z182" s="673">
        <f t="shared" si="141"/>
        <v>0.45227213048380793</v>
      </c>
      <c r="AA182" s="673">
        <f t="shared" si="142"/>
        <v>0</v>
      </c>
      <c r="AB182" s="673">
        <f t="shared" si="143"/>
        <v>3.7051279586225467E-3</v>
      </c>
      <c r="AC182" s="673">
        <f t="shared" si="144"/>
        <v>16.934340581277279</v>
      </c>
      <c r="AD182" s="847">
        <f t="shared" si="133"/>
        <v>0</v>
      </c>
      <c r="AE182" s="805">
        <f t="shared" si="145"/>
        <v>0.74560093448926634</v>
      </c>
      <c r="AF182" s="510">
        <f t="shared" si="146"/>
        <v>0.22747287631228549</v>
      </c>
      <c r="AG182" s="510">
        <f t="shared" si="147"/>
        <v>2.6707395443779078E-2</v>
      </c>
      <c r="AH182" s="510">
        <f t="shared" si="148"/>
        <v>2.1879375466907528E-4</v>
      </c>
      <c r="AI182" s="510">
        <f t="shared" si="149"/>
        <v>2.1879375466907528E-4</v>
      </c>
      <c r="AJ182" s="658">
        <f t="shared" si="150"/>
        <v>1.0002187937546692</v>
      </c>
    </row>
    <row r="183" spans="1:36">
      <c r="A183" s="127">
        <f>'Input data'!A123</f>
        <v>2025</v>
      </c>
      <c r="B183" s="828">
        <f>'Input data'!B123</f>
        <v>62.802999999999997</v>
      </c>
      <c r="C183" s="238">
        <f>'Input data'!C123</f>
        <v>3265.54</v>
      </c>
      <c r="D183" s="104">
        <f>'Input data'!E123</f>
        <v>48694518.38623029</v>
      </c>
      <c r="E183" s="654">
        <f>'Input data'!J123</f>
        <v>11.504772374209397</v>
      </c>
      <c r="F183" s="673">
        <f>'Input data'!L123/C143</f>
        <v>25.716979900750225</v>
      </c>
      <c r="G183" s="696">
        <f t="shared" si="155"/>
        <v>9.665275513379834</v>
      </c>
      <c r="H183" s="696">
        <f t="shared" si="127"/>
        <v>12.867210193893735</v>
      </c>
      <c r="I183" s="1351">
        <f t="shared" si="128"/>
        <v>14.911628210412456</v>
      </c>
      <c r="J183" s="805">
        <f t="shared" si="151"/>
        <v>0.26982605330583315</v>
      </c>
      <c r="K183" s="696">
        <f t="shared" si="152"/>
        <v>4.0235457883795167</v>
      </c>
      <c r="L183" s="673">
        <f t="shared" si="129"/>
        <v>0.96248877021284696</v>
      </c>
      <c r="M183" s="802">
        <f t="shared" si="134"/>
        <v>4.9860345585923636</v>
      </c>
      <c r="N183" s="805">
        <f>($N$145-$N$140)/($A$105-$A$100)+N182</f>
        <v>0.5</v>
      </c>
      <c r="O183" s="1407">
        <f t="shared" si="130"/>
        <v>1.0361992776035385</v>
      </c>
      <c r="P183" s="861">
        <f t="shared" si="153"/>
        <v>4.1419680708602842</v>
      </c>
      <c r="Q183" s="696">
        <f t="shared" si="131"/>
        <v>18.390517636413286</v>
      </c>
      <c r="R183" s="673">
        <f t="shared" si="132"/>
        <v>8.7252421230334516</v>
      </c>
      <c r="S183" s="1353">
        <f t="shared" si="154"/>
        <v>1.1629879997243138</v>
      </c>
      <c r="T183" s="135" t="str">
        <f t="shared" si="135"/>
        <v>Policies not met</v>
      </c>
      <c r="U183" s="1353">
        <f t="shared" si="136"/>
        <v>0.85</v>
      </c>
      <c r="V183" s="135" t="str">
        <f t="shared" si="137"/>
        <v>Yes</v>
      </c>
      <c r="W183" s="1354">
        <f t="shared" si="138"/>
        <v>16.637344066543864</v>
      </c>
      <c r="X183" s="696">
        <f t="shared" si="139"/>
        <v>12.013447704189991</v>
      </c>
      <c r="Y183" s="118">
        <f t="shared" si="140"/>
        <v>4.1679191039114434</v>
      </c>
      <c r="Z183" s="673">
        <f t="shared" si="141"/>
        <v>0.45227213048380793</v>
      </c>
      <c r="AA183" s="673">
        <f t="shared" si="142"/>
        <v>0</v>
      </c>
      <c r="AB183" s="673">
        <f t="shared" si="143"/>
        <v>3.7051279586225467E-3</v>
      </c>
      <c r="AC183" s="673">
        <f t="shared" si="144"/>
        <v>16.637344066543864</v>
      </c>
      <c r="AD183" s="847">
        <f t="shared" si="133"/>
        <v>0</v>
      </c>
      <c r="AE183" s="805">
        <f t="shared" si="145"/>
        <v>0.72207725320460892</v>
      </c>
      <c r="AF183" s="510">
        <f t="shared" si="146"/>
        <v>0.25051589287575876</v>
      </c>
      <c r="AG183" s="510">
        <f t="shared" si="147"/>
        <v>2.7184154434437929E-2</v>
      </c>
      <c r="AH183" s="510">
        <f t="shared" si="148"/>
        <v>2.2269948519446748E-4</v>
      </c>
      <c r="AI183" s="510">
        <f t="shared" si="149"/>
        <v>2.2269948519446748E-4</v>
      </c>
      <c r="AJ183" s="658">
        <f t="shared" si="150"/>
        <v>1.0002226994851944</v>
      </c>
    </row>
    <row r="184" spans="1:36">
      <c r="A184" s="127">
        <f>'Input data'!A124</f>
        <v>2026</v>
      </c>
      <c r="B184" s="828">
        <f>'Input data'!B124</f>
        <v>63.420999999999999</v>
      </c>
      <c r="C184" s="238">
        <f>'Input data'!C124</f>
        <v>3341.28</v>
      </c>
      <c r="D184" s="104">
        <f>'Input data'!E124</f>
        <v>48694518.38623029</v>
      </c>
      <c r="E184" s="654">
        <f>'Input data'!J124</f>
        <v>11.504772374209397</v>
      </c>
      <c r="F184" s="673">
        <f>'Input data'!L124/C144</f>
        <v>25.42881885155866</v>
      </c>
      <c r="G184" s="696">
        <f t="shared" si="155"/>
        <v>8.9580602319130165</v>
      </c>
      <c r="H184" s="696">
        <f t="shared" si="127"/>
        <v>13.257213421582946</v>
      </c>
      <c r="I184" s="1351">
        <f t="shared" si="128"/>
        <v>14.573612024801957</v>
      </c>
      <c r="J184" s="805">
        <f t="shared" si="151"/>
        <v>0.2958608426446665</v>
      </c>
      <c r="K184" s="696">
        <f t="shared" si="152"/>
        <v>4.3117611340343514</v>
      </c>
      <c r="L184" s="673">
        <f t="shared" si="129"/>
        <v>0.96248877021284696</v>
      </c>
      <c r="M184" s="802">
        <f t="shared" si="134"/>
        <v>5.2742499042471982</v>
      </c>
      <c r="N184" s="805">
        <f>($N$145-$N$140)/($A$105-$A$100)+N183</f>
        <v>0.5</v>
      </c>
      <c r="O184" s="1407">
        <f t="shared" si="130"/>
        <v>1.0361992776035385</v>
      </c>
      <c r="P184" s="861">
        <f t="shared" si="153"/>
        <v>4.4509875483480092</v>
      </c>
      <c r="Q184" s="696">
        <f t="shared" si="131"/>
        <v>17.764286105147953</v>
      </c>
      <c r="R184" s="673">
        <f t="shared" si="132"/>
        <v>8.8062258732349363</v>
      </c>
      <c r="S184" s="1353">
        <f t="shared" si="154"/>
        <v>1.173782328217315</v>
      </c>
      <c r="T184" s="135" t="str">
        <f t="shared" si="135"/>
        <v>Policies not met</v>
      </c>
      <c r="U184" s="1353">
        <f t="shared" si="136"/>
        <v>0.85</v>
      </c>
      <c r="V184" s="135" t="str">
        <f t="shared" si="137"/>
        <v>Yes</v>
      </c>
      <c r="W184" s="1354">
        <f t="shared" si="138"/>
        <v>16.299327880933365</v>
      </c>
      <c r="X184" s="696">
        <f t="shared" si="139"/>
        <v>11.387216172924656</v>
      </c>
      <c r="Y184" s="118">
        <f t="shared" si="140"/>
        <v>4.456134449566278</v>
      </c>
      <c r="Z184" s="673">
        <f t="shared" si="141"/>
        <v>0.45227213048380793</v>
      </c>
      <c r="AA184" s="673">
        <f t="shared" si="142"/>
        <v>0</v>
      </c>
      <c r="AB184" s="673">
        <f t="shared" si="143"/>
        <v>3.7051279586225467E-3</v>
      </c>
      <c r="AC184" s="673">
        <f t="shared" si="144"/>
        <v>16.299327880933365</v>
      </c>
      <c r="AD184" s="847">
        <f t="shared" si="133"/>
        <v>0</v>
      </c>
      <c r="AE184" s="805">
        <f t="shared" si="145"/>
        <v>0.6986310267581769</v>
      </c>
      <c r="AF184" s="510">
        <f t="shared" si="146"/>
        <v>0.27339375476819366</v>
      </c>
      <c r="AG184" s="510">
        <f t="shared" si="147"/>
        <v>2.7747900636618705E-2</v>
      </c>
      <c r="AH184" s="510">
        <f t="shared" si="148"/>
        <v>2.2731783701073545E-4</v>
      </c>
      <c r="AI184" s="510">
        <f t="shared" si="149"/>
        <v>2.2731783701073545E-4</v>
      </c>
      <c r="AJ184" s="658">
        <f t="shared" si="150"/>
        <v>1.0002273178370107</v>
      </c>
    </row>
    <row r="185" spans="1:36">
      <c r="A185" s="127">
        <f>'Input data'!A125</f>
        <v>2027</v>
      </c>
      <c r="B185" s="829">
        <f>'Input data'!B125</f>
        <v>64.046000000000006</v>
      </c>
      <c r="C185" s="662">
        <f>'Input data'!C125</f>
        <v>3416.2799999999997</v>
      </c>
      <c r="D185" s="104">
        <f>'Input data'!E125</f>
        <v>48694518.38623029</v>
      </c>
      <c r="E185" s="654">
        <f>'Input data'!J125</f>
        <v>11.504772374209397</v>
      </c>
      <c r="F185" s="673">
        <f>'Input data'!L125/C145</f>
        <v>25.155892379533629</v>
      </c>
      <c r="G185" s="1488">
        <f>G135*(1-E5)</f>
        <v>8.2508449504462007</v>
      </c>
      <c r="H185" s="696">
        <f t="shared" si="127"/>
        <v>13.664175814787264</v>
      </c>
      <c r="I185" s="1351">
        <f t="shared" si="128"/>
        <v>14.253667259776801</v>
      </c>
      <c r="J185" s="805">
        <f t="shared" si="151"/>
        <v>0.32189563198349985</v>
      </c>
      <c r="K185" s="696">
        <f t="shared" si="152"/>
        <v>4.5881932306683737</v>
      </c>
      <c r="L185" s="673">
        <f t="shared" si="129"/>
        <v>0.96248877021284696</v>
      </c>
      <c r="M185" s="802">
        <f t="shared" si="134"/>
        <v>5.5506820008812205</v>
      </c>
      <c r="N185" s="804">
        <f>$C$27</f>
        <v>0.5</v>
      </c>
      <c r="O185" s="1407">
        <f t="shared" si="130"/>
        <v>1.0361992776035385</v>
      </c>
      <c r="P185" s="861">
        <f t="shared" si="153"/>
        <v>4.7471115217446913</v>
      </c>
      <c r="Q185" s="696">
        <f t="shared" si="131"/>
        <v>17.167909243488772</v>
      </c>
      <c r="R185" s="673">
        <f t="shared" si="132"/>
        <v>8.9170642930425714</v>
      </c>
      <c r="S185" s="1353">
        <f t="shared" si="154"/>
        <v>1.1885559872547418</v>
      </c>
      <c r="T185" s="135" t="str">
        <f t="shared" si="135"/>
        <v>Policies not met</v>
      </c>
      <c r="U185" s="1353">
        <f t="shared" si="136"/>
        <v>0.85</v>
      </c>
      <c r="V185" s="135" t="str">
        <f t="shared" si="137"/>
        <v>Yes</v>
      </c>
      <c r="W185" s="1354">
        <f t="shared" si="138"/>
        <v>15.979383115908211</v>
      </c>
      <c r="X185" s="696">
        <f t="shared" si="139"/>
        <v>10.790839311265479</v>
      </c>
      <c r="Y185" s="118">
        <f t="shared" si="140"/>
        <v>4.7325665462003004</v>
      </c>
      <c r="Z185" s="673">
        <f t="shared" si="141"/>
        <v>0.45227213048380793</v>
      </c>
      <c r="AA185" s="673">
        <f t="shared" si="142"/>
        <v>0</v>
      </c>
      <c r="AB185" s="673">
        <f t="shared" si="143"/>
        <v>3.7051279586225467E-3</v>
      </c>
      <c r="AC185" s="673">
        <f t="shared" si="144"/>
        <v>15.97938311590821</v>
      </c>
      <c r="AD185" s="847">
        <f t="shared" si="133"/>
        <v>0</v>
      </c>
      <c r="AE185" s="805">
        <f t="shared" si="145"/>
        <v>0.67529761524540355</v>
      </c>
      <c r="AF185" s="510">
        <f t="shared" si="146"/>
        <v>0.2961670367292723</v>
      </c>
      <c r="AG185" s="510">
        <f t="shared" si="147"/>
        <v>2.8303478751538928E-2</v>
      </c>
      <c r="AH185" s="510">
        <f t="shared" si="148"/>
        <v>2.3186927378528909E-4</v>
      </c>
      <c r="AI185" s="510">
        <f t="shared" si="149"/>
        <v>2.3186927378528909E-4</v>
      </c>
      <c r="AJ185" s="658">
        <f t="shared" si="150"/>
        <v>1.0002318692737855</v>
      </c>
    </row>
    <row r="186" spans="1:36">
      <c r="A186" s="127">
        <f>'Input data'!A126</f>
        <v>2028</v>
      </c>
      <c r="B186" s="828">
        <f>'Input data'!B126</f>
        <v>64.676000000000002</v>
      </c>
      <c r="C186" s="238">
        <f>'Input data'!C126</f>
        <v>3494.8800000000006</v>
      </c>
      <c r="D186" s="104">
        <f>'Input data'!E126</f>
        <v>48694518.38623029</v>
      </c>
      <c r="E186" s="654">
        <f>'Input data'!J126</f>
        <v>11.504772374209397</v>
      </c>
      <c r="F186" s="673">
        <f>'Input data'!L126/C146</f>
        <v>24.880899305531948</v>
      </c>
      <c r="G186" s="696">
        <f>($G$150-$G$145)/($A$150-$A$145)+G185</f>
        <v>7.5436296689793831</v>
      </c>
      <c r="H186" s="696">
        <f t="shared" si="127"/>
        <v>14.070555599448058</v>
      </c>
      <c r="I186" s="1351">
        <f t="shared" si="128"/>
        <v>13.933101676232168</v>
      </c>
      <c r="J186" s="805">
        <f t="shared" si="151"/>
        <v>0.34793042132233321</v>
      </c>
      <c r="K186" s="696">
        <f t="shared" si="152"/>
        <v>4.8477499365383654</v>
      </c>
      <c r="L186" s="673">
        <f t="shared" si="129"/>
        <v>0.96248877021284696</v>
      </c>
      <c r="M186" s="802">
        <f t="shared" si="134"/>
        <v>5.8102387067512122</v>
      </c>
      <c r="N186" s="805">
        <f>N185</f>
        <v>0.5</v>
      </c>
      <c r="O186" s="1407">
        <f t="shared" si="130"/>
        <v>1.0361992776035385</v>
      </c>
      <c r="P186" s="861">
        <f t="shared" si="153"/>
        <v>5.0263983143532949</v>
      </c>
      <c r="Q186" s="696">
        <f t="shared" si="131"/>
        <v>16.587786954074147</v>
      </c>
      <c r="R186" s="673">
        <f t="shared" si="132"/>
        <v>9.044157285094764</v>
      </c>
      <c r="S186" s="1353">
        <f t="shared" si="154"/>
        <v>1.2054962191155363</v>
      </c>
      <c r="T186" s="135" t="str">
        <f t="shared" si="135"/>
        <v>Policies not met</v>
      </c>
      <c r="U186" s="1353">
        <f t="shared" si="136"/>
        <v>0.85</v>
      </c>
      <c r="V186" s="135" t="str">
        <f t="shared" si="137"/>
        <v>Yes</v>
      </c>
      <c r="W186" s="1354">
        <f t="shared" si="138"/>
        <v>15.658817532363578</v>
      </c>
      <c r="X186" s="696">
        <f t="shared" si="139"/>
        <v>10.210717021850854</v>
      </c>
      <c r="Y186" s="118">
        <f t="shared" si="140"/>
        <v>4.9921232520702921</v>
      </c>
      <c r="Z186" s="673">
        <f t="shared" si="141"/>
        <v>0.45227213048380793</v>
      </c>
      <c r="AA186" s="673">
        <f t="shared" si="142"/>
        <v>0</v>
      </c>
      <c r="AB186" s="673">
        <f t="shared" si="143"/>
        <v>3.7051279586225467E-3</v>
      </c>
      <c r="AC186" s="673">
        <f t="shared" si="144"/>
        <v>15.658817532363578</v>
      </c>
      <c r="AD186" s="847">
        <f t="shared" si="133"/>
        <v>0</v>
      </c>
      <c r="AE186" s="805">
        <f t="shared" si="145"/>
        <v>0.65207458997126622</v>
      </c>
      <c r="AF186" s="510">
        <f t="shared" si="146"/>
        <v>0.31880588950938299</v>
      </c>
      <c r="AG186" s="510">
        <f t="shared" si="147"/>
        <v>2.8882904443394516E-2</v>
      </c>
      <c r="AH186" s="510">
        <f t="shared" si="148"/>
        <v>2.3661607595623386E-4</v>
      </c>
      <c r="AI186" s="510">
        <f t="shared" si="149"/>
        <v>2.3661607595623386E-4</v>
      </c>
      <c r="AJ186" s="658">
        <f t="shared" si="150"/>
        <v>1.0002366160759562</v>
      </c>
    </row>
    <row r="187" spans="1:36">
      <c r="A187" s="127">
        <f>'Input data'!A127</f>
        <v>2029</v>
      </c>
      <c r="B187" s="828">
        <f>'Input data'!B127</f>
        <v>65.313000000000002</v>
      </c>
      <c r="C187" s="238">
        <f>'Input data'!C127</f>
        <v>3576.08</v>
      </c>
      <c r="D187" s="104">
        <f>'Input data'!E127</f>
        <v>48694518.38623029</v>
      </c>
      <c r="E187" s="654">
        <f>'Input data'!J127</f>
        <v>11.504772374209397</v>
      </c>
      <c r="F187" s="673">
        <f>'Input data'!L127/C147</f>
        <v>24.608943516174339</v>
      </c>
      <c r="G187" s="696">
        <f t="shared" ref="G187:G189" si="156">($G$150-$G$145)/($A$150-$A$145)+G186</f>
        <v>6.8364143875125656</v>
      </c>
      <c r="H187" s="696">
        <f t="shared" si="127"/>
        <v>14.480871839772842</v>
      </c>
      <c r="I187" s="1351">
        <f t="shared" si="128"/>
        <v>13.616730718057283</v>
      </c>
      <c r="J187" s="805">
        <f t="shared" si="151"/>
        <v>0.37396521066116656</v>
      </c>
      <c r="K187" s="696">
        <f t="shared" si="152"/>
        <v>5.0921835714946697</v>
      </c>
      <c r="L187" s="673">
        <f t="shared" si="129"/>
        <v>0.96248877021284696</v>
      </c>
      <c r="M187" s="802">
        <f t="shared" si="134"/>
        <v>6.0546723417075166</v>
      </c>
      <c r="N187" s="805">
        <f t="shared" ref="N187:N208" si="157">N186</f>
        <v>0.5</v>
      </c>
      <c r="O187" s="1407">
        <f t="shared" si="130"/>
        <v>1.0361992776035385</v>
      </c>
      <c r="P187" s="861">
        <f t="shared" si="153"/>
        <v>5.2903038663424491</v>
      </c>
      <c r="Q187" s="696">
        <f t="shared" si="131"/>
        <v>16.026982360942959</v>
      </c>
      <c r="R187" s="673">
        <f t="shared" si="132"/>
        <v>9.1905679734303938</v>
      </c>
      <c r="S187" s="1353">
        <f t="shared" si="154"/>
        <v>1.2250113077703502</v>
      </c>
      <c r="T187" s="135" t="str">
        <f t="shared" si="135"/>
        <v>Policies not met</v>
      </c>
      <c r="U187" s="1353">
        <f t="shared" si="136"/>
        <v>0.85</v>
      </c>
      <c r="V187" s="135" t="str">
        <f t="shared" si="137"/>
        <v>Yes</v>
      </c>
      <c r="W187" s="1354">
        <f t="shared" si="138"/>
        <v>15.342446574188694</v>
      </c>
      <c r="X187" s="696">
        <f t="shared" si="139"/>
        <v>9.6499124287196665</v>
      </c>
      <c r="Y187" s="118">
        <f t="shared" si="140"/>
        <v>5.2365568870265964</v>
      </c>
      <c r="Z187" s="673">
        <f t="shared" si="141"/>
        <v>0.45227213048380793</v>
      </c>
      <c r="AA187" s="673">
        <f t="shared" si="142"/>
        <v>0</v>
      </c>
      <c r="AB187" s="673">
        <f t="shared" si="143"/>
        <v>3.7051279586225467E-3</v>
      </c>
      <c r="AC187" s="673">
        <f t="shared" si="144"/>
        <v>15.342446574188694</v>
      </c>
      <c r="AD187" s="847">
        <f t="shared" si="133"/>
        <v>0</v>
      </c>
      <c r="AE187" s="805">
        <f t="shared" si="145"/>
        <v>0.62896829277242916</v>
      </c>
      <c r="AF187" s="510">
        <f t="shared" si="146"/>
        <v>0.34131172376616242</v>
      </c>
      <c r="AG187" s="510">
        <f t="shared" si="147"/>
        <v>2.9478488212218136E-2</v>
      </c>
      <c r="AH187" s="510">
        <f t="shared" si="148"/>
        <v>2.4149524919029892E-4</v>
      </c>
      <c r="AI187" s="510">
        <f t="shared" si="149"/>
        <v>2.4149524919029892E-4</v>
      </c>
      <c r="AJ187" s="658">
        <f t="shared" si="150"/>
        <v>1.0002414952491903</v>
      </c>
    </row>
    <row r="188" spans="1:36">
      <c r="A188" s="127">
        <f>'Input data'!A128</f>
        <v>2030</v>
      </c>
      <c r="B188" s="829">
        <f>'Input data'!B128</f>
        <v>65.956000000000003</v>
      </c>
      <c r="C188" s="662">
        <f>'Input data'!C128</f>
        <v>3660.12</v>
      </c>
      <c r="D188" s="104">
        <f>'Input data'!E128</f>
        <v>48694518.38623029</v>
      </c>
      <c r="E188" s="654">
        <f>'Input data'!J128</f>
        <v>11.504772374209397</v>
      </c>
      <c r="F188" s="673">
        <f>'Input data'!L128/C148</f>
        <v>24.338634262701987</v>
      </c>
      <c r="G188" s="696">
        <f t="shared" si="156"/>
        <v>6.129199106045748</v>
      </c>
      <c r="H188" s="696">
        <f t="shared" si="127"/>
        <v>14.894676552232431</v>
      </c>
      <c r="I188" s="1351">
        <f t="shared" si="128"/>
        <v>13.304077021034908</v>
      </c>
      <c r="J188" s="498">
        <f>$H$19</f>
        <v>0.4</v>
      </c>
      <c r="K188" s="696">
        <f t="shared" si="152"/>
        <v>5.3216308084139641</v>
      </c>
      <c r="L188" s="673">
        <f t="shared" si="129"/>
        <v>0.96248877021284696</v>
      </c>
      <c r="M188" s="802">
        <f t="shared" si="134"/>
        <v>6.2841195786268109</v>
      </c>
      <c r="N188" s="805">
        <f t="shared" si="157"/>
        <v>0.5</v>
      </c>
      <c r="O188" s="1407">
        <f t="shared" si="130"/>
        <v>1.0361992776035385</v>
      </c>
      <c r="P188" s="861">
        <f t="shared" si="153"/>
        <v>5.5389942312768889</v>
      </c>
      <c r="Q188" s="696">
        <f t="shared" si="131"/>
        <v>15.484881427001291</v>
      </c>
      <c r="R188" s="673">
        <f t="shared" si="132"/>
        <v>9.3556823209555429</v>
      </c>
      <c r="S188" s="1353">
        <f t="shared" si="154"/>
        <v>1.2470194081813557</v>
      </c>
      <c r="T188" s="135" t="str">
        <f t="shared" si="135"/>
        <v>Policies not met</v>
      </c>
      <c r="U188" s="1353">
        <f t="shared" si="136"/>
        <v>0.85</v>
      </c>
      <c r="V188" s="135" t="str">
        <f t="shared" si="137"/>
        <v>Yes</v>
      </c>
      <c r="W188" s="1354">
        <f t="shared" si="138"/>
        <v>15.029792877166319</v>
      </c>
      <c r="X188" s="696">
        <f t="shared" si="139"/>
        <v>9.1078114947779962</v>
      </c>
      <c r="Y188" s="118">
        <f t="shared" si="140"/>
        <v>5.4660041239458907</v>
      </c>
      <c r="Z188" s="673">
        <f t="shared" si="141"/>
        <v>0.45227213048380793</v>
      </c>
      <c r="AA188" s="673">
        <f t="shared" si="142"/>
        <v>0</v>
      </c>
      <c r="AB188" s="673">
        <f t="shared" si="143"/>
        <v>3.7051279586225467E-3</v>
      </c>
      <c r="AC188" s="673">
        <f t="shared" si="144"/>
        <v>15.029792877166319</v>
      </c>
      <c r="AD188" s="847">
        <f t="shared" si="133"/>
        <v>0</v>
      </c>
      <c r="AE188" s="805">
        <f t="shared" si="145"/>
        <v>0.60598383285872404</v>
      </c>
      <c r="AF188" s="510">
        <f t="shared" si="146"/>
        <v>0.36367794078187177</v>
      </c>
      <c r="AG188" s="510">
        <f t="shared" si="147"/>
        <v>3.0091707462643242E-2</v>
      </c>
      <c r="AH188" s="510">
        <f t="shared" si="148"/>
        <v>2.465188967608117E-4</v>
      </c>
      <c r="AI188" s="510">
        <f t="shared" si="149"/>
        <v>2.465188967608117E-4</v>
      </c>
      <c r="AJ188" s="658">
        <f t="shared" si="150"/>
        <v>1.0002465188967606</v>
      </c>
    </row>
    <row r="189" spans="1:36">
      <c r="A189" s="127">
        <f>'Input data'!A129</f>
        <v>2031</v>
      </c>
      <c r="B189" s="828">
        <f>'Input data'!B129</f>
        <v>66.519000000000005</v>
      </c>
      <c r="C189" s="238">
        <f>'Input data'!C129</f>
        <v>3761.03</v>
      </c>
      <c r="D189" s="104">
        <f>'Input data'!E129</f>
        <v>48694518.38623029</v>
      </c>
      <c r="E189" s="654">
        <f>'Input data'!J129</f>
        <v>11.504772374209397</v>
      </c>
      <c r="F189" s="673">
        <f>'Input data'!L129/C149</f>
        <v>23.495220383165176</v>
      </c>
      <c r="G189" s="696">
        <f t="shared" si="156"/>
        <v>5.4219838245789305</v>
      </c>
      <c r="H189" s="696">
        <f t="shared" si="127"/>
        <v>15.266907617649188</v>
      </c>
      <c r="I189" s="1351">
        <f t="shared" si="128"/>
        <v>12.947123098255075</v>
      </c>
      <c r="J189" s="510">
        <f>J188</f>
        <v>0.4</v>
      </c>
      <c r="K189" s="696">
        <f t="shared" si="152"/>
        <v>5.1788492393020302</v>
      </c>
      <c r="L189" s="673">
        <f t="shared" si="129"/>
        <v>0.96248877021284696</v>
      </c>
      <c r="M189" s="802">
        <f t="shared" si="134"/>
        <v>6.1413380095148771</v>
      </c>
      <c r="N189" s="805">
        <f t="shared" si="157"/>
        <v>0.5</v>
      </c>
      <c r="O189" s="1407">
        <f t="shared" si="130"/>
        <v>1.0361992776035385</v>
      </c>
      <c r="P189" s="861">
        <f t="shared" si="153"/>
        <v>5.4181823688947279</v>
      </c>
      <c r="Q189" s="696">
        <f t="shared" si="131"/>
        <v>15.270709073333391</v>
      </c>
      <c r="R189" s="673">
        <f t="shared" si="132"/>
        <v>9.8487252487544605</v>
      </c>
      <c r="S189" s="1353">
        <f t="shared" si="154"/>
        <v>1.3127371269900265</v>
      </c>
      <c r="T189" s="135" t="str">
        <f t="shared" si="135"/>
        <v>Policies not met</v>
      </c>
      <c r="U189" s="1353">
        <f t="shared" si="136"/>
        <v>0.85</v>
      </c>
      <c r="V189" s="135" t="str">
        <f t="shared" si="137"/>
        <v>Yes</v>
      </c>
      <c r="W189" s="1354">
        <f t="shared" si="138"/>
        <v>14.672838954386485</v>
      </c>
      <c r="X189" s="696">
        <f t="shared" si="139"/>
        <v>8.8936391411100963</v>
      </c>
      <c r="Y189" s="118">
        <f t="shared" si="140"/>
        <v>5.3232225548339569</v>
      </c>
      <c r="Z189" s="673">
        <f t="shared" si="141"/>
        <v>0.45227213048380793</v>
      </c>
      <c r="AA189" s="673">
        <f t="shared" si="142"/>
        <v>0</v>
      </c>
      <c r="AB189" s="673">
        <f t="shared" si="143"/>
        <v>3.7051279586225467E-3</v>
      </c>
      <c r="AC189" s="673">
        <f t="shared" si="144"/>
        <v>14.672838954386485</v>
      </c>
      <c r="AD189" s="847">
        <f t="shared" si="133"/>
        <v>0</v>
      </c>
      <c r="AE189" s="805">
        <f t="shared" si="145"/>
        <v>0.60612940472922716</v>
      </c>
      <c r="AF189" s="510">
        <f t="shared" si="146"/>
        <v>0.36279431481407798</v>
      </c>
      <c r="AG189" s="510">
        <f t="shared" si="147"/>
        <v>3.0823764364196198E-2</v>
      </c>
      <c r="AH189" s="510">
        <f t="shared" si="148"/>
        <v>2.5251609249857466E-4</v>
      </c>
      <c r="AI189" s="510">
        <f t="shared" si="149"/>
        <v>2.5251609249857466E-4</v>
      </c>
      <c r="AJ189" s="658">
        <f t="shared" si="150"/>
        <v>1.0002525160924984</v>
      </c>
    </row>
    <row r="190" spans="1:36">
      <c r="A190" s="127">
        <f>'Input data'!A130</f>
        <v>2032</v>
      </c>
      <c r="B190" s="828">
        <f>'Input data'!B130</f>
        <v>67.087000000000003</v>
      </c>
      <c r="C190" s="238">
        <f>'Input data'!C130</f>
        <v>3857.2</v>
      </c>
      <c r="D190" s="104">
        <f>'Input data'!E130</f>
        <v>48694518.38623029</v>
      </c>
      <c r="E190" s="654">
        <f>'Input data'!J130</f>
        <v>11.504772374209397</v>
      </c>
      <c r="F190" s="673">
        <f>'Input data'!L130/C150</f>
        <v>22.708755459246355</v>
      </c>
      <c r="G190" s="940">
        <f>G135*(1-E6)</f>
        <v>4.7147685431121138</v>
      </c>
      <c r="H190" s="696">
        <f t="shared" si="127"/>
        <v>15.671185480546839</v>
      </c>
      <c r="I190" s="1351">
        <f t="shared" si="128"/>
        <v>12.624317739870966</v>
      </c>
      <c r="J190" s="510">
        <f t="shared" ref="J190:J208" si="158">J189</f>
        <v>0.4</v>
      </c>
      <c r="K190" s="696">
        <f t="shared" si="152"/>
        <v>5.0497270959483869</v>
      </c>
      <c r="L190" s="673">
        <f t="shared" si="129"/>
        <v>0.96248877021284696</v>
      </c>
      <c r="M190" s="802">
        <f t="shared" si="134"/>
        <v>6.0122158661612337</v>
      </c>
      <c r="N190" s="805">
        <f t="shared" si="157"/>
        <v>0.5</v>
      </c>
      <c r="O190" s="1407">
        <f t="shared" si="130"/>
        <v>1.0361992776035385</v>
      </c>
      <c r="P190" s="861">
        <f t="shared" si="153"/>
        <v>5.3089281653560283</v>
      </c>
      <c r="Q190" s="696">
        <f t="shared" si="131"/>
        <v>15.077025858302925</v>
      </c>
      <c r="R190" s="673">
        <f t="shared" si="132"/>
        <v>10.36225731519081</v>
      </c>
      <c r="S190" s="1353">
        <f t="shared" si="154"/>
        <v>1.3811858442081419</v>
      </c>
      <c r="T190" s="135" t="str">
        <f t="shared" si="135"/>
        <v>Policies not met</v>
      </c>
      <c r="U190" s="1353">
        <f t="shared" si="136"/>
        <v>0.85</v>
      </c>
      <c r="V190" s="135" t="str">
        <f t="shared" si="137"/>
        <v>Yes</v>
      </c>
      <c r="W190" s="1354">
        <f t="shared" si="138"/>
        <v>14.350033596002376</v>
      </c>
      <c r="X190" s="696">
        <f t="shared" si="139"/>
        <v>8.6999559260796318</v>
      </c>
      <c r="Y190" s="118">
        <f t="shared" si="140"/>
        <v>5.1941004114803135</v>
      </c>
      <c r="Z190" s="673">
        <f t="shared" si="141"/>
        <v>0.45227213048380793</v>
      </c>
      <c r="AA190" s="673">
        <f t="shared" si="142"/>
        <v>0</v>
      </c>
      <c r="AB190" s="673">
        <f t="shared" si="143"/>
        <v>3.7051279586225467E-3</v>
      </c>
      <c r="AC190" s="673">
        <f t="shared" si="144"/>
        <v>14.350033596002376</v>
      </c>
      <c r="AD190" s="847">
        <f t="shared" si="133"/>
        <v>0</v>
      </c>
      <c r="AE190" s="805">
        <f t="shared" si="145"/>
        <v>0.60626728626637227</v>
      </c>
      <c r="AF190" s="510">
        <f t="shared" si="146"/>
        <v>0.36195736941879236</v>
      </c>
      <c r="AG190" s="510">
        <f t="shared" si="147"/>
        <v>3.1517147849033721E-2</v>
      </c>
      <c r="AH190" s="510">
        <f t="shared" si="148"/>
        <v>2.5819646580163541E-4</v>
      </c>
      <c r="AI190" s="510">
        <f t="shared" si="149"/>
        <v>2.5819646580163541E-4</v>
      </c>
      <c r="AJ190" s="658">
        <f t="shared" si="150"/>
        <v>1.0002581964658015</v>
      </c>
    </row>
    <row r="191" spans="1:36">
      <c r="A191" s="127">
        <f>'Input data'!A131</f>
        <v>2033</v>
      </c>
      <c r="B191" s="828">
        <f>'Input data'!B131</f>
        <v>67.659000000000006</v>
      </c>
      <c r="C191" s="238">
        <f>'Input data'!C131</f>
        <v>3964.01</v>
      </c>
      <c r="D191" s="104">
        <f>'Input data'!E131</f>
        <v>48694518.38623029</v>
      </c>
      <c r="E191" s="654">
        <f>'Input data'!J131</f>
        <v>11.504772374209397</v>
      </c>
      <c r="F191" s="673">
        <f>'Input data'!L131/C151</f>
        <v>21.932916613439893</v>
      </c>
      <c r="G191" s="696">
        <f>G190</f>
        <v>4.7147685431121138</v>
      </c>
      <c r="H191" s="696">
        <f t="shared" si="127"/>
        <v>15.351960201302283</v>
      </c>
      <c r="I191" s="1351">
        <f t="shared" si="128"/>
        <v>12.284156292802058</v>
      </c>
      <c r="J191" s="510">
        <f t="shared" si="158"/>
        <v>0.4</v>
      </c>
      <c r="K191" s="696">
        <f t="shared" si="152"/>
        <v>4.913662517120823</v>
      </c>
      <c r="L191" s="673">
        <f t="shared" si="129"/>
        <v>0.96248877021284696</v>
      </c>
      <c r="M191" s="802">
        <f t="shared" si="134"/>
        <v>5.8761512873336699</v>
      </c>
      <c r="N191" s="805">
        <f t="shared" si="157"/>
        <v>0.5</v>
      </c>
      <c r="O191" s="1407">
        <f t="shared" si="130"/>
        <v>1.0361992776035385</v>
      </c>
      <c r="P191" s="861">
        <f t="shared" si="153"/>
        <v>5.1937997543528152</v>
      </c>
      <c r="Q191" s="696">
        <f t="shared" si="131"/>
        <v>14.872928990061583</v>
      </c>
      <c r="R191" s="673">
        <f t="shared" si="132"/>
        <v>10.15816044694947</v>
      </c>
      <c r="S191" s="1353">
        <f t="shared" si="154"/>
        <v>1.3539817614790917</v>
      </c>
      <c r="T191" s="135" t="str">
        <f t="shared" si="135"/>
        <v>Policies not met</v>
      </c>
      <c r="U191" s="1353">
        <f t="shared" si="136"/>
        <v>0.85</v>
      </c>
      <c r="V191" s="135" t="str">
        <f t="shared" si="137"/>
        <v>Yes</v>
      </c>
      <c r="W191" s="1354">
        <f t="shared" si="138"/>
        <v>14.009872148933468</v>
      </c>
      <c r="X191" s="696">
        <f t="shared" si="139"/>
        <v>8.4958590578382882</v>
      </c>
      <c r="Y191" s="118">
        <f t="shared" si="140"/>
        <v>5.0580358326527497</v>
      </c>
      <c r="Z191" s="673">
        <f t="shared" si="141"/>
        <v>0.45227213048380793</v>
      </c>
      <c r="AA191" s="673">
        <f t="shared" si="142"/>
        <v>0</v>
      </c>
      <c r="AB191" s="673">
        <f t="shared" si="143"/>
        <v>3.7051279586225467E-3</v>
      </c>
      <c r="AC191" s="673">
        <f t="shared" si="144"/>
        <v>14.009872148933468</v>
      </c>
      <c r="AD191" s="847">
        <f t="shared" si="133"/>
        <v>0</v>
      </c>
      <c r="AE191" s="805">
        <f t="shared" si="145"/>
        <v>0.60641945676035691</v>
      </c>
      <c r="AF191" s="510">
        <f t="shared" si="146"/>
        <v>0.36103368959279214</v>
      </c>
      <c r="AG191" s="510">
        <f t="shared" si="147"/>
        <v>3.2282388138583987E-2</v>
      </c>
      <c r="AH191" s="510">
        <f t="shared" si="148"/>
        <v>2.6446550826694071E-4</v>
      </c>
      <c r="AI191" s="510">
        <f t="shared" si="149"/>
        <v>2.6446550826694071E-4</v>
      </c>
      <c r="AJ191" s="658">
        <f t="shared" si="150"/>
        <v>1.0002644655082669</v>
      </c>
    </row>
    <row r="192" spans="1:36">
      <c r="A192" s="127">
        <f>'Input data'!A132</f>
        <v>2034</v>
      </c>
      <c r="B192" s="828">
        <f>'Input data'!B132</f>
        <v>68.236999999999995</v>
      </c>
      <c r="C192" s="238">
        <f>'Input data'!C132</f>
        <v>4078.22</v>
      </c>
      <c r="D192" s="104">
        <f>'Input data'!E132</f>
        <v>48694518.38623029</v>
      </c>
      <c r="E192" s="654">
        <f>'Input data'!J132</f>
        <v>11.504772374209397</v>
      </c>
      <c r="F192" s="673">
        <f>'Input data'!L132/C152</f>
        <v>21.180202472610077</v>
      </c>
      <c r="G192" s="696">
        <f t="shared" ref="G192:G208" si="159">G191</f>
        <v>4.7147685431121138</v>
      </c>
      <c r="H192" s="696">
        <f t="shared" si="127"/>
        <v>15.029117479582979</v>
      </c>
      <c r="I192" s="1351">
        <f t="shared" si="128"/>
        <v>11.940140155810694</v>
      </c>
      <c r="J192" s="510">
        <f t="shared" si="158"/>
        <v>0.4</v>
      </c>
      <c r="K192" s="696">
        <f t="shared" si="152"/>
        <v>4.7760560623242778</v>
      </c>
      <c r="L192" s="673">
        <f t="shared" si="129"/>
        <v>0.96248877021284696</v>
      </c>
      <c r="M192" s="802">
        <f t="shared" si="134"/>
        <v>5.7385448325371247</v>
      </c>
      <c r="N192" s="805">
        <f t="shared" si="157"/>
        <v>0.5</v>
      </c>
      <c r="O192" s="1407">
        <f t="shared" si="130"/>
        <v>1.0361992776035385</v>
      </c>
      <c r="P192" s="861">
        <f t="shared" si="153"/>
        <v>5.077366714828333</v>
      </c>
      <c r="Q192" s="696">
        <f t="shared" si="131"/>
        <v>14.666519307866761</v>
      </c>
      <c r="R192" s="673">
        <f t="shared" si="132"/>
        <v>9.9517507647546459</v>
      </c>
      <c r="S192" s="1353">
        <f t="shared" si="154"/>
        <v>1.3264694036517048</v>
      </c>
      <c r="T192" s="135" t="str">
        <f t="shared" si="135"/>
        <v>Policies not met</v>
      </c>
      <c r="U192" s="1353">
        <f t="shared" si="136"/>
        <v>0.85</v>
      </c>
      <c r="V192" s="135" t="str">
        <f t="shared" si="137"/>
        <v>Yes</v>
      </c>
      <c r="W192" s="1354">
        <f t="shared" si="138"/>
        <v>13.665856011942104</v>
      </c>
      <c r="X192" s="696">
        <f t="shared" si="139"/>
        <v>8.2894493756434677</v>
      </c>
      <c r="Y192" s="118">
        <f t="shared" si="140"/>
        <v>4.9204293778562045</v>
      </c>
      <c r="Z192" s="673">
        <f t="shared" si="141"/>
        <v>0.45227213048380793</v>
      </c>
      <c r="AA192" s="673">
        <f t="shared" si="142"/>
        <v>0</v>
      </c>
      <c r="AB192" s="673">
        <f t="shared" si="143"/>
        <v>3.7051279586225467E-3</v>
      </c>
      <c r="AC192" s="673">
        <f t="shared" si="144"/>
        <v>13.665856011942104</v>
      </c>
      <c r="AD192" s="847">
        <f t="shared" si="133"/>
        <v>0</v>
      </c>
      <c r="AE192" s="805">
        <f t="shared" si="145"/>
        <v>0.60658105634946058</v>
      </c>
      <c r="AF192" s="510">
        <f t="shared" si="146"/>
        <v>0.36005277485409015</v>
      </c>
      <c r="AG192" s="510">
        <f t="shared" si="147"/>
        <v>3.3095045790661297E-2</v>
      </c>
      <c r="AH192" s="510">
        <f t="shared" si="148"/>
        <v>2.7112300578791167E-4</v>
      </c>
      <c r="AI192" s="510">
        <f t="shared" si="149"/>
        <v>2.7112300578791167E-4</v>
      </c>
      <c r="AJ192" s="658">
        <f t="shared" si="150"/>
        <v>1.0002711230057879</v>
      </c>
    </row>
    <row r="193" spans="1:36">
      <c r="A193" s="127">
        <f>'Input data'!A133</f>
        <v>2035</v>
      </c>
      <c r="B193" s="828">
        <f>'Input data'!B133</f>
        <v>68.819000000000003</v>
      </c>
      <c r="C193" s="238">
        <f>'Input data'!C133</f>
        <v>4200.2899999999991</v>
      </c>
      <c r="D193" s="104">
        <f>'Input data'!E133</f>
        <v>48694518.38623029</v>
      </c>
      <c r="E193" s="654">
        <f>'Input data'!J133</f>
        <v>11.504772374209397</v>
      </c>
      <c r="F193" s="673">
        <f>'Input data'!L133/C153</f>
        <v>20.451725328897567</v>
      </c>
      <c r="G193" s="696">
        <f t="shared" si="159"/>
        <v>4.7147685431121138</v>
      </c>
      <c r="H193" s="696">
        <f t="shared" si="127"/>
        <v>14.703467332961221</v>
      </c>
      <c r="I193" s="1351">
        <f t="shared" si="128"/>
        <v>11.593132470908031</v>
      </c>
      <c r="J193" s="510">
        <f t="shared" si="158"/>
        <v>0.4</v>
      </c>
      <c r="K193" s="696">
        <f t="shared" si="152"/>
        <v>4.6372529883632128</v>
      </c>
      <c r="L193" s="673">
        <f t="shared" si="129"/>
        <v>0.96248877021284696</v>
      </c>
      <c r="M193" s="802">
        <f t="shared" si="134"/>
        <v>5.5997417585760596</v>
      </c>
      <c r="N193" s="805">
        <f t="shared" si="157"/>
        <v>0.5</v>
      </c>
      <c r="O193" s="1407">
        <f t="shared" si="130"/>
        <v>1.0361992776035385</v>
      </c>
      <c r="P193" s="861">
        <f t="shared" si="153"/>
        <v>4.9599211791481714</v>
      </c>
      <c r="Q193" s="696">
        <f t="shared" si="131"/>
        <v>14.458314696925164</v>
      </c>
      <c r="R193" s="673">
        <f t="shared" si="132"/>
        <v>9.7435461538130497</v>
      </c>
      <c r="S193" s="1353">
        <f t="shared" si="154"/>
        <v>1.2987177996735031</v>
      </c>
      <c r="T193" s="135" t="str">
        <f t="shared" si="135"/>
        <v>Policies not met</v>
      </c>
      <c r="U193" s="1353">
        <f t="shared" si="136"/>
        <v>0.85</v>
      </c>
      <c r="V193" s="135" t="str">
        <f t="shared" si="137"/>
        <v>Yes</v>
      </c>
      <c r="W193" s="1354">
        <f t="shared" si="138"/>
        <v>13.318848327039442</v>
      </c>
      <c r="X193" s="696">
        <f t="shared" si="139"/>
        <v>8.0812447647018715</v>
      </c>
      <c r="Y193" s="118">
        <f t="shared" si="140"/>
        <v>4.7816263038951394</v>
      </c>
      <c r="Z193" s="673">
        <f t="shared" si="141"/>
        <v>0.45227213048380793</v>
      </c>
      <c r="AA193" s="673">
        <f t="shared" si="142"/>
        <v>0</v>
      </c>
      <c r="AB193" s="673">
        <f t="shared" si="143"/>
        <v>3.7051279586225467E-3</v>
      </c>
      <c r="AC193" s="673">
        <f t="shared" si="144"/>
        <v>13.318848327039442</v>
      </c>
      <c r="AD193" s="847">
        <f t="shared" si="133"/>
        <v>0</v>
      </c>
      <c r="AE193" s="805">
        <f t="shared" si="145"/>
        <v>0.60675251840623656</v>
      </c>
      <c r="AF193" s="510">
        <f t="shared" si="146"/>
        <v>0.35901199461725647</v>
      </c>
      <c r="AG193" s="510">
        <f t="shared" si="147"/>
        <v>3.3957300164280835E-2</v>
      </c>
      <c r="AH193" s="510">
        <f t="shared" si="148"/>
        <v>2.7818681222613898E-4</v>
      </c>
      <c r="AI193" s="510">
        <f t="shared" si="149"/>
        <v>2.7818681222613898E-4</v>
      </c>
      <c r="AJ193" s="658">
        <f t="shared" si="150"/>
        <v>1.0002781868122261</v>
      </c>
    </row>
    <row r="194" spans="1:36">
      <c r="A194" s="127">
        <f>'Input data'!A134</f>
        <v>2036</v>
      </c>
      <c r="B194" s="828">
        <f>'Input data'!B134</f>
        <v>69.322999999999993</v>
      </c>
      <c r="C194" s="238">
        <f>'Input data'!C134</f>
        <v>4325.9699999999993</v>
      </c>
      <c r="D194" s="104">
        <f>'Input data'!E134</f>
        <v>48694518.38623029</v>
      </c>
      <c r="E194" s="654">
        <f>'Input data'!J134</f>
        <v>11.504772374209397</v>
      </c>
      <c r="F194" s="673">
        <f>'Input data'!L134/C154</f>
        <v>19.415712553522276</v>
      </c>
      <c r="G194" s="696">
        <f t="shared" si="159"/>
        <v>4.7147685431121138</v>
      </c>
      <c r="H194" s="696">
        <f t="shared" si="127"/>
        <v>14.387388325951843</v>
      </c>
      <c r="I194" s="1351">
        <f t="shared" si="128"/>
        <v>11.25632364214969</v>
      </c>
      <c r="J194" s="510">
        <f t="shared" si="158"/>
        <v>0.4</v>
      </c>
      <c r="K194" s="696">
        <f t="shared" si="152"/>
        <v>4.5025294568598762</v>
      </c>
      <c r="L194" s="673">
        <f t="shared" si="129"/>
        <v>0.96248877021284696</v>
      </c>
      <c r="M194" s="802">
        <f t="shared" si="134"/>
        <v>5.465018227072723</v>
      </c>
      <c r="N194" s="805">
        <f t="shared" si="157"/>
        <v>0.5</v>
      </c>
      <c r="O194" s="1407">
        <f t="shared" si="130"/>
        <v>1.0361992776035385</v>
      </c>
      <c r="P194" s="861">
        <f t="shared" si="153"/>
        <v>4.8459274693937973</v>
      </c>
      <c r="Q194" s="696">
        <f t="shared" si="131"/>
        <v>14.256229399670161</v>
      </c>
      <c r="R194" s="673">
        <f t="shared" si="132"/>
        <v>9.5414608565580465</v>
      </c>
      <c r="S194" s="1353">
        <f t="shared" si="154"/>
        <v>1.2717818393512259</v>
      </c>
      <c r="T194" s="135" t="str">
        <f t="shared" si="135"/>
        <v>Policies not met</v>
      </c>
      <c r="U194" s="1353">
        <f t="shared" si="136"/>
        <v>0.85</v>
      </c>
      <c r="V194" s="135" t="str">
        <f t="shared" si="137"/>
        <v>Yes</v>
      </c>
      <c r="W194" s="1354">
        <f t="shared" si="138"/>
        <v>12.9820394982811</v>
      </c>
      <c r="X194" s="696">
        <f t="shared" si="139"/>
        <v>7.8791594674468657</v>
      </c>
      <c r="Y194" s="118">
        <f t="shared" si="140"/>
        <v>4.6469027723918028</v>
      </c>
      <c r="Z194" s="673">
        <f t="shared" si="141"/>
        <v>0.45227213048380793</v>
      </c>
      <c r="AA194" s="673">
        <f t="shared" si="142"/>
        <v>0</v>
      </c>
      <c r="AB194" s="673">
        <f t="shared" si="143"/>
        <v>3.7051279586225467E-3</v>
      </c>
      <c r="AC194" s="673">
        <f t="shared" si="144"/>
        <v>12.9820394982811</v>
      </c>
      <c r="AD194" s="847">
        <f>AC194-W194</f>
        <v>0</v>
      </c>
      <c r="AE194" s="805">
        <f t="shared" si="145"/>
        <v>0.60692770719809574</v>
      </c>
      <c r="AF194" s="510">
        <f t="shared" si="146"/>
        <v>0.35794859297778908</v>
      </c>
      <c r="AG194" s="510">
        <f t="shared" si="147"/>
        <v>3.4838295673317851E-2</v>
      </c>
      <c r="AH194" s="510">
        <f t="shared" si="148"/>
        <v>2.8540415079719391E-4</v>
      </c>
      <c r="AI194" s="510">
        <f t="shared" si="149"/>
        <v>2.8540415079719391E-4</v>
      </c>
      <c r="AJ194" s="658">
        <f t="shared" si="150"/>
        <v>1.0002854041507971</v>
      </c>
    </row>
    <row r="195" spans="1:36">
      <c r="A195" s="127">
        <f>'Input data'!A135</f>
        <v>2037</v>
      </c>
      <c r="B195" s="829">
        <f>'Input data'!B135</f>
        <v>69.83</v>
      </c>
      <c r="C195" s="662">
        <f>'Input data'!C135</f>
        <v>4457.0000000000018</v>
      </c>
      <c r="D195" s="104">
        <f>'Input data'!E135</f>
        <v>48694518.38623029</v>
      </c>
      <c r="E195" s="654">
        <f>'Input data'!J135</f>
        <v>11.504772374209397</v>
      </c>
      <c r="F195" s="673">
        <f>'Input data'!L135/C155</f>
        <v>18.429875077587699</v>
      </c>
      <c r="G195" s="696">
        <f t="shared" si="159"/>
        <v>4.7147685431121138</v>
      </c>
      <c r="H195" s="696">
        <f t="shared" si="127"/>
        <v>14.076834514628345</v>
      </c>
      <c r="I195" s="1351">
        <f t="shared" si="128"/>
        <v>10.925402375191894</v>
      </c>
      <c r="J195" s="498">
        <f t="shared" si="158"/>
        <v>0.4</v>
      </c>
      <c r="K195" s="696">
        <f t="shared" si="152"/>
        <v>4.370160950076758</v>
      </c>
      <c r="L195" s="673">
        <f t="shared" si="129"/>
        <v>0.96248877021284696</v>
      </c>
      <c r="M195" s="802">
        <f t="shared" si="134"/>
        <v>5.3326497202896048</v>
      </c>
      <c r="N195" s="805">
        <f t="shared" si="157"/>
        <v>0.5</v>
      </c>
      <c r="O195" s="1407">
        <f t="shared" si="130"/>
        <v>1.0361992776035385</v>
      </c>
      <c r="P195" s="861">
        <f t="shared" si="153"/>
        <v>4.7339264182449785</v>
      </c>
      <c r="Q195" s="696">
        <f t="shared" si="131"/>
        <v>14.057676639495481</v>
      </c>
      <c r="R195" s="673">
        <f t="shared" si="132"/>
        <v>9.3429080963833684</v>
      </c>
      <c r="S195" s="1353">
        <f t="shared" si="154"/>
        <v>1.2453167310895645</v>
      </c>
      <c r="T195" s="135" t="str">
        <f t="shared" si="135"/>
        <v>Policies not met</v>
      </c>
      <c r="U195" s="1353">
        <f t="shared" si="136"/>
        <v>0.85</v>
      </c>
      <c r="V195" s="135" t="str">
        <f t="shared" si="137"/>
        <v>Yes</v>
      </c>
      <c r="W195" s="1354">
        <f t="shared" si="138"/>
        <v>12.651118231323304</v>
      </c>
      <c r="X195" s="696">
        <f t="shared" si="139"/>
        <v>7.6806067072721875</v>
      </c>
      <c r="Y195" s="118">
        <f t="shared" si="140"/>
        <v>4.5145342656086846</v>
      </c>
      <c r="Z195" s="673">
        <f t="shared" si="141"/>
        <v>0.45227213048380793</v>
      </c>
      <c r="AA195" s="673">
        <f t="shared" si="142"/>
        <v>0</v>
      </c>
      <c r="AB195" s="673">
        <f t="shared" si="143"/>
        <v>3.7051279586225467E-3</v>
      </c>
      <c r="AC195" s="673">
        <f t="shared" si="144"/>
        <v>12.651118231323302</v>
      </c>
      <c r="AD195" s="847">
        <f t="shared" ref="AD195:AD208" si="160">AC195-W195</f>
        <v>0</v>
      </c>
      <c r="AE195" s="805">
        <f t="shared" si="145"/>
        <v>0.60710891850299298</v>
      </c>
      <c r="AF195" s="510">
        <f t="shared" si="146"/>
        <v>0.35684863448916376</v>
      </c>
      <c r="AG195" s="510">
        <f t="shared" si="147"/>
        <v>3.5749577406051988E-2</v>
      </c>
      <c r="AH195" s="510">
        <f t="shared" si="148"/>
        <v>2.9286960179131862E-4</v>
      </c>
      <c r="AI195" s="510">
        <f t="shared" si="149"/>
        <v>2.9286960179131862E-4</v>
      </c>
      <c r="AJ195" s="658">
        <f t="shared" si="150"/>
        <v>1.0002928696017914</v>
      </c>
    </row>
    <row r="196" spans="1:36">
      <c r="A196" s="127">
        <f>'Input data'!A136</f>
        <v>2038</v>
      </c>
      <c r="B196" s="828">
        <f>'Input data'!B136</f>
        <v>70.341999999999999</v>
      </c>
      <c r="C196" s="238">
        <f>'Input data'!C136</f>
        <v>4590.03</v>
      </c>
      <c r="D196" s="104">
        <f>'Input data'!E136</f>
        <v>48694518.38623029</v>
      </c>
      <c r="E196" s="654">
        <f>'Input data'!J136</f>
        <v>11.504772374209397</v>
      </c>
      <c r="F196" s="673">
        <f>'Input data'!L136/C156</f>
        <v>17.497734426834782</v>
      </c>
      <c r="G196" s="696">
        <f t="shared" si="159"/>
        <v>4.7147685431121138</v>
      </c>
      <c r="H196" s="696">
        <f t="shared" si="127"/>
        <v>13.779679069391044</v>
      </c>
      <c r="I196" s="1351">
        <f t="shared" si="128"/>
        <v>10.608758196837556</v>
      </c>
      <c r="J196" s="510">
        <f t="shared" si="158"/>
        <v>0.4</v>
      </c>
      <c r="K196" s="696">
        <f t="shared" si="152"/>
        <v>4.2435032787350222</v>
      </c>
      <c r="L196" s="673">
        <f t="shared" si="129"/>
        <v>0.96248877021284696</v>
      </c>
      <c r="M196" s="802">
        <f t="shared" si="134"/>
        <v>5.205992048947869</v>
      </c>
      <c r="N196" s="805">
        <f t="shared" si="157"/>
        <v>0.5</v>
      </c>
      <c r="O196" s="1407">
        <f t="shared" si="130"/>
        <v>1.0361992776035385</v>
      </c>
      <c r="P196" s="861">
        <f t="shared" si="153"/>
        <v>4.6267574800202764</v>
      </c>
      <c r="Q196" s="696">
        <f t="shared" si="131"/>
        <v>13.867690132482881</v>
      </c>
      <c r="R196" s="673">
        <f t="shared" si="132"/>
        <v>9.1529215893707665</v>
      </c>
      <c r="S196" s="1353">
        <f t="shared" si="154"/>
        <v>1.2199934191803266</v>
      </c>
      <c r="T196" s="135" t="str">
        <f t="shared" si="135"/>
        <v>Policies not met</v>
      </c>
      <c r="U196" s="1353">
        <f t="shared" si="136"/>
        <v>0.85</v>
      </c>
      <c r="V196" s="135" t="str">
        <f t="shared" si="137"/>
        <v>Yes</v>
      </c>
      <c r="W196" s="1354">
        <f t="shared" si="138"/>
        <v>12.334474052968966</v>
      </c>
      <c r="X196" s="696">
        <f t="shared" si="139"/>
        <v>7.4906202002595856</v>
      </c>
      <c r="Y196" s="118">
        <f t="shared" si="140"/>
        <v>4.3878765942669489</v>
      </c>
      <c r="Z196" s="673">
        <f t="shared" si="141"/>
        <v>0.45227213048380793</v>
      </c>
      <c r="AA196" s="673">
        <f t="shared" si="142"/>
        <v>0</v>
      </c>
      <c r="AB196" s="673">
        <f t="shared" si="143"/>
        <v>3.7051279586225467E-3</v>
      </c>
      <c r="AC196" s="673">
        <f t="shared" si="144"/>
        <v>12.334474052968964</v>
      </c>
      <c r="AD196" s="847">
        <f t="shared" si="160"/>
        <v>0</v>
      </c>
      <c r="AE196" s="805">
        <f t="shared" si="145"/>
        <v>0.60729141494740579</v>
      </c>
      <c r="AF196" s="510">
        <f t="shared" si="146"/>
        <v>0.35574087516206393</v>
      </c>
      <c r="AG196" s="510">
        <f t="shared" si="147"/>
        <v>3.6667321893222027E-2</v>
      </c>
      <c r="AH196" s="510">
        <f t="shared" si="148"/>
        <v>3.0038799730830077E-4</v>
      </c>
      <c r="AI196" s="510">
        <f t="shared" si="149"/>
        <v>3.0038799730830077E-4</v>
      </c>
      <c r="AJ196" s="658">
        <f t="shared" si="150"/>
        <v>1.0003003879973082</v>
      </c>
    </row>
    <row r="197" spans="1:36">
      <c r="A197" s="127">
        <f>'Input data'!A137</f>
        <v>2039</v>
      </c>
      <c r="B197" s="828">
        <f>'Input data'!B137</f>
        <v>70.856999999999999</v>
      </c>
      <c r="C197" s="238">
        <f>'Input data'!C137</f>
        <v>4728.5300000000007</v>
      </c>
      <c r="D197" s="104">
        <f>'Input data'!E137</f>
        <v>48694518.38623029</v>
      </c>
      <c r="E197" s="654">
        <f>'Input data'!J137</f>
        <v>11.504772374209397</v>
      </c>
      <c r="F197" s="673">
        <f>'Input data'!L137/C157</f>
        <v>16.612546689172611</v>
      </c>
      <c r="G197" s="696">
        <f t="shared" si="159"/>
        <v>4.7147685431121138</v>
      </c>
      <c r="H197" s="696">
        <f t="shared" si="127"/>
        <v>13.488070447432015</v>
      </c>
      <c r="I197" s="1351">
        <f t="shared" si="128"/>
        <v>10.298024626306756</v>
      </c>
      <c r="J197" s="510">
        <f t="shared" si="158"/>
        <v>0.4</v>
      </c>
      <c r="K197" s="696">
        <f t="shared" si="152"/>
        <v>4.1192098505227026</v>
      </c>
      <c r="L197" s="673">
        <f t="shared" si="129"/>
        <v>0.96248877021284696</v>
      </c>
      <c r="M197" s="802">
        <f t="shared" si="134"/>
        <v>5.0816986207355495</v>
      </c>
      <c r="N197" s="805">
        <f t="shared" si="157"/>
        <v>0.5</v>
      </c>
      <c r="O197" s="1407">
        <f t="shared" si="130"/>
        <v>1.0361992776035385</v>
      </c>
      <c r="P197" s="861">
        <f t="shared" si="153"/>
        <v>4.5215890003797297</v>
      </c>
      <c r="Q197" s="696">
        <f t="shared" si="131"/>
        <v>13.6812499901644</v>
      </c>
      <c r="R197" s="673">
        <f t="shared" si="132"/>
        <v>8.9664814470522849</v>
      </c>
      <c r="S197" s="1353">
        <f t="shared" si="154"/>
        <v>1.1951428024151034</v>
      </c>
      <c r="T197" s="135" t="str">
        <f t="shared" si="135"/>
        <v>Policies not met</v>
      </c>
      <c r="U197" s="1353">
        <f t="shared" si="136"/>
        <v>0.85</v>
      </c>
      <c r="V197" s="135" t="str">
        <f t="shared" si="137"/>
        <v>Yes</v>
      </c>
      <c r="W197" s="1354">
        <f t="shared" si="138"/>
        <v>12.023740482438166</v>
      </c>
      <c r="X197" s="696">
        <f t="shared" si="139"/>
        <v>7.3041800579411049</v>
      </c>
      <c r="Y197" s="118">
        <f t="shared" si="140"/>
        <v>4.2635831660546293</v>
      </c>
      <c r="Z197" s="673">
        <f t="shared" si="141"/>
        <v>0.45227213048380793</v>
      </c>
      <c r="AA197" s="673">
        <f t="shared" si="142"/>
        <v>0</v>
      </c>
      <c r="AB197" s="673">
        <f t="shared" si="143"/>
        <v>3.7051279586225467E-3</v>
      </c>
      <c r="AC197" s="673">
        <f t="shared" si="144"/>
        <v>12.023740482438164</v>
      </c>
      <c r="AD197" s="847">
        <f t="shared" si="160"/>
        <v>0</v>
      </c>
      <c r="AE197" s="805">
        <f t="shared" si="145"/>
        <v>0.60747984943700062</v>
      </c>
      <c r="AF197" s="510">
        <f t="shared" si="146"/>
        <v>0.35459707170842591</v>
      </c>
      <c r="AG197" s="510">
        <f t="shared" si="147"/>
        <v>3.7614927829188856E-2</v>
      </c>
      <c r="AH197" s="510">
        <f t="shared" si="148"/>
        <v>3.0815102538467494E-4</v>
      </c>
      <c r="AI197" s="510">
        <f t="shared" si="149"/>
        <v>3.0815102538467494E-4</v>
      </c>
      <c r="AJ197" s="658">
        <f t="shared" si="150"/>
        <v>1.0003081510253846</v>
      </c>
    </row>
    <row r="198" spans="1:36">
      <c r="A198" s="127">
        <f>'Input data'!A138</f>
        <v>2040</v>
      </c>
      <c r="B198" s="828">
        <f>'Input data'!B138</f>
        <v>71.375</v>
      </c>
      <c r="C198" s="238">
        <f>'Input data'!C138</f>
        <v>4875.51</v>
      </c>
      <c r="D198" s="104">
        <f>'Input data'!E138</f>
        <v>48694518.38623029</v>
      </c>
      <c r="E198" s="654">
        <f>'Input data'!J138</f>
        <v>11.504772374209397</v>
      </c>
      <c r="F198" s="673">
        <f>'Input data'!L138/C158</f>
        <v>15.769958363570094</v>
      </c>
      <c r="G198" s="696">
        <f t="shared" si="159"/>
        <v>4.7147685431121138</v>
      </c>
      <c r="H198" s="696">
        <f t="shared" si="127"/>
        <v>13.196727638741564</v>
      </c>
      <c r="I198" s="1351">
        <f t="shared" si="128"/>
        <v>9.9875743022228001</v>
      </c>
      <c r="J198" s="510">
        <f t="shared" si="158"/>
        <v>0.4</v>
      </c>
      <c r="K198" s="696">
        <f t="shared" si="152"/>
        <v>3.9950297208891201</v>
      </c>
      <c r="L198" s="673">
        <f t="shared" si="129"/>
        <v>0.96248877021284696</v>
      </c>
      <c r="M198" s="802">
        <f t="shared" si="134"/>
        <v>4.9575184911019674</v>
      </c>
      <c r="N198" s="805">
        <f t="shared" si="157"/>
        <v>0.5</v>
      </c>
      <c r="O198" s="1407">
        <f t="shared" si="130"/>
        <v>1.0361992776035385</v>
      </c>
      <c r="P198" s="861">
        <f t="shared" si="153"/>
        <v>4.4165163861396506</v>
      </c>
      <c r="Q198" s="696">
        <f t="shared" si="131"/>
        <v>13.494979795714027</v>
      </c>
      <c r="R198" s="673">
        <f t="shared" si="132"/>
        <v>8.7802112526019123</v>
      </c>
      <c r="S198" s="1353">
        <f t="shared" si="154"/>
        <v>1.1703148380105142</v>
      </c>
      <c r="T198" s="135" t="str">
        <f t="shared" si="135"/>
        <v>Policies not met</v>
      </c>
      <c r="U198" s="1353">
        <f t="shared" si="136"/>
        <v>0.85</v>
      </c>
      <c r="V198" s="135" t="str">
        <f t="shared" si="137"/>
        <v>Yes</v>
      </c>
      <c r="W198" s="1354">
        <f t="shared" si="138"/>
        <v>11.71329015835421</v>
      </c>
      <c r="X198" s="696">
        <f t="shared" si="139"/>
        <v>7.1179098634907323</v>
      </c>
      <c r="Y198" s="118">
        <f t="shared" si="140"/>
        <v>4.1394030364210472</v>
      </c>
      <c r="Z198" s="673">
        <f t="shared" si="141"/>
        <v>0.45227213048380793</v>
      </c>
      <c r="AA198" s="673">
        <f t="shared" si="142"/>
        <v>0</v>
      </c>
      <c r="AB198" s="673">
        <f t="shared" si="143"/>
        <v>3.7051279586225467E-3</v>
      </c>
      <c r="AC198" s="673">
        <f t="shared" si="144"/>
        <v>11.71329015835421</v>
      </c>
      <c r="AD198" s="847">
        <f t="shared" si="160"/>
        <v>0</v>
      </c>
      <c r="AE198" s="805">
        <f t="shared" si="145"/>
        <v>0.60767809618496149</v>
      </c>
      <c r="AF198" s="510">
        <f t="shared" si="146"/>
        <v>0.35339370752876997</v>
      </c>
      <c r="AG198" s="510">
        <f t="shared" si="147"/>
        <v>3.8611877992387661E-2</v>
      </c>
      <c r="AH198" s="510">
        <f t="shared" si="148"/>
        <v>3.1631829388090052E-4</v>
      </c>
      <c r="AI198" s="510">
        <f t="shared" si="149"/>
        <v>3.1631829388090052E-4</v>
      </c>
      <c r="AJ198" s="658">
        <f t="shared" si="150"/>
        <v>1.0003163182938808</v>
      </c>
    </row>
    <row r="199" spans="1:36">
      <c r="A199" s="127">
        <f>'Input data'!A139</f>
        <v>2041</v>
      </c>
      <c r="B199" s="828">
        <f>'Input data'!B139</f>
        <v>71.819000000000003</v>
      </c>
      <c r="C199" s="238">
        <f>'Input data'!C139</f>
        <v>5028.54</v>
      </c>
      <c r="D199" s="104">
        <f>'Input data'!E139</f>
        <v>48694518.38623029</v>
      </c>
      <c r="E199" s="654">
        <f>'Input data'!J139</f>
        <v>11.504772374209397</v>
      </c>
      <c r="F199" s="673">
        <f>'Input data'!L139/C159</f>
        <v>15.387261067456164</v>
      </c>
      <c r="G199" s="696">
        <f t="shared" si="159"/>
        <v>4.7147685431121138</v>
      </c>
      <c r="H199" s="696">
        <f t="shared" si="127"/>
        <v>12.911489970471891</v>
      </c>
      <c r="I199" s="1351">
        <f t="shared" si="128"/>
        <v>9.683629519946205</v>
      </c>
      <c r="J199" s="510">
        <f t="shared" si="158"/>
        <v>0.4</v>
      </c>
      <c r="K199" s="696">
        <f t="shared" si="152"/>
        <v>3.8734518079784821</v>
      </c>
      <c r="L199" s="673">
        <f t="shared" si="129"/>
        <v>0.96248877021284696</v>
      </c>
      <c r="M199" s="802">
        <f t="shared" si="134"/>
        <v>4.8359405781913294</v>
      </c>
      <c r="N199" s="805">
        <f t="shared" si="157"/>
        <v>0.5</v>
      </c>
      <c r="O199" s="1407">
        <f t="shared" si="130"/>
        <v>1.0361992776035385</v>
      </c>
      <c r="P199" s="861">
        <f t="shared" si="153"/>
        <v>4.3136455872359374</v>
      </c>
      <c r="Q199" s="696">
        <f t="shared" si="131"/>
        <v>13.312612926348068</v>
      </c>
      <c r="R199" s="673">
        <f t="shared" si="132"/>
        <v>8.5978443832359552</v>
      </c>
      <c r="S199" s="1353">
        <f t="shared" si="154"/>
        <v>1.1460071480198826</v>
      </c>
      <c r="T199" s="135" t="str">
        <f t="shared" si="135"/>
        <v>Policies not met</v>
      </c>
      <c r="U199" s="1353">
        <f t="shared" si="136"/>
        <v>0.85</v>
      </c>
      <c r="V199" s="135" t="str">
        <f t="shared" si="137"/>
        <v>Yes</v>
      </c>
      <c r="W199" s="1354">
        <f t="shared" si="138"/>
        <v>11.409345376077615</v>
      </c>
      <c r="X199" s="696">
        <f t="shared" si="139"/>
        <v>6.9355429941247753</v>
      </c>
      <c r="Y199" s="118">
        <f t="shared" si="140"/>
        <v>4.0178251235104092</v>
      </c>
      <c r="Z199" s="673">
        <f t="shared" si="141"/>
        <v>0.45227213048380793</v>
      </c>
      <c r="AA199" s="673">
        <f t="shared" si="142"/>
        <v>0</v>
      </c>
      <c r="AB199" s="673">
        <f t="shared" si="143"/>
        <v>3.7051279586225467E-3</v>
      </c>
      <c r="AC199" s="673">
        <f t="shared" si="144"/>
        <v>11.409345376077615</v>
      </c>
      <c r="AD199" s="847">
        <f t="shared" si="160"/>
        <v>0</v>
      </c>
      <c r="AE199" s="805">
        <f t="shared" si="145"/>
        <v>0.60788264054717611</v>
      </c>
      <c r="AF199" s="510">
        <f t="shared" si="146"/>
        <v>0.35215211662666707</v>
      </c>
      <c r="AG199" s="510">
        <f t="shared" si="147"/>
        <v>3.9640497817876839E-2</v>
      </c>
      <c r="AH199" s="510">
        <f t="shared" si="148"/>
        <v>3.247450082798985E-4</v>
      </c>
      <c r="AI199" s="510">
        <f t="shared" si="149"/>
        <v>3.247450082798985E-4</v>
      </c>
      <c r="AJ199" s="658">
        <f t="shared" si="150"/>
        <v>1.0003247450082799</v>
      </c>
    </row>
    <row r="200" spans="1:36">
      <c r="A200" s="127">
        <f>'Input data'!A140</f>
        <v>2042</v>
      </c>
      <c r="B200" s="828">
        <f>'Input data'!B140</f>
        <v>72.265000000000001</v>
      </c>
      <c r="C200" s="238">
        <f>'Input data'!C140</f>
        <v>5188.1000000000004</v>
      </c>
      <c r="D200" s="104">
        <f>'Input data'!E140</f>
        <v>48694518.38623029</v>
      </c>
      <c r="E200" s="654">
        <f>'Input data'!J140</f>
        <v>11.504772374209397</v>
      </c>
      <c r="F200" s="673">
        <f>'Input data'!L140/C160</f>
        <v>15.02273510509165</v>
      </c>
      <c r="G200" s="696">
        <f t="shared" si="159"/>
        <v>4.7147685431121138</v>
      </c>
      <c r="H200" s="696">
        <f t="shared" si="127"/>
        <v>12.632000120837823</v>
      </c>
      <c r="I200" s="1351">
        <f t="shared" si="128"/>
        <v>9.3858095229911314</v>
      </c>
      <c r="J200" s="510">
        <f t="shared" si="158"/>
        <v>0.4</v>
      </c>
      <c r="K200" s="696">
        <f t="shared" si="152"/>
        <v>3.7543238091964528</v>
      </c>
      <c r="L200" s="673">
        <f t="shared" si="129"/>
        <v>0.96248877021284696</v>
      </c>
      <c r="M200" s="802">
        <f t="shared" si="134"/>
        <v>4.7168125794093001</v>
      </c>
      <c r="N200" s="805">
        <f t="shared" si="157"/>
        <v>0.5</v>
      </c>
      <c r="O200" s="1407">
        <f t="shared" si="130"/>
        <v>1.0361992776035385</v>
      </c>
      <c r="P200" s="861">
        <f t="shared" si="153"/>
        <v>4.2128477357749121</v>
      </c>
      <c r="Q200" s="696">
        <f t="shared" si="131"/>
        <v>13.133920928175026</v>
      </c>
      <c r="R200" s="673">
        <f t="shared" si="132"/>
        <v>8.4191523850629117</v>
      </c>
      <c r="S200" s="1353">
        <f t="shared" si="154"/>
        <v>1.1221892818115162</v>
      </c>
      <c r="T200" s="135" t="str">
        <f t="shared" si="135"/>
        <v>Policies not met</v>
      </c>
      <c r="U200" s="1353">
        <f t="shared" si="136"/>
        <v>0.85</v>
      </c>
      <c r="V200" s="135" t="str">
        <f t="shared" si="137"/>
        <v>Yes</v>
      </c>
      <c r="W200" s="1354">
        <f t="shared" si="138"/>
        <v>11.111525379122542</v>
      </c>
      <c r="X200" s="696">
        <f t="shared" si="139"/>
        <v>6.7568509959517309</v>
      </c>
      <c r="Y200" s="118">
        <f t="shared" si="140"/>
        <v>3.8986971247283799</v>
      </c>
      <c r="Z200" s="673">
        <f t="shared" si="141"/>
        <v>0.45227213048380793</v>
      </c>
      <c r="AA200" s="673">
        <f t="shared" si="142"/>
        <v>0</v>
      </c>
      <c r="AB200" s="673">
        <f t="shared" si="143"/>
        <v>3.7051279586225467E-3</v>
      </c>
      <c r="AC200" s="673">
        <f t="shared" si="144"/>
        <v>11.111525379122542</v>
      </c>
      <c r="AD200" s="847">
        <f t="shared" si="160"/>
        <v>0</v>
      </c>
      <c r="AE200" s="805">
        <f t="shared" si="145"/>
        <v>0.60809391738844298</v>
      </c>
      <c r="AF200" s="510">
        <f t="shared" si="146"/>
        <v>0.35086965935870934</v>
      </c>
      <c r="AG200" s="510">
        <f t="shared" si="147"/>
        <v>4.0702974168927569E-2</v>
      </c>
      <c r="AH200" s="510">
        <f t="shared" si="148"/>
        <v>3.3344908392002738E-4</v>
      </c>
      <c r="AI200" s="510">
        <f t="shared" si="149"/>
        <v>3.3344908392002738E-4</v>
      </c>
      <c r="AJ200" s="658">
        <f t="shared" si="150"/>
        <v>1.00033344908392</v>
      </c>
    </row>
    <row r="201" spans="1:36">
      <c r="A201" s="127">
        <f>'Input data'!A141</f>
        <v>2043</v>
      </c>
      <c r="B201" s="828">
        <f>'Input data'!B141</f>
        <v>72.713999999999999</v>
      </c>
      <c r="C201" s="238">
        <f>'Input data'!C141</f>
        <v>5353.7899999999991</v>
      </c>
      <c r="D201" s="104">
        <f>'Input data'!E141</f>
        <v>48694518.38623029</v>
      </c>
      <c r="E201" s="654">
        <f>'Input data'!J141</f>
        <v>11.504772374209397</v>
      </c>
      <c r="F201" s="673">
        <f>'Input data'!L141/C161</f>
        <v>14.676326580601758</v>
      </c>
      <c r="G201" s="696">
        <f t="shared" si="159"/>
        <v>4.7147685431121138</v>
      </c>
      <c r="H201" s="696">
        <f t="shared" si="127"/>
        <v>12.359404492142438</v>
      </c>
      <c r="I201" s="1351">
        <f t="shared" si="128"/>
        <v>9.0953358996580551</v>
      </c>
      <c r="J201" s="510">
        <f t="shared" si="158"/>
        <v>0.4</v>
      </c>
      <c r="K201" s="696">
        <f t="shared" si="152"/>
        <v>3.6381343598632223</v>
      </c>
      <c r="L201" s="673">
        <f t="shared" si="129"/>
        <v>0.96248877021284696</v>
      </c>
      <c r="M201" s="802">
        <f t="shared" si="134"/>
        <v>4.6006231300760696</v>
      </c>
      <c r="N201" s="805">
        <f t="shared" si="157"/>
        <v>0.5</v>
      </c>
      <c r="O201" s="1407">
        <f t="shared" si="130"/>
        <v>1.0361992776035385</v>
      </c>
      <c r="P201" s="861">
        <f t="shared" si="153"/>
        <v>4.114536281079376</v>
      </c>
      <c r="Q201" s="696">
        <f t="shared" si="131"/>
        <v>12.959636754175177</v>
      </c>
      <c r="R201" s="673">
        <f t="shared" si="132"/>
        <v>8.2448682110630642</v>
      </c>
      <c r="S201" s="1353">
        <f t="shared" si="154"/>
        <v>1.0989589347282407</v>
      </c>
      <c r="T201" s="135" t="str">
        <f t="shared" si="135"/>
        <v>Policies not met</v>
      </c>
      <c r="U201" s="1353">
        <f t="shared" si="136"/>
        <v>0.85</v>
      </c>
      <c r="V201" s="135" t="str">
        <f t="shared" si="137"/>
        <v>Yes</v>
      </c>
      <c r="W201" s="1354">
        <f t="shared" si="138"/>
        <v>10.821051755789465</v>
      </c>
      <c r="X201" s="696">
        <f t="shared" si="139"/>
        <v>6.5825668219518843</v>
      </c>
      <c r="Y201" s="118">
        <f t="shared" si="140"/>
        <v>3.7825076753951494</v>
      </c>
      <c r="Z201" s="673">
        <f t="shared" si="141"/>
        <v>0.45227213048380793</v>
      </c>
      <c r="AA201" s="673">
        <f t="shared" si="142"/>
        <v>0</v>
      </c>
      <c r="AB201" s="673">
        <f t="shared" si="143"/>
        <v>3.7051279586225467E-3</v>
      </c>
      <c r="AC201" s="673">
        <f t="shared" si="144"/>
        <v>10.821051755789465</v>
      </c>
      <c r="AD201" s="847">
        <f t="shared" si="160"/>
        <v>0</v>
      </c>
      <c r="AE201" s="805">
        <f t="shared" si="145"/>
        <v>0.60831118550284058</v>
      </c>
      <c r="AF201" s="510">
        <f t="shared" si="146"/>
        <v>0.34955083486884136</v>
      </c>
      <c r="AG201" s="510">
        <f t="shared" si="147"/>
        <v>4.1795579643340477E-2</v>
      </c>
      <c r="AH201" s="510">
        <f t="shared" si="148"/>
        <v>3.4239998497745232E-4</v>
      </c>
      <c r="AI201" s="510">
        <f t="shared" si="149"/>
        <v>3.4239998497745232E-4</v>
      </c>
      <c r="AJ201" s="658">
        <f t="shared" si="150"/>
        <v>1.0003423999849772</v>
      </c>
    </row>
    <row r="202" spans="1:36">
      <c r="A202" s="127">
        <f>'Input data'!A142</f>
        <v>2044</v>
      </c>
      <c r="B202" s="828">
        <f>'Input data'!B142</f>
        <v>73.165000000000006</v>
      </c>
      <c r="C202" s="238">
        <f>'Input data'!C142</f>
        <v>5526.5000000000018</v>
      </c>
      <c r="D202" s="104">
        <f>'Input data'!E142</f>
        <v>48694518.38623029</v>
      </c>
      <c r="E202" s="654">
        <f>'Input data'!J142</f>
        <v>11.504772374209397</v>
      </c>
      <c r="F202" s="673">
        <f>'Input data'!L142/C162</f>
        <v>14.347100781916351</v>
      </c>
      <c r="G202" s="696">
        <f t="shared" si="159"/>
        <v>4.7147685431121138</v>
      </c>
      <c r="H202" s="696">
        <f t="shared" si="127"/>
        <v>12.092658294402767</v>
      </c>
      <c r="I202" s="1351">
        <f t="shared" si="128"/>
        <v>8.8110953381399213</v>
      </c>
      <c r="J202" s="510">
        <f t="shared" si="158"/>
        <v>0.4</v>
      </c>
      <c r="K202" s="696">
        <f t="shared" si="152"/>
        <v>3.5244381352559686</v>
      </c>
      <c r="L202" s="673">
        <f t="shared" si="129"/>
        <v>0.96248877021284696</v>
      </c>
      <c r="M202" s="802">
        <f t="shared" si="134"/>
        <v>4.4869269054688159</v>
      </c>
      <c r="N202" s="805">
        <f t="shared" si="157"/>
        <v>0.5</v>
      </c>
      <c r="O202" s="1407">
        <f t="shared" si="130"/>
        <v>1.0361992776035385</v>
      </c>
      <c r="P202" s="861">
        <f t="shared" si="153"/>
        <v>4.018334420250584</v>
      </c>
      <c r="Q202" s="696">
        <f t="shared" si="131"/>
        <v>12.789092417264298</v>
      </c>
      <c r="R202" s="673">
        <f t="shared" si="132"/>
        <v>8.074323874152185</v>
      </c>
      <c r="S202" s="1353">
        <f t="shared" si="154"/>
        <v>1.0762270707350685</v>
      </c>
      <c r="T202" s="135" t="str">
        <f t="shared" si="135"/>
        <v>Policies not met</v>
      </c>
      <c r="U202" s="1353">
        <f t="shared" si="136"/>
        <v>0.85</v>
      </c>
      <c r="V202" s="135" t="str">
        <f t="shared" si="137"/>
        <v>Yes</v>
      </c>
      <c r="W202" s="1354">
        <f t="shared" si="138"/>
        <v>10.536811194271332</v>
      </c>
      <c r="X202" s="696">
        <f t="shared" si="139"/>
        <v>6.412022485041005</v>
      </c>
      <c r="Y202" s="118">
        <f t="shared" si="140"/>
        <v>3.6688114507878957</v>
      </c>
      <c r="Z202" s="673">
        <f t="shared" si="141"/>
        <v>0.45227213048380793</v>
      </c>
      <c r="AA202" s="673">
        <f t="shared" si="142"/>
        <v>0</v>
      </c>
      <c r="AB202" s="673">
        <f t="shared" si="143"/>
        <v>3.7051279586225467E-3</v>
      </c>
      <c r="AC202" s="673">
        <f t="shared" si="144"/>
        <v>10.536811194271332</v>
      </c>
      <c r="AD202" s="847">
        <f t="shared" si="160"/>
        <v>0</v>
      </c>
      <c r="AE202" s="805">
        <f t="shared" si="145"/>
        <v>0.60853538768229065</v>
      </c>
      <c r="AF202" s="510">
        <f t="shared" si="146"/>
        <v>0.34818992037956992</v>
      </c>
      <c r="AG202" s="510">
        <f t="shared" si="147"/>
        <v>4.2923055386026074E-2</v>
      </c>
      <c r="AH202" s="510">
        <f t="shared" si="148"/>
        <v>3.5163655211331449E-4</v>
      </c>
      <c r="AI202" s="510">
        <f t="shared" si="149"/>
        <v>3.5163655211331449E-4</v>
      </c>
      <c r="AJ202" s="658">
        <f t="shared" si="150"/>
        <v>1.0003516365521132</v>
      </c>
    </row>
    <row r="203" spans="1:36">
      <c r="A203" s="127">
        <f>'Input data'!A143</f>
        <v>2045</v>
      </c>
      <c r="B203" s="828">
        <f>'Input data'!B143</f>
        <v>73.62</v>
      </c>
      <c r="C203" s="238">
        <f>'Input data'!C143</f>
        <v>5709.93</v>
      </c>
      <c r="D203" s="104">
        <f>'Input data'!E143</f>
        <v>48694518.38623029</v>
      </c>
      <c r="E203" s="654">
        <f>'Input data'!J143</f>
        <v>11.504772374209397</v>
      </c>
      <c r="F203" s="673">
        <f>'Input data'!L143/C163</f>
        <v>14.033073193263855</v>
      </c>
      <c r="G203" s="696">
        <f t="shared" si="159"/>
        <v>4.7147685431121138</v>
      </c>
      <c r="H203" s="696">
        <f t="shared" si="127"/>
        <v>11.827025514326525</v>
      </c>
      <c r="I203" s="1351">
        <f t="shared" si="128"/>
        <v>8.5280412170079636</v>
      </c>
      <c r="J203" s="510">
        <f t="shared" si="158"/>
        <v>0.4</v>
      </c>
      <c r="K203" s="696">
        <f t="shared" si="152"/>
        <v>3.4112164868031858</v>
      </c>
      <c r="L203" s="673">
        <f t="shared" si="129"/>
        <v>0.96248877021284696</v>
      </c>
      <c r="M203" s="802">
        <f t="shared" si="134"/>
        <v>4.3737052570160326</v>
      </c>
      <c r="N203" s="805">
        <f t="shared" si="157"/>
        <v>0.5</v>
      </c>
      <c r="O203" s="1407">
        <f t="shared" si="130"/>
        <v>1.0361992776035385</v>
      </c>
      <c r="P203" s="861">
        <f t="shared" si="153"/>
        <v>3.9225341128535156</v>
      </c>
      <c r="Q203" s="696">
        <f t="shared" si="131"/>
        <v>12.619259944585124</v>
      </c>
      <c r="R203" s="673">
        <f t="shared" si="132"/>
        <v>7.9044914014730105</v>
      </c>
      <c r="S203" s="1353">
        <f t="shared" si="154"/>
        <v>1.0535900911642688</v>
      </c>
      <c r="T203" s="135" t="str">
        <f t="shared" si="135"/>
        <v>Policies not met</v>
      </c>
      <c r="U203" s="1353">
        <f t="shared" si="136"/>
        <v>0.85</v>
      </c>
      <c r="V203" s="135" t="str">
        <f t="shared" si="137"/>
        <v>Yes</v>
      </c>
      <c r="W203" s="1354">
        <f t="shared" si="138"/>
        <v>10.253757073139374</v>
      </c>
      <c r="X203" s="696">
        <f t="shared" si="139"/>
        <v>6.2421900123618297</v>
      </c>
      <c r="Y203" s="118">
        <f t="shared" si="140"/>
        <v>3.5555898023351129</v>
      </c>
      <c r="Z203" s="673">
        <f t="shared" si="141"/>
        <v>0.45227213048380793</v>
      </c>
      <c r="AA203" s="673">
        <f t="shared" si="142"/>
        <v>0</v>
      </c>
      <c r="AB203" s="673">
        <f t="shared" si="143"/>
        <v>3.7051279586225467E-3</v>
      </c>
      <c r="AC203" s="673">
        <f t="shared" si="144"/>
        <v>10.253757073139374</v>
      </c>
      <c r="AD203" s="847">
        <f t="shared" si="160"/>
        <v>0</v>
      </c>
      <c r="AE203" s="805">
        <f t="shared" si="145"/>
        <v>0.60877100635764037</v>
      </c>
      <c r="AF203" s="510">
        <f t="shared" si="146"/>
        <v>0.34675970739050332</v>
      </c>
      <c r="AG203" s="510">
        <f t="shared" si="147"/>
        <v>4.4107942801626818E-2</v>
      </c>
      <c r="AH203" s="510">
        <f t="shared" si="148"/>
        <v>3.6134345022942452E-4</v>
      </c>
      <c r="AI203" s="510">
        <f t="shared" si="149"/>
        <v>3.6134345022942452E-4</v>
      </c>
      <c r="AJ203" s="658">
        <f t="shared" si="150"/>
        <v>1.0003613434502294</v>
      </c>
    </row>
    <row r="204" spans="1:36">
      <c r="A204" s="127">
        <f>'Input data'!A144</f>
        <v>2046</v>
      </c>
      <c r="B204" s="828">
        <f>'Input data'!B144</f>
        <v>73.995000000000005</v>
      </c>
      <c r="C204" s="238">
        <f>'Input data'!C144</f>
        <v>5902.43</v>
      </c>
      <c r="D204" s="104">
        <f>'Input data'!E144</f>
        <v>48694518.38623029</v>
      </c>
      <c r="E204" s="654">
        <f>'Input data'!J144</f>
        <v>11.504772374209397</v>
      </c>
      <c r="F204" s="673">
        <f>'Input data'!L144/C164</f>
        <v>13.734873847099173</v>
      </c>
      <c r="G204" s="696">
        <f t="shared" si="159"/>
        <v>4.7147685431121138</v>
      </c>
      <c r="H204" s="696">
        <f t="shared" si="127"/>
        <v>11.566012979429875</v>
      </c>
      <c r="I204" s="1351">
        <f t="shared" si="128"/>
        <v>8.2499103566209655</v>
      </c>
      <c r="J204" s="510">
        <f t="shared" si="158"/>
        <v>0.4</v>
      </c>
      <c r="K204" s="696">
        <f t="shared" si="152"/>
        <v>3.2999641426483866</v>
      </c>
      <c r="L204" s="673">
        <f t="shared" si="129"/>
        <v>0.96248877021284696</v>
      </c>
      <c r="M204" s="802">
        <f t="shared" si="134"/>
        <v>4.2624529128612334</v>
      </c>
      <c r="N204" s="805">
        <f t="shared" si="157"/>
        <v>0.5</v>
      </c>
      <c r="O204" s="1407">
        <f t="shared" si="130"/>
        <v>1.0361992776035385</v>
      </c>
      <c r="P204" s="861">
        <f t="shared" si="153"/>
        <v>3.8284000941890639</v>
      </c>
      <c r="Q204" s="696">
        <f t="shared" si="131"/>
        <v>12.452381428352925</v>
      </c>
      <c r="R204" s="673">
        <f t="shared" si="132"/>
        <v>7.7376128852408117</v>
      </c>
      <c r="S204" s="1353">
        <f t="shared" si="154"/>
        <v>1.0313468446098257</v>
      </c>
      <c r="T204" s="135" t="str">
        <f t="shared" si="135"/>
        <v>Policies not met</v>
      </c>
      <c r="U204" s="1353">
        <f t="shared" si="136"/>
        <v>0.85</v>
      </c>
      <c r="V204" s="135" t="str">
        <f t="shared" si="137"/>
        <v>Yes</v>
      </c>
      <c r="W204" s="1354">
        <f t="shared" si="138"/>
        <v>9.9756262127523758</v>
      </c>
      <c r="X204" s="696">
        <f t="shared" si="139"/>
        <v>6.0753114961296308</v>
      </c>
      <c r="Y204" s="118">
        <f t="shared" si="140"/>
        <v>3.4443374581803137</v>
      </c>
      <c r="Z204" s="673">
        <f t="shared" si="141"/>
        <v>0.45227213048380793</v>
      </c>
      <c r="AA204" s="673">
        <f t="shared" si="142"/>
        <v>0</v>
      </c>
      <c r="AB204" s="673">
        <f t="shared" si="143"/>
        <v>3.7051279586225467E-3</v>
      </c>
      <c r="AC204" s="673">
        <f t="shared" si="144"/>
        <v>9.9756262127523758</v>
      </c>
      <c r="AD204" s="847">
        <f t="shared" si="160"/>
        <v>0</v>
      </c>
      <c r="AE204" s="805">
        <f t="shared" si="145"/>
        <v>0.60901555116041095</v>
      </c>
      <c r="AF204" s="510">
        <f t="shared" si="146"/>
        <v>0.34527531251895077</v>
      </c>
      <c r="AG204" s="510">
        <f t="shared" si="147"/>
        <v>4.5337718238243965E-2</v>
      </c>
      <c r="AH204" s="510">
        <f t="shared" si="148"/>
        <v>3.7141808239427455E-4</v>
      </c>
      <c r="AI204" s="510">
        <f t="shared" si="149"/>
        <v>3.7141808239427455E-4</v>
      </c>
      <c r="AJ204" s="658">
        <f t="shared" si="150"/>
        <v>1.0003714180823942</v>
      </c>
    </row>
    <row r="205" spans="1:36">
      <c r="A205" s="127">
        <f>'Input data'!A145</f>
        <v>2047</v>
      </c>
      <c r="B205" s="829">
        <f>'Input data'!B145</f>
        <v>74.373000000000005</v>
      </c>
      <c r="C205" s="662">
        <f>'Input data'!C145</f>
        <v>6104.119999999999</v>
      </c>
      <c r="D205" s="104">
        <f>'Input data'!E145</f>
        <v>48694518.38623029</v>
      </c>
      <c r="E205" s="654">
        <f>'Input data'!J145</f>
        <v>11.504772374209397</v>
      </c>
      <c r="F205" s="673">
        <f>'Input data'!L145/C165</f>
        <v>13.452851800429709</v>
      </c>
      <c r="G205" s="696">
        <f t="shared" si="159"/>
        <v>4.7147685431121138</v>
      </c>
      <c r="H205" s="696">
        <f t="shared" si="127"/>
        <v>11.310199916352271</v>
      </c>
      <c r="I205" s="1351">
        <f t="shared" si="128"/>
        <v>7.9773199717945085</v>
      </c>
      <c r="J205" s="498">
        <f t="shared" si="158"/>
        <v>0.4</v>
      </c>
      <c r="K205" s="696">
        <f t="shared" si="152"/>
        <v>3.1909279887178035</v>
      </c>
      <c r="L205" s="673">
        <f t="shared" si="129"/>
        <v>0.96248877021284696</v>
      </c>
      <c r="M205" s="802">
        <f t="shared" si="134"/>
        <v>4.1534167589306508</v>
      </c>
      <c r="N205" s="805">
        <f t="shared" si="157"/>
        <v>0.5</v>
      </c>
      <c r="O205" s="1407">
        <f t="shared" si="130"/>
        <v>1.0361992776035385</v>
      </c>
      <c r="P205" s="861">
        <f t="shared" si="153"/>
        <v>3.7361412620073349</v>
      </c>
      <c r="Q205" s="696">
        <f t="shared" si="131"/>
        <v>12.288827197457051</v>
      </c>
      <c r="R205" s="673">
        <f t="shared" si="132"/>
        <v>7.5740586543449373</v>
      </c>
      <c r="S205" s="1353">
        <f t="shared" si="154"/>
        <v>1.0095466922296519</v>
      </c>
      <c r="T205" s="135" t="str">
        <f t="shared" si="135"/>
        <v>Policies not met</v>
      </c>
      <c r="U205" s="1353">
        <f t="shared" si="136"/>
        <v>0.85</v>
      </c>
      <c r="V205" s="135" t="str">
        <f t="shared" si="137"/>
        <v>Yes</v>
      </c>
      <c r="W205" s="1354">
        <f t="shared" si="138"/>
        <v>9.7030358279259179</v>
      </c>
      <c r="X205" s="696">
        <f t="shared" si="139"/>
        <v>5.9117572652337564</v>
      </c>
      <c r="Y205" s="118">
        <f t="shared" si="140"/>
        <v>3.3353013042497306</v>
      </c>
      <c r="Z205" s="673">
        <f t="shared" si="141"/>
        <v>0.45227213048380793</v>
      </c>
      <c r="AA205" s="673">
        <f t="shared" si="142"/>
        <v>0</v>
      </c>
      <c r="AB205" s="673">
        <f t="shared" si="143"/>
        <v>3.7051279586225467E-3</v>
      </c>
      <c r="AC205" s="673">
        <f t="shared" si="144"/>
        <v>9.7030358279259179</v>
      </c>
      <c r="AD205" s="847">
        <f t="shared" si="160"/>
        <v>0</v>
      </c>
      <c r="AE205" s="805">
        <f t="shared" si="145"/>
        <v>0.60926882782596403</v>
      </c>
      <c r="AF205" s="510">
        <f t="shared" si="146"/>
        <v>0.34373791495755729</v>
      </c>
      <c r="AG205" s="510">
        <f t="shared" si="147"/>
        <v>4.661140477108635E-2</v>
      </c>
      <c r="AH205" s="510">
        <f t="shared" si="148"/>
        <v>3.8185244539229327E-4</v>
      </c>
      <c r="AI205" s="510">
        <f t="shared" si="149"/>
        <v>3.8185244539229327E-4</v>
      </c>
      <c r="AJ205" s="658">
        <f t="shared" si="150"/>
        <v>1.0003818524453922</v>
      </c>
    </row>
    <row r="206" spans="1:36">
      <c r="A206" s="127">
        <f>'Input data'!A146</f>
        <v>2048</v>
      </c>
      <c r="B206" s="828">
        <f>'Input data'!B146</f>
        <v>74.753</v>
      </c>
      <c r="C206" s="238">
        <f>'Input data'!C146</f>
        <v>6308.13</v>
      </c>
      <c r="D206" s="104">
        <f>'Input data'!E146</f>
        <v>48694518.38623029</v>
      </c>
      <c r="E206" s="654">
        <f>'Input data'!J146</f>
        <v>11.504772374209397</v>
      </c>
      <c r="F206" s="673">
        <f>'Input data'!L146/C166</f>
        <v>13.188251208306198</v>
      </c>
      <c r="G206" s="696">
        <f t="shared" si="159"/>
        <v>4.7147685431121138</v>
      </c>
      <c r="H206" s="696">
        <f t="shared" si="127"/>
        <v>11.068085852009002</v>
      </c>
      <c r="I206" s="1351">
        <f t="shared" si="128"/>
        <v>7.7193270250027011</v>
      </c>
      <c r="J206" s="510">
        <f t="shared" si="158"/>
        <v>0.4</v>
      </c>
      <c r="K206" s="696">
        <f t="shared" si="152"/>
        <v>3.0877308100010805</v>
      </c>
      <c r="L206" s="673">
        <f t="shared" si="129"/>
        <v>0.96248877021284696</v>
      </c>
      <c r="M206" s="802">
        <f t="shared" si="134"/>
        <v>4.0502195802139278</v>
      </c>
      <c r="N206" s="805">
        <f t="shared" si="157"/>
        <v>0.5</v>
      </c>
      <c r="O206" s="1407">
        <f t="shared" si="130"/>
        <v>1.0361992776035385</v>
      </c>
      <c r="P206" s="861">
        <f t="shared" si="153"/>
        <v>3.6488229657391509</v>
      </c>
      <c r="Q206" s="696">
        <f t="shared" si="131"/>
        <v>12.134031429381967</v>
      </c>
      <c r="R206" s="673">
        <f t="shared" si="132"/>
        <v>7.4192628862698529</v>
      </c>
      <c r="S206" s="1353">
        <f t="shared" si="154"/>
        <v>0.98891395583782282</v>
      </c>
      <c r="T206" s="135" t="str">
        <f t="shared" si="135"/>
        <v>Policies not met</v>
      </c>
      <c r="U206" s="1353">
        <f t="shared" si="136"/>
        <v>0.85</v>
      </c>
      <c r="V206" s="135" t="str">
        <f t="shared" si="137"/>
        <v>Yes</v>
      </c>
      <c r="W206" s="1354">
        <f t="shared" si="138"/>
        <v>9.4450428811341105</v>
      </c>
      <c r="X206" s="696">
        <f t="shared" si="139"/>
        <v>5.756961497158672</v>
      </c>
      <c r="Y206" s="118">
        <f t="shared" si="140"/>
        <v>3.2321041255330076</v>
      </c>
      <c r="Z206" s="673">
        <f t="shared" si="141"/>
        <v>0.45227213048380793</v>
      </c>
      <c r="AA206" s="673">
        <f t="shared" si="142"/>
        <v>0</v>
      </c>
      <c r="AB206" s="673">
        <f t="shared" si="143"/>
        <v>3.7051279586225467E-3</v>
      </c>
      <c r="AC206" s="673">
        <f t="shared" si="144"/>
        <v>9.4450428811341105</v>
      </c>
      <c r="AD206" s="847">
        <f t="shared" si="160"/>
        <v>0</v>
      </c>
      <c r="AE206" s="805">
        <f t="shared" si="145"/>
        <v>0.60952200742866369</v>
      </c>
      <c r="AF206" s="510">
        <f t="shared" si="146"/>
        <v>0.34220110657082731</v>
      </c>
      <c r="AG206" s="510">
        <f t="shared" si="147"/>
        <v>4.7884603190864655E-2</v>
      </c>
      <c r="AH206" s="510">
        <f t="shared" si="148"/>
        <v>3.9228280964433848E-4</v>
      </c>
      <c r="AI206" s="510">
        <f t="shared" si="149"/>
        <v>3.9228280964433848E-4</v>
      </c>
      <c r="AJ206" s="658">
        <f t="shared" si="150"/>
        <v>1.0003922828096443</v>
      </c>
    </row>
    <row r="207" spans="1:36">
      <c r="A207" s="127">
        <f>'Input data'!A147</f>
        <v>2049</v>
      </c>
      <c r="B207" s="828">
        <f>'Input data'!B147</f>
        <v>75.134</v>
      </c>
      <c r="C207" s="238">
        <f>'Input data'!C147</f>
        <v>6522.2000000000007</v>
      </c>
      <c r="D207" s="104">
        <f>'Input data'!E147</f>
        <v>48694518.38623029</v>
      </c>
      <c r="E207" s="654">
        <f>'Input data'!J147</f>
        <v>11.504772374209397</v>
      </c>
      <c r="F207" s="673">
        <f>'Input data'!L147/C167</f>
        <v>12.938015158589236</v>
      </c>
      <c r="G207" s="696">
        <f t="shared" si="159"/>
        <v>4.7147685431121138</v>
      </c>
      <c r="H207" s="696">
        <f t="shared" si="127"/>
        <v>10.830317897229236</v>
      </c>
      <c r="I207" s="1351">
        <f t="shared" si="128"/>
        <v>7.4659652243461228</v>
      </c>
      <c r="J207" s="510">
        <f t="shared" si="158"/>
        <v>0.4</v>
      </c>
      <c r="K207" s="696">
        <f t="shared" si="152"/>
        <v>2.9863860897384491</v>
      </c>
      <c r="L207" s="673">
        <f t="shared" si="129"/>
        <v>0.96248877021284696</v>
      </c>
      <c r="M207" s="802">
        <f t="shared" si="134"/>
        <v>3.9488748599512959</v>
      </c>
      <c r="N207" s="805">
        <f t="shared" si="157"/>
        <v>0.5</v>
      </c>
      <c r="O207" s="1407">
        <f t="shared" si="130"/>
        <v>1.0361992776035385</v>
      </c>
      <c r="P207" s="861">
        <f t="shared" si="153"/>
        <v>3.5630720913533311</v>
      </c>
      <c r="Q207" s="696">
        <f t="shared" si="131"/>
        <v>11.98201434898802</v>
      </c>
      <c r="R207" s="673">
        <f t="shared" si="132"/>
        <v>7.2672458058759064</v>
      </c>
      <c r="S207" s="1353">
        <f t="shared" si="154"/>
        <v>0.96865159087896702</v>
      </c>
      <c r="T207" s="135" t="str">
        <f t="shared" si="135"/>
        <v>Policies not met</v>
      </c>
      <c r="U207" s="1353">
        <f t="shared" si="136"/>
        <v>0.85</v>
      </c>
      <c r="V207" s="135" t="str">
        <f t="shared" si="137"/>
        <v>Yes</v>
      </c>
      <c r="W207" s="1354">
        <f t="shared" si="138"/>
        <v>9.1916810804775331</v>
      </c>
      <c r="X207" s="696">
        <f t="shared" si="139"/>
        <v>5.6049444167647255</v>
      </c>
      <c r="Y207" s="118">
        <f t="shared" si="140"/>
        <v>3.1307594052703762</v>
      </c>
      <c r="Z207" s="673">
        <f t="shared" si="141"/>
        <v>0.45227213048380793</v>
      </c>
      <c r="AA207" s="673">
        <f t="shared" si="142"/>
        <v>0</v>
      </c>
      <c r="AB207" s="673">
        <f t="shared" si="143"/>
        <v>3.7051279586225467E-3</v>
      </c>
      <c r="AC207" s="673">
        <f t="shared" si="144"/>
        <v>9.1916810804775331</v>
      </c>
      <c r="AD207" s="847">
        <f t="shared" si="160"/>
        <v>0</v>
      </c>
      <c r="AE207" s="805">
        <f t="shared" si="145"/>
        <v>0.60978447442755845</v>
      </c>
      <c r="AF207" s="510">
        <f t="shared" si="146"/>
        <v>0.34060792338845208</v>
      </c>
      <c r="AG207" s="510">
        <f t="shared" si="147"/>
        <v>4.9204506392677316E-2</v>
      </c>
      <c r="AH207" s="510">
        <f t="shared" si="148"/>
        <v>4.0309579131199088E-4</v>
      </c>
      <c r="AI207" s="510">
        <f t="shared" si="149"/>
        <v>4.0309579131199088E-4</v>
      </c>
      <c r="AJ207" s="658">
        <f t="shared" si="150"/>
        <v>1.0004030957913119</v>
      </c>
    </row>
    <row r="208" spans="1:36" ht="15.75" thickBot="1">
      <c r="A208" s="172">
        <f>'Input data'!A148</f>
        <v>2050</v>
      </c>
      <c r="B208" s="831">
        <f>'Input data'!B148</f>
        <v>75.518000000000001</v>
      </c>
      <c r="C208" s="241">
        <f>'Input data'!C148</f>
        <v>6747.1300000000019</v>
      </c>
      <c r="D208" s="163">
        <f>'Input data'!E148</f>
        <v>48694518.38623029</v>
      </c>
      <c r="E208" s="810">
        <f>'Input data'!J148</f>
        <v>11.504772374209397</v>
      </c>
      <c r="F208" s="814">
        <f>'Input data'!L148/C168</f>
        <v>12.702005041802764</v>
      </c>
      <c r="G208" s="849">
        <f t="shared" si="159"/>
        <v>4.7147685431121138</v>
      </c>
      <c r="H208" s="849">
        <f t="shared" si="127"/>
        <v>10.596742845800843</v>
      </c>
      <c r="I208" s="1352">
        <f t="shared" si="128"/>
        <v>7.2170713156898225</v>
      </c>
      <c r="J208" s="807">
        <f t="shared" si="158"/>
        <v>0.4</v>
      </c>
      <c r="K208" s="849">
        <f t="shared" si="152"/>
        <v>2.886828526275929</v>
      </c>
      <c r="L208" s="814">
        <f t="shared" si="129"/>
        <v>0.96248877021284696</v>
      </c>
      <c r="M208" s="811">
        <f t="shared" si="134"/>
        <v>3.8493172964887759</v>
      </c>
      <c r="N208" s="806">
        <f t="shared" si="157"/>
        <v>0.5</v>
      </c>
      <c r="O208" s="1408">
        <f t="shared" si="130"/>
        <v>1.0361992776035385</v>
      </c>
      <c r="P208" s="862">
        <f t="shared" si="153"/>
        <v>3.4788333851187181</v>
      </c>
      <c r="Q208" s="849">
        <f t="shared" si="131"/>
        <v>11.832678003794239</v>
      </c>
      <c r="R208" s="814">
        <f t="shared" si="132"/>
        <v>7.1179094606821254</v>
      </c>
      <c r="S208" s="1362">
        <f t="shared" si="154"/>
        <v>0.9487465412615389</v>
      </c>
      <c r="T208" s="1390" t="str">
        <f t="shared" si="135"/>
        <v>Policies not met</v>
      </c>
      <c r="U208" s="1362">
        <f t="shared" si="136"/>
        <v>0.85</v>
      </c>
      <c r="V208" s="1390" t="str">
        <f t="shared" si="137"/>
        <v>Yes</v>
      </c>
      <c r="W208" s="1354">
        <f t="shared" si="138"/>
        <v>8.942787171821232</v>
      </c>
      <c r="X208" s="849">
        <f t="shared" si="139"/>
        <v>5.4556080715709454</v>
      </c>
      <c r="Y208" s="121">
        <f t="shared" si="140"/>
        <v>3.0312018418078561</v>
      </c>
      <c r="Z208" s="814">
        <f t="shared" si="141"/>
        <v>0.45227213048380793</v>
      </c>
      <c r="AA208" s="814">
        <f t="shared" si="142"/>
        <v>0</v>
      </c>
      <c r="AB208" s="814">
        <f t="shared" si="143"/>
        <v>3.7051279586225467E-3</v>
      </c>
      <c r="AC208" s="814">
        <f t="shared" si="144"/>
        <v>8.942787171821232</v>
      </c>
      <c r="AD208" s="860">
        <f t="shared" si="160"/>
        <v>0</v>
      </c>
      <c r="AE208" s="806">
        <f t="shared" si="145"/>
        <v>0.61005679401178126</v>
      </c>
      <c r="AF208" s="807">
        <f t="shared" si="146"/>
        <v>0.33895493469409499</v>
      </c>
      <c r="AG208" s="807">
        <f t="shared" si="147"/>
        <v>5.0573956619354613E-2</v>
      </c>
      <c r="AH208" s="807">
        <f t="shared" si="148"/>
        <v>4.1431467476911715E-4</v>
      </c>
      <c r="AI208" s="807">
        <f>AB208/AC208</f>
        <v>4.1431467476911715E-4</v>
      </c>
      <c r="AJ208" s="808">
        <f t="shared" si="150"/>
        <v>1.000414314674769</v>
      </c>
    </row>
  </sheetData>
  <mergeCells count="71">
    <mergeCell ref="CD92:CE92"/>
    <mergeCell ref="BV92:BX92"/>
    <mergeCell ref="BY92:CA92"/>
    <mergeCell ref="AE92:AE94"/>
    <mergeCell ref="AF92:AF93"/>
    <mergeCell ref="AG92:AQ92"/>
    <mergeCell ref="AR92:BB92"/>
    <mergeCell ref="BM92:BT92"/>
    <mergeCell ref="BE92:BL92"/>
    <mergeCell ref="BD92:BD94"/>
    <mergeCell ref="BC92:BC93"/>
    <mergeCell ref="CB92:CC92"/>
    <mergeCell ref="Q42:W42"/>
    <mergeCell ref="A133:A134"/>
    <mergeCell ref="P132:P133"/>
    <mergeCell ref="Q132:Q133"/>
    <mergeCell ref="A93:A94"/>
    <mergeCell ref="A132:D132"/>
    <mergeCell ref="A92:D92"/>
    <mergeCell ref="E92:G92"/>
    <mergeCell ref="H92:K92"/>
    <mergeCell ref="L92:P92"/>
    <mergeCell ref="Q92:U92"/>
    <mergeCell ref="V92:V93"/>
    <mergeCell ref="W92:X92"/>
    <mergeCell ref="J42:P42"/>
    <mergeCell ref="E132:I132"/>
    <mergeCell ref="S132:S133"/>
    <mergeCell ref="H26:H27"/>
    <mergeCell ref="C29:D29"/>
    <mergeCell ref="E29:F29"/>
    <mergeCell ref="G29:H29"/>
    <mergeCell ref="C42:I42"/>
    <mergeCell ref="G26:G27"/>
    <mergeCell ref="A4:A6"/>
    <mergeCell ref="B4:B6"/>
    <mergeCell ref="A8:A9"/>
    <mergeCell ref="B8:F8"/>
    <mergeCell ref="G8:I8"/>
    <mergeCell ref="A36:A37"/>
    <mergeCell ref="A26:A27"/>
    <mergeCell ref="B26:B27"/>
    <mergeCell ref="E26:E27"/>
    <mergeCell ref="F26:F27"/>
    <mergeCell ref="Y92:Y93"/>
    <mergeCell ref="Z92:Z93"/>
    <mergeCell ref="AA92:AA93"/>
    <mergeCell ref="AB92:AB94"/>
    <mergeCell ref="AD92:AD93"/>
    <mergeCell ref="AC92:AC94"/>
    <mergeCell ref="W132:W133"/>
    <mergeCell ref="T132:T134"/>
    <mergeCell ref="U172:U173"/>
    <mergeCell ref="V172:V174"/>
    <mergeCell ref="W172:W173"/>
    <mergeCell ref="T172:T174"/>
    <mergeCell ref="A173:A174"/>
    <mergeCell ref="A172:D172"/>
    <mergeCell ref="E172:I172"/>
    <mergeCell ref="J172:L172"/>
    <mergeCell ref="M172:M173"/>
    <mergeCell ref="N172:O172"/>
    <mergeCell ref="M132:M133"/>
    <mergeCell ref="N132:O132"/>
    <mergeCell ref="U132:U133"/>
    <mergeCell ref="V132:V134"/>
    <mergeCell ref="R132:R133"/>
    <mergeCell ref="P172:P173"/>
    <mergeCell ref="Q172:Q173"/>
    <mergeCell ref="R172:R173"/>
    <mergeCell ref="S172:S173"/>
  </mergeCells>
  <phoneticPr fontId="16" type="noConversion"/>
  <dataValidations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B0092ABA-D41B-4CAE-8970-CDED54075669}">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A5896-8C34-4B25-94CC-48B97057A6CA}">
  <sheetPr codeName="Sheet2"/>
  <dimension ref="A1:AV85"/>
  <sheetViews>
    <sheetView topLeftCell="A8" zoomScale="66" workbookViewId="0">
      <selection activeCell="C25" sqref="C25"/>
    </sheetView>
  </sheetViews>
  <sheetFormatPr defaultColWidth="12.28515625" defaultRowHeight="15"/>
  <cols>
    <col min="1" max="1" width="39.7109375" customWidth="1"/>
    <col min="2" max="2" width="32.85546875" customWidth="1"/>
    <col min="3" max="3" width="35.5703125" customWidth="1"/>
    <col min="4" max="4" width="35.5703125" hidden="1" customWidth="1"/>
    <col min="5" max="5" width="10.42578125" hidden="1" customWidth="1"/>
    <col min="6" max="6" width="9" hidden="1" customWidth="1"/>
    <col min="7" max="8" width="10" hidden="1" customWidth="1"/>
    <col min="9" max="9" width="1.7109375" customWidth="1"/>
    <col min="10" max="10" width="20.42578125" customWidth="1"/>
    <col min="11" max="11" width="21" customWidth="1"/>
    <col min="12" max="14" width="17.7109375" customWidth="1"/>
    <col min="15" max="15" width="17.140625" customWidth="1"/>
    <col min="16" max="16" width="12.140625" customWidth="1"/>
    <col min="24" max="24" width="17" customWidth="1"/>
    <col min="25" max="25" width="30.28515625" customWidth="1"/>
    <col min="26" max="26" width="13.42578125" customWidth="1"/>
    <col min="27" max="27" width="13.42578125" bestFit="1" customWidth="1"/>
    <col min="28" max="28" width="14.5703125" customWidth="1"/>
    <col min="29" max="29" width="12.7109375" customWidth="1"/>
    <col min="30" max="30" width="14.28515625" customWidth="1"/>
    <col min="31" max="31" width="18.28515625" bestFit="1" customWidth="1"/>
    <col min="32" max="32" width="16.85546875" customWidth="1"/>
    <col min="33" max="33" width="20.28515625" customWidth="1"/>
    <col min="34" max="34" width="13.42578125" customWidth="1"/>
    <col min="35" max="35" width="13.28515625" customWidth="1"/>
    <col min="36" max="36" width="14.5703125" customWidth="1"/>
    <col min="37" max="37" width="14.7109375" customWidth="1"/>
    <col min="38" max="38" width="12.85546875" customWidth="1"/>
    <col min="39" max="39" width="13" customWidth="1"/>
    <col min="40" max="40" width="13.5703125" customWidth="1"/>
    <col min="41" max="41" width="12.85546875" customWidth="1"/>
    <col min="42" max="42" width="14.5703125" customWidth="1"/>
  </cols>
  <sheetData>
    <row r="1" spans="1:42">
      <c r="D1" t="s">
        <v>218</v>
      </c>
      <c r="E1">
        <v>2015</v>
      </c>
      <c r="I1">
        <v>54978907</v>
      </c>
    </row>
    <row r="2" spans="1:42">
      <c r="E2">
        <v>2017</v>
      </c>
      <c r="G2">
        <v>579</v>
      </c>
      <c r="H2" t="s">
        <v>450</v>
      </c>
      <c r="I2">
        <v>56521948</v>
      </c>
      <c r="J2" s="338">
        <f>I2*G2/1000*0.8</f>
        <v>26180966.313600004</v>
      </c>
      <c r="M2" s="338">
        <f>N41+L41</f>
        <v>1756686.4765390735</v>
      </c>
    </row>
    <row r="3" spans="1:42" ht="15.75">
      <c r="A3" s="419" t="s">
        <v>394</v>
      </c>
      <c r="B3" s="419"/>
      <c r="C3" s="419" t="s">
        <v>395</v>
      </c>
      <c r="D3" s="420" t="s">
        <v>451</v>
      </c>
      <c r="E3" s="421"/>
      <c r="F3" s="421"/>
      <c r="G3" s="421"/>
      <c r="H3" s="421"/>
      <c r="I3" s="421"/>
      <c r="J3" s="422" t="s">
        <v>396</v>
      </c>
      <c r="K3" s="423"/>
      <c r="L3" s="423"/>
      <c r="M3" s="423"/>
      <c r="N3" s="423"/>
      <c r="O3" s="423"/>
      <c r="P3" s="424"/>
      <c r="Q3" s="424"/>
      <c r="R3" s="424"/>
      <c r="S3" s="424"/>
      <c r="T3" s="424"/>
      <c r="U3" s="424"/>
      <c r="V3" s="424"/>
      <c r="W3" s="424"/>
      <c r="X3" s="424"/>
    </row>
    <row r="4" spans="1:42" ht="31.5">
      <c r="A4" s="425" t="s">
        <v>397</v>
      </c>
      <c r="B4" s="425"/>
      <c r="C4" s="425" t="s">
        <v>398</v>
      </c>
      <c r="D4" s="426" t="s">
        <v>452</v>
      </c>
      <c r="E4" s="427" t="s">
        <v>453</v>
      </c>
      <c r="F4" s="428" t="s">
        <v>454</v>
      </c>
      <c r="G4" s="428"/>
      <c r="H4" s="428"/>
      <c r="I4" s="427" t="s">
        <v>455</v>
      </c>
      <c r="J4" s="1684" t="s">
        <v>623</v>
      </c>
      <c r="K4" s="1683" t="s">
        <v>624</v>
      </c>
      <c r="L4" s="1683" t="s">
        <v>625</v>
      </c>
      <c r="M4" s="1683" t="s">
        <v>626</v>
      </c>
      <c r="N4" s="1683" t="s">
        <v>574</v>
      </c>
      <c r="O4" s="1683" t="s">
        <v>622</v>
      </c>
      <c r="P4" s="429" t="s">
        <v>400</v>
      </c>
      <c r="Q4" s="430"/>
      <c r="R4" s="430"/>
      <c r="S4" s="430"/>
      <c r="T4" s="430"/>
      <c r="U4" s="430"/>
      <c r="V4" s="430"/>
      <c r="W4" s="430"/>
      <c r="X4" s="430"/>
      <c r="Y4" s="430"/>
      <c r="Z4" s="430"/>
      <c r="AA4" s="430"/>
      <c r="AB4" s="430"/>
      <c r="AC4" s="430"/>
      <c r="AD4" s="430"/>
      <c r="AE4" s="430"/>
      <c r="AF4" s="430"/>
      <c r="AG4" s="430"/>
      <c r="AH4" s="430"/>
      <c r="AI4" s="430"/>
      <c r="AJ4" s="430"/>
      <c r="AK4" s="430"/>
      <c r="AL4" s="430"/>
      <c r="AM4" s="430"/>
      <c r="AN4" s="430"/>
      <c r="AO4" s="430"/>
      <c r="AP4" s="430"/>
    </row>
    <row r="5" spans="1:42">
      <c r="A5" s="431"/>
      <c r="B5" s="431"/>
      <c r="C5" s="431"/>
      <c r="D5" s="428"/>
      <c r="E5" s="427"/>
      <c r="F5" s="428" t="s">
        <v>456</v>
      </c>
      <c r="G5" s="428" t="s">
        <v>457</v>
      </c>
      <c r="H5" s="428" t="s">
        <v>458</v>
      </c>
      <c r="I5" s="427"/>
      <c r="J5" s="1684" t="s">
        <v>401</v>
      </c>
      <c r="K5" s="1683"/>
      <c r="L5" s="1683"/>
      <c r="M5" s="1683"/>
      <c r="N5" s="1683"/>
      <c r="O5" s="1683"/>
      <c r="P5" s="430"/>
      <c r="Q5" s="432"/>
      <c r="R5" s="430"/>
      <c r="S5" s="430"/>
      <c r="T5" s="430"/>
      <c r="U5" s="430"/>
      <c r="Y5" s="430"/>
      <c r="Z5" s="430"/>
      <c r="AA5" s="430"/>
      <c r="AB5" s="430"/>
      <c r="AC5" s="430"/>
      <c r="AD5" s="430"/>
      <c r="AE5" s="430"/>
      <c r="AF5" s="430"/>
      <c r="AG5" s="430"/>
      <c r="AH5" s="430"/>
      <c r="AI5" s="430"/>
      <c r="AJ5" s="430"/>
      <c r="AK5" s="430"/>
      <c r="AL5" s="430"/>
      <c r="AM5" s="430"/>
      <c r="AN5" s="430"/>
      <c r="AO5" s="430"/>
      <c r="AP5" s="430"/>
    </row>
    <row r="6" spans="1:42" ht="15.75">
      <c r="A6" s="1685" t="s">
        <v>402</v>
      </c>
      <c r="B6" s="5" t="s">
        <v>403</v>
      </c>
      <c r="C6" s="433" t="s">
        <v>267</v>
      </c>
      <c r="J6" s="338">
        <f>J38+J39+J40+J41+J42</f>
        <v>23980178.792267412</v>
      </c>
      <c r="K6" s="338">
        <f t="shared" ref="K6:O6" si="0">K38+K39+K40+K41+K42</f>
        <v>0</v>
      </c>
      <c r="L6" s="338">
        <f t="shared" si="0"/>
        <v>10165104.888539074</v>
      </c>
      <c r="M6" s="338">
        <f t="shared" si="0"/>
        <v>3767862.0897283391</v>
      </c>
      <c r="N6" s="338">
        <f t="shared" si="0"/>
        <v>123895.58799999999</v>
      </c>
      <c r="O6" s="338">
        <f t="shared" si="0"/>
        <v>9923316.2259999998</v>
      </c>
      <c r="P6" s="434">
        <f>J6/$I$2*1000</f>
        <v>424.26313389388866</v>
      </c>
      <c r="Q6" s="435" t="s">
        <v>227</v>
      </c>
      <c r="R6" s="430"/>
      <c r="S6" s="430"/>
      <c r="T6" s="430"/>
      <c r="U6" s="430"/>
      <c r="Y6" s="430"/>
      <c r="Z6" s="430"/>
      <c r="AA6" s="430"/>
      <c r="AB6" s="430"/>
      <c r="AC6" s="430"/>
      <c r="AD6" s="430"/>
      <c r="AE6" s="430"/>
      <c r="AF6" s="430"/>
      <c r="AG6" s="430"/>
      <c r="AH6" s="430"/>
      <c r="AI6" s="430"/>
      <c r="AJ6" s="430"/>
      <c r="AK6" s="430"/>
      <c r="AL6" s="430"/>
      <c r="AM6" s="430"/>
      <c r="AN6" s="430"/>
      <c r="AO6" s="430"/>
      <c r="AP6" s="430"/>
    </row>
    <row r="7" spans="1:42" ht="15.75">
      <c r="A7" s="1685"/>
      <c r="B7" t="s">
        <v>404</v>
      </c>
      <c r="C7" t="s">
        <v>405</v>
      </c>
      <c r="J7" s="338">
        <f>J43</f>
        <v>4482992.0000000009</v>
      </c>
      <c r="K7" s="338">
        <f t="shared" ref="K7:O7" si="1">K43</f>
        <v>0</v>
      </c>
      <c r="L7" s="338">
        <f t="shared" si="1"/>
        <v>2151836.16</v>
      </c>
      <c r="M7" s="338">
        <f t="shared" si="1"/>
        <v>0</v>
      </c>
      <c r="N7" s="338">
        <f t="shared" si="1"/>
        <v>0</v>
      </c>
      <c r="O7" s="338">
        <f t="shared" si="1"/>
        <v>2331155.8400000008</v>
      </c>
      <c r="P7" s="434">
        <f t="shared" ref="P7:P8" si="2">J7/$I$2*1000</f>
        <v>79.314180749750534</v>
      </c>
      <c r="Q7" s="435" t="s">
        <v>227</v>
      </c>
      <c r="R7" s="430"/>
      <c r="S7" s="430"/>
      <c r="T7" s="430"/>
      <c r="U7" s="430"/>
      <c r="Y7" s="430"/>
      <c r="Z7" s="430"/>
      <c r="AA7" s="430"/>
      <c r="AB7" s="430"/>
      <c r="AC7" s="430"/>
      <c r="AD7" s="430"/>
      <c r="AE7" s="430"/>
      <c r="AF7" s="430"/>
      <c r="AG7" s="430"/>
      <c r="AH7" s="430"/>
      <c r="AI7" s="430"/>
      <c r="AJ7" s="430"/>
      <c r="AK7" s="430"/>
      <c r="AL7" s="430"/>
      <c r="AM7" s="430"/>
      <c r="AN7" s="430"/>
      <c r="AO7" s="430"/>
      <c r="AP7" s="430"/>
    </row>
    <row r="8" spans="1:42" ht="15.75">
      <c r="A8" s="1685"/>
      <c r="C8" s="436" t="s">
        <v>225</v>
      </c>
      <c r="D8" s="437"/>
      <c r="E8" s="437"/>
      <c r="F8" s="437"/>
      <c r="G8" s="437"/>
      <c r="H8" s="437"/>
      <c r="I8" s="437"/>
      <c r="J8" s="438">
        <f>SUM(J6:J7)</f>
        <v>28463170.792267412</v>
      </c>
      <c r="K8" s="438">
        <f t="shared" ref="K8:O8" si="3">SUM(K6:K7)</f>
        <v>0</v>
      </c>
      <c r="L8" s="438">
        <f t="shared" si="3"/>
        <v>12316941.048539074</v>
      </c>
      <c r="M8" s="438">
        <f t="shared" si="3"/>
        <v>3767862.0897283391</v>
      </c>
      <c r="N8" s="438">
        <f t="shared" si="3"/>
        <v>123895.58799999999</v>
      </c>
      <c r="O8" s="438">
        <f t="shared" si="3"/>
        <v>12254472.066</v>
      </c>
      <c r="P8" s="439">
        <f t="shared" si="2"/>
        <v>503.57731464363917</v>
      </c>
      <c r="Q8" s="439" t="s">
        <v>227</v>
      </c>
      <c r="R8" s="430"/>
      <c r="S8" s="430"/>
      <c r="T8" s="430"/>
      <c r="U8" s="430"/>
      <c r="Y8" s="430"/>
      <c r="Z8" s="430"/>
      <c r="AA8" s="430"/>
      <c r="AB8" s="430"/>
      <c r="AC8" s="430"/>
      <c r="AD8" s="430"/>
      <c r="AE8" s="430"/>
      <c r="AF8" s="430"/>
      <c r="AG8" s="430"/>
      <c r="AH8" s="430"/>
      <c r="AI8" s="430"/>
      <c r="AJ8" s="430"/>
      <c r="AK8" s="430"/>
      <c r="AL8" s="430"/>
      <c r="AM8" s="430"/>
      <c r="AN8" s="430"/>
      <c r="AO8" s="430"/>
      <c r="AP8" s="430"/>
    </row>
    <row r="9" spans="1:42">
      <c r="A9" s="1686" t="s">
        <v>406</v>
      </c>
      <c r="B9" t="s">
        <v>386</v>
      </c>
      <c r="C9" t="s">
        <v>407</v>
      </c>
      <c r="J9" s="338">
        <f>J49</f>
        <v>12802632</v>
      </c>
      <c r="K9" s="338">
        <f t="shared" ref="K9:O9" si="4">K49</f>
        <v>0</v>
      </c>
      <c r="L9" s="338">
        <f t="shared" si="4"/>
        <v>6376212.7999999998</v>
      </c>
      <c r="M9" s="338">
        <f t="shared" si="4"/>
        <v>0</v>
      </c>
      <c r="N9" s="338">
        <f t="shared" si="4"/>
        <v>251032</v>
      </c>
      <c r="O9" s="338">
        <f t="shared" si="4"/>
        <v>6175387.2000000002</v>
      </c>
      <c r="P9" s="430"/>
      <c r="Q9" s="432"/>
      <c r="R9" s="430"/>
      <c r="S9" s="430"/>
      <c r="T9" s="430"/>
      <c r="U9" s="430"/>
      <c r="Y9" s="430"/>
      <c r="Z9" s="430"/>
      <c r="AA9" s="430"/>
      <c r="AB9" s="430"/>
      <c r="AC9" s="430"/>
      <c r="AD9" s="430"/>
      <c r="AE9" s="430"/>
      <c r="AF9" s="430"/>
      <c r="AG9" s="430"/>
      <c r="AH9" s="430"/>
      <c r="AI9" s="430"/>
      <c r="AJ9" s="430"/>
      <c r="AK9" s="430"/>
      <c r="AL9" s="430"/>
      <c r="AM9" s="430"/>
      <c r="AN9" s="430"/>
      <c r="AO9" s="430"/>
      <c r="AP9" s="430"/>
    </row>
    <row r="10" spans="1:42">
      <c r="A10" s="1686"/>
      <c r="B10" t="str">
        <f>B47</f>
        <v>GW14&amp;15</v>
      </c>
      <c r="C10" t="s">
        <v>409</v>
      </c>
      <c r="J10" s="338">
        <f>J47</f>
        <v>10835160.000000002</v>
      </c>
      <c r="K10" s="338">
        <f t="shared" ref="K10:O10" si="5">K47</f>
        <v>0</v>
      </c>
      <c r="L10" s="338">
        <f t="shared" si="5"/>
        <v>10499270.040000001</v>
      </c>
      <c r="M10" s="338">
        <f t="shared" si="5"/>
        <v>0</v>
      </c>
      <c r="N10" s="338">
        <f t="shared" si="5"/>
        <v>0</v>
      </c>
      <c r="O10" s="338">
        <f t="shared" si="5"/>
        <v>335889.96</v>
      </c>
      <c r="P10" s="430"/>
      <c r="Q10" s="432"/>
      <c r="R10" s="430"/>
      <c r="S10" s="430"/>
      <c r="T10" s="430"/>
      <c r="U10" s="430"/>
      <c r="Y10" s="430"/>
      <c r="Z10" s="430"/>
      <c r="AA10" s="430"/>
      <c r="AB10" s="430"/>
      <c r="AC10" s="430"/>
      <c r="AD10" s="430"/>
      <c r="AE10" s="430"/>
      <c r="AF10" s="430"/>
      <c r="AG10" s="430"/>
      <c r="AH10" s="430"/>
      <c r="AI10" s="430"/>
      <c r="AJ10" s="430"/>
      <c r="AK10" s="430"/>
      <c r="AL10" s="430"/>
      <c r="AM10" s="430"/>
      <c r="AN10" s="430"/>
      <c r="AO10" s="430"/>
      <c r="AP10" s="430"/>
    </row>
    <row r="11" spans="1:42">
      <c r="A11" s="1686"/>
      <c r="B11" t="s">
        <v>410</v>
      </c>
      <c r="C11" t="s">
        <v>411</v>
      </c>
      <c r="J11" s="338">
        <f>J48+J50</f>
        <v>5588640.384615385</v>
      </c>
      <c r="K11" s="338">
        <f t="shared" ref="K11:O11" si="6">K48+K50</f>
        <v>0</v>
      </c>
      <c r="L11" s="338">
        <f t="shared" si="6"/>
        <v>5522975</v>
      </c>
      <c r="M11" s="338">
        <f t="shared" si="6"/>
        <v>0</v>
      </c>
      <c r="N11" s="338">
        <f t="shared" si="6"/>
        <v>65665.38461538461</v>
      </c>
      <c r="O11" s="338">
        <f t="shared" si="6"/>
        <v>0</v>
      </c>
      <c r="P11" s="430"/>
      <c r="Q11" s="432"/>
      <c r="R11" s="430"/>
      <c r="S11" s="430"/>
      <c r="T11" s="430"/>
      <c r="U11" s="430"/>
      <c r="Y11" s="430"/>
      <c r="Z11" s="430"/>
      <c r="AA11" s="430"/>
      <c r="AB11" s="430"/>
      <c r="AC11" s="430"/>
      <c r="AD11" s="430"/>
      <c r="AE11" s="430"/>
      <c r="AF11" s="430"/>
      <c r="AG11" s="430"/>
      <c r="AH11" s="430"/>
      <c r="AI11" s="430"/>
      <c r="AJ11" s="430"/>
      <c r="AK11" s="430"/>
      <c r="AL11" s="430"/>
      <c r="AM11" s="430"/>
      <c r="AN11" s="430"/>
      <c r="AO11" s="430"/>
      <c r="AP11" s="430"/>
    </row>
    <row r="12" spans="1:42" ht="15.75">
      <c r="A12" s="1686"/>
      <c r="C12" s="436" t="s">
        <v>225</v>
      </c>
      <c r="D12" s="437"/>
      <c r="E12" s="437"/>
      <c r="F12" s="437"/>
      <c r="G12" s="437"/>
      <c r="H12" s="437"/>
      <c r="I12" s="437"/>
      <c r="J12" s="438">
        <f>SUM(J9:J11)</f>
        <v>29226432.384615384</v>
      </c>
      <c r="K12" s="438">
        <f t="shared" ref="K12:O12" si="7">SUM(K9:K11)</f>
        <v>0</v>
      </c>
      <c r="L12" s="438">
        <f t="shared" si="7"/>
        <v>22398457.84</v>
      </c>
      <c r="M12" s="438">
        <f t="shared" si="7"/>
        <v>0</v>
      </c>
      <c r="N12" s="438">
        <f t="shared" si="7"/>
        <v>316697.38461538462</v>
      </c>
      <c r="O12" s="438">
        <f t="shared" si="7"/>
        <v>6511277.1600000001</v>
      </c>
      <c r="P12" s="430"/>
      <c r="Q12" s="432"/>
      <c r="R12" s="430"/>
      <c r="S12" s="430"/>
      <c r="T12" s="430"/>
      <c r="U12" s="430"/>
      <c r="Y12" s="430"/>
      <c r="Z12" s="430"/>
      <c r="AA12" s="430"/>
      <c r="AB12" s="430"/>
      <c r="AC12" s="430"/>
      <c r="AD12" s="430"/>
      <c r="AE12" s="430"/>
      <c r="AF12" s="430"/>
      <c r="AG12" s="430"/>
      <c r="AH12" s="430"/>
      <c r="AI12" s="430"/>
      <c r="AJ12" s="430"/>
      <c r="AK12" s="430"/>
      <c r="AL12" s="430"/>
      <c r="AM12" s="430"/>
      <c r="AN12" s="430"/>
      <c r="AO12" s="430"/>
      <c r="AP12" s="430"/>
    </row>
    <row r="13" spans="1:42">
      <c r="A13" s="1686" t="s">
        <v>412</v>
      </c>
      <c r="B13" t="s">
        <v>413</v>
      </c>
      <c r="C13" t="s">
        <v>414</v>
      </c>
      <c r="J13" s="338">
        <f>J64</f>
        <v>39159891</v>
      </c>
      <c r="K13" s="338">
        <f t="shared" ref="K13:O13" si="8">K64</f>
        <v>0</v>
      </c>
      <c r="L13" s="338">
        <f t="shared" si="8"/>
        <v>36418698.630000003</v>
      </c>
      <c r="M13" s="338">
        <f t="shared" si="8"/>
        <v>0</v>
      </c>
      <c r="N13" s="338">
        <f t="shared" si="8"/>
        <v>0</v>
      </c>
      <c r="O13" s="338">
        <f t="shared" si="8"/>
        <v>2741192.37</v>
      </c>
      <c r="P13" s="430"/>
      <c r="Q13" s="432"/>
      <c r="R13" s="430"/>
      <c r="S13" s="430"/>
      <c r="T13" s="430"/>
      <c r="U13" s="430"/>
      <c r="Y13" s="430"/>
      <c r="Z13" s="430"/>
      <c r="AA13" s="430"/>
      <c r="AB13" s="430"/>
      <c r="AC13" s="430"/>
      <c r="AD13" s="430"/>
      <c r="AE13" s="430"/>
      <c r="AF13" s="430"/>
      <c r="AG13" s="430"/>
      <c r="AH13" s="430"/>
      <c r="AI13" s="430"/>
      <c r="AJ13" s="430"/>
      <c r="AK13" s="430"/>
      <c r="AL13" s="430"/>
      <c r="AM13" s="430"/>
      <c r="AN13" s="430"/>
      <c r="AO13" s="430"/>
      <c r="AP13" s="430"/>
    </row>
    <row r="14" spans="1:42">
      <c r="A14" s="1686"/>
      <c r="B14" s="440" t="s">
        <v>415</v>
      </c>
      <c r="C14" t="s">
        <v>416</v>
      </c>
      <c r="J14" s="338">
        <f>J59+J60+J61+J58+J57</f>
        <v>1067066</v>
      </c>
      <c r="K14" s="338">
        <f t="shared" ref="K14:O14" si="9">K59+K60+K61+K58+K57</f>
        <v>77080</v>
      </c>
      <c r="L14" s="338">
        <f t="shared" si="9"/>
        <v>686488.17700000003</v>
      </c>
      <c r="M14" s="338">
        <f t="shared" si="9"/>
        <v>0</v>
      </c>
      <c r="N14" s="338">
        <f t="shared" si="9"/>
        <v>679.74399999999991</v>
      </c>
      <c r="O14" s="338">
        <f t="shared" si="9"/>
        <v>302818.07900000003</v>
      </c>
      <c r="P14" s="430"/>
      <c r="Q14" s="432"/>
      <c r="R14" s="430"/>
      <c r="S14" s="430"/>
      <c r="T14" s="430"/>
      <c r="U14" s="430"/>
      <c r="Y14" s="430"/>
      <c r="Z14" s="430"/>
      <c r="AA14" s="430"/>
      <c r="AB14" s="430"/>
      <c r="AC14" s="430"/>
      <c r="AD14" s="430"/>
      <c r="AE14" s="430"/>
      <c r="AF14" s="430"/>
      <c r="AG14" s="430"/>
      <c r="AH14" s="430"/>
      <c r="AI14" s="430"/>
      <c r="AJ14" s="430"/>
      <c r="AK14" s="430"/>
      <c r="AL14" s="430"/>
      <c r="AM14" s="430"/>
      <c r="AN14" s="430"/>
      <c r="AO14" s="430"/>
      <c r="AP14" s="430"/>
    </row>
    <row r="15" spans="1:42" ht="30">
      <c r="A15" s="1686"/>
      <c r="B15" s="440" t="s">
        <v>662</v>
      </c>
      <c r="C15" t="s">
        <v>417</v>
      </c>
      <c r="J15" s="338">
        <f>J51+J52+J53+J54+J55+J56+J62+J63+J65+J66+J67+J68+J69+J70</f>
        <v>11959772</v>
      </c>
      <c r="K15" s="338">
        <f t="shared" ref="K15:O15" si="10">K51+K52+K53+K54+K55+K56+K62+K63+K65+K66+K67+K68+K69+K70</f>
        <v>0</v>
      </c>
      <c r="L15" s="338">
        <f t="shared" si="10"/>
        <v>11533568.976000002</v>
      </c>
      <c r="M15" s="338">
        <f t="shared" si="10"/>
        <v>0</v>
      </c>
      <c r="N15" s="338">
        <f t="shared" si="10"/>
        <v>56692.235999999997</v>
      </c>
      <c r="O15" s="338">
        <f t="shared" si="10"/>
        <v>369510.788</v>
      </c>
      <c r="P15" s="430"/>
      <c r="Q15" s="432"/>
      <c r="R15" s="430"/>
      <c r="S15" s="430"/>
      <c r="T15" s="430"/>
      <c r="U15" s="430"/>
      <c r="Y15" s="430"/>
      <c r="Z15" s="430"/>
      <c r="AA15" s="430"/>
      <c r="AB15" s="430"/>
      <c r="AC15" s="430"/>
      <c r="AD15" s="430"/>
      <c r="AE15" s="430"/>
      <c r="AF15" s="430"/>
      <c r="AG15" s="430"/>
      <c r="AH15" s="430"/>
      <c r="AI15" s="430"/>
      <c r="AJ15" s="430"/>
      <c r="AK15" s="430"/>
      <c r="AL15" s="430"/>
      <c r="AM15" s="430"/>
      <c r="AN15" s="430"/>
      <c r="AO15" s="430"/>
      <c r="AP15" s="430"/>
    </row>
    <row r="16" spans="1:42" ht="15.75">
      <c r="A16" s="1686"/>
      <c r="C16" s="436" t="s">
        <v>225</v>
      </c>
      <c r="J16" s="438">
        <f>SUM(J13:J15)</f>
        <v>52186729</v>
      </c>
      <c r="K16" s="438">
        <f t="shared" ref="K16:O16" si="11">SUM(K13:K15)</f>
        <v>77080</v>
      </c>
      <c r="L16" s="438">
        <f t="shared" si="11"/>
        <v>48638755.783000007</v>
      </c>
      <c r="M16" s="438">
        <f t="shared" si="11"/>
        <v>0</v>
      </c>
      <c r="N16" s="438">
        <f t="shared" si="11"/>
        <v>57371.979999999996</v>
      </c>
      <c r="O16" s="438">
        <f t="shared" si="11"/>
        <v>3413521.2370000002</v>
      </c>
      <c r="P16" s="430"/>
      <c r="Q16" s="432"/>
      <c r="R16" s="430"/>
      <c r="S16" s="430"/>
      <c r="T16" s="430"/>
      <c r="U16" s="430"/>
      <c r="Y16" s="430"/>
      <c r="Z16" s="430"/>
      <c r="AA16" s="430"/>
      <c r="AB16" s="430"/>
      <c r="AC16" s="430"/>
      <c r="AD16" s="430"/>
      <c r="AE16" s="430"/>
      <c r="AF16" s="430"/>
      <c r="AG16" s="430"/>
      <c r="AH16" s="430"/>
      <c r="AI16" s="430"/>
      <c r="AJ16" s="430"/>
      <c r="AK16" s="430"/>
      <c r="AL16" s="430"/>
      <c r="AM16" s="430"/>
      <c r="AN16" s="430"/>
      <c r="AO16" s="430"/>
      <c r="AP16" s="430"/>
    </row>
    <row r="17" spans="1:42" ht="15.75">
      <c r="A17" s="441" t="s">
        <v>418</v>
      </c>
      <c r="C17" s="442" t="s">
        <v>419</v>
      </c>
      <c r="J17" s="443">
        <f>J16+J12+J8</f>
        <v>109876332.1768828</v>
      </c>
      <c r="K17" s="443">
        <f>K16+K12+K8</f>
        <v>77080</v>
      </c>
      <c r="L17" s="443">
        <f t="shared" ref="L17:O17" si="12">L16+L12+L8</f>
        <v>83354154.671539083</v>
      </c>
      <c r="M17" s="443">
        <f t="shared" si="12"/>
        <v>3767862.0897283391</v>
      </c>
      <c r="N17" s="443">
        <f t="shared" si="12"/>
        <v>497964.95261538459</v>
      </c>
      <c r="O17" s="443">
        <f t="shared" si="12"/>
        <v>22179270.463</v>
      </c>
      <c r="P17" s="430"/>
      <c r="Q17" s="432"/>
      <c r="R17" s="430"/>
      <c r="S17" s="430"/>
      <c r="T17" s="430"/>
      <c r="U17" s="430"/>
      <c r="Y17" s="430"/>
      <c r="Z17" s="430"/>
      <c r="AA17" s="430"/>
      <c r="AB17" s="430"/>
      <c r="AC17" s="430"/>
      <c r="AD17" s="430"/>
      <c r="AE17" s="430"/>
      <c r="AF17" s="430"/>
      <c r="AG17" s="430"/>
      <c r="AH17" s="430"/>
      <c r="AI17" s="430"/>
      <c r="AJ17" s="430"/>
      <c r="AK17" s="430"/>
      <c r="AL17" s="430"/>
      <c r="AM17" s="430"/>
      <c r="AN17" s="430"/>
      <c r="AO17" s="430"/>
      <c r="AP17" s="430"/>
    </row>
    <row r="18" spans="1:42" ht="15.75">
      <c r="A18" s="441"/>
      <c r="C18" s="442" t="s">
        <v>420</v>
      </c>
      <c r="J18" s="444">
        <f>SUM(K18:O18)</f>
        <v>1</v>
      </c>
      <c r="K18" s="444">
        <f>K17/$J$17</f>
        <v>7.0151595409932222E-4</v>
      </c>
      <c r="L18" s="444">
        <f t="shared" ref="L18:O18" si="13">L17/$J$17</f>
        <v>0.7586179208944891</v>
      </c>
      <c r="M18" s="444">
        <f t="shared" si="13"/>
        <v>3.4291844431635209E-2</v>
      </c>
      <c r="N18" s="444">
        <f t="shared" si="13"/>
        <v>4.5320492844058815E-3</v>
      </c>
      <c r="O18" s="444">
        <f t="shared" si="13"/>
        <v>0.20185666943537053</v>
      </c>
      <c r="P18" s="430"/>
      <c r="Q18" s="432"/>
      <c r="R18" s="430"/>
      <c r="S18" s="430"/>
      <c r="T18" s="430"/>
      <c r="U18" s="430"/>
      <c r="Y18" s="430"/>
      <c r="Z18" s="430"/>
      <c r="AA18" s="430"/>
      <c r="AB18" s="430"/>
      <c r="AC18" s="430"/>
      <c r="AD18" s="430"/>
      <c r="AE18" s="430"/>
      <c r="AF18" s="430"/>
      <c r="AG18" s="430"/>
      <c r="AH18" s="430"/>
      <c r="AI18" s="430"/>
      <c r="AJ18" s="430"/>
      <c r="AK18" s="430"/>
      <c r="AL18" s="430"/>
      <c r="AM18" s="430"/>
      <c r="AN18" s="430"/>
      <c r="AO18" s="430"/>
      <c r="AP18" s="430"/>
    </row>
    <row r="19" spans="1:42" ht="15.75">
      <c r="A19" s="441"/>
      <c r="C19" s="442" t="s">
        <v>459</v>
      </c>
      <c r="J19" s="443">
        <f>J12+J7+J16</f>
        <v>85896153.384615391</v>
      </c>
      <c r="K19" s="443">
        <f t="shared" ref="K19:O19" si="14">K12+K7+K16</f>
        <v>77080</v>
      </c>
      <c r="L19" s="443">
        <f t="shared" si="14"/>
        <v>73189049.783000007</v>
      </c>
      <c r="M19" s="443">
        <f t="shared" si="14"/>
        <v>0</v>
      </c>
      <c r="N19" s="443">
        <f t="shared" si="14"/>
        <v>374069.36461538461</v>
      </c>
      <c r="O19" s="443">
        <f t="shared" si="14"/>
        <v>12255954.237</v>
      </c>
      <c r="P19" s="430"/>
      <c r="Q19" s="432"/>
      <c r="R19" s="430"/>
      <c r="S19" s="430"/>
      <c r="T19" s="430"/>
      <c r="U19" s="430"/>
      <c r="Y19" s="430"/>
      <c r="Z19" s="430"/>
      <c r="AA19" s="430"/>
      <c r="AB19" s="430"/>
      <c r="AC19" s="430"/>
      <c r="AD19" s="430"/>
      <c r="AE19" s="430"/>
      <c r="AF19" s="430"/>
      <c r="AG19" s="430"/>
      <c r="AH19" s="430"/>
      <c r="AI19" s="430"/>
      <c r="AJ19" s="430"/>
      <c r="AK19" s="430"/>
      <c r="AL19" s="430"/>
      <c r="AM19" s="430"/>
      <c r="AN19" s="430"/>
      <c r="AO19" s="430"/>
      <c r="AP19" s="430"/>
    </row>
    <row r="20" spans="1:42" ht="15.75">
      <c r="A20" s="441"/>
      <c r="C20" s="442" t="s">
        <v>420</v>
      </c>
      <c r="J20" s="492">
        <f>SUM(K20:O20)</f>
        <v>1</v>
      </c>
      <c r="K20" s="444">
        <f>K19/$J$19</f>
        <v>8.973626520254116E-4</v>
      </c>
      <c r="L20" s="444">
        <f>L19/$J$19</f>
        <v>0.85206434629596206</v>
      </c>
      <c r="M20" s="444">
        <f>M19/$J$19</f>
        <v>0</v>
      </c>
      <c r="N20" s="444">
        <f>N19/$J$19</f>
        <v>4.3549024010472517E-3</v>
      </c>
      <c r="O20" s="444">
        <f>O19/$J$19</f>
        <v>0.14268338865096522</v>
      </c>
      <c r="P20" s="430"/>
      <c r="Q20" s="432"/>
      <c r="R20" s="430"/>
      <c r="S20" s="430"/>
      <c r="T20" s="430"/>
      <c r="U20" s="430"/>
      <c r="Y20" s="430"/>
      <c r="Z20" s="430"/>
      <c r="AA20" s="430"/>
      <c r="AB20" s="430"/>
      <c r="AC20" s="430"/>
      <c r="AD20" s="430"/>
      <c r="AE20" s="430"/>
      <c r="AF20" s="430"/>
      <c r="AG20" s="430"/>
      <c r="AH20" s="430"/>
      <c r="AI20" s="430"/>
      <c r="AJ20" s="430"/>
      <c r="AK20" s="430"/>
      <c r="AL20" s="430"/>
      <c r="AM20" s="430"/>
      <c r="AN20" s="430"/>
      <c r="AO20" s="430"/>
      <c r="AP20" s="430"/>
    </row>
    <row r="21" spans="1:42" ht="15.75">
      <c r="A21" s="441"/>
      <c r="C21" s="442" t="s">
        <v>543</v>
      </c>
      <c r="J21" s="443">
        <f>J6</f>
        <v>23980178.792267412</v>
      </c>
      <c r="K21" s="443">
        <f t="shared" ref="K21:O21" si="15">K6</f>
        <v>0</v>
      </c>
      <c r="L21" s="443">
        <f t="shared" si="15"/>
        <v>10165104.888539074</v>
      </c>
      <c r="M21" s="443">
        <f t="shared" si="15"/>
        <v>3767862.0897283391</v>
      </c>
      <c r="N21" s="443">
        <f t="shared" si="15"/>
        <v>123895.58799999999</v>
      </c>
      <c r="O21" s="443">
        <f t="shared" si="15"/>
        <v>9923316.2259999998</v>
      </c>
      <c r="P21" s="430"/>
      <c r="Q21" s="432"/>
      <c r="R21" s="430"/>
      <c r="S21" s="430"/>
      <c r="T21" s="430"/>
      <c r="U21" s="430"/>
      <c r="Y21" s="430"/>
      <c r="Z21" s="430"/>
      <c r="AA21" s="430"/>
      <c r="AB21" s="430"/>
      <c r="AC21" s="430"/>
      <c r="AD21" s="430"/>
      <c r="AE21" s="430"/>
      <c r="AF21" s="430"/>
      <c r="AG21" s="430"/>
      <c r="AH21" s="430"/>
      <c r="AI21" s="430"/>
      <c r="AJ21" s="430"/>
      <c r="AK21" s="430"/>
      <c r="AL21" s="430"/>
      <c r="AM21" s="430"/>
      <c r="AN21" s="430"/>
      <c r="AO21" s="430"/>
      <c r="AP21" s="430"/>
    </row>
    <row r="22" spans="1:42" ht="15.75">
      <c r="A22" s="441"/>
      <c r="C22" s="442" t="s">
        <v>420</v>
      </c>
      <c r="J22" s="444">
        <f>SUM(K22:O22)</f>
        <v>1</v>
      </c>
      <c r="K22" s="444">
        <f>K21/$J$21</f>
        <v>0</v>
      </c>
      <c r="L22" s="444">
        <f>L21/$J$21</f>
        <v>0.42389612590448611</v>
      </c>
      <c r="M22" s="444">
        <f>M21/$J$21</f>
        <v>0.15712401989860536</v>
      </c>
      <c r="N22" s="444">
        <f>N21/$J$21</f>
        <v>5.1665831632561072E-3</v>
      </c>
      <c r="O22" s="444">
        <f>O21/$J$21</f>
        <v>0.41381327103365251</v>
      </c>
      <c r="P22" s="430"/>
      <c r="Q22" s="432"/>
      <c r="R22" s="430"/>
      <c r="S22" s="430"/>
      <c r="T22" s="430"/>
      <c r="U22" s="430"/>
      <c r="Y22" s="430"/>
      <c r="Z22" s="430"/>
      <c r="AA22" s="430"/>
      <c r="AB22" s="430"/>
      <c r="AC22" s="430"/>
      <c r="AD22" s="430"/>
      <c r="AE22" s="430"/>
      <c r="AF22" s="430"/>
      <c r="AG22" s="430"/>
      <c r="AH22" s="430"/>
      <c r="AI22" s="430"/>
      <c r="AJ22" s="430"/>
      <c r="AK22" s="430"/>
      <c r="AL22" s="430"/>
      <c r="AM22" s="430"/>
      <c r="AN22" s="430"/>
      <c r="AO22" s="430"/>
      <c r="AP22" s="430"/>
    </row>
    <row r="23" spans="1:42" ht="15.75">
      <c r="A23" s="441"/>
      <c r="C23" s="442" t="s">
        <v>655</v>
      </c>
      <c r="J23" s="443">
        <f>J19-J10-J13</f>
        <v>35901102.384615391</v>
      </c>
      <c r="K23" s="443">
        <f t="shared" ref="K23:N23" si="16">K19-K10-K13</f>
        <v>77080</v>
      </c>
      <c r="L23" s="443">
        <f t="shared" si="16"/>
        <v>26271081.113000005</v>
      </c>
      <c r="M23" s="443">
        <f t="shared" si="16"/>
        <v>0</v>
      </c>
      <c r="N23" s="443">
        <f t="shared" si="16"/>
        <v>374069.36461538461</v>
      </c>
      <c r="O23" s="443">
        <f>O19-O10-O13</f>
        <v>9178871.9069999978</v>
      </c>
      <c r="P23" s="430"/>
      <c r="Q23" s="432"/>
      <c r="R23" s="430"/>
      <c r="S23" s="430"/>
      <c r="T23" s="430"/>
      <c r="U23" s="430"/>
      <c r="Y23" s="430"/>
      <c r="Z23" s="430"/>
      <c r="AA23" s="430"/>
      <c r="AB23" s="430"/>
      <c r="AC23" s="430"/>
      <c r="AD23" s="430"/>
      <c r="AE23" s="430"/>
      <c r="AF23" s="430"/>
      <c r="AG23" s="430"/>
      <c r="AH23" s="430"/>
      <c r="AI23" s="430"/>
      <c r="AJ23" s="430"/>
      <c r="AK23" s="430"/>
      <c r="AL23" s="430"/>
      <c r="AM23" s="430"/>
      <c r="AN23" s="430"/>
      <c r="AO23" s="430"/>
      <c r="AP23" s="430"/>
    </row>
    <row r="24" spans="1:42" ht="15.75">
      <c r="A24" s="441"/>
      <c r="C24" s="442"/>
      <c r="J24" s="444">
        <f>SUM(K24:O24)</f>
        <v>0.99999999999999989</v>
      </c>
      <c r="K24" s="444">
        <f>K23/$J$23</f>
        <v>2.1470092805013948E-3</v>
      </c>
      <c r="L24" s="444">
        <f t="shared" ref="L24:O24" si="17">L23/$J$23</f>
        <v>0.73176251892080857</v>
      </c>
      <c r="M24" s="444">
        <f t="shared" si="17"/>
        <v>0</v>
      </c>
      <c r="N24" s="444">
        <f t="shared" si="17"/>
        <v>1.0419439509347312E-2</v>
      </c>
      <c r="O24" s="444">
        <f t="shared" si="17"/>
        <v>0.25567103228934263</v>
      </c>
      <c r="P24" s="430"/>
      <c r="Q24" s="432"/>
      <c r="R24" s="430"/>
      <c r="S24" s="430"/>
      <c r="T24" s="430"/>
      <c r="U24" s="430"/>
      <c r="Y24" s="430"/>
      <c r="Z24" s="430"/>
      <c r="AA24" s="430"/>
      <c r="AB24" s="430"/>
      <c r="AC24" s="430"/>
      <c r="AD24" s="430"/>
      <c r="AE24" s="430"/>
      <c r="AF24" s="430"/>
      <c r="AG24" s="430"/>
      <c r="AH24" s="430"/>
      <c r="AI24" s="430"/>
      <c r="AJ24" s="430"/>
      <c r="AK24" s="430"/>
      <c r="AL24" s="430"/>
      <c r="AM24" s="430"/>
      <c r="AN24" s="430"/>
      <c r="AO24" s="430"/>
      <c r="AP24" s="430"/>
    </row>
    <row r="25" spans="1:42" ht="15.75">
      <c r="A25" s="445" t="s">
        <v>460</v>
      </c>
      <c r="C25" s="442"/>
      <c r="J25" s="444"/>
      <c r="K25" s="444"/>
      <c r="L25" s="444"/>
      <c r="M25" s="444"/>
      <c r="N25" s="444"/>
      <c r="O25" s="444"/>
      <c r="P25" s="430"/>
      <c r="Q25" s="432"/>
      <c r="R25" s="430"/>
      <c r="S25" s="430"/>
      <c r="T25" s="430"/>
      <c r="U25" s="430"/>
      <c r="Y25" s="430"/>
      <c r="Z25" s="430"/>
      <c r="AA25" s="430"/>
      <c r="AB25" s="430"/>
      <c r="AC25" s="430"/>
      <c r="AD25" s="430"/>
      <c r="AE25" s="430"/>
      <c r="AF25" s="430"/>
      <c r="AG25" s="430"/>
      <c r="AH25" s="430"/>
      <c r="AI25" s="430"/>
      <c r="AJ25" s="430"/>
      <c r="AK25" s="430"/>
      <c r="AL25" s="430"/>
      <c r="AM25" s="430"/>
      <c r="AN25" s="430"/>
      <c r="AO25" s="430"/>
      <c r="AP25" s="430"/>
    </row>
    <row r="26" spans="1:42" ht="15.75">
      <c r="C26" s="442"/>
      <c r="J26" s="444"/>
      <c r="K26" s="444"/>
      <c r="L26" s="444"/>
      <c r="M26" s="444"/>
      <c r="N26" s="444"/>
      <c r="O26" s="444"/>
      <c r="P26" s="430"/>
      <c r="Q26" s="432"/>
      <c r="R26" s="430"/>
      <c r="S26" s="430"/>
      <c r="T26" s="430"/>
      <c r="U26" s="430"/>
      <c r="Y26" s="430"/>
      <c r="Z26" s="430"/>
      <c r="AA26" s="430"/>
      <c r="AB26" s="430"/>
      <c r="AC26" s="430"/>
      <c r="AD26" s="430"/>
      <c r="AE26" s="430"/>
      <c r="AF26" s="430"/>
      <c r="AG26" s="430"/>
      <c r="AH26" s="430"/>
      <c r="AI26" s="430"/>
      <c r="AJ26" s="430"/>
      <c r="AK26" s="430"/>
      <c r="AL26" s="430"/>
      <c r="AM26" s="430"/>
      <c r="AN26" s="430"/>
      <c r="AO26" s="430"/>
      <c r="AP26" s="430"/>
    </row>
    <row r="27" spans="1:42" ht="15.75">
      <c r="A27" s="446" t="s">
        <v>461</v>
      </c>
      <c r="B27" t="s">
        <v>462</v>
      </c>
      <c r="C27" s="442"/>
      <c r="J27" s="444"/>
      <c r="K27" s="444"/>
      <c r="L27" s="444"/>
      <c r="M27" s="444"/>
      <c r="N27" s="444"/>
      <c r="O27" s="444"/>
      <c r="P27" s="430"/>
      <c r="Q27" s="432"/>
      <c r="R27" s="430"/>
      <c r="S27" s="430"/>
      <c r="T27" s="430"/>
      <c r="U27" s="430"/>
      <c r="Y27" s="430"/>
      <c r="Z27" s="430"/>
      <c r="AA27" s="430"/>
      <c r="AB27" s="430"/>
      <c r="AC27" s="430"/>
      <c r="AD27" s="430"/>
      <c r="AE27" s="430"/>
      <c r="AF27" s="430"/>
      <c r="AG27" s="430"/>
      <c r="AH27" s="430"/>
      <c r="AI27" s="430"/>
      <c r="AJ27" s="430"/>
      <c r="AK27" s="430"/>
      <c r="AL27" s="430"/>
      <c r="AM27" s="430"/>
      <c r="AN27" s="430"/>
      <c r="AO27" s="430"/>
      <c r="AP27" s="430"/>
    </row>
    <row r="28" spans="1:42" ht="15.75">
      <c r="A28" s="338">
        <v>2017</v>
      </c>
      <c r="B28" s="447">
        <v>1331.29</v>
      </c>
      <c r="C28" s="448" t="s">
        <v>463</v>
      </c>
      <c r="J28" s="444"/>
      <c r="K28" s="444"/>
      <c r="L28" s="444"/>
      <c r="M28" s="444"/>
      <c r="N28" s="444"/>
      <c r="O28" s="444"/>
      <c r="P28" s="430"/>
      <c r="Q28" s="432"/>
      <c r="R28" s="430"/>
      <c r="S28" s="430"/>
      <c r="T28" s="430"/>
      <c r="U28" s="430"/>
      <c r="Y28" s="430"/>
      <c r="Z28" s="430"/>
      <c r="AA28" s="430"/>
      <c r="AB28" s="430"/>
      <c r="AC28" s="430"/>
      <c r="AD28" s="430"/>
      <c r="AE28" s="430"/>
      <c r="AF28" s="430"/>
      <c r="AG28" s="430"/>
      <c r="AH28" s="430"/>
      <c r="AI28" s="430"/>
      <c r="AJ28" s="430"/>
      <c r="AK28" s="430"/>
      <c r="AL28" s="430"/>
      <c r="AM28" s="430"/>
      <c r="AN28" s="430"/>
      <c r="AO28" s="430"/>
      <c r="AP28" s="430"/>
    </row>
    <row r="29" spans="1:42" ht="15.75">
      <c r="A29" s="446" t="s">
        <v>464</v>
      </c>
      <c r="B29" s="449" t="s">
        <v>465</v>
      </c>
      <c r="C29" s="449"/>
      <c r="J29" s="444"/>
      <c r="S29" s="430"/>
      <c r="T29" s="430"/>
      <c r="U29" s="430"/>
      <c r="Y29" s="430"/>
      <c r="Z29" s="430"/>
      <c r="AA29" s="430"/>
      <c r="AB29" s="430"/>
      <c r="AC29" s="430"/>
      <c r="AD29" s="430"/>
      <c r="AE29" s="430"/>
      <c r="AF29" s="430"/>
      <c r="AG29" s="430"/>
      <c r="AH29" s="430"/>
      <c r="AI29" s="430"/>
      <c r="AJ29" s="430"/>
      <c r="AK29" s="430"/>
      <c r="AL29" s="430"/>
      <c r="AM29" s="430"/>
      <c r="AN29" s="430"/>
      <c r="AO29" s="430"/>
      <c r="AP29" s="430"/>
    </row>
    <row r="30" spans="1:42" ht="15.75">
      <c r="A30" s="450">
        <v>2017</v>
      </c>
      <c r="B30" s="841">
        <f>'Input data'!C115*1000</f>
        <v>3120540</v>
      </c>
      <c r="C30" s="338"/>
      <c r="J30" s="444"/>
      <c r="K30" s="444"/>
      <c r="L30" s="444"/>
      <c r="M30" s="444"/>
      <c r="N30" s="444"/>
      <c r="O30" s="444"/>
      <c r="P30" s="430"/>
      <c r="Q30" s="432"/>
      <c r="R30" s="430"/>
      <c r="S30" s="430"/>
      <c r="T30" s="430"/>
      <c r="U30" s="430"/>
      <c r="Y30" s="430"/>
      <c r="Z30" s="430"/>
      <c r="AA30" s="430"/>
      <c r="AB30" s="430"/>
      <c r="AC30" s="430"/>
      <c r="AD30" s="430"/>
      <c r="AE30" s="430"/>
      <c r="AF30" s="430"/>
      <c r="AG30" s="430"/>
      <c r="AH30" s="430"/>
      <c r="AI30" s="430"/>
      <c r="AJ30" s="430"/>
      <c r="AK30" s="430"/>
      <c r="AL30" s="430"/>
      <c r="AM30" s="430"/>
      <c r="AN30" s="430"/>
      <c r="AO30" s="430"/>
      <c r="AP30" s="430"/>
    </row>
    <row r="31" spans="1:42" ht="15.75">
      <c r="A31" s="450">
        <v>2017</v>
      </c>
      <c r="B31" s="338">
        <f>B30/($B$28/100)</f>
        <v>234399.7175671717</v>
      </c>
      <c r="C31" s="338"/>
      <c r="J31" s="444"/>
      <c r="K31" s="444"/>
      <c r="L31" s="444"/>
      <c r="M31" s="444"/>
      <c r="N31" s="444"/>
      <c r="O31" s="444"/>
      <c r="P31" s="430"/>
      <c r="Q31" s="432"/>
      <c r="R31" s="430"/>
      <c r="S31" s="430"/>
      <c r="T31" s="430"/>
      <c r="U31" s="430"/>
      <c r="Y31" s="430"/>
      <c r="Z31" s="430"/>
      <c r="AA31" s="430"/>
      <c r="AB31" s="430"/>
      <c r="AC31" s="430"/>
      <c r="AD31" s="430"/>
      <c r="AE31" s="430"/>
      <c r="AF31" s="430"/>
      <c r="AG31" s="430"/>
      <c r="AH31" s="430"/>
      <c r="AI31" s="430"/>
      <c r="AJ31" s="430"/>
      <c r="AK31" s="430"/>
      <c r="AL31" s="430"/>
      <c r="AM31" s="430"/>
      <c r="AN31" s="430"/>
      <c r="AO31" s="430"/>
      <c r="AP31" s="430"/>
    </row>
    <row r="32" spans="1:42" ht="15.75">
      <c r="A32" s="1687" t="s">
        <v>466</v>
      </c>
      <c r="B32" s="1687"/>
      <c r="C32" s="442"/>
      <c r="J32" s="444"/>
      <c r="K32" s="444"/>
      <c r="L32" s="444"/>
      <c r="M32" s="444"/>
      <c r="N32" s="444"/>
      <c r="O32" s="444"/>
      <c r="P32" s="430"/>
      <c r="Q32" s="432"/>
      <c r="R32" s="430"/>
      <c r="S32" s="430"/>
      <c r="T32" s="430"/>
      <c r="U32" s="430"/>
      <c r="Y32" s="430"/>
      <c r="Z32" s="430"/>
      <c r="AA32" s="430"/>
      <c r="AB32" s="430"/>
      <c r="AC32" s="430"/>
      <c r="AD32" s="430"/>
      <c r="AE32" s="430"/>
      <c r="AF32" s="430"/>
      <c r="AG32" s="430"/>
      <c r="AH32" s="430"/>
      <c r="AI32" s="430"/>
      <c r="AJ32" s="430"/>
      <c r="AK32" s="430"/>
      <c r="AL32" s="430"/>
      <c r="AM32" s="430"/>
      <c r="AN32" s="430"/>
      <c r="AO32" s="430"/>
      <c r="AP32" s="430"/>
    </row>
    <row r="33" spans="1:48" ht="15.75">
      <c r="A33" s="451">
        <v>2017</v>
      </c>
      <c r="B33" s="452">
        <f>$J$19/B30</f>
        <v>27.526054267727826</v>
      </c>
      <c r="C33" s="441" t="s">
        <v>467</v>
      </c>
      <c r="J33" s="441" t="s">
        <v>468</v>
      </c>
      <c r="K33" s="444"/>
      <c r="L33" s="444"/>
      <c r="M33" s="444"/>
      <c r="N33" s="444"/>
      <c r="O33" s="444"/>
      <c r="P33" s="430"/>
      <c r="Q33" s="432"/>
      <c r="R33" s="430"/>
      <c r="S33" s="430"/>
      <c r="T33" s="430"/>
      <c r="U33" s="430"/>
      <c r="Y33" s="430"/>
      <c r="Z33" s="430"/>
      <c r="AA33" s="430"/>
      <c r="AB33" s="430"/>
      <c r="AC33" s="430"/>
      <c r="AD33" s="430"/>
      <c r="AE33" s="430"/>
      <c r="AF33" s="430"/>
      <c r="AG33" s="430"/>
      <c r="AH33" s="430"/>
      <c r="AI33" s="430"/>
      <c r="AJ33" s="430"/>
      <c r="AK33" s="430"/>
      <c r="AL33" s="430"/>
      <c r="AM33" s="430"/>
      <c r="AN33" s="430"/>
      <c r="AO33" s="430"/>
      <c r="AP33" s="430"/>
    </row>
    <row r="34" spans="1:48" ht="15.75">
      <c r="A34" s="453"/>
      <c r="B34" s="452">
        <f>$J$19/B31</f>
        <v>366.45160786083375</v>
      </c>
      <c r="C34" s="441" t="s">
        <v>469</v>
      </c>
      <c r="J34" s="444"/>
      <c r="K34" s="444"/>
      <c r="L34" s="444"/>
      <c r="M34" s="444"/>
      <c r="N34" s="444"/>
      <c r="O34" s="444"/>
      <c r="P34" s="430"/>
      <c r="Q34" s="432"/>
      <c r="R34" s="430"/>
      <c r="S34" s="430"/>
      <c r="T34" s="430"/>
      <c r="U34" s="430"/>
      <c r="Y34" s="430"/>
      <c r="Z34" s="430"/>
      <c r="AA34" s="430"/>
      <c r="AB34" s="430"/>
      <c r="AC34" s="430"/>
      <c r="AD34" s="430"/>
      <c r="AE34" s="430"/>
      <c r="AF34" s="430"/>
      <c r="AG34" s="430"/>
      <c r="AH34" s="430"/>
      <c r="AI34" s="430"/>
      <c r="AJ34" s="430"/>
      <c r="AK34" s="430"/>
      <c r="AL34" s="430"/>
      <c r="AM34" s="430"/>
      <c r="AN34" s="430"/>
      <c r="AO34" s="430"/>
      <c r="AP34" s="430"/>
    </row>
    <row r="35" spans="1:48" ht="15.75">
      <c r="A35" s="451">
        <v>2017</v>
      </c>
      <c r="B35" s="452">
        <f>J23/B30</f>
        <v>11.504772374209397</v>
      </c>
      <c r="C35" s="441" t="s">
        <v>467</v>
      </c>
      <c r="J35" s="444" t="s">
        <v>649</v>
      </c>
      <c r="K35" s="778"/>
      <c r="L35" s="778"/>
      <c r="M35" s="444"/>
      <c r="N35" s="444"/>
      <c r="O35" s="444"/>
      <c r="P35" s="430"/>
      <c r="Q35" s="432"/>
      <c r="R35" s="430"/>
      <c r="S35" s="430"/>
      <c r="T35" s="430"/>
      <c r="U35" s="430"/>
      <c r="Y35" s="430"/>
      <c r="Z35" s="430"/>
      <c r="AA35" s="430"/>
      <c r="AB35" s="430"/>
      <c r="AC35" s="430"/>
      <c r="AD35" s="430"/>
      <c r="AE35" s="430"/>
      <c r="AF35" s="430"/>
      <c r="AG35" s="430"/>
      <c r="AH35" s="430"/>
      <c r="AI35" s="430"/>
      <c r="AJ35" s="430"/>
      <c r="AK35" s="430"/>
      <c r="AL35" s="430"/>
      <c r="AM35" s="430"/>
      <c r="AN35" s="430"/>
      <c r="AO35" s="430"/>
      <c r="AP35" s="430"/>
    </row>
    <row r="36" spans="1:48" ht="15.75">
      <c r="B36" s="454"/>
      <c r="C36" s="441"/>
      <c r="J36" s="444"/>
      <c r="K36" s="444"/>
      <c r="L36" s="444"/>
      <c r="M36" s="444"/>
      <c r="N36" s="444"/>
      <c r="O36" s="444"/>
      <c r="P36" s="430"/>
      <c r="Q36" s="432"/>
      <c r="R36" s="430"/>
      <c r="S36" s="430"/>
      <c r="T36" s="430"/>
      <c r="U36" s="430"/>
      <c r="Y36" s="430"/>
      <c r="Z36" s="430"/>
      <c r="AA36" s="430"/>
      <c r="AB36" s="430"/>
      <c r="AC36" s="430"/>
      <c r="AD36" s="430"/>
      <c r="AE36" s="430"/>
      <c r="AF36" s="430"/>
      <c r="AG36" s="430"/>
      <c r="AH36" s="430"/>
      <c r="AI36" s="430"/>
      <c r="AJ36" s="430"/>
      <c r="AK36" s="430"/>
      <c r="AL36" s="430"/>
      <c r="AM36" s="430"/>
      <c r="AN36" s="430"/>
      <c r="AO36" s="430"/>
      <c r="AP36" s="430"/>
    </row>
    <row r="37" spans="1:48" ht="15.75">
      <c r="A37" s="441" t="s">
        <v>470</v>
      </c>
      <c r="C37" s="442"/>
      <c r="J37" s="443"/>
      <c r="K37" s="443"/>
      <c r="L37" s="443"/>
      <c r="M37" s="443"/>
      <c r="N37" s="443"/>
      <c r="O37" s="443"/>
      <c r="P37" s="430"/>
      <c r="Q37" s="432"/>
      <c r="R37" s="430"/>
      <c r="S37" s="430"/>
      <c r="T37" s="430"/>
      <c r="U37" s="430"/>
      <c r="Y37" s="430"/>
      <c r="Z37" s="430"/>
      <c r="AA37" s="430"/>
      <c r="AB37" s="430"/>
      <c r="AC37" s="430"/>
      <c r="AD37" s="430"/>
      <c r="AE37" s="430"/>
      <c r="AF37" s="430"/>
      <c r="AG37" s="430"/>
      <c r="AH37" s="430"/>
      <c r="AI37" s="430"/>
      <c r="AJ37" s="430"/>
      <c r="AK37" s="430"/>
      <c r="AL37" s="430"/>
      <c r="AM37" s="430"/>
      <c r="AN37" s="430"/>
      <c r="AO37" s="430"/>
      <c r="AP37" s="430"/>
    </row>
    <row r="38" spans="1:48" s="456" customFormat="1">
      <c r="A38" s="1688" t="s">
        <v>267</v>
      </c>
      <c r="B38" s="431"/>
      <c r="C38" s="431" t="s">
        <v>390</v>
      </c>
      <c r="D38" s="431" t="s">
        <v>471</v>
      </c>
      <c r="E38" s="431">
        <v>2017</v>
      </c>
      <c r="F38" s="431"/>
      <c r="G38" s="431" t="s">
        <v>472</v>
      </c>
      <c r="H38" s="431"/>
      <c r="I38" s="431" t="s">
        <v>473</v>
      </c>
      <c r="J38" s="455">
        <v>3767862.0897283391</v>
      </c>
      <c r="K38" s="455">
        <v>0</v>
      </c>
      <c r="L38" s="455">
        <v>0</v>
      </c>
      <c r="M38" s="455">
        <v>3767862.0897283391</v>
      </c>
      <c r="N38" s="455">
        <v>0</v>
      </c>
      <c r="O38" s="455">
        <v>0</v>
      </c>
      <c r="P38" s="329"/>
      <c r="Q38" s="329"/>
      <c r="R38" s="329"/>
      <c r="S38" s="329"/>
      <c r="T38" s="329"/>
      <c r="U38" s="329"/>
      <c r="V38"/>
      <c r="W38"/>
      <c r="X38"/>
      <c r="Y38" s="379"/>
      <c r="Z38" s="379"/>
      <c r="AA38" s="379"/>
      <c r="AB38" s="379"/>
      <c r="AC38" s="379"/>
      <c r="AD38" s="379"/>
      <c r="AE38" s="379"/>
      <c r="AF38" s="379"/>
      <c r="AG38" s="379"/>
      <c r="AH38" s="379"/>
      <c r="AI38" s="379"/>
      <c r="AJ38" s="379"/>
      <c r="AK38" s="379"/>
      <c r="AL38" s="379"/>
      <c r="AM38" s="379"/>
      <c r="AN38" s="379"/>
      <c r="AO38" s="379"/>
      <c r="AP38" s="379"/>
      <c r="AQ38"/>
      <c r="AR38"/>
      <c r="AS38"/>
      <c r="AT38"/>
      <c r="AU38"/>
    </row>
    <row r="39" spans="1:48" s="456" customFormat="1">
      <c r="A39" s="1688"/>
      <c r="B39" s="431" t="s">
        <v>379</v>
      </c>
      <c r="C39" s="431" t="s">
        <v>391</v>
      </c>
      <c r="D39" s="431" t="s">
        <v>474</v>
      </c>
      <c r="E39" s="431">
        <v>2017</v>
      </c>
      <c r="F39" s="431"/>
      <c r="G39" s="431" t="s">
        <v>472</v>
      </c>
      <c r="H39" s="431"/>
      <c r="I39" s="431" t="s">
        <v>475</v>
      </c>
      <c r="J39" s="455">
        <v>4821430</v>
      </c>
      <c r="K39" s="455">
        <v>0</v>
      </c>
      <c r="L39" s="455">
        <v>4821430</v>
      </c>
      <c r="M39" s="455">
        <v>0</v>
      </c>
      <c r="N39" s="455">
        <v>0</v>
      </c>
      <c r="O39" s="455">
        <v>0</v>
      </c>
      <c r="P39" s="329"/>
      <c r="Q39" s="329"/>
      <c r="R39" s="329"/>
      <c r="S39" s="329"/>
      <c r="T39"/>
      <c r="U39" s="329"/>
      <c r="V39"/>
      <c r="W39"/>
      <c r="X39"/>
      <c r="Y39" s="379"/>
      <c r="Z39" s="379"/>
      <c r="AA39" s="379"/>
      <c r="AB39" s="379"/>
      <c r="AC39" s="379"/>
      <c r="AD39" s="379"/>
      <c r="AE39" s="379"/>
      <c r="AF39" s="379"/>
      <c r="AG39" s="379"/>
      <c r="AH39" s="379"/>
      <c r="AI39" s="379"/>
      <c r="AJ39" s="379"/>
      <c r="AK39" s="379"/>
      <c r="AL39" s="379"/>
      <c r="AM39" s="379"/>
      <c r="AN39" s="379"/>
      <c r="AO39" s="379"/>
      <c r="AP39" s="379"/>
      <c r="AQ39"/>
      <c r="AR39"/>
      <c r="AS39"/>
      <c r="AT39"/>
      <c r="AU39"/>
    </row>
    <row r="40" spans="1:48" s="456" customFormat="1">
      <c r="A40" s="1688"/>
      <c r="B40" s="431" t="s">
        <v>381</v>
      </c>
      <c r="C40" s="431" t="s">
        <v>392</v>
      </c>
      <c r="D40" s="431" t="s">
        <v>476</v>
      </c>
      <c r="E40" s="431">
        <v>2017</v>
      </c>
      <c r="F40" s="431"/>
      <c r="G40" s="431"/>
      <c r="H40" s="431"/>
      <c r="I40" s="431" t="s">
        <v>477</v>
      </c>
      <c r="J40" s="455">
        <v>360884</v>
      </c>
      <c r="K40" s="455">
        <v>0</v>
      </c>
      <c r="L40" s="455">
        <v>360884</v>
      </c>
      <c r="M40" s="455">
        <v>0</v>
      </c>
      <c r="N40" s="455">
        <v>0</v>
      </c>
      <c r="O40" s="455">
        <v>0</v>
      </c>
      <c r="P40" s="329"/>
      <c r="Q40" s="329"/>
      <c r="R40" s="329"/>
      <c r="S40" s="329"/>
      <c r="T40"/>
      <c r="U40" s="329"/>
      <c r="V40"/>
      <c r="W40"/>
      <c r="X40"/>
      <c r="Y40" s="379"/>
      <c r="Z40" s="379"/>
      <c r="AA40" s="379"/>
      <c r="AB40" s="379"/>
      <c r="AC40" s="379"/>
      <c r="AD40" s="379"/>
      <c r="AE40" s="379"/>
      <c r="AF40" s="379"/>
      <c r="AG40" s="379"/>
      <c r="AH40" s="379"/>
      <c r="AI40" s="379"/>
      <c r="AJ40" s="379"/>
      <c r="AK40" s="379"/>
      <c r="AL40" s="379"/>
      <c r="AM40" s="379"/>
      <c r="AN40" s="379"/>
      <c r="AO40" s="379"/>
      <c r="AP40" s="379"/>
      <c r="AQ40"/>
      <c r="AR40"/>
      <c r="AS40"/>
      <c r="AT40"/>
      <c r="AU40"/>
    </row>
    <row r="41" spans="1:48" s="456" customFormat="1">
      <c r="A41" s="1688"/>
      <c r="B41" s="431" t="s">
        <v>383</v>
      </c>
      <c r="C41" s="431" t="s">
        <v>478</v>
      </c>
      <c r="D41" s="431" t="s">
        <v>476</v>
      </c>
      <c r="E41" s="431">
        <v>2017</v>
      </c>
      <c r="F41" s="431" t="s">
        <v>472</v>
      </c>
      <c r="G41" s="431"/>
      <c r="H41" s="431"/>
      <c r="I41" s="431" t="s">
        <v>479</v>
      </c>
      <c r="J41" s="455">
        <v>8330002.7025390733</v>
      </c>
      <c r="K41" s="455">
        <v>0</v>
      </c>
      <c r="L41" s="455">
        <v>1632790.8885390735</v>
      </c>
      <c r="M41" s="455">
        <v>0</v>
      </c>
      <c r="N41" s="455">
        <v>123895.58799999999</v>
      </c>
      <c r="O41" s="455">
        <v>6573316.2259999998</v>
      </c>
      <c r="P41" s="341"/>
      <c r="Q41" s="341"/>
      <c r="R41" s="341"/>
      <c r="S41" s="341"/>
      <c r="T41"/>
      <c r="U41" s="3"/>
      <c r="V41"/>
      <c r="W41"/>
      <c r="X41"/>
      <c r="Y41" s="379"/>
      <c r="Z41" s="379"/>
      <c r="AA41" s="379"/>
      <c r="AB41" s="379"/>
      <c r="AC41" s="379"/>
      <c r="AD41" s="379"/>
      <c r="AE41" s="379"/>
      <c r="AF41" s="379"/>
      <c r="AG41" s="379"/>
      <c r="AH41" s="379"/>
      <c r="AI41" s="379"/>
      <c r="AJ41" s="379"/>
      <c r="AK41" s="379"/>
      <c r="AL41" s="379"/>
      <c r="AM41" s="379"/>
      <c r="AN41" s="379"/>
      <c r="AO41" s="379"/>
      <c r="AP41" s="379"/>
      <c r="AQ41"/>
      <c r="AR41"/>
      <c r="AS41"/>
      <c r="AT41"/>
      <c r="AU41"/>
    </row>
    <row r="42" spans="1:48" s="456" customFormat="1">
      <c r="A42" s="1688"/>
      <c r="B42" s="431" t="s">
        <v>386</v>
      </c>
      <c r="C42" s="431" t="s">
        <v>387</v>
      </c>
      <c r="D42" s="431" t="s">
        <v>476</v>
      </c>
      <c r="E42" s="431">
        <v>2017</v>
      </c>
      <c r="F42" s="431"/>
      <c r="G42" s="431"/>
      <c r="H42" s="431" t="s">
        <v>472</v>
      </c>
      <c r="I42" s="431" t="s">
        <v>480</v>
      </c>
      <c r="J42" s="455">
        <v>6700000</v>
      </c>
      <c r="K42" s="455">
        <v>0</v>
      </c>
      <c r="L42" s="455">
        <v>3350000</v>
      </c>
      <c r="M42" s="455">
        <v>0</v>
      </c>
      <c r="N42" s="455">
        <v>0</v>
      </c>
      <c r="O42" s="455">
        <v>3350000</v>
      </c>
      <c r="P42"/>
      <c r="Q42"/>
      <c r="R42"/>
      <c r="S42"/>
      <c r="T42"/>
      <c r="U42" s="329"/>
      <c r="V42" s="3"/>
      <c r="W42" s="3"/>
      <c r="X42" s="3"/>
      <c r="Y42" s="379"/>
      <c r="Z42" s="379"/>
      <c r="AA42" s="379"/>
      <c r="AB42" s="379"/>
      <c r="AC42" s="379"/>
      <c r="AD42" s="379"/>
      <c r="AE42" s="379"/>
      <c r="AF42" s="379"/>
      <c r="AG42" s="379"/>
      <c r="AH42" s="379"/>
      <c r="AI42" s="379"/>
      <c r="AJ42" s="379"/>
      <c r="AK42" s="379"/>
      <c r="AL42" s="379"/>
      <c r="AM42" s="379"/>
      <c r="AN42" s="379"/>
      <c r="AO42" s="379"/>
      <c r="AP42" s="379"/>
      <c r="AQ42"/>
      <c r="AR42"/>
      <c r="AS42"/>
      <c r="AT42"/>
      <c r="AU42"/>
      <c r="AV42" s="456" t="s">
        <v>481</v>
      </c>
    </row>
    <row r="43" spans="1:48" s="456" customFormat="1" ht="15.75">
      <c r="A43" s="457" t="s">
        <v>482</v>
      </c>
      <c r="B43" s="431" t="s">
        <v>404</v>
      </c>
      <c r="C43" s="431" t="s">
        <v>405</v>
      </c>
      <c r="D43" s="431" t="s">
        <v>476</v>
      </c>
      <c r="E43" s="431">
        <v>2017</v>
      </c>
      <c r="F43" s="431"/>
      <c r="G43" s="431"/>
      <c r="H43" s="431" t="s">
        <v>472</v>
      </c>
      <c r="I43" s="431" t="s">
        <v>483</v>
      </c>
      <c r="J43" s="455">
        <v>4482992.0000000009</v>
      </c>
      <c r="K43" s="455">
        <v>0</v>
      </c>
      <c r="L43" s="455">
        <v>2151836.16</v>
      </c>
      <c r="M43" s="455">
        <v>0</v>
      </c>
      <c r="N43" s="455">
        <v>0</v>
      </c>
      <c r="O43" s="455">
        <v>2331155.8400000008</v>
      </c>
      <c r="P43" s="458"/>
      <c r="Q43" s="458"/>
      <c r="R43" s="458"/>
      <c r="S43" s="458"/>
      <c r="T43" s="458"/>
      <c r="U43" s="459"/>
      <c r="V43" s="3"/>
      <c r="W43" s="3"/>
      <c r="X43" s="3"/>
      <c r="Y43" s="460"/>
      <c r="Z43" s="460"/>
      <c r="AA43" s="460"/>
      <c r="AB43" s="460"/>
      <c r="AC43" s="460"/>
      <c r="AD43" s="460"/>
      <c r="AE43" s="460"/>
      <c r="AF43" s="460"/>
      <c r="AG43" s="460"/>
      <c r="AH43" s="460"/>
      <c r="AI43" s="460"/>
      <c r="AJ43" s="460"/>
      <c r="AK43" s="460"/>
      <c r="AL43" s="460"/>
      <c r="AM43" s="460"/>
      <c r="AN43" s="460"/>
      <c r="AO43" s="460"/>
      <c r="AP43" s="460"/>
      <c r="AQ43" s="339"/>
      <c r="AR43"/>
      <c r="AS43"/>
      <c r="AT43"/>
      <c r="AU43"/>
    </row>
    <row r="44" spans="1:48" ht="15.75">
      <c r="A44" s="461" t="s">
        <v>484</v>
      </c>
      <c r="B44" s="462"/>
      <c r="C44" s="431"/>
      <c r="D44" s="431"/>
      <c r="E44" s="431"/>
      <c r="F44" s="431"/>
      <c r="G44" s="431"/>
      <c r="H44" s="431"/>
      <c r="I44" s="462" t="s">
        <v>485</v>
      </c>
      <c r="J44" s="463">
        <f>SUM(J38:J43)</f>
        <v>28463170.792267412</v>
      </c>
      <c r="K44" s="463">
        <f t="shared" ref="K44:O44" si="18">SUM(K38:K43)</f>
        <v>0</v>
      </c>
      <c r="L44" s="463">
        <f t="shared" si="18"/>
        <v>12316941.048539074</v>
      </c>
      <c r="M44" s="463">
        <f t="shared" si="18"/>
        <v>3767862.0897283391</v>
      </c>
      <c r="N44" s="463">
        <f t="shared" si="18"/>
        <v>123895.58799999999</v>
      </c>
      <c r="O44" s="463">
        <f t="shared" si="18"/>
        <v>12254472.066</v>
      </c>
      <c r="P44" s="464"/>
      <c r="Q44" s="464"/>
      <c r="R44" s="464"/>
      <c r="S44" s="464"/>
      <c r="T44" s="464"/>
      <c r="U44" s="465"/>
      <c r="V44" s="3"/>
      <c r="W44" s="3"/>
      <c r="X44" s="3"/>
      <c r="Y44" s="464"/>
      <c r="Z44" s="464"/>
      <c r="AA44" s="464"/>
      <c r="AB44" s="464"/>
      <c r="AC44" s="464"/>
      <c r="AD44" s="3"/>
      <c r="AE44" s="464"/>
      <c r="AF44" s="464"/>
      <c r="AG44" s="464"/>
      <c r="AH44" s="464"/>
      <c r="AI44" s="464"/>
      <c r="AJ44" s="3"/>
      <c r="AK44" s="464"/>
      <c r="AL44" s="464"/>
      <c r="AM44" s="464"/>
      <c r="AN44" s="464"/>
      <c r="AO44" s="464"/>
      <c r="AP44" s="3"/>
      <c r="AQ44" s="339"/>
    </row>
    <row r="45" spans="1:48" ht="15.75">
      <c r="A45" s="466"/>
      <c r="B45" s="466"/>
      <c r="C45" s="467"/>
      <c r="D45" s="468"/>
      <c r="E45" s="467"/>
      <c r="I45" s="468"/>
      <c r="J45" s="469">
        <f>J44/I2*1000</f>
        <v>503.57731464363917</v>
      </c>
      <c r="K45" t="s">
        <v>450</v>
      </c>
      <c r="L45" s="469"/>
      <c r="M45" s="458"/>
      <c r="O45" s="470"/>
      <c r="U45" s="329"/>
      <c r="Y45" s="379"/>
      <c r="Z45" s="379"/>
      <c r="AA45" s="379"/>
      <c r="AB45" s="379"/>
      <c r="AC45" s="379"/>
      <c r="AD45" s="379"/>
      <c r="AE45" s="379"/>
      <c r="AF45" s="379"/>
      <c r="AG45" s="379"/>
      <c r="AH45" s="379"/>
      <c r="AI45" s="379"/>
      <c r="AJ45" s="379"/>
      <c r="AK45" s="379"/>
      <c r="AL45" s="379"/>
      <c r="AM45" s="379"/>
      <c r="AN45" s="379"/>
      <c r="AO45" s="379"/>
      <c r="AP45" s="379"/>
    </row>
    <row r="46" spans="1:48">
      <c r="J46" s="338"/>
      <c r="U46" s="329"/>
      <c r="V46" s="3"/>
      <c r="W46" s="3"/>
      <c r="X46" s="3"/>
      <c r="Y46" s="3"/>
      <c r="Z46" s="3"/>
      <c r="AA46" s="3"/>
      <c r="AB46" s="3"/>
      <c r="AC46" s="3"/>
      <c r="AD46" s="3"/>
      <c r="AE46" s="3"/>
      <c r="AF46" s="3"/>
      <c r="AG46" s="3"/>
      <c r="AH46" s="3"/>
      <c r="AI46" s="3"/>
      <c r="AJ46" s="3"/>
      <c r="AK46" s="3"/>
      <c r="AL46" s="3"/>
      <c r="AM46" s="3"/>
      <c r="AN46" s="3"/>
      <c r="AO46" s="3"/>
      <c r="AP46" s="3"/>
    </row>
    <row r="47" spans="1:48" s="456" customFormat="1" ht="15.75">
      <c r="A47" s="471" t="s">
        <v>486</v>
      </c>
      <c r="B47" s="431" t="s">
        <v>408</v>
      </c>
      <c r="C47" s="431" t="s">
        <v>487</v>
      </c>
      <c r="D47" s="431" t="s">
        <v>476</v>
      </c>
      <c r="E47" s="431">
        <v>2017</v>
      </c>
      <c r="F47" s="431" t="s">
        <v>472</v>
      </c>
      <c r="G47" s="431"/>
      <c r="H47" s="431"/>
      <c r="I47" s="431" t="s">
        <v>488</v>
      </c>
      <c r="J47" s="455">
        <f>SUM(K47:O47)</f>
        <v>10835160.000000002</v>
      </c>
      <c r="K47" s="455">
        <v>0</v>
      </c>
      <c r="L47" s="455">
        <v>10499270.040000001</v>
      </c>
      <c r="M47" s="431">
        <v>0</v>
      </c>
      <c r="N47" s="431">
        <v>0</v>
      </c>
      <c r="O47" s="455">
        <v>335889.96</v>
      </c>
      <c r="P47"/>
      <c r="Q47"/>
      <c r="R47"/>
      <c r="S47"/>
      <c r="T47"/>
      <c r="U47" s="329"/>
      <c r="V47" s="3"/>
      <c r="W47" s="3"/>
      <c r="X47" s="472"/>
      <c r="Y47" s="441"/>
      <c r="Z47" s="473"/>
      <c r="AA47" s="473"/>
      <c r="AB47" s="473"/>
      <c r="AC47" s="473"/>
      <c r="AD47" s="473"/>
      <c r="AE47" s="473"/>
      <c r="AF47" s="473"/>
      <c r="AG47" s="473"/>
      <c r="AH47" s="473"/>
      <c r="AI47" s="473"/>
      <c r="AJ47" s="473"/>
      <c r="AK47" s="473"/>
      <c r="AL47" s="3"/>
      <c r="AM47" s="3"/>
      <c r="AN47" s="3"/>
      <c r="AO47" s="3"/>
      <c r="AP47" s="3"/>
      <c r="AQ47"/>
      <c r="AR47"/>
      <c r="AS47"/>
      <c r="AT47"/>
      <c r="AU47"/>
    </row>
    <row r="48" spans="1:48" s="340" customFormat="1" ht="15.75">
      <c r="A48" s="431"/>
      <c r="B48" s="431" t="s">
        <v>489</v>
      </c>
      <c r="C48" s="431" t="s">
        <v>490</v>
      </c>
      <c r="D48" s="431" t="s">
        <v>476</v>
      </c>
      <c r="E48" s="431">
        <v>2013</v>
      </c>
      <c r="F48" s="431"/>
      <c r="G48" s="431" t="s">
        <v>472</v>
      </c>
      <c r="H48" s="431"/>
      <c r="I48" s="431" t="s">
        <v>491</v>
      </c>
      <c r="J48" s="455">
        <f>SUM(K48:O48)</f>
        <v>4859025</v>
      </c>
      <c r="K48" s="455">
        <v>0</v>
      </c>
      <c r="L48" s="455">
        <v>4859025</v>
      </c>
      <c r="M48" s="431">
        <v>0</v>
      </c>
      <c r="N48" s="431">
        <v>0</v>
      </c>
      <c r="O48" s="455">
        <v>0</v>
      </c>
      <c r="P48"/>
      <c r="Q48"/>
      <c r="R48"/>
      <c r="S48"/>
      <c r="T48"/>
      <c r="U48" s="329"/>
      <c r="V48" s="3"/>
      <c r="W48" s="3"/>
      <c r="X48" s="472"/>
      <c r="Y48" s="441"/>
      <c r="Z48" s="473"/>
      <c r="AA48" s="473"/>
      <c r="AB48" s="473"/>
      <c r="AC48" s="473"/>
      <c r="AD48" s="473"/>
      <c r="AE48" s="473"/>
      <c r="AF48" s="473"/>
      <c r="AG48" s="473"/>
      <c r="AH48" s="473"/>
      <c r="AI48" s="473"/>
      <c r="AJ48" s="473"/>
      <c r="AK48" s="473"/>
      <c r="AL48" s="3"/>
      <c r="AM48" s="3"/>
      <c r="AN48" s="3"/>
      <c r="AO48" s="3"/>
      <c r="AP48" s="3"/>
      <c r="AQ48"/>
      <c r="AR48"/>
      <c r="AS48"/>
      <c r="AT48"/>
      <c r="AU48"/>
    </row>
    <row r="49" spans="1:47" s="456" customFormat="1" ht="15.75">
      <c r="A49" s="431"/>
      <c r="B49" s="431" t="s">
        <v>386</v>
      </c>
      <c r="C49" s="431" t="s">
        <v>492</v>
      </c>
      <c r="D49" s="431" t="s">
        <v>476</v>
      </c>
      <c r="E49" s="431"/>
      <c r="F49" s="431"/>
      <c r="G49" s="431"/>
      <c r="H49" s="431"/>
      <c r="I49" s="431"/>
      <c r="J49" s="455">
        <f>SUM(K49:O49)</f>
        <v>12802632</v>
      </c>
      <c r="K49" s="455"/>
      <c r="L49" s="455">
        <v>6376212.7999999998</v>
      </c>
      <c r="M49" s="431"/>
      <c r="N49" s="455">
        <v>251032</v>
      </c>
      <c r="O49" s="455">
        <v>6175387.2000000002</v>
      </c>
      <c r="P49"/>
      <c r="Q49"/>
      <c r="R49"/>
      <c r="S49"/>
      <c r="T49"/>
      <c r="U49" s="329"/>
      <c r="V49" s="3"/>
      <c r="W49" s="3"/>
      <c r="X49" s="472"/>
      <c r="Y49" s="441"/>
      <c r="Z49" s="473"/>
      <c r="AA49" s="473"/>
      <c r="AB49" s="473"/>
      <c r="AC49" s="473"/>
      <c r="AD49" s="473"/>
      <c r="AE49" s="473"/>
      <c r="AF49" s="473"/>
      <c r="AG49" s="473"/>
      <c r="AH49" s="473"/>
      <c r="AI49" s="473"/>
      <c r="AJ49" s="473"/>
      <c r="AK49" s="473"/>
      <c r="AL49" s="3"/>
      <c r="AM49" s="3"/>
      <c r="AN49" s="3"/>
      <c r="AO49" s="3"/>
      <c r="AP49" s="3"/>
      <c r="AQ49"/>
      <c r="AR49"/>
      <c r="AS49"/>
      <c r="AT49"/>
      <c r="AU49"/>
    </row>
    <row r="50" spans="1:47" s="456" customFormat="1" ht="15.75">
      <c r="A50" s="431"/>
      <c r="B50" s="431" t="s">
        <v>493</v>
      </c>
      <c r="C50" s="431" t="s">
        <v>9</v>
      </c>
      <c r="D50" s="431" t="s">
        <v>476</v>
      </c>
      <c r="E50" s="431"/>
      <c r="F50" s="431"/>
      <c r="G50" s="431"/>
      <c r="H50" s="431"/>
      <c r="I50" s="431"/>
      <c r="J50" s="455">
        <f t="shared" ref="J50:J57" si="19">SUM(K50:O50)</f>
        <v>729615.38461538462</v>
      </c>
      <c r="K50" s="455"/>
      <c r="L50" s="455">
        <v>663950</v>
      </c>
      <c r="M50" s="431"/>
      <c r="N50" s="455">
        <v>65665.38461538461</v>
      </c>
      <c r="O50" s="455"/>
      <c r="P50"/>
      <c r="Q50"/>
      <c r="R50"/>
      <c r="S50"/>
      <c r="T50"/>
      <c r="U50" s="329"/>
      <c r="V50" s="3"/>
      <c r="W50" s="3"/>
      <c r="X50" s="472"/>
      <c r="Y50" s="441"/>
      <c r="Z50" s="473"/>
      <c r="AA50" s="473"/>
      <c r="AB50" s="473"/>
      <c r="AC50" s="473"/>
      <c r="AD50" s="473"/>
      <c r="AE50" s="473"/>
      <c r="AF50" s="473"/>
      <c r="AG50" s="473"/>
      <c r="AH50" s="473"/>
      <c r="AI50" s="473"/>
      <c r="AJ50" s="473"/>
      <c r="AK50" s="473"/>
      <c r="AL50" s="3"/>
      <c r="AM50" s="3"/>
      <c r="AN50" s="3"/>
      <c r="AO50" s="3"/>
      <c r="AP50" s="3"/>
      <c r="AQ50"/>
      <c r="AR50"/>
      <c r="AS50"/>
      <c r="AT50"/>
      <c r="AU50"/>
    </row>
    <row r="51" spans="1:47" s="456" customFormat="1" ht="15.75">
      <c r="A51" s="431"/>
      <c r="B51" s="431" t="s">
        <v>494</v>
      </c>
      <c r="C51" s="431" t="s">
        <v>495</v>
      </c>
      <c r="D51" s="431"/>
      <c r="E51" s="431"/>
      <c r="F51" s="431"/>
      <c r="G51" s="431"/>
      <c r="H51" s="431"/>
      <c r="I51" s="431"/>
      <c r="J51" s="455">
        <f t="shared" si="19"/>
        <v>6</v>
      </c>
      <c r="K51" s="455"/>
      <c r="L51" s="455">
        <v>6</v>
      </c>
      <c r="M51" s="431"/>
      <c r="N51" s="455"/>
      <c r="O51" s="455"/>
      <c r="P51"/>
      <c r="Q51"/>
      <c r="R51"/>
      <c r="S51"/>
      <c r="T51"/>
      <c r="U51" s="329"/>
      <c r="V51" s="3"/>
      <c r="W51" s="3"/>
      <c r="X51" s="472"/>
      <c r="Y51" s="441"/>
      <c r="Z51" s="473"/>
      <c r="AA51" s="473"/>
      <c r="AB51" s="473"/>
      <c r="AC51" s="473"/>
      <c r="AD51" s="473"/>
      <c r="AE51" s="473"/>
      <c r="AF51" s="473"/>
      <c r="AG51" s="473"/>
      <c r="AH51" s="473"/>
      <c r="AI51" s="473"/>
      <c r="AJ51" s="473"/>
      <c r="AK51" s="473"/>
      <c r="AL51" s="3"/>
      <c r="AM51" s="3"/>
      <c r="AN51" s="3"/>
      <c r="AO51" s="3"/>
      <c r="AP51" s="3"/>
      <c r="AQ51"/>
      <c r="AR51"/>
      <c r="AS51"/>
      <c r="AT51"/>
      <c r="AU51"/>
    </row>
    <row r="52" spans="1:47" s="456" customFormat="1" ht="15.75">
      <c r="A52" s="431"/>
      <c r="B52" s="431" t="s">
        <v>496</v>
      </c>
      <c r="C52" s="431" t="s">
        <v>497</v>
      </c>
      <c r="D52" s="431"/>
      <c r="E52" s="431"/>
      <c r="F52" s="431"/>
      <c r="G52" s="431"/>
      <c r="H52" s="431"/>
      <c r="I52" s="431"/>
      <c r="J52" s="455">
        <f t="shared" si="19"/>
        <v>1392</v>
      </c>
      <c r="K52" s="455"/>
      <c r="L52" s="455">
        <v>1336.32</v>
      </c>
      <c r="M52" s="431"/>
      <c r="N52" s="455"/>
      <c r="O52" s="455">
        <v>55.68</v>
      </c>
      <c r="P52"/>
      <c r="Q52"/>
      <c r="R52"/>
      <c r="S52"/>
      <c r="T52"/>
      <c r="U52" s="329"/>
      <c r="V52" s="3"/>
      <c r="W52" s="3"/>
      <c r="X52" s="472"/>
      <c r="Y52" s="441"/>
      <c r="Z52" s="473"/>
      <c r="AA52" s="473"/>
      <c r="AB52" s="473"/>
      <c r="AC52" s="473"/>
      <c r="AD52" s="473"/>
      <c r="AE52" s="473"/>
      <c r="AF52" s="473"/>
      <c r="AG52" s="473"/>
      <c r="AH52" s="473"/>
      <c r="AI52" s="473"/>
      <c r="AJ52" s="473"/>
      <c r="AK52" s="473"/>
      <c r="AL52" s="3"/>
      <c r="AM52" s="3"/>
      <c r="AN52" s="3"/>
      <c r="AO52" s="3"/>
      <c r="AP52" s="3"/>
      <c r="AQ52"/>
      <c r="AR52"/>
      <c r="AS52"/>
      <c r="AT52"/>
      <c r="AU52"/>
    </row>
    <row r="53" spans="1:47" s="456" customFormat="1" ht="15.75">
      <c r="A53" s="431"/>
      <c r="B53" s="431" t="s">
        <v>498</v>
      </c>
      <c r="C53" s="431" t="s">
        <v>499</v>
      </c>
      <c r="D53" s="431"/>
      <c r="E53" s="431"/>
      <c r="F53" s="431"/>
      <c r="G53" s="431"/>
      <c r="H53" s="431"/>
      <c r="I53" s="431"/>
      <c r="J53" s="455">
        <f t="shared" si="19"/>
        <v>34393</v>
      </c>
      <c r="K53" s="455"/>
      <c r="L53" s="455"/>
      <c r="M53" s="431"/>
      <c r="N53" s="455">
        <v>3439.3</v>
      </c>
      <c r="O53" s="455">
        <v>30953.7</v>
      </c>
      <c r="P53"/>
      <c r="Q53"/>
      <c r="R53"/>
      <c r="S53"/>
      <c r="T53"/>
      <c r="U53" s="329"/>
      <c r="V53" s="3"/>
      <c r="W53" s="3"/>
      <c r="X53" s="472"/>
      <c r="Y53" s="441"/>
      <c r="Z53" s="473"/>
      <c r="AA53" s="473"/>
      <c r="AB53" s="473"/>
      <c r="AC53" s="473"/>
      <c r="AD53" s="473"/>
      <c r="AE53" s="473"/>
      <c r="AF53" s="473"/>
      <c r="AG53" s="473"/>
      <c r="AH53" s="473"/>
      <c r="AI53" s="473"/>
      <c r="AJ53" s="473"/>
      <c r="AK53" s="473"/>
      <c r="AL53" s="3"/>
      <c r="AM53" s="3"/>
      <c r="AN53" s="3"/>
      <c r="AO53" s="3"/>
      <c r="AP53" s="3"/>
      <c r="AQ53"/>
      <c r="AR53"/>
      <c r="AS53"/>
      <c r="AT53"/>
      <c r="AU53"/>
    </row>
    <row r="54" spans="1:47" s="456" customFormat="1" ht="15.75">
      <c r="A54" s="431"/>
      <c r="B54" s="431" t="s">
        <v>500</v>
      </c>
      <c r="C54" s="431" t="s">
        <v>501</v>
      </c>
      <c r="D54" s="431"/>
      <c r="E54" s="431"/>
      <c r="F54" s="431"/>
      <c r="G54" s="431"/>
      <c r="H54" s="431"/>
      <c r="I54" s="431"/>
      <c r="J54" s="455">
        <f t="shared" si="19"/>
        <v>570</v>
      </c>
      <c r="K54" s="455"/>
      <c r="L54" s="455">
        <v>570</v>
      </c>
      <c r="M54" s="431"/>
      <c r="N54" s="455"/>
      <c r="O54" s="455"/>
      <c r="P54"/>
      <c r="Q54"/>
      <c r="R54"/>
      <c r="S54"/>
      <c r="T54"/>
      <c r="U54" s="329"/>
      <c r="V54" s="3"/>
      <c r="W54" s="3"/>
      <c r="X54" s="472"/>
      <c r="Y54" s="441"/>
      <c r="Z54" s="473"/>
      <c r="AA54" s="473"/>
      <c r="AB54" s="473"/>
      <c r="AC54" s="473"/>
      <c r="AD54" s="473"/>
      <c r="AE54" s="473"/>
      <c r="AF54" s="473"/>
      <c r="AG54" s="473"/>
      <c r="AH54" s="473"/>
      <c r="AI54" s="473"/>
      <c r="AJ54" s="473"/>
      <c r="AK54" s="473"/>
      <c r="AL54" s="3"/>
      <c r="AM54" s="3"/>
      <c r="AN54" s="3"/>
      <c r="AO54" s="3"/>
      <c r="AP54" s="3"/>
      <c r="AQ54"/>
      <c r="AR54"/>
      <c r="AS54"/>
      <c r="AT54"/>
      <c r="AU54"/>
    </row>
    <row r="55" spans="1:47" ht="15.75">
      <c r="A55" s="431"/>
      <c r="B55" s="431" t="s">
        <v>502</v>
      </c>
      <c r="C55" s="431" t="s">
        <v>503</v>
      </c>
      <c r="D55" s="431" t="s">
        <v>476</v>
      </c>
      <c r="E55" s="431"/>
      <c r="F55" s="431"/>
      <c r="G55" s="431" t="s">
        <v>472</v>
      </c>
      <c r="H55" s="431"/>
      <c r="I55" s="431" t="s">
        <v>502</v>
      </c>
      <c r="J55" s="455">
        <f t="shared" si="19"/>
        <v>772750</v>
      </c>
      <c r="K55" s="455">
        <v>0</v>
      </c>
      <c r="L55" s="455">
        <v>772750</v>
      </c>
      <c r="M55" s="431">
        <v>0</v>
      </c>
      <c r="N55" s="431">
        <v>0</v>
      </c>
      <c r="O55" s="455">
        <v>0</v>
      </c>
      <c r="U55" s="329"/>
      <c r="V55" s="3"/>
      <c r="W55" s="3"/>
      <c r="X55" s="472"/>
      <c r="Y55" s="441"/>
      <c r="Z55" s="473"/>
      <c r="AA55" s="473"/>
      <c r="AB55" s="473"/>
      <c r="AC55" s="473"/>
      <c r="AD55" s="473"/>
      <c r="AE55" s="473"/>
      <c r="AF55" s="473"/>
      <c r="AG55" s="473"/>
      <c r="AH55" s="473"/>
      <c r="AI55" s="473"/>
      <c r="AJ55" s="473"/>
      <c r="AK55" s="473"/>
      <c r="AL55" s="3"/>
      <c r="AM55" s="3"/>
      <c r="AN55" s="3"/>
      <c r="AO55" s="3"/>
      <c r="AP55" s="3"/>
    </row>
    <row r="56" spans="1:47" ht="15.75">
      <c r="A56" s="431"/>
      <c r="B56" s="431" t="s">
        <v>504</v>
      </c>
      <c r="C56" s="431" t="s">
        <v>505</v>
      </c>
      <c r="D56" s="431"/>
      <c r="E56" s="431"/>
      <c r="F56" s="431"/>
      <c r="G56" s="431"/>
      <c r="H56" s="431"/>
      <c r="I56" s="431" t="s">
        <v>506</v>
      </c>
      <c r="J56" s="455">
        <f t="shared" si="19"/>
        <v>12001</v>
      </c>
      <c r="K56" s="455"/>
      <c r="L56" s="455">
        <v>11928.994000000001</v>
      </c>
      <c r="M56" s="431"/>
      <c r="N56" s="455">
        <v>72.006</v>
      </c>
      <c r="O56" s="431"/>
      <c r="U56" s="329"/>
      <c r="V56" s="3"/>
      <c r="W56" s="3"/>
      <c r="X56" s="472"/>
      <c r="Y56" s="441"/>
      <c r="Z56" s="473"/>
      <c r="AA56" s="473"/>
      <c r="AB56" s="473"/>
      <c r="AC56" s="473"/>
      <c r="AD56" s="473"/>
      <c r="AE56" s="473"/>
      <c r="AF56" s="473"/>
      <c r="AG56" s="473"/>
      <c r="AH56" s="473"/>
      <c r="AI56" s="473"/>
      <c r="AJ56" s="473"/>
      <c r="AK56" s="473"/>
      <c r="AL56" s="3"/>
      <c r="AM56" s="3"/>
      <c r="AN56" s="3"/>
      <c r="AO56" s="3"/>
      <c r="AP56" s="3"/>
    </row>
    <row r="57" spans="1:47" ht="15.75">
      <c r="A57" s="431"/>
      <c r="B57" s="431" t="s">
        <v>507</v>
      </c>
      <c r="C57" s="431" t="s">
        <v>508</v>
      </c>
      <c r="D57" s="431" t="s">
        <v>476</v>
      </c>
      <c r="E57" s="431"/>
      <c r="F57" s="431" t="s">
        <v>472</v>
      </c>
      <c r="G57" s="431"/>
      <c r="H57" s="431"/>
      <c r="I57" s="431" t="s">
        <v>509</v>
      </c>
      <c r="J57" s="455">
        <f t="shared" si="19"/>
        <v>192700</v>
      </c>
      <c r="K57" s="455">
        <v>77080</v>
      </c>
      <c r="L57" s="455">
        <v>38540</v>
      </c>
      <c r="M57" s="431">
        <v>0</v>
      </c>
      <c r="N57" s="431">
        <v>0</v>
      </c>
      <c r="O57" s="455">
        <v>77080</v>
      </c>
      <c r="U57" s="329"/>
      <c r="V57" s="3"/>
      <c r="W57" s="3"/>
      <c r="Y57" s="474"/>
      <c r="Z57" s="475"/>
      <c r="AA57" s="475"/>
      <c r="AB57" s="475"/>
      <c r="AC57" s="475"/>
      <c r="AD57" s="475"/>
      <c r="AE57" s="475"/>
      <c r="AF57" s="475"/>
      <c r="AG57" s="475"/>
      <c r="AH57" s="475"/>
      <c r="AI57" s="475"/>
      <c r="AJ57" s="475"/>
      <c r="AK57" s="475"/>
      <c r="AL57" s="3"/>
      <c r="AM57" s="3"/>
      <c r="AN57" s="3"/>
      <c r="AO57" s="3"/>
      <c r="AP57" s="3"/>
    </row>
    <row r="58" spans="1:47" ht="30">
      <c r="A58" s="431"/>
      <c r="B58" s="431" t="s">
        <v>510</v>
      </c>
      <c r="C58" s="425" t="s">
        <v>511</v>
      </c>
      <c r="D58" s="431"/>
      <c r="E58" s="431"/>
      <c r="F58" s="431"/>
      <c r="G58" s="431"/>
      <c r="H58" s="431"/>
      <c r="I58" s="431"/>
      <c r="J58" s="455">
        <f t="shared" ref="J58:J59" si="20">SUM(K58:O58)</f>
        <v>663</v>
      </c>
      <c r="K58" s="455"/>
      <c r="L58" s="455">
        <v>489.95699999999999</v>
      </c>
      <c r="M58" s="431"/>
      <c r="N58" s="431">
        <v>41.106000000000002</v>
      </c>
      <c r="O58" s="455">
        <v>131.93700000000001</v>
      </c>
      <c r="U58" s="329"/>
      <c r="V58" s="3"/>
      <c r="W58" s="3"/>
      <c r="Y58" s="474"/>
      <c r="Z58" s="475"/>
      <c r="AA58" s="475"/>
      <c r="AB58" s="475"/>
      <c r="AC58" s="475"/>
      <c r="AD58" s="475"/>
      <c r="AE58" s="475"/>
      <c r="AF58" s="475"/>
      <c r="AG58" s="475"/>
      <c r="AH58" s="475"/>
      <c r="AI58" s="475"/>
      <c r="AJ58" s="475"/>
      <c r="AK58" s="475"/>
      <c r="AL58" s="3"/>
      <c r="AM58" s="3"/>
      <c r="AN58" s="3"/>
      <c r="AO58" s="3"/>
      <c r="AP58" s="3"/>
    </row>
    <row r="59" spans="1:47" ht="30">
      <c r="A59" s="431"/>
      <c r="B59" s="431" t="s">
        <v>512</v>
      </c>
      <c r="C59" s="476" t="s">
        <v>513</v>
      </c>
      <c r="D59" s="431"/>
      <c r="E59" s="431"/>
      <c r="F59" s="431"/>
      <c r="G59" s="431"/>
      <c r="H59" s="431"/>
      <c r="I59" s="431"/>
      <c r="J59" s="455">
        <f t="shared" si="20"/>
        <v>8811.9999999999982</v>
      </c>
      <c r="K59" s="455"/>
      <c r="L59" s="455">
        <v>8424.271999999999</v>
      </c>
      <c r="M59" s="431"/>
      <c r="N59" s="431">
        <v>387.72799999999995</v>
      </c>
      <c r="O59" s="455"/>
      <c r="U59" s="329"/>
      <c r="V59" s="3"/>
      <c r="W59" s="3"/>
      <c r="Y59" s="474"/>
      <c r="Z59" s="475"/>
      <c r="AA59" s="475"/>
      <c r="AB59" s="475"/>
      <c r="AC59" s="475"/>
      <c r="AD59" s="475"/>
      <c r="AE59" s="475"/>
      <c r="AF59" s="475"/>
      <c r="AG59" s="475"/>
      <c r="AH59" s="475"/>
      <c r="AI59" s="475"/>
      <c r="AJ59" s="475"/>
      <c r="AK59" s="475"/>
      <c r="AL59" s="3"/>
      <c r="AM59" s="3"/>
      <c r="AN59" s="3"/>
      <c r="AO59" s="3"/>
      <c r="AP59" s="3"/>
    </row>
    <row r="60" spans="1:47" ht="30">
      <c r="A60" s="431"/>
      <c r="B60" s="477" t="s">
        <v>514</v>
      </c>
      <c r="C60" s="476" t="s">
        <v>515</v>
      </c>
      <c r="D60" s="431" t="s">
        <v>476</v>
      </c>
      <c r="E60" s="431"/>
      <c r="F60" s="431"/>
      <c r="G60" s="431"/>
      <c r="H60" s="431"/>
      <c r="I60" s="431"/>
      <c r="J60" s="455">
        <f>SUM(K60:O60)</f>
        <v>4562</v>
      </c>
      <c r="K60" s="478"/>
      <c r="L60" s="478">
        <v>2390.4880000000003</v>
      </c>
      <c r="M60" s="477"/>
      <c r="N60" s="477">
        <v>250.91</v>
      </c>
      <c r="O60" s="478">
        <v>1920.6019999999996</v>
      </c>
      <c r="U60" s="329"/>
      <c r="V60" s="3"/>
      <c r="W60" s="3"/>
      <c r="Y60" s="474"/>
      <c r="Z60" s="475"/>
      <c r="AA60" s="475"/>
      <c r="AB60" s="475"/>
      <c r="AC60" s="475"/>
      <c r="AD60" s="475"/>
      <c r="AE60" s="475"/>
      <c r="AF60" s="475"/>
      <c r="AG60" s="475"/>
      <c r="AH60" s="475"/>
      <c r="AI60" s="475"/>
      <c r="AJ60" s="475"/>
      <c r="AK60" s="475"/>
      <c r="AL60" s="3"/>
      <c r="AM60" s="3"/>
      <c r="AN60" s="3"/>
      <c r="AO60" s="3"/>
      <c r="AP60" s="3"/>
    </row>
    <row r="61" spans="1:47" ht="15.75">
      <c r="A61" s="431"/>
      <c r="B61" s="431" t="s">
        <v>516</v>
      </c>
      <c r="C61" s="431" t="s">
        <v>517</v>
      </c>
      <c r="D61" s="431" t="s">
        <v>476</v>
      </c>
      <c r="E61" s="431"/>
      <c r="F61" s="431"/>
      <c r="G61" s="431"/>
      <c r="H61" s="431" t="s">
        <v>472</v>
      </c>
      <c r="I61" s="431" t="s">
        <v>516</v>
      </c>
      <c r="J61" s="455">
        <f t="shared" ref="J61:J66" si="21">SUM(K61:O61)</f>
        <v>860329</v>
      </c>
      <c r="K61" s="455">
        <v>0</v>
      </c>
      <c r="L61" s="455">
        <v>636643.46</v>
      </c>
      <c r="M61" s="431">
        <v>0</v>
      </c>
      <c r="N61" s="431">
        <v>0</v>
      </c>
      <c r="O61" s="455">
        <v>223685.54</v>
      </c>
      <c r="U61" s="329"/>
      <c r="V61" s="3"/>
      <c r="W61" s="3"/>
      <c r="Y61" s="479"/>
      <c r="Z61" s="101"/>
      <c r="AA61" s="101"/>
      <c r="AB61" s="101"/>
      <c r="AC61" s="101"/>
      <c r="AD61" s="101"/>
      <c r="AE61" s="101"/>
      <c r="AF61" s="101"/>
      <c r="AH61" s="3"/>
      <c r="AI61" s="3"/>
      <c r="AJ61" s="3"/>
      <c r="AK61" s="379"/>
      <c r="AL61" s="3"/>
      <c r="AM61" s="3"/>
      <c r="AN61" s="3"/>
      <c r="AO61" s="3"/>
      <c r="AP61" s="3"/>
    </row>
    <row r="62" spans="1:47" ht="15.75">
      <c r="A62" s="431"/>
      <c r="B62" s="431" t="s">
        <v>518</v>
      </c>
      <c r="C62" s="431" t="s">
        <v>519</v>
      </c>
      <c r="D62" s="431" t="s">
        <v>476</v>
      </c>
      <c r="E62" s="431"/>
      <c r="F62" s="431"/>
      <c r="G62" s="431"/>
      <c r="H62" s="431" t="s">
        <v>472</v>
      </c>
      <c r="I62" s="431" t="s">
        <v>518</v>
      </c>
      <c r="J62" s="455">
        <f t="shared" si="21"/>
        <v>249080</v>
      </c>
      <c r="K62" s="455">
        <v>0</v>
      </c>
      <c r="L62" s="455">
        <v>249080</v>
      </c>
      <c r="M62" s="431">
        <v>0</v>
      </c>
      <c r="N62" s="431">
        <v>0</v>
      </c>
      <c r="O62" s="455">
        <v>0</v>
      </c>
      <c r="U62" s="329"/>
      <c r="V62" s="3"/>
      <c r="W62" s="3"/>
      <c r="Y62" s="441"/>
      <c r="Z62" s="114"/>
      <c r="AA62" s="114"/>
      <c r="AB62" s="114"/>
      <c r="AC62" s="114"/>
      <c r="AD62" s="114"/>
      <c r="AE62" s="114"/>
      <c r="AF62" s="114"/>
      <c r="AG62" s="114"/>
      <c r="AH62" s="114"/>
      <c r="AI62" s="114"/>
      <c r="AJ62" s="114"/>
      <c r="AK62" s="114"/>
      <c r="AL62" s="3"/>
      <c r="AM62" s="3"/>
      <c r="AN62" s="3"/>
      <c r="AO62" s="3"/>
      <c r="AP62" s="3"/>
    </row>
    <row r="63" spans="1:47" s="340" customFormat="1" ht="15.75">
      <c r="A63" s="431"/>
      <c r="B63" s="431" t="s">
        <v>520</v>
      </c>
      <c r="C63" s="431" t="s">
        <v>521</v>
      </c>
      <c r="D63" s="431" t="s">
        <v>476</v>
      </c>
      <c r="E63" s="431"/>
      <c r="F63" s="431"/>
      <c r="G63" s="431" t="s">
        <v>472</v>
      </c>
      <c r="H63" s="431"/>
      <c r="I63" s="480" t="s">
        <v>522</v>
      </c>
      <c r="J63" s="455">
        <f t="shared" si="21"/>
        <v>5793645</v>
      </c>
      <c r="K63" s="455">
        <v>0</v>
      </c>
      <c r="L63" s="455">
        <v>5793645</v>
      </c>
      <c r="M63" s="431">
        <v>0</v>
      </c>
      <c r="N63" s="431">
        <v>0</v>
      </c>
      <c r="O63" s="455">
        <v>0</v>
      </c>
      <c r="P63"/>
      <c r="Q63"/>
      <c r="R63"/>
      <c r="S63"/>
      <c r="T63"/>
      <c r="U63" s="329"/>
      <c r="V63" s="3"/>
      <c r="W63" s="3"/>
      <c r="X63" s="472"/>
      <c r="Y63" s="441"/>
      <c r="Z63" s="114"/>
      <c r="AA63" s="114"/>
      <c r="AB63" s="114"/>
      <c r="AC63" s="114"/>
      <c r="AD63" s="114"/>
      <c r="AE63" s="114"/>
      <c r="AF63" s="114"/>
      <c r="AG63" s="114"/>
      <c r="AH63" s="114"/>
      <c r="AI63" s="114"/>
      <c r="AJ63" s="114"/>
      <c r="AK63" s="114"/>
      <c r="AL63" s="3"/>
      <c r="AM63" s="3"/>
      <c r="AN63" s="3"/>
      <c r="AO63" s="3"/>
      <c r="AP63" s="3"/>
      <c r="AQ63"/>
      <c r="AR63"/>
      <c r="AS63"/>
      <c r="AT63"/>
      <c r="AU63"/>
    </row>
    <row r="64" spans="1:47" ht="15.75">
      <c r="A64" s="431"/>
      <c r="B64" s="431" t="s">
        <v>413</v>
      </c>
      <c r="C64" s="431" t="s">
        <v>487</v>
      </c>
      <c r="D64" s="431" t="s">
        <v>476</v>
      </c>
      <c r="E64" s="431">
        <v>2017</v>
      </c>
      <c r="F64" s="431" t="s">
        <v>472</v>
      </c>
      <c r="G64" s="431"/>
      <c r="H64" s="431"/>
      <c r="I64" s="431" t="s">
        <v>523</v>
      </c>
      <c r="J64" s="455">
        <f>SUM(K64:O64)</f>
        <v>39159891</v>
      </c>
      <c r="K64" s="455">
        <v>0</v>
      </c>
      <c r="L64" s="455">
        <v>36418698.630000003</v>
      </c>
      <c r="M64" s="431">
        <v>0</v>
      </c>
      <c r="N64" s="431">
        <v>0</v>
      </c>
      <c r="O64" s="455">
        <v>2741192.37</v>
      </c>
      <c r="U64" s="329"/>
      <c r="V64" s="3"/>
      <c r="W64" s="3"/>
      <c r="X64" s="472"/>
      <c r="Y64" s="441"/>
      <c r="Z64" s="114"/>
      <c r="AA64" s="114"/>
      <c r="AB64" s="114"/>
      <c r="AC64" s="114"/>
      <c r="AD64" s="114"/>
      <c r="AE64" s="114"/>
      <c r="AF64" s="114"/>
      <c r="AG64" s="114"/>
      <c r="AH64" s="114"/>
      <c r="AI64" s="114"/>
      <c r="AJ64" s="114"/>
      <c r="AK64" s="114"/>
      <c r="AL64" s="3"/>
      <c r="AM64" s="3"/>
      <c r="AN64" s="3"/>
      <c r="AO64" s="3"/>
      <c r="AP64" s="3"/>
    </row>
    <row r="65" spans="1:47" ht="15.75">
      <c r="A65" s="431"/>
      <c r="B65" s="431" t="s">
        <v>524</v>
      </c>
      <c r="C65" s="431" t="s">
        <v>525</v>
      </c>
      <c r="D65" s="431" t="s">
        <v>476</v>
      </c>
      <c r="E65" s="431">
        <v>2014</v>
      </c>
      <c r="F65" s="431"/>
      <c r="G65" s="431" t="s">
        <v>472</v>
      </c>
      <c r="H65" s="431"/>
      <c r="I65" s="431" t="s">
        <v>524</v>
      </c>
      <c r="J65" s="455">
        <f>SUM(K65:O65)</f>
        <v>2925390</v>
      </c>
      <c r="K65" s="455">
        <v>0</v>
      </c>
      <c r="L65" s="455">
        <v>2720612.7</v>
      </c>
      <c r="M65" s="431">
        <v>0</v>
      </c>
      <c r="N65" s="431">
        <v>0</v>
      </c>
      <c r="O65" s="455">
        <v>204777.30000000002</v>
      </c>
      <c r="U65" s="329"/>
      <c r="V65" s="3"/>
      <c r="W65" s="3"/>
      <c r="X65" s="472"/>
      <c r="Y65" s="441"/>
      <c r="Z65" s="114"/>
      <c r="AA65" s="114"/>
      <c r="AB65" s="114"/>
      <c r="AC65" s="114"/>
      <c r="AD65" s="114"/>
      <c r="AE65" s="114"/>
      <c r="AF65" s="114"/>
      <c r="AG65" s="114"/>
      <c r="AH65" s="114"/>
      <c r="AI65" s="114"/>
      <c r="AJ65" s="114"/>
      <c r="AK65" s="114"/>
      <c r="AL65" s="3"/>
      <c r="AM65" s="3"/>
      <c r="AN65" s="3"/>
      <c r="AO65" s="3"/>
      <c r="AP65" s="3"/>
    </row>
    <row r="66" spans="1:47" s="456" customFormat="1" ht="15.75">
      <c r="A66" s="431"/>
      <c r="B66" s="431" t="s">
        <v>526</v>
      </c>
      <c r="C66" s="431" t="s">
        <v>527</v>
      </c>
      <c r="D66" s="431" t="s">
        <v>476</v>
      </c>
      <c r="E66" s="431"/>
      <c r="F66" s="431"/>
      <c r="G66" s="431" t="s">
        <v>472</v>
      </c>
      <c r="H66" s="431"/>
      <c r="I66" s="431" t="s">
        <v>528</v>
      </c>
      <c r="J66" s="455">
        <f t="shared" si="21"/>
        <v>832059</v>
      </c>
      <c r="K66" s="455">
        <v>0</v>
      </c>
      <c r="L66" s="455">
        <v>832059</v>
      </c>
      <c r="M66" s="431">
        <v>0</v>
      </c>
      <c r="N66" s="431">
        <v>0</v>
      </c>
      <c r="O66" s="455">
        <v>0</v>
      </c>
      <c r="P66"/>
      <c r="Q66"/>
      <c r="R66"/>
      <c r="S66"/>
      <c r="T66"/>
      <c r="U66" s="329"/>
      <c r="V66" s="3"/>
      <c r="W66" s="3"/>
      <c r="X66" s="472"/>
      <c r="Y66" s="441"/>
      <c r="Z66" s="114"/>
      <c r="AA66" s="114"/>
      <c r="AB66" s="114"/>
      <c r="AC66" s="114"/>
      <c r="AD66" s="114"/>
      <c r="AE66" s="114"/>
      <c r="AF66" s="114"/>
      <c r="AG66" s="114"/>
      <c r="AH66" s="114"/>
      <c r="AI66" s="114"/>
      <c r="AJ66" s="114"/>
      <c r="AK66" s="114"/>
      <c r="AL66" s="3"/>
      <c r="AM66" s="3"/>
      <c r="AN66" s="3"/>
      <c r="AO66" s="3"/>
      <c r="AP66" s="3"/>
      <c r="AQ66"/>
      <c r="AR66"/>
      <c r="AS66"/>
      <c r="AT66"/>
      <c r="AU66"/>
    </row>
    <row r="67" spans="1:47" ht="15.75">
      <c r="A67" s="431"/>
      <c r="B67" s="431" t="s">
        <v>529</v>
      </c>
      <c r="C67" s="431" t="s">
        <v>530</v>
      </c>
      <c r="D67" s="431" t="s">
        <v>476</v>
      </c>
      <c r="E67" s="431"/>
      <c r="F67" s="431"/>
      <c r="G67" s="431" t="s">
        <v>472</v>
      </c>
      <c r="H67" s="431"/>
      <c r="I67" s="431" t="s">
        <v>531</v>
      </c>
      <c r="J67" s="455">
        <f>SUM(K67:O67)</f>
        <v>361526</v>
      </c>
      <c r="K67" s="455">
        <v>0</v>
      </c>
      <c r="L67" s="455">
        <v>325373.40000000002</v>
      </c>
      <c r="M67" s="431">
        <v>0</v>
      </c>
      <c r="N67" s="431">
        <v>0</v>
      </c>
      <c r="O67" s="455">
        <v>36152.6</v>
      </c>
      <c r="U67" s="329"/>
      <c r="V67" s="3"/>
      <c r="W67" s="3"/>
      <c r="X67" s="472"/>
      <c r="Y67" s="441"/>
      <c r="Z67" s="114"/>
      <c r="AA67" s="114"/>
      <c r="AB67" s="114"/>
      <c r="AC67" s="114"/>
      <c r="AD67" s="114"/>
      <c r="AE67" s="114"/>
      <c r="AF67" s="114"/>
      <c r="AG67" s="114"/>
      <c r="AH67" s="114"/>
      <c r="AI67" s="114"/>
      <c r="AJ67" s="114"/>
      <c r="AK67" s="114"/>
      <c r="AL67" s="3"/>
      <c r="AM67" s="3"/>
      <c r="AN67" s="3"/>
      <c r="AO67" s="3"/>
      <c r="AP67" s="3"/>
    </row>
    <row r="68" spans="1:47" ht="15.75">
      <c r="A68" s="431"/>
      <c r="B68" s="842" t="s">
        <v>663</v>
      </c>
      <c r="C68" s="842" t="s">
        <v>664</v>
      </c>
      <c r="D68" s="842"/>
      <c r="E68" s="842"/>
      <c r="F68" s="842"/>
      <c r="G68" s="842"/>
      <c r="H68" s="842"/>
      <c r="I68" s="842"/>
      <c r="J68" s="843">
        <f t="shared" ref="J68:J70" si="22">SUM(K68:O68)</f>
        <v>48749</v>
      </c>
      <c r="K68" s="843">
        <v>0</v>
      </c>
      <c r="L68" s="843">
        <v>0</v>
      </c>
      <c r="M68" s="843">
        <v>0</v>
      </c>
      <c r="N68" s="843">
        <v>48749</v>
      </c>
      <c r="O68" s="843"/>
      <c r="U68" s="329"/>
      <c r="V68" s="3"/>
      <c r="W68" s="3"/>
      <c r="X68" s="472"/>
      <c r="Y68" s="441"/>
      <c r="Z68" s="114"/>
      <c r="AA68" s="114"/>
      <c r="AB68" s="114"/>
      <c r="AC68" s="114"/>
      <c r="AD68" s="114"/>
      <c r="AE68" s="114"/>
      <c r="AF68" s="114"/>
      <c r="AG68" s="114"/>
      <c r="AH68" s="114"/>
      <c r="AI68" s="114"/>
      <c r="AJ68" s="114"/>
      <c r="AK68" s="114"/>
      <c r="AL68" s="3"/>
      <c r="AM68" s="3"/>
      <c r="AN68" s="3"/>
      <c r="AO68" s="3"/>
      <c r="AP68" s="3"/>
    </row>
    <row r="69" spans="1:47" ht="15.75">
      <c r="A69" s="431"/>
      <c r="B69" t="s">
        <v>665</v>
      </c>
      <c r="C69" t="s">
        <v>666</v>
      </c>
      <c r="J69" s="455">
        <f t="shared" si="22"/>
        <v>632749</v>
      </c>
      <c r="K69" s="338">
        <v>0</v>
      </c>
      <c r="L69" s="338">
        <v>537836.65</v>
      </c>
      <c r="M69" s="338">
        <v>0</v>
      </c>
      <c r="N69" s="338">
        <v>0</v>
      </c>
      <c r="O69" s="338">
        <v>94912.349999999991</v>
      </c>
      <c r="U69" s="329"/>
      <c r="V69" s="3"/>
      <c r="W69" s="3"/>
      <c r="X69" s="472"/>
      <c r="Y69" s="441"/>
      <c r="Z69" s="114"/>
      <c r="AA69" s="114"/>
      <c r="AB69" s="114"/>
      <c r="AC69" s="114"/>
      <c r="AD69" s="114"/>
      <c r="AE69" s="114"/>
      <c r="AF69" s="114"/>
      <c r="AG69" s="114"/>
      <c r="AH69" s="114"/>
      <c r="AI69" s="114"/>
      <c r="AJ69" s="114"/>
      <c r="AK69" s="114"/>
      <c r="AL69" s="3"/>
      <c r="AM69" s="3"/>
      <c r="AN69" s="3"/>
      <c r="AO69" s="3"/>
      <c r="AP69" s="3"/>
    </row>
    <row r="70" spans="1:47" ht="15.75">
      <c r="A70" s="431"/>
      <c r="B70" s="842" t="s">
        <v>667</v>
      </c>
      <c r="C70" s="842" t="s">
        <v>668</v>
      </c>
      <c r="D70" s="842"/>
      <c r="E70" s="842"/>
      <c r="F70" s="842"/>
      <c r="G70" s="842"/>
      <c r="H70" s="842"/>
      <c r="I70" s="842"/>
      <c r="J70" s="843">
        <f t="shared" si="22"/>
        <v>295462</v>
      </c>
      <c r="K70" s="843"/>
      <c r="L70" s="843">
        <v>288370.91200000001</v>
      </c>
      <c r="M70" s="843"/>
      <c r="N70" s="843">
        <v>4431.9299999999994</v>
      </c>
      <c r="O70" s="843">
        <v>2659.1579999999994</v>
      </c>
      <c r="U70" s="329"/>
      <c r="V70" s="3"/>
      <c r="W70" s="3"/>
      <c r="X70" s="472"/>
      <c r="Y70" s="441"/>
      <c r="Z70" s="114"/>
      <c r="AA70" s="114"/>
      <c r="AB70" s="114"/>
      <c r="AC70" s="114"/>
      <c r="AD70" s="114"/>
      <c r="AE70" s="114"/>
      <c r="AF70" s="114"/>
      <c r="AG70" s="114"/>
      <c r="AH70" s="114"/>
      <c r="AI70" s="114"/>
      <c r="AJ70" s="114"/>
      <c r="AK70" s="114"/>
      <c r="AL70" s="3"/>
      <c r="AM70" s="3"/>
      <c r="AN70" s="3"/>
      <c r="AO70" s="3"/>
      <c r="AP70" s="3"/>
    </row>
    <row r="71" spans="1:47">
      <c r="A71" s="471" t="s">
        <v>532</v>
      </c>
      <c r="B71" s="431"/>
      <c r="C71" s="431"/>
      <c r="D71" s="431"/>
      <c r="E71" s="431"/>
      <c r="F71" s="431"/>
      <c r="G71" s="431"/>
      <c r="H71" s="431"/>
      <c r="I71" s="431"/>
      <c r="J71" s="481">
        <f>J44+SUM(J47:J70)</f>
        <v>109876332.1768828</v>
      </c>
      <c r="K71" s="481">
        <f>K44+SUM(K47:K67)</f>
        <v>77080</v>
      </c>
      <c r="L71" s="481">
        <f>L44+SUM(L47:L67)</f>
        <v>82527947.109539077</v>
      </c>
      <c r="M71" s="481">
        <f>M44+SUM(M47:M67)</f>
        <v>3767862.0897283391</v>
      </c>
      <c r="N71" s="481">
        <f>N44+SUM(N47:N67)</f>
        <v>444784.0226153846</v>
      </c>
      <c r="O71" s="481">
        <f>O44+SUM(O47:O67)</f>
        <v>22081698.954999998</v>
      </c>
    </row>
    <row r="73" spans="1:47">
      <c r="A73" s="471" t="s">
        <v>533</v>
      </c>
      <c r="B73" s="431"/>
      <c r="C73" s="431"/>
      <c r="D73" s="431"/>
      <c r="E73" s="431"/>
      <c r="F73" s="431"/>
      <c r="G73" s="431"/>
      <c r="H73" s="431"/>
      <c r="I73" s="431"/>
      <c r="J73" s="431"/>
      <c r="K73" s="431"/>
      <c r="L73" s="431"/>
      <c r="M73" s="431"/>
      <c r="N73" s="431"/>
      <c r="O73" s="431"/>
      <c r="U73" s="329"/>
    </row>
    <row r="74" spans="1:47" ht="15.75">
      <c r="A74" s="431"/>
      <c r="B74" s="431"/>
      <c r="C74" s="431" t="s">
        <v>424</v>
      </c>
      <c r="D74" s="431" t="s">
        <v>534</v>
      </c>
      <c r="E74" s="431"/>
      <c r="F74" s="431"/>
      <c r="G74" s="431"/>
      <c r="H74" s="431"/>
      <c r="I74" s="431"/>
      <c r="J74" s="482">
        <v>2139706</v>
      </c>
      <c r="K74" s="431">
        <v>0</v>
      </c>
      <c r="L74" s="455">
        <v>898676.52</v>
      </c>
      <c r="M74" s="455">
        <v>0</v>
      </c>
      <c r="N74" s="455">
        <v>0</v>
      </c>
      <c r="O74" s="455">
        <v>1241029.48</v>
      </c>
      <c r="P74" s="835">
        <f>O74/J74</f>
        <v>0.57999999999999996</v>
      </c>
      <c r="U74" s="329"/>
    </row>
    <row r="75" spans="1:47" ht="15.75">
      <c r="A75" s="431"/>
      <c r="B75" s="431"/>
      <c r="C75" s="431" t="s">
        <v>374</v>
      </c>
      <c r="D75" s="431" t="s">
        <v>535</v>
      </c>
      <c r="E75" s="431"/>
      <c r="F75" s="431"/>
      <c r="G75" s="431"/>
      <c r="H75" s="431"/>
      <c r="I75" s="431" t="s">
        <v>536</v>
      </c>
      <c r="J75" s="482">
        <v>1099254</v>
      </c>
      <c r="K75" s="480">
        <v>0</v>
      </c>
      <c r="L75" s="482">
        <v>237880.00199999998</v>
      </c>
      <c r="M75" s="482">
        <v>381000</v>
      </c>
      <c r="N75" s="482">
        <v>0</v>
      </c>
      <c r="O75" s="482">
        <v>480373.99800000002</v>
      </c>
      <c r="P75" s="835">
        <f t="shared" ref="P75:P78" si="23">O75/J75</f>
        <v>0.437</v>
      </c>
      <c r="Q75" t="s">
        <v>537</v>
      </c>
      <c r="U75" s="329"/>
    </row>
    <row r="76" spans="1:47">
      <c r="A76" s="431"/>
      <c r="B76" s="431"/>
      <c r="C76" s="431" t="s">
        <v>375</v>
      </c>
      <c r="D76" s="431" t="s">
        <v>534</v>
      </c>
      <c r="E76" s="431"/>
      <c r="F76" s="431"/>
      <c r="G76" s="431"/>
      <c r="H76" s="431"/>
      <c r="I76" s="431"/>
      <c r="J76" s="455">
        <v>2791003</v>
      </c>
      <c r="K76" s="431">
        <v>0</v>
      </c>
      <c r="L76" s="455">
        <v>803808.86399999983</v>
      </c>
      <c r="M76" s="455">
        <v>0</v>
      </c>
      <c r="N76" s="455">
        <v>0</v>
      </c>
      <c r="O76" s="455">
        <v>1987194.1360000002</v>
      </c>
      <c r="P76" s="835">
        <f t="shared" si="23"/>
        <v>0.71200000000000008</v>
      </c>
      <c r="U76" s="329"/>
    </row>
    <row r="77" spans="1:47" ht="15.75">
      <c r="A77" s="431"/>
      <c r="B77" s="431"/>
      <c r="C77" s="431" t="s">
        <v>376</v>
      </c>
      <c r="D77" s="431" t="s">
        <v>534</v>
      </c>
      <c r="E77" s="431"/>
      <c r="F77" s="431"/>
      <c r="G77" s="431"/>
      <c r="H77" s="431"/>
      <c r="I77" s="431"/>
      <c r="J77" s="482">
        <v>3533059</v>
      </c>
      <c r="K77" s="431">
        <v>0</v>
      </c>
      <c r="L77" s="455">
        <v>706611.79999999981</v>
      </c>
      <c r="M77" s="455">
        <v>0</v>
      </c>
      <c r="N77" s="455">
        <v>0</v>
      </c>
      <c r="O77" s="455">
        <v>2826447.2</v>
      </c>
      <c r="P77" s="835">
        <f t="shared" si="23"/>
        <v>0.8</v>
      </c>
      <c r="Q77" s="329"/>
      <c r="S77" s="329"/>
      <c r="U77" s="329"/>
    </row>
    <row r="78" spans="1:47" ht="15.75">
      <c r="A78" s="431"/>
      <c r="B78" s="431"/>
      <c r="C78" s="431" t="s">
        <v>377</v>
      </c>
      <c r="D78" s="431" t="s">
        <v>534</v>
      </c>
      <c r="E78" s="431"/>
      <c r="F78" s="431"/>
      <c r="G78" s="431"/>
      <c r="H78" s="431"/>
      <c r="I78" s="431" t="s">
        <v>538</v>
      </c>
      <c r="J78" s="482">
        <v>162167</v>
      </c>
      <c r="K78" s="431">
        <v>0</v>
      </c>
      <c r="L78" s="455">
        <v>0</v>
      </c>
      <c r="M78" s="455">
        <v>0</v>
      </c>
      <c r="N78" s="482">
        <v>123895.58799999999</v>
      </c>
      <c r="O78" s="455">
        <v>38271.412000000004</v>
      </c>
      <c r="P78" s="835">
        <f t="shared" si="23"/>
        <v>0.23600000000000002</v>
      </c>
      <c r="Q78" s="458"/>
      <c r="R78" s="458"/>
      <c r="S78" s="458"/>
      <c r="T78" s="458"/>
      <c r="U78" s="458"/>
    </row>
    <row r="79" spans="1:47" ht="15.75">
      <c r="A79" s="461" t="s">
        <v>539</v>
      </c>
      <c r="B79" s="462"/>
      <c r="C79" s="431"/>
      <c r="D79" s="431"/>
      <c r="E79" s="431"/>
      <c r="F79" s="431"/>
      <c r="G79" s="431"/>
      <c r="H79" s="431"/>
      <c r="I79" s="431"/>
      <c r="J79" s="463">
        <v>9725189</v>
      </c>
      <c r="K79" s="431"/>
      <c r="L79" s="463">
        <v>2646977.1859999998</v>
      </c>
      <c r="M79" s="463">
        <v>381000</v>
      </c>
      <c r="N79" s="463">
        <v>123895.58799999999</v>
      </c>
      <c r="O79" s="463">
        <v>6573316.2259999998</v>
      </c>
      <c r="P79" s="329"/>
      <c r="Q79" s="329"/>
      <c r="R79" s="329"/>
      <c r="S79" s="329"/>
      <c r="T79" s="329"/>
    </row>
    <row r="80" spans="1:47">
      <c r="L80" s="338"/>
    </row>
    <row r="81" spans="2:13">
      <c r="C81">
        <v>2010</v>
      </c>
      <c r="J81">
        <v>2020</v>
      </c>
      <c r="K81">
        <v>2030</v>
      </c>
      <c r="L81">
        <v>2040</v>
      </c>
      <c r="M81">
        <v>2050</v>
      </c>
    </row>
    <row r="82" spans="2:13">
      <c r="B82" t="s">
        <v>540</v>
      </c>
      <c r="C82">
        <v>16836</v>
      </c>
      <c r="J82">
        <v>24999</v>
      </c>
      <c r="K82">
        <v>34186</v>
      </c>
      <c r="L82">
        <v>43251</v>
      </c>
      <c r="M82">
        <v>51502</v>
      </c>
    </row>
    <row r="83" spans="2:13">
      <c r="B83" t="s">
        <v>541</v>
      </c>
      <c r="C83">
        <v>16421</v>
      </c>
      <c r="J83">
        <v>24584</v>
      </c>
      <c r="K83">
        <v>33771</v>
      </c>
      <c r="L83">
        <v>42836</v>
      </c>
      <c r="M83">
        <v>51087</v>
      </c>
    </row>
    <row r="84" spans="2:13">
      <c r="B84" t="s">
        <v>542</v>
      </c>
      <c r="C84">
        <f>C82-C83</f>
        <v>415</v>
      </c>
      <c r="D84">
        <f t="shared" ref="D84:M84" si="24">D82-D83</f>
        <v>0</v>
      </c>
      <c r="E84">
        <f t="shared" si="24"/>
        <v>0</v>
      </c>
      <c r="F84">
        <f t="shared" si="24"/>
        <v>0</v>
      </c>
      <c r="G84">
        <f t="shared" si="24"/>
        <v>0</v>
      </c>
      <c r="H84">
        <f t="shared" si="24"/>
        <v>0</v>
      </c>
      <c r="I84">
        <f t="shared" si="24"/>
        <v>0</v>
      </c>
      <c r="J84">
        <f t="shared" si="24"/>
        <v>415</v>
      </c>
      <c r="K84">
        <f t="shared" si="24"/>
        <v>415</v>
      </c>
      <c r="L84">
        <f t="shared" si="24"/>
        <v>415</v>
      </c>
      <c r="M84">
        <f t="shared" si="24"/>
        <v>415</v>
      </c>
    </row>
    <row r="85" spans="2:13">
      <c r="C85">
        <f t="shared" ref="C85:K85" si="25">C84/C82*100</f>
        <v>2.4649560465668805</v>
      </c>
      <c r="D85" t="e">
        <f t="shared" si="25"/>
        <v>#DIV/0!</v>
      </c>
      <c r="E85" t="e">
        <f t="shared" si="25"/>
        <v>#DIV/0!</v>
      </c>
      <c r="F85" t="e">
        <f t="shared" si="25"/>
        <v>#DIV/0!</v>
      </c>
      <c r="G85" t="e">
        <f t="shared" si="25"/>
        <v>#DIV/0!</v>
      </c>
      <c r="H85" t="e">
        <f t="shared" si="25"/>
        <v>#DIV/0!</v>
      </c>
      <c r="I85" t="e">
        <f t="shared" si="25"/>
        <v>#DIV/0!</v>
      </c>
      <c r="J85">
        <f t="shared" si="25"/>
        <v>1.6600664026561063</v>
      </c>
      <c r="K85">
        <f t="shared" si="25"/>
        <v>1.2139472298601768</v>
      </c>
      <c r="L85">
        <f>L84/L82*100</f>
        <v>0.95951538692746996</v>
      </c>
      <c r="M85">
        <f>M84/M82*100</f>
        <v>0.80579394974952434</v>
      </c>
    </row>
  </sheetData>
  <mergeCells count="11">
    <mergeCell ref="A6:A8"/>
    <mergeCell ref="A9:A12"/>
    <mergeCell ref="A13:A16"/>
    <mergeCell ref="A32:B32"/>
    <mergeCell ref="A38:A42"/>
    <mergeCell ref="O4:O5"/>
    <mergeCell ref="J4:J5"/>
    <mergeCell ref="K4:K5"/>
    <mergeCell ref="L4:L5"/>
    <mergeCell ref="M4:M5"/>
    <mergeCell ref="N4:N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E9F80-9CCC-493E-907D-B658BAC625F6}">
  <dimension ref="A1:L55"/>
  <sheetViews>
    <sheetView topLeftCell="A25" zoomScale="70" zoomScaleNormal="70" workbookViewId="0">
      <selection activeCell="D40" sqref="D40"/>
    </sheetView>
  </sheetViews>
  <sheetFormatPr defaultRowHeight="15"/>
  <cols>
    <col min="1" max="1" width="36" bestFit="1" customWidth="1"/>
    <col min="2" max="2" width="29.85546875" customWidth="1"/>
    <col min="3" max="3" width="40" customWidth="1"/>
    <col min="4" max="4" width="52" customWidth="1"/>
    <col min="5" max="5" width="25.7109375" customWidth="1"/>
    <col min="6" max="6" width="17" customWidth="1"/>
    <col min="7" max="7" width="16.28515625" customWidth="1"/>
    <col min="8" max="8" width="19.7109375" customWidth="1"/>
    <col min="9" max="9" width="17.85546875" customWidth="1"/>
    <col min="10" max="10" width="19" customWidth="1"/>
    <col min="11" max="11" width="17.7109375" customWidth="1"/>
  </cols>
  <sheetData>
    <row r="1" spans="1:5" ht="15.75" thickBot="1">
      <c r="A1" s="2" t="s">
        <v>315</v>
      </c>
    </row>
    <row r="2" spans="1:5" ht="30.75" thickBot="1">
      <c r="A2" s="288"/>
      <c r="B2" s="289" t="s">
        <v>316</v>
      </c>
      <c r="C2" s="289" t="s">
        <v>317</v>
      </c>
      <c r="D2" s="289" t="s">
        <v>318</v>
      </c>
      <c r="E2" s="289" t="s">
        <v>319</v>
      </c>
    </row>
    <row r="3" spans="1:5" ht="30">
      <c r="A3" s="1694" t="s">
        <v>320</v>
      </c>
      <c r="B3" s="1697" t="s">
        <v>321</v>
      </c>
      <c r="C3" s="290" t="s">
        <v>327</v>
      </c>
      <c r="D3" s="290" t="s">
        <v>327</v>
      </c>
      <c r="E3" s="489" t="s">
        <v>155</v>
      </c>
    </row>
    <row r="4" spans="1:5">
      <c r="A4" s="1695"/>
      <c r="B4" s="1698"/>
      <c r="C4" s="291" t="s">
        <v>328</v>
      </c>
      <c r="D4" s="291" t="s">
        <v>329</v>
      </c>
      <c r="E4" s="490"/>
    </row>
    <row r="5" spans="1:5">
      <c r="A5" s="1695"/>
      <c r="B5" s="1698"/>
      <c r="C5" s="291" t="s">
        <v>330</v>
      </c>
      <c r="D5" s="291" t="s">
        <v>331</v>
      </c>
      <c r="E5" s="490"/>
    </row>
    <row r="6" spans="1:5" ht="15.75" thickBot="1">
      <c r="A6" s="1696"/>
      <c r="B6" s="1699"/>
      <c r="C6" s="292" t="s">
        <v>332</v>
      </c>
      <c r="D6" s="292" t="s">
        <v>333</v>
      </c>
      <c r="E6" s="491"/>
    </row>
    <row r="7" spans="1:5" ht="30">
      <c r="A7" s="1694" t="s">
        <v>322</v>
      </c>
      <c r="B7" s="1697" t="s">
        <v>323</v>
      </c>
      <c r="C7" s="293" t="s">
        <v>334</v>
      </c>
      <c r="D7" s="294" t="s">
        <v>324</v>
      </c>
      <c r="E7" s="489" t="s">
        <v>155</v>
      </c>
    </row>
    <row r="8" spans="1:5">
      <c r="A8" s="1695"/>
      <c r="B8" s="1698"/>
      <c r="C8" s="295" t="s">
        <v>335</v>
      </c>
      <c r="D8" s="295" t="s">
        <v>336</v>
      </c>
      <c r="E8" s="490"/>
    </row>
    <row r="9" spans="1:5">
      <c r="A9" s="1695"/>
      <c r="B9" s="1698"/>
      <c r="C9" s="295" t="s">
        <v>337</v>
      </c>
      <c r="D9" s="295" t="s">
        <v>338</v>
      </c>
      <c r="E9" s="490"/>
    </row>
    <row r="10" spans="1:5">
      <c r="A10" s="1695"/>
      <c r="B10" s="1698"/>
      <c r="C10" s="295" t="s">
        <v>339</v>
      </c>
      <c r="D10" s="295" t="s">
        <v>340</v>
      </c>
      <c r="E10" s="490"/>
    </row>
    <row r="11" spans="1:5">
      <c r="A11" s="1695"/>
      <c r="B11" s="1698"/>
      <c r="C11" s="295" t="s">
        <v>341</v>
      </c>
      <c r="D11" s="295" t="s">
        <v>342</v>
      </c>
      <c r="E11" s="490"/>
    </row>
    <row r="12" spans="1:5" ht="15.75" thickBot="1">
      <c r="A12" s="1696"/>
      <c r="B12" s="1699"/>
      <c r="C12" s="296"/>
      <c r="D12" s="297" t="s">
        <v>343</v>
      </c>
      <c r="E12" s="491"/>
    </row>
    <row r="13" spans="1:5" ht="60.75" thickBot="1">
      <c r="A13" s="298" t="s">
        <v>325</v>
      </c>
      <c r="B13" s="299" t="s">
        <v>326</v>
      </c>
      <c r="C13" s="300" t="s">
        <v>344</v>
      </c>
      <c r="D13" s="300" t="s">
        <v>345</v>
      </c>
      <c r="E13" s="301" t="s">
        <v>346</v>
      </c>
    </row>
    <row r="14" spans="1:5" ht="60">
      <c r="A14" s="1694" t="s">
        <v>350</v>
      </c>
      <c r="B14" s="302" t="s">
        <v>347</v>
      </c>
      <c r="C14" s="1692" t="s">
        <v>352</v>
      </c>
      <c r="D14" s="1692" t="s">
        <v>353</v>
      </c>
      <c r="E14" s="486" t="s">
        <v>155</v>
      </c>
    </row>
    <row r="15" spans="1:5" ht="30.75" thickBot="1">
      <c r="A15" s="1696"/>
      <c r="B15" s="303" t="s">
        <v>348</v>
      </c>
      <c r="C15" s="1693"/>
      <c r="D15" s="1693"/>
      <c r="E15" s="487"/>
    </row>
    <row r="16" spans="1:5" ht="90.75" thickBot="1">
      <c r="A16" s="298" t="s">
        <v>351</v>
      </c>
      <c r="B16" s="299" t="s">
        <v>349</v>
      </c>
      <c r="C16" s="304" t="s">
        <v>354</v>
      </c>
      <c r="D16" s="304" t="s">
        <v>355</v>
      </c>
      <c r="E16" s="301" t="s">
        <v>155</v>
      </c>
    </row>
    <row r="23" spans="1:12">
      <c r="A23" s="376" t="s">
        <v>421</v>
      </c>
      <c r="B23" s="1689" t="s">
        <v>344</v>
      </c>
      <c r="C23" s="1690"/>
      <c r="D23" s="1691"/>
      <c r="E23" s="1689" t="s">
        <v>345</v>
      </c>
      <c r="F23" s="1690"/>
      <c r="G23" s="1690"/>
    </row>
    <row r="24" spans="1:12">
      <c r="A24" s="377" t="s">
        <v>422</v>
      </c>
      <c r="B24" s="378">
        <f>50/5</f>
        <v>10</v>
      </c>
      <c r="C24" s="378">
        <f>25/5</f>
        <v>5</v>
      </c>
    </row>
    <row r="25" spans="1:12">
      <c r="A25" s="99"/>
      <c r="B25" s="99"/>
      <c r="C25" s="99"/>
      <c r="D25" s="99"/>
      <c r="E25" s="99"/>
      <c r="F25" s="4"/>
      <c r="G25" s="4"/>
      <c r="H25" s="4"/>
      <c r="I25" s="4" t="s">
        <v>440</v>
      </c>
      <c r="J25" s="4"/>
      <c r="K25" s="4"/>
      <c r="L25" s="4"/>
    </row>
    <row r="26" spans="1:12">
      <c r="A26" s="417" t="s">
        <v>446</v>
      </c>
      <c r="B26" s="343"/>
      <c r="C26" s="40" t="s">
        <v>424</v>
      </c>
      <c r="D26" s="40" t="s">
        <v>374</v>
      </c>
      <c r="E26" s="40" t="s">
        <v>375</v>
      </c>
      <c r="F26" s="40" t="s">
        <v>376</v>
      </c>
      <c r="G26" s="40" t="s">
        <v>377</v>
      </c>
      <c r="H26" s="40" t="s">
        <v>442</v>
      </c>
      <c r="I26" s="387" t="s">
        <v>447</v>
      </c>
      <c r="J26" s="40" t="s">
        <v>428</v>
      </c>
      <c r="K26" s="40" t="s">
        <v>443</v>
      </c>
    </row>
    <row r="27" spans="1:12">
      <c r="B27" s="364" t="s">
        <v>378</v>
      </c>
      <c r="C27" s="386">
        <f>'Recycling - Case 1'!E59</f>
        <v>378326.54427023319</v>
      </c>
      <c r="D27" s="386">
        <f>'Recycling - Case 1'!J59</f>
        <v>381000</v>
      </c>
      <c r="E27" s="386">
        <f>'Recycling - Case 1'!K59</f>
        <v>338388.97868490184</v>
      </c>
      <c r="F27" s="386">
        <f>'Recycling - Case 1'!L59</f>
        <v>297470.77450579114</v>
      </c>
      <c r="G27" s="386">
        <f>'Recycling - Case 1'!M59</f>
        <v>0</v>
      </c>
      <c r="H27" s="381">
        <f>SUM(C27:G27)</f>
        <v>1395186.2974609262</v>
      </c>
      <c r="I27" s="391">
        <v>0</v>
      </c>
      <c r="J27" s="379">
        <f>'Recycling - Case 1'!C59+'Recycling - Case 1'!D59</f>
        <v>2372675.7922674129</v>
      </c>
      <c r="K27" s="343"/>
    </row>
    <row r="28" spans="1:12">
      <c r="A28" s="380" t="s">
        <v>383</v>
      </c>
      <c r="B28" s="364" t="s">
        <v>384</v>
      </c>
      <c r="C28" s="368">
        <f>'Recycling - Case 1'!E62</f>
        <v>520349.97572976683</v>
      </c>
      <c r="D28" s="385">
        <f>'Recycling - Case 1'!J62</f>
        <v>237880.00199999998</v>
      </c>
      <c r="E28" s="385">
        <f>'Recycling - Case 1'!K62</f>
        <v>465419.88531509798</v>
      </c>
      <c r="F28" s="385">
        <f>'Recycling - Case 1'!L62</f>
        <v>409141.02549420868</v>
      </c>
      <c r="G28" s="385">
        <f>'Recycling - Case 1'!M62</f>
        <v>123895.58799999999</v>
      </c>
      <c r="H28" s="381">
        <f>SUM(C28:G28)</f>
        <v>1756686.4765390735</v>
      </c>
      <c r="I28" s="389">
        <f>'Recycling - Case 1'!E79</f>
        <v>46917968.670000002</v>
      </c>
      <c r="J28" s="399">
        <f>('Recycling - Case 1'!C64+'Recycling - Case 1'!D64)*0.5+SUM('Recycling - Case 1'!C60:D60)+SUM('Recycling - Case 1'!C61:D61)</f>
        <v>5422925.5999999996</v>
      </c>
      <c r="K28" s="382"/>
      <c r="L28" s="4"/>
    </row>
    <row r="29" spans="1:12">
      <c r="A29" s="380" t="s">
        <v>383</v>
      </c>
      <c r="B29" s="364" t="s">
        <v>385</v>
      </c>
      <c r="C29" s="368">
        <f>'Recycling - Case 1'!E63</f>
        <v>1241029.48</v>
      </c>
      <c r="D29" s="385">
        <f>'Recycling - Case 1'!J63</f>
        <v>480373.99800000002</v>
      </c>
      <c r="E29" s="385">
        <f>'Recycling - Case 1'!K63</f>
        <v>1987194.1360000002</v>
      </c>
      <c r="F29" s="385">
        <f>'Recycling - Case 1'!L63</f>
        <v>2826447.2</v>
      </c>
      <c r="G29" s="385">
        <f>'Recycling - Case 1'!M63</f>
        <v>38271.412000000004</v>
      </c>
      <c r="H29" s="381">
        <f>SUM(C29:G29)</f>
        <v>6573316.2259999998</v>
      </c>
      <c r="I29" s="389">
        <f>'Recycling - Case 1'!H79</f>
        <v>3077082.33</v>
      </c>
      <c r="J29" s="399">
        <f>('Recycling - Case 1'!D64+'Recycling - Case 1'!C64)*0.5</f>
        <v>3350000</v>
      </c>
      <c r="K29" s="403">
        <f>H29+I29+J29</f>
        <v>13000398.556</v>
      </c>
      <c r="L29" s="4"/>
    </row>
    <row r="30" spans="1:12">
      <c r="A30" s="380"/>
      <c r="B30" s="364" t="s">
        <v>303</v>
      </c>
      <c r="C30" s="388">
        <f t="shared" ref="C30:J30" si="0">SUM(C27:C29)</f>
        <v>2139706</v>
      </c>
      <c r="D30" s="388">
        <f t="shared" si="0"/>
        <v>1099254</v>
      </c>
      <c r="E30" s="388">
        <f t="shared" si="0"/>
        <v>2791003</v>
      </c>
      <c r="F30" s="388">
        <f t="shared" si="0"/>
        <v>3533059</v>
      </c>
      <c r="G30" s="388">
        <f t="shared" si="0"/>
        <v>162167</v>
      </c>
      <c r="H30" s="388">
        <f t="shared" si="0"/>
        <v>9725189</v>
      </c>
      <c r="I30" s="388">
        <f t="shared" si="0"/>
        <v>49995051</v>
      </c>
      <c r="J30" s="400">
        <f t="shared" si="0"/>
        <v>11145601.392267413</v>
      </c>
      <c r="K30" s="382"/>
      <c r="L30" s="4"/>
    </row>
    <row r="31" spans="1:12">
      <c r="A31" s="380" t="s">
        <v>386</v>
      </c>
      <c r="B31" s="364" t="s">
        <v>423</v>
      </c>
      <c r="C31" s="383">
        <f>C29/(SUM(C27:C29))</f>
        <v>0.57999999999999996</v>
      </c>
      <c r="D31" s="383">
        <f>D29/(SUM(D27:D29))</f>
        <v>0.437</v>
      </c>
      <c r="E31" s="383">
        <f>E29/(SUM(E27:E29))</f>
        <v>0.71200000000000008</v>
      </c>
      <c r="F31" s="383">
        <f>F29/(SUM(F27:F29))</f>
        <v>0.8</v>
      </c>
      <c r="G31" s="383">
        <f>G29/(SUM(G27:G29))</f>
        <v>0.23600000000000002</v>
      </c>
      <c r="H31" s="383">
        <f>H29/H30</f>
        <v>0.67590627040770102</v>
      </c>
      <c r="I31" s="383">
        <f>I29/I30</f>
        <v>6.154773859516615E-2</v>
      </c>
      <c r="J31" s="401">
        <f>J29/J30</f>
        <v>0.30056700236239925</v>
      </c>
      <c r="K31" s="382"/>
      <c r="L31" s="4"/>
    </row>
    <row r="32" spans="1:12">
      <c r="A32" s="418" t="s">
        <v>449</v>
      </c>
      <c r="B32" s="364" t="s">
        <v>378</v>
      </c>
      <c r="C32" s="389">
        <f>C27</f>
        <v>378326.54427023319</v>
      </c>
      <c r="D32" s="389">
        <f>D27</f>
        <v>381000</v>
      </c>
      <c r="E32" s="389">
        <f>E27</f>
        <v>338388.97868490184</v>
      </c>
      <c r="F32" s="389">
        <f>F27</f>
        <v>297470.77450579114</v>
      </c>
      <c r="G32" s="389">
        <f>G27</f>
        <v>0</v>
      </c>
      <c r="H32" s="381">
        <f>SUM(C32:G32)</f>
        <v>1395186.2974609262</v>
      </c>
      <c r="I32" s="389">
        <f>I27</f>
        <v>0</v>
      </c>
      <c r="J32" s="399">
        <f>J27</f>
        <v>2372675.7922674129</v>
      </c>
      <c r="K32" s="382"/>
      <c r="L32" s="4"/>
    </row>
    <row r="33" spans="1:12">
      <c r="A33" s="99"/>
      <c r="B33" s="364" t="s">
        <v>384</v>
      </c>
      <c r="C33" s="389">
        <f>C30-C32-C34</f>
        <v>263585.2557297668</v>
      </c>
      <c r="D33" s="389">
        <f>D30-D32-D34</f>
        <v>58701.599999999977</v>
      </c>
      <c r="E33" s="389">
        <f>E30-E32-E34</f>
        <v>-59288.678684901912</v>
      </c>
      <c r="F33" s="389">
        <f>F30-F32-F34</f>
        <v>55835.125494208653</v>
      </c>
      <c r="G33" s="389">
        <f>G30-G32-G34</f>
        <v>123895.58799999999</v>
      </c>
      <c r="H33" s="381">
        <f>SUM(C33:G33)</f>
        <v>442728.8905390735</v>
      </c>
      <c r="I33" s="389">
        <f>I30-I32-I34</f>
        <v>29997030.599999998</v>
      </c>
      <c r="J33" s="399">
        <f>J28*0.5</f>
        <v>2711462.8</v>
      </c>
      <c r="K33" s="382"/>
      <c r="L33" s="4"/>
    </row>
    <row r="34" spans="1:12">
      <c r="A34" s="99"/>
      <c r="B34" s="364" t="s">
        <v>385</v>
      </c>
      <c r="C34" s="368">
        <f>C30*C35</f>
        <v>1497794.2</v>
      </c>
      <c r="D34" s="368">
        <f>D30*D35</f>
        <v>659552.4</v>
      </c>
      <c r="E34" s="368">
        <f>E30*E35</f>
        <v>2511902.7000000002</v>
      </c>
      <c r="F34" s="368">
        <f>F30*F35</f>
        <v>3179753.1</v>
      </c>
      <c r="G34" s="368">
        <f>G30*G35</f>
        <v>38271.412000000004</v>
      </c>
      <c r="H34" s="381">
        <f>SUM(C34:G34)</f>
        <v>7887273.8119999999</v>
      </c>
      <c r="I34" s="368">
        <f>I30*I35</f>
        <v>19998020.400000002</v>
      </c>
      <c r="J34" s="399">
        <f>J30-J33-J32</f>
        <v>6061462.7999999998</v>
      </c>
      <c r="K34" s="403">
        <f>H34+I34+J34</f>
        <v>33946757.012000002</v>
      </c>
      <c r="L34" s="4"/>
    </row>
    <row r="35" spans="1:12">
      <c r="A35" s="99"/>
      <c r="B35" s="364" t="s">
        <v>425</v>
      </c>
      <c r="C35" s="390">
        <v>0.7</v>
      </c>
      <c r="D35" s="390">
        <v>0.6</v>
      </c>
      <c r="E35" s="390">
        <v>0.9</v>
      </c>
      <c r="F35" s="390">
        <v>0.9</v>
      </c>
      <c r="G35" s="390">
        <f>G31</f>
        <v>0.23600000000000002</v>
      </c>
      <c r="H35" s="390">
        <f>H34/H30</f>
        <v>0.81101496454207722</v>
      </c>
      <c r="I35" s="390">
        <v>0.4</v>
      </c>
      <c r="J35" s="402">
        <f>J34/J30</f>
        <v>0.54384349364990903</v>
      </c>
      <c r="K35" s="382"/>
      <c r="L35" s="4"/>
    </row>
    <row r="36" spans="1:12">
      <c r="A36" s="99"/>
      <c r="B36" s="99"/>
      <c r="C36" s="99"/>
      <c r="D36" s="99"/>
      <c r="E36" s="99"/>
      <c r="F36" s="4"/>
      <c r="G36" s="4"/>
      <c r="H36" s="4"/>
      <c r="I36" s="4"/>
      <c r="J36" s="4"/>
      <c r="K36" s="4"/>
      <c r="L36" s="4"/>
    </row>
    <row r="37" spans="1:12">
      <c r="A37" s="375" t="s">
        <v>448</v>
      </c>
      <c r="B37" s="393" t="s">
        <v>217</v>
      </c>
      <c r="C37" s="397" t="s">
        <v>426</v>
      </c>
      <c r="D37" s="393" t="s">
        <v>427</v>
      </c>
      <c r="E37" s="364" t="s">
        <v>429</v>
      </c>
      <c r="F37" s="393" t="s">
        <v>225</v>
      </c>
      <c r="G37" s="382"/>
      <c r="H37" s="4"/>
      <c r="I37" s="4"/>
      <c r="J37" s="4"/>
      <c r="K37" s="4"/>
      <c r="L37" s="4"/>
    </row>
    <row r="38" spans="1:12">
      <c r="A38" s="4"/>
      <c r="B38" s="393">
        <v>2017</v>
      </c>
      <c r="C38" s="394">
        <f>'Recycling - Case 1'!N66</f>
        <v>11144031.473749338</v>
      </c>
      <c r="D38" s="389">
        <f>K29</f>
        <v>13000398.556</v>
      </c>
      <c r="E38" s="350">
        <f>'Recycling - Case 1'!F56</f>
        <v>0</v>
      </c>
      <c r="F38" s="394">
        <f>SUM(C38:E38)</f>
        <v>24144430.029749338</v>
      </c>
      <c r="G38" s="382" t="s">
        <v>437</v>
      </c>
      <c r="H38" s="4"/>
      <c r="I38" s="4"/>
      <c r="J38" s="4"/>
      <c r="K38" s="4"/>
      <c r="L38" s="4"/>
    </row>
    <row r="39" spans="1:12">
      <c r="A39" s="4"/>
      <c r="B39" s="393" t="s">
        <v>430</v>
      </c>
      <c r="C39" s="389">
        <f>F39-D39-E39</f>
        <v>-9802326.9822506644</v>
      </c>
      <c r="D39" s="389">
        <f>K34</f>
        <v>33946757.012000002</v>
      </c>
      <c r="E39" s="389">
        <f>E38</f>
        <v>0</v>
      </c>
      <c r="F39" s="394">
        <f>F38</f>
        <v>24144430.029749338</v>
      </c>
      <c r="G39" s="382" t="s">
        <v>437</v>
      </c>
      <c r="H39" s="4"/>
      <c r="I39" s="4"/>
      <c r="J39" s="4"/>
      <c r="K39" s="4"/>
      <c r="L39" s="4"/>
    </row>
    <row r="40" spans="1:12">
      <c r="A40" s="4"/>
      <c r="B40" s="393" t="s">
        <v>431</v>
      </c>
      <c r="C40" s="383">
        <f>C39/C38</f>
        <v>-0.87960331100471434</v>
      </c>
      <c r="D40" s="382"/>
      <c r="E40" s="382"/>
      <c r="F40" s="382"/>
      <c r="G40" s="382"/>
      <c r="H40" s="4"/>
      <c r="I40" s="4"/>
      <c r="J40" s="4"/>
      <c r="K40" s="4"/>
      <c r="L40" s="4"/>
    </row>
    <row r="41" spans="1:12">
      <c r="A41" s="4"/>
      <c r="B41" s="393" t="s">
        <v>432</v>
      </c>
      <c r="C41" s="395">
        <f>C38*0.5</f>
        <v>5572015.7368746689</v>
      </c>
      <c r="D41" s="382"/>
      <c r="E41" s="382"/>
      <c r="F41" s="382"/>
      <c r="G41" s="382"/>
      <c r="H41" s="4"/>
      <c r="I41" s="4"/>
      <c r="J41" s="4"/>
      <c r="K41" s="4"/>
      <c r="L41" s="4"/>
    </row>
    <row r="42" spans="1:12">
      <c r="A42" s="4"/>
      <c r="B42" s="393" t="s">
        <v>433</v>
      </c>
      <c r="C42" s="395">
        <f>C39-C41</f>
        <v>-15374342.719125334</v>
      </c>
      <c r="D42" s="382" t="s">
        <v>434</v>
      </c>
      <c r="E42" s="382"/>
      <c r="F42" s="382"/>
      <c r="G42" s="382"/>
      <c r="H42" s="4"/>
      <c r="I42" s="4"/>
      <c r="J42" s="4"/>
      <c r="K42" s="4"/>
      <c r="L42" s="4"/>
    </row>
    <row r="43" spans="1:12">
      <c r="A43" s="4"/>
      <c r="B43" s="393" t="s">
        <v>435</v>
      </c>
      <c r="C43" s="390">
        <f>(C42/F39)</f>
        <v>-0.63676561012962318</v>
      </c>
      <c r="D43" s="382"/>
      <c r="E43" s="382"/>
      <c r="F43" s="382"/>
      <c r="G43" s="382"/>
      <c r="H43" s="4"/>
      <c r="I43" s="4"/>
      <c r="J43" s="4"/>
      <c r="K43" s="4"/>
      <c r="L43" s="4"/>
    </row>
    <row r="44" spans="1:12">
      <c r="A44" s="4"/>
      <c r="B44" s="393" t="s">
        <v>436</v>
      </c>
      <c r="C44" s="396">
        <f>F44-D44-E44</f>
        <v>5572015.7368746698</v>
      </c>
      <c r="D44" s="389">
        <f>D39</f>
        <v>33946757.012000002</v>
      </c>
      <c r="E44" s="389">
        <f>E39</f>
        <v>0</v>
      </c>
      <c r="F44" s="395">
        <f>(1-C43)*F39</f>
        <v>39518772.748874672</v>
      </c>
      <c r="G44" s="382"/>
      <c r="H44" s="4"/>
      <c r="I44" s="4"/>
      <c r="J44" s="4"/>
      <c r="K44" s="4"/>
      <c r="L44" s="4"/>
    </row>
    <row r="45" spans="1:12">
      <c r="A45" s="4"/>
      <c r="B45" s="4"/>
      <c r="C45" s="4"/>
      <c r="D45" s="4"/>
      <c r="E45" s="4"/>
      <c r="F45" s="4"/>
      <c r="G45" s="4"/>
      <c r="H45" s="4"/>
      <c r="I45" s="4"/>
      <c r="J45" s="4"/>
      <c r="K45" s="4"/>
      <c r="L45" s="4"/>
    </row>
    <row r="46" spans="1:12">
      <c r="A46" s="404" t="s">
        <v>438</v>
      </c>
      <c r="B46" s="405" t="s">
        <v>217</v>
      </c>
      <c r="C46" s="406" t="s">
        <v>368</v>
      </c>
      <c r="D46" s="406" t="s">
        <v>369</v>
      </c>
      <c r="E46" s="406" t="s">
        <v>370</v>
      </c>
      <c r="F46" s="406" t="s">
        <v>399</v>
      </c>
      <c r="G46" s="406" t="s">
        <v>371</v>
      </c>
      <c r="H46" s="406" t="s">
        <v>303</v>
      </c>
      <c r="I46" s="398"/>
      <c r="J46" s="4"/>
      <c r="K46" s="4"/>
      <c r="L46" s="4"/>
    </row>
    <row r="47" spans="1:12">
      <c r="A47" s="407"/>
      <c r="B47" s="405">
        <v>2017</v>
      </c>
      <c r="C47" s="408">
        <f>'Waste Summary 2017 SASOW'!K19</f>
        <v>77080</v>
      </c>
      <c r="D47" s="408">
        <f>'Waste Summary 2017 SASOW'!L19</f>
        <v>73189049.783000007</v>
      </c>
      <c r="E47" s="408">
        <f>'Waste Summary 2017 SASOW'!M19</f>
        <v>0</v>
      </c>
      <c r="F47" s="408">
        <f>'Waste Summary 2017 SASOW'!N19</f>
        <v>374069.36461538461</v>
      </c>
      <c r="G47" s="408">
        <f>'Waste Summary 2017 SASOW'!O19</f>
        <v>12255954.237</v>
      </c>
      <c r="H47" s="408">
        <f>SUM(C47:G47)</f>
        <v>85896153.384615391</v>
      </c>
      <c r="I47" s="4"/>
      <c r="J47" s="4"/>
      <c r="K47" s="4"/>
      <c r="L47" s="4"/>
    </row>
    <row r="48" spans="1:12">
      <c r="A48" s="407"/>
      <c r="B48" s="405" t="s">
        <v>444</v>
      </c>
      <c r="C48" s="408">
        <f>C47</f>
        <v>77080</v>
      </c>
      <c r="D48" s="408">
        <f>H47-G48-F48-E48-C48</f>
        <v>52242691.327</v>
      </c>
      <c r="E48" s="408">
        <f>E47</f>
        <v>0</v>
      </c>
      <c r="F48" s="408">
        <f>F47</f>
        <v>374069.36461538461</v>
      </c>
      <c r="G48" s="408">
        <f>G47+(D39-D38)</f>
        <v>33202312.693</v>
      </c>
      <c r="H48" s="408">
        <f>SUM(C48:G48)</f>
        <v>85896153.384615391</v>
      </c>
      <c r="I48" s="4"/>
      <c r="J48" s="4"/>
      <c r="K48" s="4"/>
      <c r="L48" s="4"/>
    </row>
    <row r="49" spans="1:12">
      <c r="A49" s="407"/>
      <c r="B49" s="405" t="s">
        <v>431</v>
      </c>
      <c r="C49" s="409"/>
      <c r="D49" s="409">
        <f>D48/D47</f>
        <v>0.71380474923360293</v>
      </c>
      <c r="E49" s="410"/>
      <c r="F49" s="410"/>
      <c r="G49" s="410"/>
      <c r="H49" s="410"/>
      <c r="I49" s="4"/>
      <c r="J49" s="4"/>
      <c r="K49" s="4"/>
      <c r="L49" s="4"/>
    </row>
    <row r="50" spans="1:12">
      <c r="A50" s="407"/>
      <c r="B50" s="411" t="s">
        <v>432</v>
      </c>
      <c r="C50" s="412"/>
      <c r="D50" s="413">
        <f>D47*0.5</f>
        <v>36594524.891500004</v>
      </c>
      <c r="E50" s="414"/>
      <c r="F50" s="410"/>
      <c r="G50" s="410"/>
      <c r="H50" s="410"/>
      <c r="I50" s="4"/>
      <c r="J50" s="4"/>
      <c r="K50" s="4"/>
      <c r="L50" s="4"/>
    </row>
    <row r="51" spans="1:12">
      <c r="A51" s="407"/>
      <c r="B51" s="411" t="s">
        <v>433</v>
      </c>
      <c r="C51" s="412"/>
      <c r="D51" s="412">
        <f>D48-D50</f>
        <v>15648166.435499996</v>
      </c>
      <c r="E51" s="414" t="s">
        <v>439</v>
      </c>
      <c r="F51" s="410"/>
      <c r="G51" s="410"/>
      <c r="H51" s="410"/>
      <c r="I51" s="4"/>
      <c r="J51" s="4"/>
      <c r="K51" s="4"/>
      <c r="L51" s="4"/>
    </row>
    <row r="52" spans="1:12">
      <c r="A52" s="407"/>
      <c r="B52" s="405" t="s">
        <v>435</v>
      </c>
      <c r="C52" s="415"/>
      <c r="D52" s="415">
        <f>(D51/H48)</f>
        <v>0.18217540389070197</v>
      </c>
      <c r="E52" s="410"/>
      <c r="F52" s="410"/>
      <c r="G52" s="410"/>
      <c r="H52" s="410"/>
      <c r="I52" s="4"/>
      <c r="J52" s="4"/>
      <c r="K52" s="4"/>
      <c r="L52" s="4"/>
    </row>
    <row r="53" spans="1:12">
      <c r="A53" s="407"/>
      <c r="B53" s="405" t="s">
        <v>445</v>
      </c>
      <c r="C53" s="416">
        <f>C48</f>
        <v>77080</v>
      </c>
      <c r="D53" s="416">
        <f>H53-E53-F53-C53-G53</f>
        <v>36594524.891500011</v>
      </c>
      <c r="E53" s="408">
        <f>E48</f>
        <v>0</v>
      </c>
      <c r="F53" s="416">
        <f>(1-C52)*F48</f>
        <v>374069.36461538461</v>
      </c>
      <c r="G53" s="408">
        <f>G48</f>
        <v>33202312.693</v>
      </c>
      <c r="H53" s="416">
        <f>(1-D52)*H48</f>
        <v>70247986.949115396</v>
      </c>
      <c r="I53" s="4"/>
      <c r="J53" s="4"/>
      <c r="K53" s="4"/>
      <c r="L53" s="4"/>
    </row>
    <row r="54" spans="1:12">
      <c r="A54" s="4"/>
      <c r="B54" s="4"/>
      <c r="C54" s="4"/>
      <c r="D54" s="4"/>
      <c r="E54" s="4"/>
      <c r="F54" s="4"/>
      <c r="G54" s="4"/>
      <c r="H54" s="4"/>
      <c r="I54" s="4"/>
      <c r="J54" s="4"/>
      <c r="K54" s="4"/>
      <c r="L54" s="4"/>
    </row>
    <row r="55" spans="1:12">
      <c r="A55" s="4"/>
      <c r="B55" s="4"/>
      <c r="C55" s="4"/>
      <c r="D55" s="4"/>
      <c r="E55" s="4"/>
      <c r="F55" s="4"/>
      <c r="G55" s="4"/>
      <c r="H55" s="4"/>
      <c r="I55" s="4"/>
      <c r="J55" s="4"/>
      <c r="K55" s="4"/>
      <c r="L55" s="4"/>
    </row>
  </sheetData>
  <mergeCells count="9">
    <mergeCell ref="B23:D23"/>
    <mergeCell ref="E23:G23"/>
    <mergeCell ref="D14:D15"/>
    <mergeCell ref="A3:A6"/>
    <mergeCell ref="B3:B6"/>
    <mergeCell ref="A7:A12"/>
    <mergeCell ref="B7:B12"/>
    <mergeCell ref="A14:A15"/>
    <mergeCell ref="C14:C15"/>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295B4-DD68-46E0-8B40-D55C7B11C300}">
  <sheetPr codeName="Sheet6"/>
  <dimension ref="A1:V291"/>
  <sheetViews>
    <sheetView topLeftCell="A232" zoomScale="55" zoomScaleNormal="55" workbookViewId="0">
      <selection activeCell="S223" sqref="S223"/>
    </sheetView>
  </sheetViews>
  <sheetFormatPr defaultRowHeight="15"/>
  <cols>
    <col min="1" max="1" width="17.5703125" customWidth="1"/>
    <col min="2" max="2" width="80" customWidth="1"/>
    <col min="3" max="3" width="22.5703125" customWidth="1"/>
    <col min="4" max="4" width="15.140625" customWidth="1"/>
    <col min="5" max="5" width="22.28515625" customWidth="1"/>
    <col min="6" max="6" width="13.140625" customWidth="1"/>
    <col min="7" max="7" width="27.5703125" customWidth="1"/>
    <col min="10" max="10" width="13.7109375" customWidth="1"/>
    <col min="13" max="13" width="8.85546875" customWidth="1"/>
    <col min="14" max="14" width="12.28515625" customWidth="1"/>
    <col min="18" max="18" width="13.140625" customWidth="1"/>
    <col min="19" max="19" width="15.85546875" customWidth="1"/>
  </cols>
  <sheetData>
    <row r="1" spans="2:10">
      <c r="B1" s="2" t="s">
        <v>0</v>
      </c>
    </row>
    <row r="2" spans="2:10" ht="15.75" thickBot="1"/>
    <row r="3" spans="2:10">
      <c r="B3" s="156" t="s">
        <v>1</v>
      </c>
      <c r="C3" s="115"/>
      <c r="D3" s="115"/>
      <c r="E3" s="115"/>
      <c r="F3" s="115"/>
      <c r="G3" s="115"/>
      <c r="H3" s="115"/>
      <c r="I3" s="115"/>
      <c r="J3" s="116"/>
    </row>
    <row r="4" spans="2:10">
      <c r="B4" s="164" t="s">
        <v>39</v>
      </c>
      <c r="C4" s="104"/>
      <c r="D4" s="104"/>
      <c r="E4" s="104"/>
      <c r="F4" s="104"/>
      <c r="G4" s="104"/>
      <c r="H4" s="104"/>
      <c r="I4" s="104"/>
      <c r="J4" s="130"/>
    </row>
    <row r="5" spans="2:10">
      <c r="B5" s="142" t="s">
        <v>43</v>
      </c>
      <c r="C5" s="165" t="s">
        <v>2</v>
      </c>
      <c r="D5" s="165" t="s">
        <v>4</v>
      </c>
      <c r="E5" s="165"/>
      <c r="F5" s="104"/>
      <c r="G5" s="165" t="s">
        <v>27</v>
      </c>
      <c r="H5" s="104"/>
      <c r="I5" s="104"/>
      <c r="J5" s="130"/>
    </row>
    <row r="6" spans="2:10">
      <c r="B6" s="127" t="s">
        <v>32</v>
      </c>
      <c r="C6" s="104" t="s">
        <v>3</v>
      </c>
      <c r="D6" s="181">
        <f>'Input data'!C7</f>
        <v>13.505000000000001</v>
      </c>
      <c r="E6" s="104"/>
      <c r="F6" s="104"/>
      <c r="G6" s="104"/>
      <c r="H6" s="104"/>
      <c r="I6" s="104"/>
      <c r="J6" s="130"/>
    </row>
    <row r="7" spans="2:10">
      <c r="B7" s="127" t="s">
        <v>31</v>
      </c>
      <c r="C7" s="104" t="s">
        <v>16</v>
      </c>
      <c r="D7" s="129">
        <v>0.6</v>
      </c>
      <c r="E7" s="104"/>
      <c r="F7" s="104"/>
      <c r="G7" s="104" t="s">
        <v>37</v>
      </c>
      <c r="H7" s="104"/>
      <c r="I7" s="104"/>
      <c r="J7" s="130"/>
    </row>
    <row r="8" spans="2:10">
      <c r="B8" s="127"/>
      <c r="C8" s="104" t="s">
        <v>15</v>
      </c>
      <c r="D8" s="129">
        <v>0.25</v>
      </c>
      <c r="E8" s="104"/>
      <c r="F8" s="104"/>
      <c r="G8" s="104"/>
      <c r="H8" s="104"/>
      <c r="I8" s="104"/>
      <c r="J8" s="130"/>
    </row>
    <row r="9" spans="2:10">
      <c r="B9" s="127" t="s">
        <v>29</v>
      </c>
      <c r="C9" s="104" t="s">
        <v>28</v>
      </c>
      <c r="D9" s="129">
        <v>1.25</v>
      </c>
      <c r="E9" s="104"/>
      <c r="F9" s="104"/>
      <c r="G9" s="104"/>
      <c r="H9" s="104"/>
      <c r="I9" s="104"/>
      <c r="J9" s="130"/>
    </row>
    <row r="10" spans="2:10">
      <c r="B10" s="127" t="s">
        <v>30</v>
      </c>
      <c r="C10" s="104" t="s">
        <v>28</v>
      </c>
      <c r="D10" s="129">
        <v>1</v>
      </c>
      <c r="E10" s="104"/>
      <c r="F10" s="104"/>
      <c r="G10" s="104"/>
      <c r="H10" s="104"/>
      <c r="I10" s="104"/>
      <c r="J10" s="130"/>
    </row>
    <row r="11" spans="2:10">
      <c r="B11" s="157" t="s">
        <v>5</v>
      </c>
      <c r="C11" s="104"/>
      <c r="D11" s="104"/>
      <c r="E11" s="104"/>
      <c r="F11" s="104"/>
      <c r="G11" s="104"/>
      <c r="H11" s="104"/>
      <c r="I11" s="104"/>
      <c r="J11" s="130"/>
    </row>
    <row r="12" spans="2:10">
      <c r="B12" s="127" t="s">
        <v>6</v>
      </c>
      <c r="C12" s="104" t="s">
        <v>7</v>
      </c>
      <c r="D12" s="167">
        <v>0.39</v>
      </c>
      <c r="E12" s="104"/>
      <c r="F12" s="104"/>
      <c r="G12" s="104"/>
      <c r="H12" s="104"/>
      <c r="I12" s="104"/>
      <c r="J12" s="130"/>
    </row>
    <row r="13" spans="2:10">
      <c r="B13" s="127" t="s">
        <v>13</v>
      </c>
      <c r="C13" s="104" t="s">
        <v>7</v>
      </c>
      <c r="D13" s="167">
        <v>0.12</v>
      </c>
      <c r="E13" s="104"/>
      <c r="F13" s="104"/>
      <c r="G13" s="104"/>
      <c r="H13" s="104"/>
      <c r="I13" s="104"/>
      <c r="J13" s="130"/>
    </row>
    <row r="14" spans="2:10">
      <c r="B14" s="127" t="s">
        <v>14</v>
      </c>
      <c r="C14" s="104" t="s">
        <v>7</v>
      </c>
      <c r="D14" s="167">
        <v>0.49</v>
      </c>
      <c r="E14" s="104"/>
      <c r="F14" s="104"/>
      <c r="G14" s="104"/>
      <c r="H14" s="104"/>
      <c r="I14" s="104"/>
      <c r="J14" s="130"/>
    </row>
    <row r="15" spans="2:10">
      <c r="B15" s="127"/>
      <c r="C15" s="104"/>
      <c r="D15" s="104"/>
      <c r="E15" s="104"/>
      <c r="F15" s="104"/>
      <c r="G15" s="104"/>
      <c r="H15" s="104"/>
      <c r="I15" s="104"/>
      <c r="J15" s="130"/>
    </row>
    <row r="16" spans="2:10" ht="30">
      <c r="B16" s="157" t="s">
        <v>33</v>
      </c>
      <c r="C16" s="104"/>
      <c r="D16" s="205" t="s">
        <v>17</v>
      </c>
      <c r="E16" s="205" t="s">
        <v>23</v>
      </c>
      <c r="F16" s="205" t="s">
        <v>19</v>
      </c>
      <c r="G16" s="205" t="s">
        <v>24</v>
      </c>
      <c r="H16" s="205" t="s">
        <v>9</v>
      </c>
      <c r="I16" s="205" t="s">
        <v>10</v>
      </c>
      <c r="J16" s="130"/>
    </row>
    <row r="17" spans="2:22">
      <c r="B17" s="213" t="s">
        <v>8</v>
      </c>
      <c r="C17" s="128" t="s">
        <v>25</v>
      </c>
      <c r="D17" s="129">
        <v>0.1</v>
      </c>
      <c r="E17" s="129">
        <v>0</v>
      </c>
      <c r="F17" s="129">
        <v>0.1</v>
      </c>
      <c r="G17" s="129">
        <v>0.28000000000000003</v>
      </c>
      <c r="H17" s="129">
        <v>0.04</v>
      </c>
      <c r="I17" s="129">
        <v>0.48</v>
      </c>
      <c r="J17" s="206"/>
      <c r="L17" s="3"/>
    </row>
    <row r="18" spans="2:22">
      <c r="B18" s="213" t="s">
        <v>11</v>
      </c>
      <c r="C18" s="128" t="s">
        <v>25</v>
      </c>
      <c r="D18" s="129">
        <v>0</v>
      </c>
      <c r="E18" s="129">
        <v>0.7</v>
      </c>
      <c r="F18" s="129">
        <v>0.15</v>
      </c>
      <c r="G18" s="129">
        <v>0.15</v>
      </c>
      <c r="H18" s="129">
        <v>0</v>
      </c>
      <c r="I18" s="129">
        <v>0</v>
      </c>
      <c r="J18" s="206"/>
    </row>
    <row r="19" spans="2:22">
      <c r="B19" s="213" t="s">
        <v>12</v>
      </c>
      <c r="C19" s="128" t="s">
        <v>25</v>
      </c>
      <c r="D19" s="129">
        <v>0.34</v>
      </c>
      <c r="E19" s="129">
        <v>0</v>
      </c>
      <c r="F19" s="129">
        <v>0.17</v>
      </c>
      <c r="G19" s="129">
        <v>0.24</v>
      </c>
      <c r="H19" s="129">
        <v>0.05</v>
      </c>
      <c r="I19" s="129">
        <v>0.2</v>
      </c>
      <c r="J19" s="206"/>
    </row>
    <row r="20" spans="2:22">
      <c r="C20" s="104"/>
      <c r="D20" s="104"/>
      <c r="E20" s="104"/>
      <c r="F20" s="104"/>
      <c r="G20" s="104"/>
      <c r="H20" s="104"/>
      <c r="I20" s="104"/>
      <c r="J20" s="130"/>
    </row>
    <row r="21" spans="2:22">
      <c r="C21" s="104"/>
      <c r="D21" s="104"/>
      <c r="E21" s="104"/>
      <c r="F21" s="104"/>
      <c r="G21" s="104"/>
      <c r="H21" s="104"/>
      <c r="I21" s="104"/>
      <c r="J21" s="130"/>
    </row>
    <row r="22" spans="2:22">
      <c r="B22" s="127"/>
      <c r="C22" s="104"/>
      <c r="D22" s="104"/>
      <c r="E22" s="104"/>
      <c r="F22" s="104"/>
      <c r="G22" s="104"/>
      <c r="H22" s="104"/>
      <c r="I22" s="104"/>
      <c r="J22" s="130"/>
    </row>
    <row r="23" spans="2:22">
      <c r="B23" s="157" t="s">
        <v>26</v>
      </c>
      <c r="C23" s="104"/>
      <c r="D23" s="135" t="s">
        <v>22</v>
      </c>
      <c r="E23" s="104"/>
      <c r="F23" s="118"/>
      <c r="G23" s="104"/>
      <c r="H23" s="104"/>
      <c r="I23" s="104"/>
      <c r="J23" s="130"/>
      <c r="M23" s="99"/>
      <c r="N23" s="99"/>
      <c r="O23" s="99"/>
      <c r="P23" s="99"/>
      <c r="Q23" s="99"/>
      <c r="R23" s="99"/>
      <c r="S23" s="99"/>
      <c r="T23" s="99"/>
      <c r="U23" s="99"/>
      <c r="V23" s="99"/>
    </row>
    <row r="24" spans="2:22">
      <c r="B24" s="127" t="s">
        <v>17</v>
      </c>
      <c r="C24" s="128" t="s">
        <v>196</v>
      </c>
      <c r="D24" s="129">
        <v>0.5</v>
      </c>
      <c r="E24" s="104"/>
      <c r="F24" s="118"/>
      <c r="G24" s="104"/>
      <c r="H24" s="104"/>
      <c r="I24" s="104"/>
      <c r="J24" s="130"/>
      <c r="M24" s="99"/>
      <c r="N24" s="99"/>
      <c r="O24" s="99"/>
      <c r="P24" s="99"/>
      <c r="Q24" s="99"/>
      <c r="R24" s="99"/>
      <c r="S24" s="99"/>
      <c r="T24" s="99"/>
      <c r="U24" s="99"/>
      <c r="V24" s="99"/>
    </row>
    <row r="25" spans="2:22">
      <c r="B25" s="127" t="s">
        <v>18</v>
      </c>
      <c r="C25" s="128" t="s">
        <v>196</v>
      </c>
      <c r="D25" s="129">
        <v>0</v>
      </c>
      <c r="E25" s="104"/>
      <c r="F25" s="118"/>
      <c r="G25" s="104"/>
      <c r="H25" s="104"/>
      <c r="I25" s="104"/>
      <c r="J25" s="130"/>
      <c r="K25" s="104"/>
      <c r="L25" s="168"/>
      <c r="M25" s="203"/>
      <c r="N25" s="203"/>
      <c r="O25" s="203"/>
      <c r="P25" s="99"/>
      <c r="Q25" s="99"/>
      <c r="R25" s="99"/>
      <c r="S25" s="99"/>
      <c r="T25" s="99"/>
      <c r="U25" s="99"/>
      <c r="V25" s="99"/>
    </row>
    <row r="26" spans="2:22">
      <c r="B26" s="127" t="s">
        <v>19</v>
      </c>
      <c r="C26" s="128" t="s">
        <v>196</v>
      </c>
      <c r="D26" s="129">
        <v>0.5</v>
      </c>
      <c r="E26" s="104"/>
      <c r="F26" s="104"/>
      <c r="G26" s="104"/>
      <c r="H26" s="104"/>
      <c r="I26" s="104"/>
      <c r="J26" s="130"/>
      <c r="K26" s="104"/>
      <c r="L26" s="128"/>
      <c r="M26" s="158"/>
      <c r="N26" s="158"/>
      <c r="O26" s="158"/>
      <c r="P26" s="99"/>
      <c r="Q26" s="99"/>
      <c r="R26" s="99"/>
      <c r="S26" s="99"/>
      <c r="T26" s="99"/>
      <c r="U26" s="99"/>
      <c r="V26" s="99"/>
    </row>
    <row r="27" spans="2:22">
      <c r="B27" s="127" t="s">
        <v>24</v>
      </c>
      <c r="C27" s="128" t="s">
        <v>196</v>
      </c>
      <c r="D27" s="129">
        <v>0.1</v>
      </c>
      <c r="E27" s="104"/>
      <c r="F27" s="104"/>
      <c r="G27" s="104"/>
      <c r="H27" s="104"/>
      <c r="I27" s="104"/>
      <c r="J27" s="130"/>
      <c r="K27" s="104"/>
      <c r="L27" s="128"/>
      <c r="M27" s="158"/>
      <c r="N27" s="158"/>
      <c r="O27" s="158"/>
      <c r="P27" s="99"/>
      <c r="Q27" s="99"/>
      <c r="R27" s="99"/>
      <c r="S27" s="99"/>
      <c r="T27" s="99"/>
      <c r="U27" s="99"/>
      <c r="V27" s="99"/>
    </row>
    <row r="28" spans="2:22">
      <c r="B28" s="127" t="s">
        <v>20</v>
      </c>
      <c r="C28" s="128" t="s">
        <v>196</v>
      </c>
      <c r="D28" s="129">
        <v>0.5</v>
      </c>
      <c r="E28" s="104"/>
      <c r="F28" s="104"/>
      <c r="G28" s="104"/>
      <c r="H28" s="104"/>
      <c r="I28" s="104"/>
      <c r="J28" s="130"/>
      <c r="K28" s="104"/>
      <c r="L28" s="128"/>
      <c r="M28" s="158"/>
      <c r="N28" s="158"/>
      <c r="O28" s="158"/>
      <c r="P28" s="99"/>
      <c r="Q28" s="99"/>
      <c r="R28" s="99"/>
      <c r="S28" s="99"/>
      <c r="T28" s="99"/>
      <c r="U28" s="99"/>
      <c r="V28" s="99"/>
    </row>
    <row r="29" spans="2:22">
      <c r="B29" s="127" t="s">
        <v>21</v>
      </c>
      <c r="C29" s="128" t="s">
        <v>196</v>
      </c>
      <c r="D29" s="129">
        <v>0.1</v>
      </c>
      <c r="E29" s="104"/>
      <c r="F29" s="104"/>
      <c r="G29" s="104"/>
      <c r="H29" s="104"/>
      <c r="I29" s="104"/>
      <c r="J29" s="130"/>
      <c r="K29" s="104"/>
      <c r="L29" s="128"/>
      <c r="M29" s="158"/>
      <c r="N29" s="158"/>
      <c r="O29" s="158"/>
      <c r="P29" s="99"/>
      <c r="Q29" s="99"/>
      <c r="R29" s="99"/>
      <c r="S29" s="99"/>
      <c r="T29" s="99"/>
      <c r="U29" s="99"/>
      <c r="V29" s="99"/>
    </row>
    <row r="30" spans="2:22">
      <c r="B30" s="127" t="s">
        <v>9</v>
      </c>
      <c r="C30" s="128" t="s">
        <v>196</v>
      </c>
      <c r="D30" s="129">
        <v>0.1</v>
      </c>
      <c r="E30" s="104"/>
      <c r="F30" s="104"/>
      <c r="G30" s="104"/>
      <c r="H30" s="104"/>
      <c r="I30" s="104"/>
      <c r="J30" s="130"/>
      <c r="K30" s="104"/>
      <c r="L30" s="128"/>
      <c r="M30" s="158"/>
      <c r="N30" s="158"/>
      <c r="O30" s="158"/>
      <c r="P30" s="99"/>
      <c r="Q30" s="99"/>
      <c r="R30" s="99"/>
      <c r="S30" s="99"/>
      <c r="T30" s="99"/>
      <c r="U30" s="99"/>
      <c r="V30" s="99"/>
    </row>
    <row r="31" spans="2:22">
      <c r="B31" s="127" t="s">
        <v>10</v>
      </c>
      <c r="C31" s="128" t="s">
        <v>196</v>
      </c>
      <c r="D31" s="129">
        <v>0</v>
      </c>
      <c r="E31" s="104"/>
      <c r="F31" s="104"/>
      <c r="G31" s="104"/>
      <c r="H31" s="104"/>
      <c r="I31" s="104"/>
      <c r="J31" s="130"/>
      <c r="K31" s="104"/>
      <c r="L31" s="128"/>
      <c r="M31" s="158"/>
      <c r="N31" s="158"/>
      <c r="O31" s="158"/>
      <c r="P31" s="99"/>
      <c r="Q31" s="99"/>
      <c r="R31" s="99"/>
      <c r="S31" s="99"/>
      <c r="T31" s="99"/>
      <c r="U31" s="99"/>
      <c r="V31" s="99"/>
    </row>
    <row r="32" spans="2:22">
      <c r="B32" s="127"/>
      <c r="C32" s="104"/>
      <c r="D32" s="104"/>
      <c r="E32" s="104"/>
      <c r="F32" s="104"/>
      <c r="G32" s="104"/>
      <c r="H32" s="104"/>
      <c r="I32" s="104"/>
      <c r="J32" s="130"/>
      <c r="M32" s="99"/>
      <c r="N32" s="99"/>
      <c r="O32" s="99"/>
      <c r="P32" s="99"/>
      <c r="Q32" s="99"/>
      <c r="R32" s="99"/>
      <c r="S32" s="99"/>
      <c r="T32" s="99"/>
      <c r="U32" s="99"/>
      <c r="V32" s="99"/>
    </row>
    <row r="33" spans="2:22">
      <c r="B33" s="157" t="s">
        <v>34</v>
      </c>
      <c r="C33" s="104"/>
      <c r="D33" s="135" t="s">
        <v>36</v>
      </c>
      <c r="E33" s="104"/>
      <c r="F33" s="104"/>
      <c r="G33" s="104" t="s">
        <v>35</v>
      </c>
      <c r="H33" s="104"/>
      <c r="I33" s="104"/>
      <c r="J33" s="130"/>
      <c r="M33" s="99"/>
      <c r="N33" s="99"/>
      <c r="O33" s="99"/>
      <c r="P33" s="99"/>
      <c r="Q33" s="99"/>
      <c r="R33" s="99"/>
      <c r="S33" s="99"/>
      <c r="T33" s="99"/>
      <c r="U33" s="99"/>
      <c r="V33" s="99"/>
    </row>
    <row r="34" spans="2:22">
      <c r="B34" s="127" t="s">
        <v>17</v>
      </c>
      <c r="C34" s="169" t="s">
        <v>16</v>
      </c>
      <c r="D34" s="118">
        <f>D24*$D$7</f>
        <v>0.3</v>
      </c>
      <c r="E34" s="104"/>
      <c r="F34" s="104"/>
      <c r="G34" s="104"/>
      <c r="H34" s="104"/>
      <c r="I34" s="104"/>
      <c r="J34" s="130"/>
      <c r="M34" s="99"/>
      <c r="N34" s="99"/>
      <c r="O34" s="99"/>
      <c r="P34" s="99"/>
      <c r="Q34" s="99"/>
      <c r="R34" s="99"/>
      <c r="S34" s="99"/>
      <c r="T34" s="99"/>
      <c r="U34" s="99"/>
      <c r="V34" s="99"/>
    </row>
    <row r="35" spans="2:22">
      <c r="B35" s="127" t="s">
        <v>18</v>
      </c>
      <c r="C35" s="169" t="s">
        <v>16</v>
      </c>
      <c r="D35" s="118">
        <f>D25*$D$7</f>
        <v>0</v>
      </c>
      <c r="E35" s="104"/>
      <c r="F35" s="104"/>
      <c r="G35" s="104"/>
      <c r="H35" s="104"/>
      <c r="I35" s="104"/>
      <c r="J35" s="130"/>
      <c r="M35" s="99"/>
      <c r="N35" s="99"/>
      <c r="O35" s="99"/>
      <c r="P35" s="99"/>
      <c r="Q35" s="99"/>
      <c r="R35" s="99"/>
      <c r="S35" s="99"/>
      <c r="T35" s="99"/>
      <c r="U35" s="99"/>
      <c r="V35" s="99"/>
    </row>
    <row r="36" spans="2:22">
      <c r="B36" s="127" t="s">
        <v>19</v>
      </c>
      <c r="C36" s="169" t="s">
        <v>16</v>
      </c>
      <c r="D36" s="118">
        <f t="shared" ref="D36:D41" si="0">D26*$D$7</f>
        <v>0.3</v>
      </c>
      <c r="E36" s="104"/>
      <c r="F36" s="104"/>
      <c r="G36" s="104"/>
      <c r="H36" s="104"/>
      <c r="I36" s="104"/>
      <c r="J36" s="130"/>
      <c r="M36" s="99"/>
      <c r="N36" s="99"/>
      <c r="O36" s="99"/>
      <c r="P36" s="99"/>
      <c r="Q36" s="99"/>
      <c r="R36" s="99"/>
      <c r="S36" s="99"/>
      <c r="T36" s="99"/>
      <c r="U36" s="99"/>
      <c r="V36" s="99"/>
    </row>
    <row r="37" spans="2:22">
      <c r="B37" s="127" t="s">
        <v>24</v>
      </c>
      <c r="C37" s="169" t="s">
        <v>16</v>
      </c>
      <c r="D37" s="118">
        <f t="shared" si="0"/>
        <v>0.06</v>
      </c>
      <c r="E37" s="104"/>
      <c r="F37" s="104"/>
      <c r="G37" s="104"/>
      <c r="H37" s="104"/>
      <c r="I37" s="104"/>
      <c r="J37" s="130"/>
      <c r="M37" s="99"/>
      <c r="N37" s="99"/>
      <c r="O37" s="99"/>
      <c r="P37" s="99"/>
      <c r="Q37" s="99"/>
      <c r="R37" s="99"/>
      <c r="S37" s="99"/>
      <c r="T37" s="99"/>
      <c r="U37" s="99"/>
      <c r="V37" s="99"/>
    </row>
    <row r="38" spans="2:22">
      <c r="B38" s="127" t="s">
        <v>20</v>
      </c>
      <c r="C38" s="169" t="s">
        <v>16</v>
      </c>
      <c r="D38" s="118">
        <f t="shared" si="0"/>
        <v>0.3</v>
      </c>
      <c r="E38" s="104"/>
      <c r="F38" s="104"/>
      <c r="G38" s="104"/>
      <c r="H38" s="104"/>
      <c r="I38" s="104"/>
      <c r="J38" s="130"/>
      <c r="M38" s="99"/>
      <c r="N38" s="99"/>
      <c r="O38" s="99"/>
      <c r="P38" s="99"/>
      <c r="Q38" s="99"/>
      <c r="R38" s="99"/>
      <c r="S38" s="99"/>
      <c r="T38" s="99"/>
      <c r="U38" s="99"/>
      <c r="V38" s="99"/>
    </row>
    <row r="39" spans="2:22">
      <c r="B39" s="127" t="s">
        <v>21</v>
      </c>
      <c r="C39" s="169" t="s">
        <v>16</v>
      </c>
      <c r="D39" s="118">
        <f t="shared" si="0"/>
        <v>0.06</v>
      </c>
      <c r="E39" s="104"/>
      <c r="F39" s="104"/>
      <c r="G39" s="104"/>
      <c r="H39" s="104"/>
      <c r="I39" s="104"/>
      <c r="J39" s="130"/>
      <c r="M39" s="99"/>
      <c r="N39" s="99"/>
      <c r="O39" s="99"/>
      <c r="P39" s="99"/>
      <c r="Q39" s="99"/>
      <c r="R39" s="99"/>
      <c r="S39" s="99"/>
      <c r="T39" s="99"/>
      <c r="U39" s="99"/>
      <c r="V39" s="99"/>
    </row>
    <row r="40" spans="2:22">
      <c r="B40" s="127" t="s">
        <v>9</v>
      </c>
      <c r="C40" s="169" t="s">
        <v>16</v>
      </c>
      <c r="D40" s="118">
        <f t="shared" si="0"/>
        <v>0.06</v>
      </c>
      <c r="E40" s="104"/>
      <c r="F40" s="104"/>
      <c r="G40" s="104"/>
      <c r="H40" s="104"/>
      <c r="I40" s="104"/>
      <c r="J40" s="130"/>
      <c r="M40" s="99"/>
      <c r="N40" s="99"/>
      <c r="O40" s="99"/>
      <c r="P40" s="99"/>
      <c r="Q40" s="99"/>
      <c r="R40" s="99"/>
      <c r="S40" s="99"/>
      <c r="T40" s="99"/>
      <c r="U40" s="99"/>
      <c r="V40" s="99"/>
    </row>
    <row r="41" spans="2:22">
      <c r="B41" s="127" t="s">
        <v>10</v>
      </c>
      <c r="C41" s="169" t="s">
        <v>16</v>
      </c>
      <c r="D41" s="118">
        <f t="shared" si="0"/>
        <v>0</v>
      </c>
      <c r="E41" s="104"/>
      <c r="F41" s="104"/>
      <c r="G41" s="104"/>
      <c r="H41" s="104"/>
      <c r="I41" s="104"/>
      <c r="J41" s="130"/>
      <c r="M41" s="99"/>
      <c r="N41" s="99"/>
      <c r="O41" s="99"/>
      <c r="P41" s="99"/>
      <c r="Q41" s="99"/>
      <c r="R41" s="99"/>
      <c r="S41" s="99"/>
      <c r="T41" s="99"/>
      <c r="U41" s="99"/>
      <c r="V41" s="99"/>
    </row>
    <row r="42" spans="2:22">
      <c r="B42" s="127"/>
      <c r="C42" s="104"/>
      <c r="D42" s="104"/>
      <c r="E42" s="104"/>
      <c r="F42" s="104"/>
      <c r="G42" s="104"/>
      <c r="H42" s="104"/>
      <c r="I42" s="104"/>
      <c r="J42" s="130"/>
    </row>
    <row r="43" spans="2:22">
      <c r="B43" s="164" t="s">
        <v>40</v>
      </c>
      <c r="C43" s="104"/>
      <c r="D43" s="104"/>
      <c r="E43" s="104"/>
      <c r="F43" s="104"/>
      <c r="G43" s="104"/>
      <c r="H43" s="104"/>
      <c r="I43" s="104"/>
      <c r="J43" s="130"/>
    </row>
    <row r="44" spans="2:22">
      <c r="B44" s="142" t="s">
        <v>43</v>
      </c>
      <c r="C44" s="104"/>
      <c r="D44" s="104"/>
      <c r="E44" s="104"/>
      <c r="F44" s="104"/>
      <c r="G44" s="104"/>
      <c r="H44" s="104"/>
      <c r="I44" s="104"/>
      <c r="J44" s="130"/>
    </row>
    <row r="45" spans="2:22">
      <c r="B45" s="127" t="s">
        <v>51</v>
      </c>
      <c r="C45" s="169" t="s">
        <v>52</v>
      </c>
      <c r="D45" s="170">
        <f>'Input data'!C8</f>
        <v>29.169396153846154</v>
      </c>
      <c r="E45" s="104"/>
      <c r="F45" s="104"/>
      <c r="G45" s="104" t="s">
        <v>50</v>
      </c>
      <c r="H45" s="104"/>
      <c r="I45" s="104"/>
      <c r="J45" s="130"/>
    </row>
    <row r="46" spans="2:22">
      <c r="B46" s="127" t="s">
        <v>44</v>
      </c>
      <c r="C46" s="169" t="s">
        <v>42</v>
      </c>
      <c r="D46" s="129">
        <v>0.16</v>
      </c>
      <c r="E46" s="104"/>
      <c r="F46" s="104"/>
      <c r="G46" s="104"/>
      <c r="H46" s="104"/>
      <c r="I46" s="104"/>
      <c r="J46" s="130"/>
    </row>
    <row r="47" spans="2:22">
      <c r="B47" s="127" t="s">
        <v>46</v>
      </c>
      <c r="C47" s="169" t="s">
        <v>28</v>
      </c>
      <c r="D47" s="129">
        <v>1.1000000000000001</v>
      </c>
      <c r="E47" s="104"/>
      <c r="F47" s="104"/>
      <c r="G47" s="104"/>
      <c r="H47" s="104"/>
      <c r="I47" s="104"/>
      <c r="J47" s="130"/>
    </row>
    <row r="48" spans="2:22">
      <c r="B48" s="127" t="s">
        <v>47</v>
      </c>
      <c r="C48" s="169" t="s">
        <v>28</v>
      </c>
      <c r="D48" s="129">
        <v>1.25</v>
      </c>
      <c r="E48" s="104"/>
      <c r="F48" s="104"/>
      <c r="G48" s="104"/>
      <c r="H48" s="104"/>
      <c r="I48" s="104"/>
      <c r="J48" s="130"/>
    </row>
    <row r="49" spans="2:10">
      <c r="B49" s="127" t="s">
        <v>166</v>
      </c>
      <c r="C49" s="169" t="s">
        <v>48</v>
      </c>
      <c r="D49" s="129">
        <v>0</v>
      </c>
      <c r="E49" s="104"/>
      <c r="F49" s="104"/>
      <c r="G49" s="104"/>
      <c r="H49" s="104"/>
      <c r="I49" s="104"/>
      <c r="J49" s="130"/>
    </row>
    <row r="50" spans="2:10">
      <c r="B50" s="127" t="s">
        <v>45</v>
      </c>
      <c r="C50" s="169" t="s">
        <v>167</v>
      </c>
      <c r="D50" s="171">
        <v>5.0000000000000001E-3</v>
      </c>
      <c r="E50" s="104"/>
      <c r="F50" s="104"/>
      <c r="G50" s="104"/>
      <c r="H50" s="104"/>
      <c r="I50" s="104"/>
      <c r="J50" s="130"/>
    </row>
    <row r="51" spans="2:10">
      <c r="B51" s="127" t="s">
        <v>49</v>
      </c>
      <c r="C51" s="169" t="s">
        <v>28</v>
      </c>
      <c r="D51" s="129">
        <f>44/28</f>
        <v>1.5714285714285714</v>
      </c>
      <c r="E51" s="104"/>
      <c r="F51" s="104"/>
      <c r="G51" s="104"/>
      <c r="H51" s="104"/>
      <c r="I51" s="104"/>
      <c r="J51" s="130"/>
    </row>
    <row r="52" spans="2:10" ht="15.75" thickBot="1">
      <c r="B52" s="172"/>
      <c r="C52" s="163"/>
      <c r="D52" s="173"/>
      <c r="E52" s="163"/>
      <c r="F52" s="163"/>
      <c r="G52" s="163"/>
      <c r="H52" s="163"/>
      <c r="I52" s="163"/>
      <c r="J52" s="140"/>
    </row>
    <row r="53" spans="2:10">
      <c r="B53" s="156" t="s">
        <v>38</v>
      </c>
      <c r="C53" s="115"/>
      <c r="D53" s="115"/>
      <c r="E53" s="115"/>
      <c r="F53" s="115"/>
      <c r="G53" s="115"/>
      <c r="H53" s="115"/>
      <c r="I53" s="115"/>
      <c r="J53" s="116"/>
    </row>
    <row r="54" spans="2:10">
      <c r="B54" s="127"/>
      <c r="C54" s="104"/>
      <c r="D54" s="104"/>
      <c r="E54" s="104"/>
      <c r="F54" s="104"/>
      <c r="G54" s="104"/>
      <c r="H54" s="104"/>
      <c r="I54" s="104"/>
      <c r="J54" s="130"/>
    </row>
    <row r="55" spans="2:10">
      <c r="B55" s="157" t="s">
        <v>162</v>
      </c>
      <c r="C55" s="104"/>
      <c r="D55" s="104"/>
      <c r="E55" s="104"/>
      <c r="F55" s="104"/>
      <c r="G55" s="104"/>
      <c r="H55" s="104"/>
      <c r="I55" s="104"/>
      <c r="J55" s="130"/>
    </row>
    <row r="56" spans="2:10">
      <c r="B56" s="157" t="s">
        <v>164</v>
      </c>
      <c r="C56" s="128" t="s">
        <v>25</v>
      </c>
      <c r="D56" s="144">
        <v>0.09</v>
      </c>
      <c r="E56" s="104"/>
      <c r="F56" s="104"/>
      <c r="G56" s="104" t="s">
        <v>165</v>
      </c>
      <c r="H56" s="104"/>
      <c r="I56" s="104"/>
      <c r="J56" s="130"/>
    </row>
    <row r="57" spans="2:10">
      <c r="B57" s="127" t="s">
        <v>163</v>
      </c>
      <c r="C57" s="128" t="s">
        <v>25</v>
      </c>
      <c r="D57" s="129">
        <v>0.6</v>
      </c>
      <c r="E57" s="104"/>
      <c r="F57" s="104"/>
      <c r="G57" s="104"/>
      <c r="H57" s="104"/>
      <c r="I57" s="104"/>
      <c r="J57" s="130"/>
    </row>
    <row r="58" spans="2:10">
      <c r="B58" s="127" t="s">
        <v>195</v>
      </c>
      <c r="C58" s="128" t="s">
        <v>196</v>
      </c>
      <c r="D58" s="129">
        <f>44/12</f>
        <v>3.6666666666666665</v>
      </c>
      <c r="E58" s="104"/>
      <c r="F58" s="104"/>
      <c r="G58" s="104"/>
      <c r="H58" s="104"/>
      <c r="I58" s="104"/>
      <c r="J58" s="130"/>
    </row>
    <row r="59" spans="2:10">
      <c r="B59" s="127" t="s">
        <v>173</v>
      </c>
      <c r="C59" s="128" t="s">
        <v>25</v>
      </c>
      <c r="D59" s="129">
        <v>0.57999999999999996</v>
      </c>
      <c r="E59" s="104"/>
      <c r="F59" s="104"/>
      <c r="G59" s="104" t="s">
        <v>168</v>
      </c>
      <c r="H59" s="104"/>
      <c r="I59" s="104"/>
      <c r="J59" s="130"/>
    </row>
    <row r="60" spans="2:10">
      <c r="B60" s="127"/>
      <c r="C60" s="128"/>
      <c r="D60" s="158"/>
      <c r="E60" s="104"/>
      <c r="F60" s="104"/>
      <c r="G60" s="104"/>
      <c r="H60" s="104"/>
      <c r="I60" s="104"/>
      <c r="J60" s="130"/>
    </row>
    <row r="61" spans="2:10">
      <c r="B61" s="127" t="s">
        <v>170</v>
      </c>
      <c r="C61" s="131" t="s">
        <v>169</v>
      </c>
      <c r="D61" s="159">
        <v>6500</v>
      </c>
      <c r="E61" s="104"/>
      <c r="F61" s="104"/>
      <c r="G61" s="104" t="s">
        <v>168</v>
      </c>
      <c r="H61" s="104"/>
      <c r="I61" s="104"/>
      <c r="J61" s="130"/>
    </row>
    <row r="62" spans="2:10">
      <c r="B62" s="127" t="s">
        <v>171</v>
      </c>
      <c r="C62" s="131" t="s">
        <v>172</v>
      </c>
      <c r="D62" s="159">
        <v>150</v>
      </c>
      <c r="E62" s="104"/>
      <c r="F62" s="104"/>
      <c r="G62" s="104" t="s">
        <v>168</v>
      </c>
      <c r="H62" s="104"/>
      <c r="I62" s="104"/>
      <c r="J62" s="130"/>
    </row>
    <row r="63" spans="2:10">
      <c r="B63" s="127" t="s">
        <v>197</v>
      </c>
      <c r="C63" s="128" t="s">
        <v>196</v>
      </c>
      <c r="D63" s="160">
        <f>10^(-6)</f>
        <v>9.9999999999999995E-7</v>
      </c>
      <c r="E63" s="104"/>
      <c r="F63" s="104"/>
      <c r="G63" s="104"/>
      <c r="H63" s="104"/>
      <c r="I63" s="104"/>
      <c r="J63" s="130"/>
    </row>
    <row r="64" spans="2:10">
      <c r="B64" s="127"/>
      <c r="C64" s="131"/>
      <c r="D64" s="133"/>
      <c r="E64" s="104"/>
      <c r="F64" s="104"/>
      <c r="G64" s="104"/>
      <c r="H64" s="104"/>
      <c r="I64" s="104"/>
      <c r="J64" s="130"/>
    </row>
    <row r="65" spans="2:16" ht="30">
      <c r="B65" s="134" t="s">
        <v>186</v>
      </c>
      <c r="C65" s="8"/>
      <c r="D65" s="571" t="s">
        <v>221</v>
      </c>
      <c r="E65" s="571" t="s">
        <v>85</v>
      </c>
      <c r="F65" s="571" t="s">
        <v>87</v>
      </c>
      <c r="G65" s="571" t="s">
        <v>222</v>
      </c>
      <c r="H65" s="571" t="s">
        <v>115</v>
      </c>
      <c r="I65" s="571" t="s">
        <v>223</v>
      </c>
      <c r="J65" s="572" t="s">
        <v>224</v>
      </c>
    </row>
    <row r="66" spans="2:16">
      <c r="B66" s="569" t="s">
        <v>36</v>
      </c>
      <c r="C66" s="128" t="s">
        <v>25</v>
      </c>
      <c r="D66" s="136">
        <f>'MSW characteristics'!B44*'MSW characteristics'!B47*'MSW characteristics'!B48</f>
        <v>0</v>
      </c>
      <c r="E66" s="136">
        <f>'MSW characteristics'!C44*'MSW characteristics'!C47*'MSW characteristics'!C48</f>
        <v>0</v>
      </c>
      <c r="F66" s="136">
        <f>'MSW characteristics'!D44*'MSW characteristics'!D47*'MSW characteristics'!D48</f>
        <v>4.1400000000000005E-3</v>
      </c>
      <c r="G66" s="136">
        <f>'MSW characteristics'!E44*'MSW characteristics'!E47*'MSW characteristics'!E48</f>
        <v>0</v>
      </c>
      <c r="H66" s="136">
        <f>'MSW characteristics'!F44*'MSW characteristics'!F47*'MSW characteristics'!F48</f>
        <v>8.0000000000000016E-2</v>
      </c>
      <c r="I66" s="136">
        <f>'MSW characteristics'!G44*'MSW characteristics'!G47*'MSW characteristics'!G48</f>
        <v>2.7999999999999997E-2</v>
      </c>
      <c r="J66" s="570">
        <f>'MSW characteristics'!H44*'MSW characteristics'!H47*'MSW characteristics'!H48</f>
        <v>2.7E-2</v>
      </c>
      <c r="K66" s="136"/>
      <c r="L66" s="136"/>
      <c r="M66" s="136"/>
      <c r="N66" s="136"/>
      <c r="O66" s="136"/>
      <c r="P66" s="136"/>
    </row>
    <row r="67" spans="2:16" ht="15.75" thickBot="1">
      <c r="B67" s="161"/>
      <c r="C67" s="162"/>
      <c r="D67" s="163"/>
      <c r="E67" s="163"/>
      <c r="F67" s="163"/>
      <c r="G67" s="163"/>
      <c r="H67" s="163"/>
      <c r="I67" s="163"/>
      <c r="J67" s="140"/>
    </row>
    <row r="68" spans="2:16">
      <c r="B68" s="141" t="s">
        <v>174</v>
      </c>
      <c r="C68" s="177"/>
      <c r="D68" s="115"/>
      <c r="E68" s="115"/>
      <c r="F68" s="115"/>
      <c r="G68" s="115"/>
      <c r="H68" s="115"/>
      <c r="I68" s="115"/>
      <c r="J68" s="116"/>
    </row>
    <row r="69" spans="2:16">
      <c r="B69" s="100"/>
      <c r="C69" s="99"/>
      <c r="D69" s="104"/>
      <c r="E69" s="104"/>
      <c r="F69" s="104"/>
      <c r="G69" s="104"/>
      <c r="H69" s="104"/>
      <c r="I69" s="104"/>
      <c r="J69" s="130"/>
    </row>
    <row r="70" spans="2:16">
      <c r="B70" s="157" t="s">
        <v>175</v>
      </c>
      <c r="C70" s="104"/>
      <c r="D70" s="165" t="s">
        <v>177</v>
      </c>
      <c r="E70" s="165" t="s">
        <v>178</v>
      </c>
      <c r="F70" s="104"/>
      <c r="G70" s="165" t="s">
        <v>185</v>
      </c>
      <c r="H70" s="104"/>
      <c r="I70" s="104"/>
      <c r="J70" s="130"/>
    </row>
    <row r="71" spans="2:16">
      <c r="B71" s="127" t="s">
        <v>176</v>
      </c>
      <c r="C71" s="104" t="s">
        <v>179</v>
      </c>
      <c r="D71" s="104">
        <v>10</v>
      </c>
      <c r="E71" s="104">
        <v>4</v>
      </c>
      <c r="F71" s="104"/>
      <c r="G71" s="1700" t="s">
        <v>184</v>
      </c>
      <c r="H71" s="104"/>
      <c r="I71" s="104"/>
      <c r="J71" s="130"/>
    </row>
    <row r="72" spans="2:16">
      <c r="B72" s="127" t="s">
        <v>180</v>
      </c>
      <c r="C72" s="104" t="s">
        <v>179</v>
      </c>
      <c r="D72" s="104">
        <v>2</v>
      </c>
      <c r="E72" s="104">
        <v>0.8</v>
      </c>
      <c r="F72" s="104"/>
      <c r="G72" s="1700"/>
      <c r="H72" s="104"/>
      <c r="I72" s="104"/>
      <c r="J72" s="130"/>
    </row>
    <row r="73" spans="2:16">
      <c r="B73" s="157" t="s">
        <v>181</v>
      </c>
      <c r="C73" s="104"/>
      <c r="D73" s="104"/>
      <c r="E73" s="104"/>
      <c r="F73" s="104"/>
      <c r="G73" s="1700"/>
      <c r="H73" s="104"/>
      <c r="I73" s="104"/>
      <c r="J73" s="130"/>
    </row>
    <row r="74" spans="2:16">
      <c r="B74" s="127" t="s">
        <v>176</v>
      </c>
      <c r="C74" s="104" t="s">
        <v>183</v>
      </c>
      <c r="D74" s="104">
        <v>0.6</v>
      </c>
      <c r="E74" s="104">
        <v>0.24</v>
      </c>
      <c r="F74" s="104"/>
      <c r="G74" s="1700"/>
      <c r="H74" s="104"/>
      <c r="I74" s="104"/>
      <c r="J74" s="130"/>
    </row>
    <row r="75" spans="2:16">
      <c r="B75" s="127" t="s">
        <v>180</v>
      </c>
      <c r="C75" s="104" t="s">
        <v>183</v>
      </c>
      <c r="D75" s="169" t="s">
        <v>182</v>
      </c>
      <c r="E75" s="169" t="s">
        <v>182</v>
      </c>
      <c r="F75" s="104"/>
      <c r="G75" s="1700"/>
      <c r="H75" s="104"/>
      <c r="I75" s="104"/>
      <c r="J75" s="130"/>
    </row>
    <row r="76" spans="2:16" ht="15.75" thickBot="1">
      <c r="B76" s="172"/>
      <c r="C76" s="163"/>
      <c r="D76" s="163"/>
      <c r="E76" s="163"/>
      <c r="F76" s="163"/>
      <c r="G76" s="163"/>
      <c r="H76" s="163"/>
      <c r="I76" s="163"/>
      <c r="J76" s="140"/>
    </row>
    <row r="77" spans="2:16">
      <c r="B77" s="141" t="s">
        <v>198</v>
      </c>
      <c r="C77" s="115"/>
      <c r="D77" s="115"/>
      <c r="E77" s="115"/>
      <c r="F77" s="115"/>
      <c r="G77" s="115"/>
      <c r="H77" s="115"/>
      <c r="I77" s="115"/>
      <c r="J77" s="116"/>
    </row>
    <row r="78" spans="2:16">
      <c r="B78" s="127"/>
      <c r="C78" s="104"/>
      <c r="D78" s="104"/>
      <c r="E78" s="104"/>
      <c r="F78" s="104"/>
      <c r="G78" s="104"/>
      <c r="H78" s="104"/>
      <c r="I78" s="104"/>
      <c r="J78" s="130"/>
    </row>
    <row r="79" spans="2:16">
      <c r="B79" s="142" t="s">
        <v>199</v>
      </c>
      <c r="C79" s="104"/>
      <c r="D79" s="104"/>
      <c r="E79" s="104"/>
      <c r="F79" s="104"/>
      <c r="G79" s="104"/>
      <c r="H79" s="104"/>
      <c r="I79" s="104"/>
      <c r="J79" s="130"/>
    </row>
    <row r="80" spans="2:16">
      <c r="C80" s="104"/>
      <c r="D80" s="104"/>
      <c r="E80" s="104"/>
      <c r="F80" s="104"/>
      <c r="G80" s="104"/>
      <c r="H80" s="104"/>
      <c r="I80" s="104"/>
      <c r="J80" s="130"/>
    </row>
    <row r="81" spans="2:10" ht="15.75">
      <c r="B81" s="720" t="s">
        <v>206</v>
      </c>
      <c r="C81" s="722" t="s">
        <v>613</v>
      </c>
      <c r="D81" s="721"/>
      <c r="E81" s="104"/>
      <c r="F81" s="104"/>
      <c r="G81" s="104"/>
      <c r="H81" s="104"/>
      <c r="I81" s="104"/>
      <c r="J81" s="130"/>
    </row>
    <row r="82" spans="2:10">
      <c r="B82" s="143" t="s">
        <v>200</v>
      </c>
      <c r="C82" s="144"/>
      <c r="D82" s="145" t="s">
        <v>22</v>
      </c>
      <c r="E82" s="146"/>
      <c r="F82" s="146"/>
      <c r="G82" s="104"/>
      <c r="H82" s="104"/>
      <c r="I82" s="104"/>
      <c r="J82" s="130"/>
    </row>
    <row r="83" spans="2:10">
      <c r="B83" s="147" t="s">
        <v>201</v>
      </c>
      <c r="C83" s="148" t="s">
        <v>196</v>
      </c>
      <c r="D83" s="149">
        <v>1</v>
      </c>
      <c r="E83" s="146"/>
      <c r="F83" s="146"/>
      <c r="G83" s="104"/>
      <c r="H83" s="104"/>
      <c r="I83" s="104"/>
      <c r="J83" s="130"/>
    </row>
    <row r="84" spans="2:10">
      <c r="B84" s="147" t="s">
        <v>202</v>
      </c>
      <c r="C84" s="148" t="s">
        <v>196</v>
      </c>
      <c r="D84" s="149">
        <v>0.5</v>
      </c>
      <c r="E84" s="146"/>
      <c r="F84" s="146"/>
      <c r="G84" s="104"/>
      <c r="H84" s="104"/>
      <c r="I84" s="104"/>
      <c r="J84" s="130"/>
    </row>
    <row r="85" spans="2:10">
      <c r="B85" s="147" t="s">
        <v>203</v>
      </c>
      <c r="C85" s="148" t="s">
        <v>196</v>
      </c>
      <c r="D85" s="149">
        <v>0.8</v>
      </c>
      <c r="E85" s="146"/>
      <c r="F85" s="146"/>
      <c r="G85" s="104"/>
      <c r="H85" s="104"/>
      <c r="I85" s="104"/>
      <c r="J85" s="130"/>
    </row>
    <row r="86" spans="2:10">
      <c r="B86" s="147" t="s">
        <v>204</v>
      </c>
      <c r="C86" s="148" t="s">
        <v>196</v>
      </c>
      <c r="D86" s="149">
        <v>0.4</v>
      </c>
      <c r="E86" s="146"/>
      <c r="F86" s="146"/>
      <c r="G86" s="104"/>
      <c r="H86" s="104"/>
      <c r="I86" s="104"/>
      <c r="J86" s="130"/>
    </row>
    <row r="87" spans="2:10">
      <c r="B87" s="147" t="s">
        <v>205</v>
      </c>
      <c r="C87" s="148" t="s">
        <v>196</v>
      </c>
      <c r="D87" s="149">
        <v>0.6</v>
      </c>
      <c r="E87" s="146"/>
      <c r="F87" s="146"/>
      <c r="G87" s="104"/>
      <c r="H87" s="104"/>
      <c r="I87" s="104"/>
      <c r="J87" s="130"/>
    </row>
    <row r="88" spans="2:10">
      <c r="B88" s="127"/>
      <c r="C88" s="128"/>
      <c r="D88" s="146"/>
      <c r="E88" s="146"/>
      <c r="F88" s="146"/>
      <c r="G88" s="104"/>
      <c r="H88" s="104"/>
      <c r="I88" s="104"/>
      <c r="J88" s="130"/>
    </row>
    <row r="89" spans="2:10">
      <c r="B89" s="127" t="s">
        <v>210</v>
      </c>
      <c r="C89" s="104"/>
      <c r="D89" s="135" t="s">
        <v>209</v>
      </c>
      <c r="E89" s="146"/>
      <c r="F89" s="146"/>
      <c r="G89" s="104"/>
      <c r="H89" s="104"/>
      <c r="I89" s="104"/>
      <c r="J89" s="130"/>
    </row>
    <row r="90" spans="2:10">
      <c r="B90" s="127" t="s">
        <v>207</v>
      </c>
      <c r="C90" s="128" t="s">
        <v>196</v>
      </c>
      <c r="D90" s="105">
        <v>0</v>
      </c>
      <c r="E90" s="104"/>
      <c r="F90" s="104"/>
      <c r="G90" s="104"/>
      <c r="H90" s="104"/>
      <c r="I90" s="104"/>
      <c r="J90" s="130"/>
    </row>
    <row r="91" spans="2:10">
      <c r="B91" s="127" t="s">
        <v>208</v>
      </c>
      <c r="C91" s="128" t="s">
        <v>196</v>
      </c>
      <c r="D91" s="105">
        <v>0.1</v>
      </c>
      <c r="E91" s="104"/>
      <c r="F91" s="104"/>
      <c r="G91" s="104"/>
      <c r="H91" s="104"/>
      <c r="I91" s="104"/>
      <c r="J91" s="130"/>
    </row>
    <row r="92" spans="2:10">
      <c r="B92" s="127"/>
      <c r="C92" s="128"/>
      <c r="D92" s="312" t="s">
        <v>267</v>
      </c>
      <c r="E92" s="168" t="s">
        <v>356</v>
      </c>
      <c r="F92" s="168" t="s">
        <v>361</v>
      </c>
      <c r="G92" s="104"/>
      <c r="H92" s="104"/>
      <c r="I92" s="104"/>
      <c r="J92" s="130"/>
    </row>
    <row r="93" spans="2:10">
      <c r="B93" s="150" t="s">
        <v>213</v>
      </c>
      <c r="C93" s="99"/>
      <c r="D93" s="99" t="s">
        <v>216</v>
      </c>
      <c r="E93" s="99" t="s">
        <v>216</v>
      </c>
      <c r="F93" s="104"/>
      <c r="G93" s="104" t="s">
        <v>214</v>
      </c>
      <c r="H93" s="104"/>
      <c r="I93" s="104"/>
      <c r="J93" s="130"/>
    </row>
    <row r="94" spans="2:10">
      <c r="B94" s="150" t="s">
        <v>357</v>
      </c>
      <c r="C94" s="99"/>
      <c r="D94" s="99" t="s">
        <v>358</v>
      </c>
      <c r="E94" s="99">
        <v>0.15</v>
      </c>
      <c r="F94" s="104">
        <v>0.05</v>
      </c>
      <c r="G94" s="104"/>
      <c r="H94" s="104"/>
      <c r="I94" s="104"/>
      <c r="J94" s="130"/>
    </row>
    <row r="95" spans="2:10">
      <c r="B95" s="150" t="s">
        <v>260</v>
      </c>
      <c r="C95" s="99"/>
      <c r="D95" s="99">
        <v>0.5</v>
      </c>
      <c r="E95" s="104">
        <v>0.5</v>
      </c>
      <c r="F95" s="104">
        <v>0.5</v>
      </c>
      <c r="G95" s="104"/>
      <c r="H95" s="104"/>
      <c r="I95" s="104"/>
      <c r="J95" s="130"/>
    </row>
    <row r="96" spans="2:10" ht="71.45" customHeight="1">
      <c r="B96" s="174" t="s">
        <v>257</v>
      </c>
      <c r="C96" s="175"/>
      <c r="D96" s="176">
        <f>'MSW characteristics'!C12</f>
        <v>0.05</v>
      </c>
      <c r="E96" s="315">
        <v>0.05</v>
      </c>
      <c r="F96" s="176">
        <v>0.06</v>
      </c>
      <c r="G96" s="200" t="s">
        <v>215</v>
      </c>
      <c r="H96" s="99"/>
      <c r="I96" s="99"/>
      <c r="J96" s="130"/>
    </row>
    <row r="97" spans="2:20">
      <c r="B97" s="150" t="s">
        <v>258</v>
      </c>
      <c r="C97" s="99" t="s">
        <v>211</v>
      </c>
      <c r="D97" s="106">
        <f>LN(2)/D96</f>
        <v>13.862943611198904</v>
      </c>
      <c r="E97" s="106">
        <f>LN(2)/E96</f>
        <v>13.862943611198904</v>
      </c>
      <c r="F97" s="106">
        <f>LN(2)/F96</f>
        <v>11.552453009332423</v>
      </c>
      <c r="G97" s="99" t="s">
        <v>212</v>
      </c>
      <c r="H97" s="99"/>
      <c r="I97" s="99"/>
      <c r="J97" s="130"/>
    </row>
    <row r="98" spans="2:20">
      <c r="B98" s="150" t="s">
        <v>255</v>
      </c>
      <c r="C98" s="99" t="s">
        <v>256</v>
      </c>
      <c r="D98" s="106">
        <v>6</v>
      </c>
      <c r="E98" s="104">
        <v>6</v>
      </c>
      <c r="F98" s="104">
        <v>6</v>
      </c>
      <c r="G98" s="99"/>
      <c r="H98" s="99"/>
      <c r="I98" s="99"/>
      <c r="J98" s="130"/>
    </row>
    <row r="99" spans="2:20">
      <c r="B99" s="151" t="s">
        <v>248</v>
      </c>
      <c r="C99" s="108" t="s">
        <v>249</v>
      </c>
      <c r="D99" s="109">
        <f>EXP(-$D$96)</f>
        <v>0.95122942450071402</v>
      </c>
      <c r="E99" s="109">
        <f>EXP(-$E$96)</f>
        <v>0.95122942450071402</v>
      </c>
      <c r="F99" s="109">
        <f>EXP(-$F$96)</f>
        <v>0.94176453358424872</v>
      </c>
      <c r="G99" s="109"/>
      <c r="H99" s="99"/>
      <c r="I99" s="99"/>
      <c r="J99" s="130"/>
    </row>
    <row r="100" spans="2:20">
      <c r="B100" s="151" t="s">
        <v>250</v>
      </c>
      <c r="C100" s="108" t="s">
        <v>251</v>
      </c>
      <c r="D100" s="109">
        <f>D98+7</f>
        <v>13</v>
      </c>
      <c r="E100" s="109">
        <f>E98+7</f>
        <v>13</v>
      </c>
      <c r="F100" s="109">
        <f>F98+7</f>
        <v>13</v>
      </c>
      <c r="G100" s="109"/>
      <c r="H100" s="99"/>
      <c r="I100" s="99"/>
      <c r="J100" s="130"/>
    </row>
    <row r="101" spans="2:20">
      <c r="B101" s="151" t="s">
        <v>252</v>
      </c>
      <c r="C101" s="108" t="s">
        <v>253</v>
      </c>
      <c r="D101" s="109">
        <f>EXP(-$D$96*((13-D100)/12))</f>
        <v>1</v>
      </c>
      <c r="E101" s="109">
        <f>EXP(-$E$96*((13-E100)/12))</f>
        <v>1</v>
      </c>
      <c r="F101" s="109">
        <f>EXP(-$F$96*((13-F100)/12))</f>
        <v>1</v>
      </c>
      <c r="G101" s="109"/>
      <c r="H101" s="99"/>
      <c r="I101" s="99"/>
      <c r="J101" s="130"/>
    </row>
    <row r="102" spans="2:20">
      <c r="B102" s="151" t="s">
        <v>259</v>
      </c>
      <c r="C102" s="108" t="s">
        <v>254</v>
      </c>
      <c r="D102" s="110">
        <f>CH4_fraction</f>
        <v>0.5</v>
      </c>
      <c r="E102" s="313">
        <f>D102</f>
        <v>0.5</v>
      </c>
      <c r="F102" s="313">
        <f>E102</f>
        <v>0.5</v>
      </c>
      <c r="G102" s="110"/>
      <c r="H102" s="99"/>
      <c r="I102" s="99"/>
      <c r="J102" s="130"/>
    </row>
    <row r="103" spans="2:20" ht="15.75" thickBot="1">
      <c r="B103" s="202"/>
      <c r="C103" s="155"/>
      <c r="D103" s="155"/>
      <c r="E103" s="155"/>
      <c r="F103" s="153"/>
      <c r="G103" s="154"/>
      <c r="H103" s="162"/>
      <c r="I103" s="162"/>
      <c r="J103" s="140"/>
    </row>
    <row r="104" spans="2:20">
      <c r="B104" s="723" t="s">
        <v>599</v>
      </c>
      <c r="C104" s="107"/>
      <c r="D104" s="107"/>
      <c r="E104" s="107"/>
      <c r="F104" s="108"/>
      <c r="G104" s="111"/>
      <c r="H104" s="99"/>
      <c r="I104" s="99"/>
    </row>
    <row r="105" spans="2:20" ht="15.75">
      <c r="C105" s="112" t="s">
        <v>261</v>
      </c>
      <c r="Q105" s="1701" t="s">
        <v>262</v>
      </c>
      <c r="R105" s="1701"/>
      <c r="S105" s="1701"/>
      <c r="T105" s="1701"/>
    </row>
    <row r="107" spans="2:20">
      <c r="C107" t="s">
        <v>263</v>
      </c>
    </row>
    <row r="108" spans="2:20">
      <c r="C108" t="s">
        <v>264</v>
      </c>
    </row>
    <row r="109" spans="2:20">
      <c r="C109" t="s">
        <v>265</v>
      </c>
    </row>
    <row r="110" spans="2:20">
      <c r="C110" t="s">
        <v>266</v>
      </c>
    </row>
    <row r="111" spans="2:20" ht="15.75" thickBot="1"/>
    <row r="112" spans="2:20" ht="15.75" thickBot="1">
      <c r="B112" s="4"/>
      <c r="C112" s="1702" t="s">
        <v>267</v>
      </c>
      <c r="D112" s="1703"/>
      <c r="E112" s="1703"/>
      <c r="F112" s="1703"/>
      <c r="G112" s="1703"/>
      <c r="H112" s="1704"/>
      <c r="I112" s="1702" t="s">
        <v>268</v>
      </c>
      <c r="J112" s="1703"/>
      <c r="K112" s="1703"/>
      <c r="L112" s="1703"/>
      <c r="M112" s="1703"/>
      <c r="N112" s="1704"/>
      <c r="O112" s="4"/>
      <c r="R112" s="310" t="s">
        <v>267</v>
      </c>
      <c r="S112" s="311" t="s">
        <v>268</v>
      </c>
    </row>
    <row r="113" spans="2:20" ht="51">
      <c r="B113" s="275"/>
      <c r="C113" s="276" t="s">
        <v>269</v>
      </c>
      <c r="D113" s="277" t="s">
        <v>270</v>
      </c>
      <c r="E113" s="277" t="s">
        <v>271</v>
      </c>
      <c r="F113" s="277" t="s">
        <v>272</v>
      </c>
      <c r="G113" s="277" t="s">
        <v>273</v>
      </c>
      <c r="H113" s="278" t="s">
        <v>274</v>
      </c>
      <c r="I113" s="276" t="s">
        <v>269</v>
      </c>
      <c r="J113" s="277" t="s">
        <v>270</v>
      </c>
      <c r="K113" s="277" t="s">
        <v>271</v>
      </c>
      <c r="L113" s="277" t="s">
        <v>272</v>
      </c>
      <c r="M113" s="277" t="s">
        <v>273</v>
      </c>
      <c r="N113" s="278" t="s">
        <v>274</v>
      </c>
      <c r="O113" s="279" t="s">
        <v>275</v>
      </c>
      <c r="P113" s="113"/>
      <c r="Q113" s="113"/>
      <c r="R113" s="1705" t="s">
        <v>276</v>
      </c>
      <c r="S113" s="1705" t="s">
        <v>277</v>
      </c>
      <c r="T113" s="113"/>
    </row>
    <row r="114" spans="2:20" ht="15.75" thickBot="1">
      <c r="B114" s="280"/>
      <c r="C114" s="280" t="s">
        <v>22</v>
      </c>
      <c r="D114" s="281" t="s">
        <v>22</v>
      </c>
      <c r="E114" s="281" t="s">
        <v>22</v>
      </c>
      <c r="F114" s="281" t="s">
        <v>22</v>
      </c>
      <c r="G114" s="281" t="s">
        <v>22</v>
      </c>
      <c r="H114" s="282"/>
      <c r="I114" s="280" t="s">
        <v>22</v>
      </c>
      <c r="J114" s="281" t="s">
        <v>22</v>
      </c>
      <c r="K114" s="281" t="s">
        <v>22</v>
      </c>
      <c r="L114" s="281" t="s">
        <v>22</v>
      </c>
      <c r="M114" s="281" t="s">
        <v>22</v>
      </c>
      <c r="N114" s="282"/>
      <c r="O114" s="283"/>
      <c r="P114" s="5"/>
      <c r="Q114" s="5"/>
      <c r="R114" s="1706"/>
      <c r="S114" s="1706"/>
      <c r="T114" s="5"/>
    </row>
    <row r="115" spans="2:20" ht="15.75" thickBot="1">
      <c r="B115" s="284" t="s">
        <v>278</v>
      </c>
      <c r="C115" s="261">
        <v>0.4</v>
      </c>
      <c r="D115" s="262">
        <v>0.8</v>
      </c>
      <c r="E115" s="262">
        <v>1</v>
      </c>
      <c r="F115" s="262">
        <v>0.5</v>
      </c>
      <c r="G115" s="262">
        <v>0.6</v>
      </c>
      <c r="H115" s="263"/>
      <c r="I115" s="261">
        <v>0.4</v>
      </c>
      <c r="J115" s="262">
        <v>0.8</v>
      </c>
      <c r="K115" s="262">
        <v>1</v>
      </c>
      <c r="L115" s="262">
        <v>0.5</v>
      </c>
      <c r="M115" s="262">
        <v>0.6</v>
      </c>
      <c r="N115" s="263"/>
      <c r="O115" s="264"/>
      <c r="P115" s="5"/>
      <c r="Q115" s="5"/>
      <c r="R115" s="1706"/>
      <c r="S115" s="1706"/>
      <c r="T115" s="5"/>
    </row>
    <row r="116" spans="2:20" ht="15.75" thickBot="1">
      <c r="B116" s="284" t="s">
        <v>279</v>
      </c>
      <c r="C116" s="265">
        <f>C115</f>
        <v>0.4</v>
      </c>
      <c r="D116" s="266">
        <v>0.8</v>
      </c>
      <c r="E116" s="266">
        <v>1</v>
      </c>
      <c r="F116" s="266">
        <v>0.5</v>
      </c>
      <c r="G116" s="266">
        <v>0.6</v>
      </c>
      <c r="H116" s="267"/>
      <c r="I116" s="265">
        <v>0.4</v>
      </c>
      <c r="J116" s="266">
        <v>0.8</v>
      </c>
      <c r="K116" s="266">
        <v>1</v>
      </c>
      <c r="L116" s="266">
        <v>0.5</v>
      </c>
      <c r="M116" s="266">
        <v>0.6</v>
      </c>
      <c r="N116" s="267"/>
      <c r="O116" s="268"/>
      <c r="P116" s="5"/>
      <c r="Q116" s="5"/>
      <c r="R116" s="1706"/>
      <c r="S116" s="1706"/>
      <c r="T116" s="5"/>
    </row>
    <row r="117" spans="2:20" ht="15.75" thickBot="1">
      <c r="B117" s="269"/>
      <c r="C117" s="269"/>
      <c r="D117" s="270"/>
      <c r="E117" s="270"/>
      <c r="F117" s="270"/>
      <c r="G117" s="270"/>
      <c r="H117" s="271"/>
      <c r="I117" s="269"/>
      <c r="J117" s="270"/>
      <c r="K117" s="270"/>
      <c r="L117" s="270"/>
      <c r="M117" s="270"/>
      <c r="N117" s="271"/>
      <c r="O117" s="272"/>
      <c r="P117" s="5"/>
      <c r="Q117" s="5"/>
      <c r="R117" s="1706"/>
      <c r="S117" s="1706"/>
      <c r="T117" s="5"/>
    </row>
    <row r="118" spans="2:20" ht="15.75" thickBot="1">
      <c r="B118" s="285"/>
      <c r="C118" s="1708" t="s">
        <v>280</v>
      </c>
      <c r="D118" s="1709"/>
      <c r="E118" s="1709"/>
      <c r="F118" s="1709"/>
      <c r="G118" s="1709"/>
      <c r="H118" s="1710"/>
      <c r="I118" s="1708" t="s">
        <v>280</v>
      </c>
      <c r="J118" s="1709"/>
      <c r="K118" s="1709"/>
      <c r="L118" s="1709"/>
      <c r="M118" s="1709"/>
      <c r="N118" s="1710"/>
      <c r="O118" s="286"/>
      <c r="P118" s="5"/>
      <c r="Q118" s="5"/>
      <c r="R118" s="1706"/>
      <c r="S118" s="1706"/>
      <c r="T118" s="5"/>
    </row>
    <row r="119" spans="2:20" ht="15.75" thickBot="1">
      <c r="B119" s="284" t="s">
        <v>281</v>
      </c>
      <c r="C119" s="273">
        <v>0</v>
      </c>
      <c r="D119" s="274">
        <v>0</v>
      </c>
      <c r="E119" s="274">
        <v>1</v>
      </c>
      <c r="F119" s="274">
        <v>0</v>
      </c>
      <c r="G119" s="274">
        <v>0</v>
      </c>
      <c r="H119" s="1711" t="s">
        <v>282</v>
      </c>
      <c r="I119" s="273">
        <v>0.2</v>
      </c>
      <c r="J119" s="274">
        <v>0.3</v>
      </c>
      <c r="K119" s="274">
        <v>0.25</v>
      </c>
      <c r="L119" s="274">
        <v>0.05</v>
      </c>
      <c r="M119" s="274">
        <v>0.2</v>
      </c>
      <c r="N119" s="1711" t="s">
        <v>282</v>
      </c>
      <c r="O119" s="287"/>
      <c r="P119" s="5"/>
      <c r="Q119" s="5"/>
      <c r="R119" s="1707"/>
      <c r="S119" s="1707"/>
      <c r="T119" s="5"/>
    </row>
    <row r="120" spans="2:20" ht="15.75" thickBot="1">
      <c r="B120" s="280" t="s">
        <v>217</v>
      </c>
      <c r="C120" s="1025" t="s">
        <v>229</v>
      </c>
      <c r="D120" s="1026" t="s">
        <v>229</v>
      </c>
      <c r="E120" s="1026" t="s">
        <v>229</v>
      </c>
      <c r="F120" s="1026" t="s">
        <v>229</v>
      </c>
      <c r="G120" s="1026" t="s">
        <v>229</v>
      </c>
      <c r="H120" s="1712"/>
      <c r="I120" s="1025" t="s">
        <v>229</v>
      </c>
      <c r="J120" s="1026" t="s">
        <v>229</v>
      </c>
      <c r="K120" s="1026" t="s">
        <v>229</v>
      </c>
      <c r="L120" s="1026" t="s">
        <v>229</v>
      </c>
      <c r="M120" s="1026" t="s">
        <v>229</v>
      </c>
      <c r="N120" s="1712"/>
      <c r="O120" s="283"/>
      <c r="P120" s="5"/>
      <c r="Q120" s="5"/>
      <c r="R120" s="1032" t="s">
        <v>283</v>
      </c>
      <c r="S120" s="1033" t="s">
        <v>283</v>
      </c>
      <c r="T120" s="5"/>
    </row>
    <row r="121" spans="2:20">
      <c r="B121" s="1027">
        <f>year</f>
        <v>1950</v>
      </c>
      <c r="C121" s="932">
        <v>0</v>
      </c>
      <c r="D121" s="932">
        <v>0</v>
      </c>
      <c r="E121" s="932">
        <v>0.4</v>
      </c>
      <c r="F121" s="932">
        <v>0.3</v>
      </c>
      <c r="G121" s="932">
        <v>0.3</v>
      </c>
      <c r="H121" s="1029">
        <f t="shared" ref="H121:H152" si="1">SUM(C121:G121)</f>
        <v>1</v>
      </c>
      <c r="I121" s="1030">
        <v>0.2</v>
      </c>
      <c r="J121" s="1031">
        <v>0.3</v>
      </c>
      <c r="K121" s="1031">
        <v>0.25</v>
      </c>
      <c r="L121" s="1031">
        <v>0.05</v>
      </c>
      <c r="M121" s="1031">
        <v>0.2</v>
      </c>
      <c r="N121" s="1028">
        <f t="shared" ref="N121:N152" si="2">SUM(I121:M121)</f>
        <v>1</v>
      </c>
      <c r="O121" s="995"/>
      <c r="P121" s="4"/>
      <c r="R121" s="1021">
        <f t="shared" ref="R121:R152" si="3">C121*C$116+D121*D$116+E121*E$116+F121*F$116+G121*G$116</f>
        <v>0.73</v>
      </c>
      <c r="S121" s="1022">
        <f t="shared" ref="S121:S152" si="4">I121*$I$116+J121*$J$116+K121*$K$116+L121*L$116+M121*$M$116</f>
        <v>0.71500000000000008</v>
      </c>
    </row>
    <row r="122" spans="2:20">
      <c r="B122" s="1023">
        <f t="shared" ref="B122:B153" si="5">B121+1</f>
        <v>1951</v>
      </c>
      <c r="C122" s="760">
        <f t="shared" ref="C122:C153" si="6">C121</f>
        <v>0</v>
      </c>
      <c r="D122" s="760">
        <f t="shared" ref="D122:D153" si="7">D121</f>
        <v>0</v>
      </c>
      <c r="E122" s="760">
        <f t="shared" ref="E122:E153" si="8">E121</f>
        <v>0.4</v>
      </c>
      <c r="F122" s="760">
        <f t="shared" ref="F122:F153" si="9">F121</f>
        <v>0.3</v>
      </c>
      <c r="G122" s="760">
        <f t="shared" ref="G122:G153" si="10">G121</f>
        <v>0.3</v>
      </c>
      <c r="H122" s="713">
        <f t="shared" si="1"/>
        <v>1</v>
      </c>
      <c r="I122" s="1017">
        <v>0.2</v>
      </c>
      <c r="J122" s="994">
        <v>0.3</v>
      </c>
      <c r="K122" s="994">
        <v>0.25</v>
      </c>
      <c r="L122" s="994">
        <v>0.05</v>
      </c>
      <c r="M122" s="994">
        <v>0.2</v>
      </c>
      <c r="N122" s="1001">
        <f t="shared" si="2"/>
        <v>1</v>
      </c>
      <c r="O122" s="995"/>
      <c r="P122" s="4"/>
      <c r="R122" s="117">
        <f t="shared" si="3"/>
        <v>0.73</v>
      </c>
      <c r="S122" s="206">
        <f t="shared" si="4"/>
        <v>0.71500000000000008</v>
      </c>
    </row>
    <row r="123" spans="2:20">
      <c r="B123" s="1023">
        <f t="shared" si="5"/>
        <v>1952</v>
      </c>
      <c r="C123" s="760">
        <f t="shared" si="6"/>
        <v>0</v>
      </c>
      <c r="D123" s="760">
        <f t="shared" si="7"/>
        <v>0</v>
      </c>
      <c r="E123" s="760">
        <f t="shared" si="8"/>
        <v>0.4</v>
      </c>
      <c r="F123" s="760">
        <f t="shared" si="9"/>
        <v>0.3</v>
      </c>
      <c r="G123" s="760">
        <f t="shared" si="10"/>
        <v>0.3</v>
      </c>
      <c r="H123" s="713">
        <f t="shared" si="1"/>
        <v>1</v>
      </c>
      <c r="I123" s="1017">
        <v>0.2</v>
      </c>
      <c r="J123" s="994">
        <v>0.3</v>
      </c>
      <c r="K123" s="994">
        <v>0.25</v>
      </c>
      <c r="L123" s="994">
        <v>0.05</v>
      </c>
      <c r="M123" s="994">
        <v>0.2</v>
      </c>
      <c r="N123" s="1001">
        <f t="shared" si="2"/>
        <v>1</v>
      </c>
      <c r="O123" s="995"/>
      <c r="P123" s="4"/>
      <c r="R123" s="117">
        <f t="shared" si="3"/>
        <v>0.73</v>
      </c>
      <c r="S123" s="206">
        <f t="shared" si="4"/>
        <v>0.71500000000000008</v>
      </c>
    </row>
    <row r="124" spans="2:20">
      <c r="B124" s="1023">
        <f t="shared" si="5"/>
        <v>1953</v>
      </c>
      <c r="C124" s="760">
        <f t="shared" si="6"/>
        <v>0</v>
      </c>
      <c r="D124" s="760">
        <f t="shared" si="7"/>
        <v>0</v>
      </c>
      <c r="E124" s="760">
        <f t="shared" si="8"/>
        <v>0.4</v>
      </c>
      <c r="F124" s="760">
        <f t="shared" si="9"/>
        <v>0.3</v>
      </c>
      <c r="G124" s="760">
        <f t="shared" si="10"/>
        <v>0.3</v>
      </c>
      <c r="H124" s="713">
        <f t="shared" si="1"/>
        <v>1</v>
      </c>
      <c r="I124" s="1017">
        <v>0.2</v>
      </c>
      <c r="J124" s="994">
        <v>0.3</v>
      </c>
      <c r="K124" s="994">
        <v>0.25</v>
      </c>
      <c r="L124" s="994">
        <v>0.05</v>
      </c>
      <c r="M124" s="994">
        <v>0.2</v>
      </c>
      <c r="N124" s="1001">
        <f t="shared" si="2"/>
        <v>1</v>
      </c>
      <c r="O124" s="995"/>
      <c r="P124" s="4"/>
      <c r="R124" s="117">
        <f t="shared" si="3"/>
        <v>0.73</v>
      </c>
      <c r="S124" s="206">
        <f t="shared" si="4"/>
        <v>0.71500000000000008</v>
      </c>
    </row>
    <row r="125" spans="2:20">
      <c r="B125" s="1023">
        <f t="shared" si="5"/>
        <v>1954</v>
      </c>
      <c r="C125" s="760">
        <f t="shared" si="6"/>
        <v>0</v>
      </c>
      <c r="D125" s="760">
        <f t="shared" si="7"/>
        <v>0</v>
      </c>
      <c r="E125" s="760">
        <f t="shared" si="8"/>
        <v>0.4</v>
      </c>
      <c r="F125" s="760">
        <f t="shared" si="9"/>
        <v>0.3</v>
      </c>
      <c r="G125" s="760">
        <f t="shared" si="10"/>
        <v>0.3</v>
      </c>
      <c r="H125" s="713">
        <f t="shared" si="1"/>
        <v>1</v>
      </c>
      <c r="I125" s="1017">
        <v>0.2</v>
      </c>
      <c r="J125" s="994">
        <v>0.3</v>
      </c>
      <c r="K125" s="994">
        <v>0.25</v>
      </c>
      <c r="L125" s="994">
        <v>0.05</v>
      </c>
      <c r="M125" s="994">
        <v>0.2</v>
      </c>
      <c r="N125" s="1001">
        <f t="shared" si="2"/>
        <v>1</v>
      </c>
      <c r="O125" s="995"/>
      <c r="P125" s="4"/>
      <c r="R125" s="117">
        <f t="shared" si="3"/>
        <v>0.73</v>
      </c>
      <c r="S125" s="206">
        <f t="shared" si="4"/>
        <v>0.71500000000000008</v>
      </c>
    </row>
    <row r="126" spans="2:20">
      <c r="B126" s="1023">
        <f t="shared" si="5"/>
        <v>1955</v>
      </c>
      <c r="C126" s="760">
        <f t="shared" si="6"/>
        <v>0</v>
      </c>
      <c r="D126" s="760">
        <f t="shared" si="7"/>
        <v>0</v>
      </c>
      <c r="E126" s="760">
        <f t="shared" si="8"/>
        <v>0.4</v>
      </c>
      <c r="F126" s="760">
        <f t="shared" si="9"/>
        <v>0.3</v>
      </c>
      <c r="G126" s="760">
        <f t="shared" si="10"/>
        <v>0.3</v>
      </c>
      <c r="H126" s="713">
        <f t="shared" si="1"/>
        <v>1</v>
      </c>
      <c r="I126" s="1017">
        <v>0.2</v>
      </c>
      <c r="J126" s="994">
        <v>0.3</v>
      </c>
      <c r="K126" s="994">
        <v>0.25</v>
      </c>
      <c r="L126" s="994">
        <v>0.05</v>
      </c>
      <c r="M126" s="994">
        <v>0.2</v>
      </c>
      <c r="N126" s="1001">
        <f t="shared" si="2"/>
        <v>1</v>
      </c>
      <c r="O126" s="995"/>
      <c r="P126" s="4"/>
      <c r="R126" s="117">
        <f t="shared" si="3"/>
        <v>0.73</v>
      </c>
      <c r="S126" s="206">
        <f t="shared" si="4"/>
        <v>0.71500000000000008</v>
      </c>
    </row>
    <row r="127" spans="2:20">
      <c r="B127" s="1023">
        <f t="shared" si="5"/>
        <v>1956</v>
      </c>
      <c r="C127" s="760">
        <f t="shared" si="6"/>
        <v>0</v>
      </c>
      <c r="D127" s="760">
        <f t="shared" si="7"/>
        <v>0</v>
      </c>
      <c r="E127" s="760">
        <f t="shared" si="8"/>
        <v>0.4</v>
      </c>
      <c r="F127" s="760">
        <f t="shared" si="9"/>
        <v>0.3</v>
      </c>
      <c r="G127" s="760">
        <f t="shared" si="10"/>
        <v>0.3</v>
      </c>
      <c r="H127" s="713">
        <f t="shared" si="1"/>
        <v>1</v>
      </c>
      <c r="I127" s="1017">
        <v>0.2</v>
      </c>
      <c r="J127" s="994">
        <v>0.3</v>
      </c>
      <c r="K127" s="994">
        <v>0.25</v>
      </c>
      <c r="L127" s="994">
        <v>0.05</v>
      </c>
      <c r="M127" s="994">
        <v>0.2</v>
      </c>
      <c r="N127" s="1001">
        <f t="shared" si="2"/>
        <v>1</v>
      </c>
      <c r="O127" s="995"/>
      <c r="P127" s="4"/>
      <c r="R127" s="117">
        <f t="shared" si="3"/>
        <v>0.73</v>
      </c>
      <c r="S127" s="206">
        <f t="shared" si="4"/>
        <v>0.71500000000000008</v>
      </c>
    </row>
    <row r="128" spans="2:20">
      <c r="B128" s="1023">
        <f t="shared" si="5"/>
        <v>1957</v>
      </c>
      <c r="C128" s="760">
        <f t="shared" si="6"/>
        <v>0</v>
      </c>
      <c r="D128" s="760">
        <f t="shared" si="7"/>
        <v>0</v>
      </c>
      <c r="E128" s="760">
        <f t="shared" si="8"/>
        <v>0.4</v>
      </c>
      <c r="F128" s="760">
        <f t="shared" si="9"/>
        <v>0.3</v>
      </c>
      <c r="G128" s="760">
        <f t="shared" si="10"/>
        <v>0.3</v>
      </c>
      <c r="H128" s="713">
        <f t="shared" si="1"/>
        <v>1</v>
      </c>
      <c r="I128" s="1017">
        <v>0.2</v>
      </c>
      <c r="J128" s="994">
        <v>0.3</v>
      </c>
      <c r="K128" s="994">
        <v>0.25</v>
      </c>
      <c r="L128" s="994">
        <v>0.05</v>
      </c>
      <c r="M128" s="994">
        <v>0.2</v>
      </c>
      <c r="N128" s="1001">
        <f t="shared" si="2"/>
        <v>1</v>
      </c>
      <c r="O128" s="995"/>
      <c r="P128" s="4"/>
      <c r="R128" s="117">
        <f t="shared" si="3"/>
        <v>0.73</v>
      </c>
      <c r="S128" s="206">
        <f t="shared" si="4"/>
        <v>0.71500000000000008</v>
      </c>
    </row>
    <row r="129" spans="2:19">
      <c r="B129" s="1023">
        <f t="shared" si="5"/>
        <v>1958</v>
      </c>
      <c r="C129" s="760">
        <f t="shared" si="6"/>
        <v>0</v>
      </c>
      <c r="D129" s="760">
        <f t="shared" si="7"/>
        <v>0</v>
      </c>
      <c r="E129" s="760">
        <f t="shared" si="8"/>
        <v>0.4</v>
      </c>
      <c r="F129" s="760">
        <f t="shared" si="9"/>
        <v>0.3</v>
      </c>
      <c r="G129" s="760">
        <f t="shared" si="10"/>
        <v>0.3</v>
      </c>
      <c r="H129" s="713">
        <f t="shared" si="1"/>
        <v>1</v>
      </c>
      <c r="I129" s="1017">
        <v>0.2</v>
      </c>
      <c r="J129" s="994">
        <v>0.3</v>
      </c>
      <c r="K129" s="994">
        <v>0.25</v>
      </c>
      <c r="L129" s="994">
        <v>0.05</v>
      </c>
      <c r="M129" s="994">
        <v>0.2</v>
      </c>
      <c r="N129" s="1001">
        <f t="shared" si="2"/>
        <v>1</v>
      </c>
      <c r="O129" s="995"/>
      <c r="P129" s="4"/>
      <c r="R129" s="117">
        <f t="shared" si="3"/>
        <v>0.73</v>
      </c>
      <c r="S129" s="206">
        <f t="shared" si="4"/>
        <v>0.71500000000000008</v>
      </c>
    </row>
    <row r="130" spans="2:19">
      <c r="B130" s="1023">
        <f t="shared" si="5"/>
        <v>1959</v>
      </c>
      <c r="C130" s="760">
        <f t="shared" si="6"/>
        <v>0</v>
      </c>
      <c r="D130" s="760">
        <f t="shared" si="7"/>
        <v>0</v>
      </c>
      <c r="E130" s="760">
        <f t="shared" si="8"/>
        <v>0.4</v>
      </c>
      <c r="F130" s="760">
        <f t="shared" si="9"/>
        <v>0.3</v>
      </c>
      <c r="G130" s="760">
        <f t="shared" si="10"/>
        <v>0.3</v>
      </c>
      <c r="H130" s="713">
        <f t="shared" si="1"/>
        <v>1</v>
      </c>
      <c r="I130" s="1017">
        <v>0.2</v>
      </c>
      <c r="J130" s="994">
        <v>0.3</v>
      </c>
      <c r="K130" s="994">
        <v>0.25</v>
      </c>
      <c r="L130" s="994">
        <v>0.05</v>
      </c>
      <c r="M130" s="994">
        <v>0.2</v>
      </c>
      <c r="N130" s="1001">
        <f t="shared" si="2"/>
        <v>1</v>
      </c>
      <c r="O130" s="995"/>
      <c r="P130" s="4"/>
      <c r="R130" s="117">
        <f t="shared" si="3"/>
        <v>0.73</v>
      </c>
      <c r="S130" s="206">
        <f t="shared" si="4"/>
        <v>0.71500000000000008</v>
      </c>
    </row>
    <row r="131" spans="2:19">
      <c r="B131" s="1023">
        <f t="shared" si="5"/>
        <v>1960</v>
      </c>
      <c r="C131" s="760">
        <f t="shared" si="6"/>
        <v>0</v>
      </c>
      <c r="D131" s="760">
        <f t="shared" si="7"/>
        <v>0</v>
      </c>
      <c r="E131" s="760">
        <f t="shared" si="8"/>
        <v>0.4</v>
      </c>
      <c r="F131" s="760">
        <f t="shared" si="9"/>
        <v>0.3</v>
      </c>
      <c r="G131" s="760">
        <f t="shared" si="10"/>
        <v>0.3</v>
      </c>
      <c r="H131" s="713">
        <f t="shared" si="1"/>
        <v>1</v>
      </c>
      <c r="I131" s="1017">
        <v>0.2</v>
      </c>
      <c r="J131" s="994">
        <v>0.3</v>
      </c>
      <c r="K131" s="994">
        <v>0.25</v>
      </c>
      <c r="L131" s="994">
        <v>0.05</v>
      </c>
      <c r="M131" s="994">
        <v>0.2</v>
      </c>
      <c r="N131" s="1001">
        <f t="shared" si="2"/>
        <v>1</v>
      </c>
      <c r="O131" s="995"/>
      <c r="P131" s="4"/>
      <c r="R131" s="117">
        <f t="shared" si="3"/>
        <v>0.73</v>
      </c>
      <c r="S131" s="206">
        <f t="shared" si="4"/>
        <v>0.71500000000000008</v>
      </c>
    </row>
    <row r="132" spans="2:19">
      <c r="B132" s="1023">
        <f t="shared" si="5"/>
        <v>1961</v>
      </c>
      <c r="C132" s="760">
        <f t="shared" si="6"/>
        <v>0</v>
      </c>
      <c r="D132" s="760">
        <f t="shared" si="7"/>
        <v>0</v>
      </c>
      <c r="E132" s="760">
        <f t="shared" si="8"/>
        <v>0.4</v>
      </c>
      <c r="F132" s="760">
        <f t="shared" si="9"/>
        <v>0.3</v>
      </c>
      <c r="G132" s="760">
        <f t="shared" si="10"/>
        <v>0.3</v>
      </c>
      <c r="H132" s="713">
        <f t="shared" si="1"/>
        <v>1</v>
      </c>
      <c r="I132" s="1017">
        <v>0.2</v>
      </c>
      <c r="J132" s="994">
        <v>0.3</v>
      </c>
      <c r="K132" s="994">
        <v>0.25</v>
      </c>
      <c r="L132" s="994">
        <v>0.05</v>
      </c>
      <c r="M132" s="994">
        <v>0.2</v>
      </c>
      <c r="N132" s="1001">
        <f t="shared" si="2"/>
        <v>1</v>
      </c>
      <c r="O132" s="995"/>
      <c r="P132" s="4"/>
      <c r="R132" s="117">
        <f t="shared" si="3"/>
        <v>0.73</v>
      </c>
      <c r="S132" s="206">
        <f t="shared" si="4"/>
        <v>0.71500000000000008</v>
      </c>
    </row>
    <row r="133" spans="2:19">
      <c r="B133" s="1023">
        <f t="shared" si="5"/>
        <v>1962</v>
      </c>
      <c r="C133" s="760">
        <f t="shared" si="6"/>
        <v>0</v>
      </c>
      <c r="D133" s="760">
        <f t="shared" si="7"/>
        <v>0</v>
      </c>
      <c r="E133" s="760">
        <f t="shared" si="8"/>
        <v>0.4</v>
      </c>
      <c r="F133" s="760">
        <f t="shared" si="9"/>
        <v>0.3</v>
      </c>
      <c r="G133" s="760">
        <f t="shared" si="10"/>
        <v>0.3</v>
      </c>
      <c r="H133" s="713">
        <f t="shared" si="1"/>
        <v>1</v>
      </c>
      <c r="I133" s="1017">
        <v>0.2</v>
      </c>
      <c r="J133" s="994">
        <v>0.3</v>
      </c>
      <c r="K133" s="994">
        <v>0.25</v>
      </c>
      <c r="L133" s="994">
        <v>0.05</v>
      </c>
      <c r="M133" s="994">
        <v>0.2</v>
      </c>
      <c r="N133" s="1001">
        <f t="shared" si="2"/>
        <v>1</v>
      </c>
      <c r="O133" s="995"/>
      <c r="P133" s="4"/>
      <c r="R133" s="117">
        <f t="shared" si="3"/>
        <v>0.73</v>
      </c>
      <c r="S133" s="206">
        <f t="shared" si="4"/>
        <v>0.71500000000000008</v>
      </c>
    </row>
    <row r="134" spans="2:19">
      <c r="B134" s="1023">
        <f t="shared" si="5"/>
        <v>1963</v>
      </c>
      <c r="C134" s="760">
        <f t="shared" si="6"/>
        <v>0</v>
      </c>
      <c r="D134" s="760">
        <f t="shared" si="7"/>
        <v>0</v>
      </c>
      <c r="E134" s="760">
        <f t="shared" si="8"/>
        <v>0.4</v>
      </c>
      <c r="F134" s="760">
        <f t="shared" si="9"/>
        <v>0.3</v>
      </c>
      <c r="G134" s="760">
        <f t="shared" si="10"/>
        <v>0.3</v>
      </c>
      <c r="H134" s="713">
        <f t="shared" si="1"/>
        <v>1</v>
      </c>
      <c r="I134" s="1017">
        <v>0.2</v>
      </c>
      <c r="J134" s="994">
        <v>0.3</v>
      </c>
      <c r="K134" s="994">
        <v>0.25</v>
      </c>
      <c r="L134" s="994">
        <v>0.05</v>
      </c>
      <c r="M134" s="994">
        <v>0.2</v>
      </c>
      <c r="N134" s="1001">
        <f t="shared" si="2"/>
        <v>1</v>
      </c>
      <c r="O134" s="995"/>
      <c r="P134" s="4"/>
      <c r="R134" s="117">
        <f t="shared" si="3"/>
        <v>0.73</v>
      </c>
      <c r="S134" s="206">
        <f t="shared" si="4"/>
        <v>0.71500000000000008</v>
      </c>
    </row>
    <row r="135" spans="2:19">
      <c r="B135" s="1023">
        <f t="shared" si="5"/>
        <v>1964</v>
      </c>
      <c r="C135" s="760">
        <f t="shared" si="6"/>
        <v>0</v>
      </c>
      <c r="D135" s="760">
        <f t="shared" si="7"/>
        <v>0</v>
      </c>
      <c r="E135" s="760">
        <f t="shared" si="8"/>
        <v>0.4</v>
      </c>
      <c r="F135" s="760">
        <f t="shared" si="9"/>
        <v>0.3</v>
      </c>
      <c r="G135" s="760">
        <f t="shared" si="10"/>
        <v>0.3</v>
      </c>
      <c r="H135" s="713">
        <f t="shared" si="1"/>
        <v>1</v>
      </c>
      <c r="I135" s="1017">
        <v>0.2</v>
      </c>
      <c r="J135" s="994">
        <v>0.3</v>
      </c>
      <c r="K135" s="994">
        <v>0.25</v>
      </c>
      <c r="L135" s="994">
        <v>0.05</v>
      </c>
      <c r="M135" s="994">
        <v>0.2</v>
      </c>
      <c r="N135" s="1001">
        <f t="shared" si="2"/>
        <v>1</v>
      </c>
      <c r="O135" s="995"/>
      <c r="P135" s="4"/>
      <c r="R135" s="117">
        <f t="shared" si="3"/>
        <v>0.73</v>
      </c>
      <c r="S135" s="206">
        <f t="shared" si="4"/>
        <v>0.71500000000000008</v>
      </c>
    </row>
    <row r="136" spans="2:19">
      <c r="B136" s="1023">
        <f t="shared" si="5"/>
        <v>1965</v>
      </c>
      <c r="C136" s="760">
        <f t="shared" si="6"/>
        <v>0</v>
      </c>
      <c r="D136" s="760">
        <f t="shared" si="7"/>
        <v>0</v>
      </c>
      <c r="E136" s="760">
        <f t="shared" si="8"/>
        <v>0.4</v>
      </c>
      <c r="F136" s="760">
        <f t="shared" si="9"/>
        <v>0.3</v>
      </c>
      <c r="G136" s="760">
        <f t="shared" si="10"/>
        <v>0.3</v>
      </c>
      <c r="H136" s="713">
        <f t="shared" si="1"/>
        <v>1</v>
      </c>
      <c r="I136" s="1017">
        <v>0.2</v>
      </c>
      <c r="J136" s="994">
        <v>0.3</v>
      </c>
      <c r="K136" s="994">
        <v>0.25</v>
      </c>
      <c r="L136" s="994">
        <v>0.05</v>
      </c>
      <c r="M136" s="994">
        <v>0.2</v>
      </c>
      <c r="N136" s="1001">
        <f t="shared" si="2"/>
        <v>1</v>
      </c>
      <c r="O136" s="995"/>
      <c r="P136" s="4"/>
      <c r="R136" s="117">
        <f t="shared" si="3"/>
        <v>0.73</v>
      </c>
      <c r="S136" s="206">
        <f t="shared" si="4"/>
        <v>0.71500000000000008</v>
      </c>
    </row>
    <row r="137" spans="2:19">
      <c r="B137" s="1023">
        <f t="shared" si="5"/>
        <v>1966</v>
      </c>
      <c r="C137" s="760">
        <f t="shared" si="6"/>
        <v>0</v>
      </c>
      <c r="D137" s="760">
        <f t="shared" si="7"/>
        <v>0</v>
      </c>
      <c r="E137" s="760">
        <f t="shared" si="8"/>
        <v>0.4</v>
      </c>
      <c r="F137" s="760">
        <f t="shared" si="9"/>
        <v>0.3</v>
      </c>
      <c r="G137" s="760">
        <f t="shared" si="10"/>
        <v>0.3</v>
      </c>
      <c r="H137" s="713">
        <f t="shared" si="1"/>
        <v>1</v>
      </c>
      <c r="I137" s="1017">
        <v>0.2</v>
      </c>
      <c r="J137" s="994">
        <v>0.3</v>
      </c>
      <c r="K137" s="994">
        <v>0.25</v>
      </c>
      <c r="L137" s="994">
        <v>0.05</v>
      </c>
      <c r="M137" s="994">
        <v>0.2</v>
      </c>
      <c r="N137" s="1001">
        <f t="shared" si="2"/>
        <v>1</v>
      </c>
      <c r="O137" s="995"/>
      <c r="P137" s="4"/>
      <c r="R137" s="117">
        <f t="shared" si="3"/>
        <v>0.73</v>
      </c>
      <c r="S137" s="206">
        <f t="shared" si="4"/>
        <v>0.71500000000000008</v>
      </c>
    </row>
    <row r="138" spans="2:19">
      <c r="B138" s="1023">
        <f t="shared" si="5"/>
        <v>1967</v>
      </c>
      <c r="C138" s="760">
        <f t="shared" si="6"/>
        <v>0</v>
      </c>
      <c r="D138" s="760">
        <f t="shared" si="7"/>
        <v>0</v>
      </c>
      <c r="E138" s="760">
        <f t="shared" si="8"/>
        <v>0.4</v>
      </c>
      <c r="F138" s="760">
        <f t="shared" si="9"/>
        <v>0.3</v>
      </c>
      <c r="G138" s="760">
        <f t="shared" si="10"/>
        <v>0.3</v>
      </c>
      <c r="H138" s="713">
        <f t="shared" si="1"/>
        <v>1</v>
      </c>
      <c r="I138" s="1017">
        <v>0.2</v>
      </c>
      <c r="J138" s="994">
        <v>0.3</v>
      </c>
      <c r="K138" s="994">
        <v>0.25</v>
      </c>
      <c r="L138" s="994">
        <v>0.05</v>
      </c>
      <c r="M138" s="994">
        <v>0.2</v>
      </c>
      <c r="N138" s="1001">
        <f t="shared" si="2"/>
        <v>1</v>
      </c>
      <c r="O138" s="995"/>
      <c r="P138" s="4"/>
      <c r="R138" s="117">
        <f t="shared" si="3"/>
        <v>0.73</v>
      </c>
      <c r="S138" s="206">
        <f t="shared" si="4"/>
        <v>0.71500000000000008</v>
      </c>
    </row>
    <row r="139" spans="2:19">
      <c r="B139" s="1023">
        <f t="shared" si="5"/>
        <v>1968</v>
      </c>
      <c r="C139" s="760">
        <f t="shared" si="6"/>
        <v>0</v>
      </c>
      <c r="D139" s="760">
        <f t="shared" si="7"/>
        <v>0</v>
      </c>
      <c r="E139" s="760">
        <f t="shared" si="8"/>
        <v>0.4</v>
      </c>
      <c r="F139" s="760">
        <f t="shared" si="9"/>
        <v>0.3</v>
      </c>
      <c r="G139" s="760">
        <f t="shared" si="10"/>
        <v>0.3</v>
      </c>
      <c r="H139" s="713">
        <f t="shared" si="1"/>
        <v>1</v>
      </c>
      <c r="I139" s="1017">
        <v>0.2</v>
      </c>
      <c r="J139" s="994">
        <v>0.3</v>
      </c>
      <c r="K139" s="994">
        <v>0.25</v>
      </c>
      <c r="L139" s="994">
        <v>0.05</v>
      </c>
      <c r="M139" s="994">
        <v>0.2</v>
      </c>
      <c r="N139" s="1001">
        <f t="shared" si="2"/>
        <v>1</v>
      </c>
      <c r="O139" s="995"/>
      <c r="P139" s="4"/>
      <c r="R139" s="117">
        <f t="shared" si="3"/>
        <v>0.73</v>
      </c>
      <c r="S139" s="206">
        <f t="shared" si="4"/>
        <v>0.71500000000000008</v>
      </c>
    </row>
    <row r="140" spans="2:19">
      <c r="B140" s="1023">
        <f t="shared" si="5"/>
        <v>1969</v>
      </c>
      <c r="C140" s="760">
        <f t="shared" si="6"/>
        <v>0</v>
      </c>
      <c r="D140" s="760">
        <f t="shared" si="7"/>
        <v>0</v>
      </c>
      <c r="E140" s="760">
        <f t="shared" si="8"/>
        <v>0.4</v>
      </c>
      <c r="F140" s="760">
        <f t="shared" si="9"/>
        <v>0.3</v>
      </c>
      <c r="G140" s="760">
        <f t="shared" si="10"/>
        <v>0.3</v>
      </c>
      <c r="H140" s="713">
        <f t="shared" si="1"/>
        <v>1</v>
      </c>
      <c r="I140" s="1017">
        <v>0.2</v>
      </c>
      <c r="J140" s="994">
        <v>0.3</v>
      </c>
      <c r="K140" s="994">
        <v>0.25</v>
      </c>
      <c r="L140" s="994">
        <v>0.05</v>
      </c>
      <c r="M140" s="994">
        <v>0.2</v>
      </c>
      <c r="N140" s="1001">
        <f t="shared" si="2"/>
        <v>1</v>
      </c>
      <c r="O140" s="995"/>
      <c r="P140" s="4"/>
      <c r="R140" s="117">
        <f t="shared" si="3"/>
        <v>0.73</v>
      </c>
      <c r="S140" s="206">
        <f t="shared" si="4"/>
        <v>0.71500000000000008</v>
      </c>
    </row>
    <row r="141" spans="2:19">
      <c r="B141" s="1023">
        <f t="shared" si="5"/>
        <v>1970</v>
      </c>
      <c r="C141" s="760">
        <f t="shared" si="6"/>
        <v>0</v>
      </c>
      <c r="D141" s="760">
        <f t="shared" si="7"/>
        <v>0</v>
      </c>
      <c r="E141" s="760">
        <f t="shared" si="8"/>
        <v>0.4</v>
      </c>
      <c r="F141" s="760">
        <f t="shared" si="9"/>
        <v>0.3</v>
      </c>
      <c r="G141" s="760">
        <f t="shared" si="10"/>
        <v>0.3</v>
      </c>
      <c r="H141" s="713">
        <f t="shared" si="1"/>
        <v>1</v>
      </c>
      <c r="I141" s="1017">
        <v>0.2</v>
      </c>
      <c r="J141" s="994">
        <v>0.3</v>
      </c>
      <c r="K141" s="994">
        <v>0.25</v>
      </c>
      <c r="L141" s="994">
        <v>0.05</v>
      </c>
      <c r="M141" s="994">
        <v>0.2</v>
      </c>
      <c r="N141" s="1001">
        <f t="shared" si="2"/>
        <v>1</v>
      </c>
      <c r="O141" s="995"/>
      <c r="P141" s="4"/>
      <c r="R141" s="117">
        <f t="shared" si="3"/>
        <v>0.73</v>
      </c>
      <c r="S141" s="206">
        <f t="shared" si="4"/>
        <v>0.71500000000000008</v>
      </c>
    </row>
    <row r="142" spans="2:19">
      <c r="B142" s="1023">
        <f t="shared" si="5"/>
        <v>1971</v>
      </c>
      <c r="C142" s="760">
        <f t="shared" si="6"/>
        <v>0</v>
      </c>
      <c r="D142" s="760">
        <f t="shared" si="7"/>
        <v>0</v>
      </c>
      <c r="E142" s="760">
        <f t="shared" si="8"/>
        <v>0.4</v>
      </c>
      <c r="F142" s="760">
        <f t="shared" si="9"/>
        <v>0.3</v>
      </c>
      <c r="G142" s="760">
        <f t="shared" si="10"/>
        <v>0.3</v>
      </c>
      <c r="H142" s="713">
        <f t="shared" si="1"/>
        <v>1</v>
      </c>
      <c r="I142" s="1017">
        <v>0.2</v>
      </c>
      <c r="J142" s="994">
        <v>0.3</v>
      </c>
      <c r="K142" s="994">
        <v>0.25</v>
      </c>
      <c r="L142" s="994">
        <v>0.05</v>
      </c>
      <c r="M142" s="994">
        <v>0.2</v>
      </c>
      <c r="N142" s="1001">
        <f t="shared" si="2"/>
        <v>1</v>
      </c>
      <c r="O142" s="995"/>
      <c r="P142" s="4"/>
      <c r="R142" s="117">
        <f t="shared" si="3"/>
        <v>0.73</v>
      </c>
      <c r="S142" s="206">
        <f t="shared" si="4"/>
        <v>0.71500000000000008</v>
      </c>
    </row>
    <row r="143" spans="2:19">
      <c r="B143" s="1023">
        <f t="shared" si="5"/>
        <v>1972</v>
      </c>
      <c r="C143" s="760">
        <f t="shared" si="6"/>
        <v>0</v>
      </c>
      <c r="D143" s="760">
        <f t="shared" si="7"/>
        <v>0</v>
      </c>
      <c r="E143" s="760">
        <f t="shared" si="8"/>
        <v>0.4</v>
      </c>
      <c r="F143" s="760">
        <f t="shared" si="9"/>
        <v>0.3</v>
      </c>
      <c r="G143" s="760">
        <f t="shared" si="10"/>
        <v>0.3</v>
      </c>
      <c r="H143" s="713">
        <f t="shared" si="1"/>
        <v>1</v>
      </c>
      <c r="I143" s="1017">
        <v>0.2</v>
      </c>
      <c r="J143" s="994">
        <v>0.3</v>
      </c>
      <c r="K143" s="994">
        <v>0.25</v>
      </c>
      <c r="L143" s="994">
        <v>0.05</v>
      </c>
      <c r="M143" s="994">
        <v>0.2</v>
      </c>
      <c r="N143" s="1001">
        <f t="shared" si="2"/>
        <v>1</v>
      </c>
      <c r="O143" s="995"/>
      <c r="P143" s="4"/>
      <c r="R143" s="117">
        <f t="shared" si="3"/>
        <v>0.73</v>
      </c>
      <c r="S143" s="206">
        <f t="shared" si="4"/>
        <v>0.71500000000000008</v>
      </c>
    </row>
    <row r="144" spans="2:19">
      <c r="B144" s="1023">
        <f t="shared" si="5"/>
        <v>1973</v>
      </c>
      <c r="C144" s="760">
        <f t="shared" si="6"/>
        <v>0</v>
      </c>
      <c r="D144" s="760">
        <f t="shared" si="7"/>
        <v>0</v>
      </c>
      <c r="E144" s="760">
        <f t="shared" si="8"/>
        <v>0.4</v>
      </c>
      <c r="F144" s="760">
        <f t="shared" si="9"/>
        <v>0.3</v>
      </c>
      <c r="G144" s="760">
        <f t="shared" si="10"/>
        <v>0.3</v>
      </c>
      <c r="H144" s="713">
        <f t="shared" si="1"/>
        <v>1</v>
      </c>
      <c r="I144" s="1017">
        <v>0.2</v>
      </c>
      <c r="J144" s="994">
        <v>0.3</v>
      </c>
      <c r="K144" s="994">
        <v>0.25</v>
      </c>
      <c r="L144" s="994">
        <v>0.05</v>
      </c>
      <c r="M144" s="994">
        <v>0.2</v>
      </c>
      <c r="N144" s="1001">
        <f t="shared" si="2"/>
        <v>1</v>
      </c>
      <c r="O144" s="995"/>
      <c r="P144" s="4"/>
      <c r="R144" s="117">
        <f t="shared" si="3"/>
        <v>0.73</v>
      </c>
      <c r="S144" s="206">
        <f t="shared" si="4"/>
        <v>0.71500000000000008</v>
      </c>
    </row>
    <row r="145" spans="2:19">
      <c r="B145" s="1023">
        <f t="shared" si="5"/>
        <v>1974</v>
      </c>
      <c r="C145" s="760">
        <f t="shared" si="6"/>
        <v>0</v>
      </c>
      <c r="D145" s="760">
        <f t="shared" si="7"/>
        <v>0</v>
      </c>
      <c r="E145" s="760">
        <f t="shared" si="8"/>
        <v>0.4</v>
      </c>
      <c r="F145" s="760">
        <f t="shared" si="9"/>
        <v>0.3</v>
      </c>
      <c r="G145" s="760">
        <f t="shared" si="10"/>
        <v>0.3</v>
      </c>
      <c r="H145" s="713">
        <f t="shared" si="1"/>
        <v>1</v>
      </c>
      <c r="I145" s="1017">
        <v>0.2</v>
      </c>
      <c r="J145" s="994">
        <v>0.3</v>
      </c>
      <c r="K145" s="994">
        <v>0.25</v>
      </c>
      <c r="L145" s="994">
        <v>0.05</v>
      </c>
      <c r="M145" s="994">
        <v>0.2</v>
      </c>
      <c r="N145" s="1001">
        <f t="shared" si="2"/>
        <v>1</v>
      </c>
      <c r="O145" s="995"/>
      <c r="P145" s="4"/>
      <c r="R145" s="117">
        <f t="shared" si="3"/>
        <v>0.73</v>
      </c>
      <c r="S145" s="206">
        <f t="shared" si="4"/>
        <v>0.71500000000000008</v>
      </c>
    </row>
    <row r="146" spans="2:19">
      <c r="B146" s="1023">
        <f t="shared" si="5"/>
        <v>1975</v>
      </c>
      <c r="C146" s="760">
        <f t="shared" si="6"/>
        <v>0</v>
      </c>
      <c r="D146" s="760">
        <f t="shared" si="7"/>
        <v>0</v>
      </c>
      <c r="E146" s="760">
        <f t="shared" si="8"/>
        <v>0.4</v>
      </c>
      <c r="F146" s="760">
        <f t="shared" si="9"/>
        <v>0.3</v>
      </c>
      <c r="G146" s="760">
        <f t="shared" si="10"/>
        <v>0.3</v>
      </c>
      <c r="H146" s="713">
        <f t="shared" si="1"/>
        <v>1</v>
      </c>
      <c r="I146" s="1017">
        <v>0.2</v>
      </c>
      <c r="J146" s="994">
        <v>0.3</v>
      </c>
      <c r="K146" s="994">
        <v>0.25</v>
      </c>
      <c r="L146" s="994">
        <v>0.05</v>
      </c>
      <c r="M146" s="994">
        <v>0.2</v>
      </c>
      <c r="N146" s="1001">
        <f t="shared" si="2"/>
        <v>1</v>
      </c>
      <c r="O146" s="995"/>
      <c r="P146" s="4"/>
      <c r="R146" s="117">
        <f t="shared" si="3"/>
        <v>0.73</v>
      </c>
      <c r="S146" s="206">
        <f t="shared" si="4"/>
        <v>0.71500000000000008</v>
      </c>
    </row>
    <row r="147" spans="2:19">
      <c r="B147" s="1023">
        <f t="shared" si="5"/>
        <v>1976</v>
      </c>
      <c r="C147" s="760">
        <f t="shared" si="6"/>
        <v>0</v>
      </c>
      <c r="D147" s="760">
        <f t="shared" si="7"/>
        <v>0</v>
      </c>
      <c r="E147" s="760">
        <f t="shared" si="8"/>
        <v>0.4</v>
      </c>
      <c r="F147" s="760">
        <f t="shared" si="9"/>
        <v>0.3</v>
      </c>
      <c r="G147" s="760">
        <f t="shared" si="10"/>
        <v>0.3</v>
      </c>
      <c r="H147" s="713">
        <f t="shared" si="1"/>
        <v>1</v>
      </c>
      <c r="I147" s="1017">
        <v>0.2</v>
      </c>
      <c r="J147" s="994">
        <v>0.3</v>
      </c>
      <c r="K147" s="994">
        <v>0.25</v>
      </c>
      <c r="L147" s="994">
        <v>0.05</v>
      </c>
      <c r="M147" s="994">
        <v>0.2</v>
      </c>
      <c r="N147" s="1001">
        <f t="shared" si="2"/>
        <v>1</v>
      </c>
      <c r="O147" s="995"/>
      <c r="P147" s="4"/>
      <c r="R147" s="117">
        <f t="shared" si="3"/>
        <v>0.73</v>
      </c>
      <c r="S147" s="206">
        <f t="shared" si="4"/>
        <v>0.71500000000000008</v>
      </c>
    </row>
    <row r="148" spans="2:19">
      <c r="B148" s="1023">
        <f t="shared" si="5"/>
        <v>1977</v>
      </c>
      <c r="C148" s="760">
        <f t="shared" si="6"/>
        <v>0</v>
      </c>
      <c r="D148" s="760">
        <f t="shared" si="7"/>
        <v>0</v>
      </c>
      <c r="E148" s="760">
        <f t="shared" si="8"/>
        <v>0.4</v>
      </c>
      <c r="F148" s="760">
        <f t="shared" si="9"/>
        <v>0.3</v>
      </c>
      <c r="G148" s="760">
        <f t="shared" si="10"/>
        <v>0.3</v>
      </c>
      <c r="H148" s="713">
        <f t="shared" si="1"/>
        <v>1</v>
      </c>
      <c r="I148" s="1017">
        <v>0.2</v>
      </c>
      <c r="J148" s="994">
        <v>0.3</v>
      </c>
      <c r="K148" s="994">
        <v>0.25</v>
      </c>
      <c r="L148" s="994">
        <v>0.05</v>
      </c>
      <c r="M148" s="994">
        <v>0.2</v>
      </c>
      <c r="N148" s="1001">
        <f t="shared" si="2"/>
        <v>1</v>
      </c>
      <c r="O148" s="995"/>
      <c r="P148" s="4"/>
      <c r="R148" s="117">
        <f t="shared" si="3"/>
        <v>0.73</v>
      </c>
      <c r="S148" s="206">
        <f t="shared" si="4"/>
        <v>0.71500000000000008</v>
      </c>
    </row>
    <row r="149" spans="2:19">
      <c r="B149" s="1023">
        <f t="shared" si="5"/>
        <v>1978</v>
      </c>
      <c r="C149" s="760">
        <f t="shared" si="6"/>
        <v>0</v>
      </c>
      <c r="D149" s="760">
        <f t="shared" si="7"/>
        <v>0</v>
      </c>
      <c r="E149" s="760">
        <f t="shared" si="8"/>
        <v>0.4</v>
      </c>
      <c r="F149" s="760">
        <f t="shared" si="9"/>
        <v>0.3</v>
      </c>
      <c r="G149" s="760">
        <f t="shared" si="10"/>
        <v>0.3</v>
      </c>
      <c r="H149" s="713">
        <f t="shared" si="1"/>
        <v>1</v>
      </c>
      <c r="I149" s="1017">
        <v>0.2</v>
      </c>
      <c r="J149" s="994">
        <v>0.3</v>
      </c>
      <c r="K149" s="994">
        <v>0.25</v>
      </c>
      <c r="L149" s="994">
        <v>0.05</v>
      </c>
      <c r="M149" s="994">
        <v>0.2</v>
      </c>
      <c r="N149" s="1001">
        <f t="shared" si="2"/>
        <v>1</v>
      </c>
      <c r="O149" s="995"/>
      <c r="P149" s="4"/>
      <c r="R149" s="117">
        <f t="shared" si="3"/>
        <v>0.73</v>
      </c>
      <c r="S149" s="206">
        <f t="shared" si="4"/>
        <v>0.71500000000000008</v>
      </c>
    </row>
    <row r="150" spans="2:19">
      <c r="B150" s="1023">
        <f t="shared" si="5"/>
        <v>1979</v>
      </c>
      <c r="C150" s="760">
        <f t="shared" si="6"/>
        <v>0</v>
      </c>
      <c r="D150" s="760">
        <f t="shared" si="7"/>
        <v>0</v>
      </c>
      <c r="E150" s="760">
        <f t="shared" si="8"/>
        <v>0.4</v>
      </c>
      <c r="F150" s="760">
        <f t="shared" si="9"/>
        <v>0.3</v>
      </c>
      <c r="G150" s="760">
        <f t="shared" si="10"/>
        <v>0.3</v>
      </c>
      <c r="H150" s="713">
        <f t="shared" si="1"/>
        <v>1</v>
      </c>
      <c r="I150" s="1017">
        <v>0.2</v>
      </c>
      <c r="J150" s="994">
        <v>0.3</v>
      </c>
      <c r="K150" s="994">
        <v>0.25</v>
      </c>
      <c r="L150" s="994">
        <v>0.05</v>
      </c>
      <c r="M150" s="994">
        <v>0.2</v>
      </c>
      <c r="N150" s="1001">
        <f t="shared" si="2"/>
        <v>1</v>
      </c>
      <c r="O150" s="995"/>
      <c r="P150" s="4"/>
      <c r="R150" s="117">
        <f t="shared" si="3"/>
        <v>0.73</v>
      </c>
      <c r="S150" s="206">
        <f t="shared" si="4"/>
        <v>0.71500000000000008</v>
      </c>
    </row>
    <row r="151" spans="2:19">
      <c r="B151" s="1023">
        <f t="shared" si="5"/>
        <v>1980</v>
      </c>
      <c r="C151" s="760">
        <f t="shared" si="6"/>
        <v>0</v>
      </c>
      <c r="D151" s="760">
        <f t="shared" si="7"/>
        <v>0</v>
      </c>
      <c r="E151" s="760">
        <f t="shared" si="8"/>
        <v>0.4</v>
      </c>
      <c r="F151" s="760">
        <f t="shared" si="9"/>
        <v>0.3</v>
      </c>
      <c r="G151" s="760">
        <f t="shared" si="10"/>
        <v>0.3</v>
      </c>
      <c r="H151" s="713">
        <f t="shared" si="1"/>
        <v>1</v>
      </c>
      <c r="I151" s="1017">
        <v>0.2</v>
      </c>
      <c r="J151" s="994">
        <v>0.3</v>
      </c>
      <c r="K151" s="994">
        <v>0.25</v>
      </c>
      <c r="L151" s="994">
        <v>0.05</v>
      </c>
      <c r="M151" s="994">
        <v>0.2</v>
      </c>
      <c r="N151" s="1001">
        <f t="shared" si="2"/>
        <v>1</v>
      </c>
      <c r="O151" s="995"/>
      <c r="P151" s="4"/>
      <c r="R151" s="117">
        <f t="shared" si="3"/>
        <v>0.73</v>
      </c>
      <c r="S151" s="206">
        <f t="shared" si="4"/>
        <v>0.71500000000000008</v>
      </c>
    </row>
    <row r="152" spans="2:19">
      <c r="B152" s="1023">
        <f t="shared" si="5"/>
        <v>1981</v>
      </c>
      <c r="C152" s="760">
        <f t="shared" si="6"/>
        <v>0</v>
      </c>
      <c r="D152" s="760">
        <f t="shared" si="7"/>
        <v>0</v>
      </c>
      <c r="E152" s="760">
        <f t="shared" si="8"/>
        <v>0.4</v>
      </c>
      <c r="F152" s="760">
        <f t="shared" si="9"/>
        <v>0.3</v>
      </c>
      <c r="G152" s="760">
        <f t="shared" si="10"/>
        <v>0.3</v>
      </c>
      <c r="H152" s="713">
        <f t="shared" si="1"/>
        <v>1</v>
      </c>
      <c r="I152" s="1017">
        <v>0.2</v>
      </c>
      <c r="J152" s="994">
        <v>0.3</v>
      </c>
      <c r="K152" s="994">
        <v>0.25</v>
      </c>
      <c r="L152" s="994">
        <v>0.05</v>
      </c>
      <c r="M152" s="994">
        <v>0.2</v>
      </c>
      <c r="N152" s="1001">
        <f t="shared" si="2"/>
        <v>1</v>
      </c>
      <c r="O152" s="995"/>
      <c r="P152" s="4"/>
      <c r="R152" s="117">
        <f t="shared" si="3"/>
        <v>0.73</v>
      </c>
      <c r="S152" s="206">
        <f t="shared" si="4"/>
        <v>0.71500000000000008</v>
      </c>
    </row>
    <row r="153" spans="2:19">
      <c r="B153" s="1023">
        <f t="shared" si="5"/>
        <v>1982</v>
      </c>
      <c r="C153" s="760">
        <f t="shared" si="6"/>
        <v>0</v>
      </c>
      <c r="D153" s="760">
        <f t="shared" si="7"/>
        <v>0</v>
      </c>
      <c r="E153" s="760">
        <f t="shared" si="8"/>
        <v>0.4</v>
      </c>
      <c r="F153" s="760">
        <f t="shared" si="9"/>
        <v>0.3</v>
      </c>
      <c r="G153" s="760">
        <f t="shared" si="10"/>
        <v>0.3</v>
      </c>
      <c r="H153" s="713">
        <f t="shared" ref="H153:H184" si="11">SUM(C153:G153)</f>
        <v>1</v>
      </c>
      <c r="I153" s="1017">
        <v>0.2</v>
      </c>
      <c r="J153" s="994">
        <v>0.3</v>
      </c>
      <c r="K153" s="994">
        <v>0.25</v>
      </c>
      <c r="L153" s="994">
        <v>0.05</v>
      </c>
      <c r="M153" s="994">
        <v>0.2</v>
      </c>
      <c r="N153" s="1001">
        <f t="shared" ref="N153:N184" si="12">SUM(I153:M153)</f>
        <v>1</v>
      </c>
      <c r="O153" s="995"/>
      <c r="P153" s="4"/>
      <c r="R153" s="117">
        <f t="shared" ref="R153:R184" si="13">C153*C$116+D153*D$116+E153*E$116+F153*F$116+G153*G$116</f>
        <v>0.73</v>
      </c>
      <c r="S153" s="206">
        <f t="shared" ref="S153:S184" si="14">I153*$I$116+J153*$J$116+K153*$K$116+L153*L$116+M153*$M$116</f>
        <v>0.71500000000000008</v>
      </c>
    </row>
    <row r="154" spans="2:19">
      <c r="B154" s="1023">
        <f t="shared" ref="B154:B185" si="15">B153+1</f>
        <v>1983</v>
      </c>
      <c r="C154" s="760">
        <f t="shared" ref="C154:C188" si="16">C153</f>
        <v>0</v>
      </c>
      <c r="D154" s="760">
        <f t="shared" ref="D154:D188" si="17">D153</f>
        <v>0</v>
      </c>
      <c r="E154" s="760">
        <f t="shared" ref="E154:E188" si="18">E153</f>
        <v>0.4</v>
      </c>
      <c r="F154" s="760">
        <f t="shared" ref="F154:F188" si="19">F153</f>
        <v>0.3</v>
      </c>
      <c r="G154" s="760">
        <f t="shared" ref="G154:G188" si="20">G153</f>
        <v>0.3</v>
      </c>
      <c r="H154" s="713">
        <f t="shared" si="11"/>
        <v>1</v>
      </c>
      <c r="I154" s="1017">
        <v>0.2</v>
      </c>
      <c r="J154" s="994">
        <v>0.3</v>
      </c>
      <c r="K154" s="994">
        <v>0.25</v>
      </c>
      <c r="L154" s="994">
        <v>0.05</v>
      </c>
      <c r="M154" s="994">
        <v>0.2</v>
      </c>
      <c r="N154" s="1001">
        <f t="shared" si="12"/>
        <v>1</v>
      </c>
      <c r="O154" s="995"/>
      <c r="P154" s="4"/>
      <c r="R154" s="117">
        <f t="shared" si="13"/>
        <v>0.73</v>
      </c>
      <c r="S154" s="206">
        <f t="shared" si="14"/>
        <v>0.71500000000000008</v>
      </c>
    </row>
    <row r="155" spans="2:19">
      <c r="B155" s="1023">
        <f t="shared" si="15"/>
        <v>1984</v>
      </c>
      <c r="C155" s="760">
        <f t="shared" si="16"/>
        <v>0</v>
      </c>
      <c r="D155" s="760">
        <f t="shared" si="17"/>
        <v>0</v>
      </c>
      <c r="E155" s="760">
        <f t="shared" si="18"/>
        <v>0.4</v>
      </c>
      <c r="F155" s="760">
        <f t="shared" si="19"/>
        <v>0.3</v>
      </c>
      <c r="G155" s="760">
        <f t="shared" si="20"/>
        <v>0.3</v>
      </c>
      <c r="H155" s="713">
        <f t="shared" si="11"/>
        <v>1</v>
      </c>
      <c r="I155" s="1017">
        <v>0.2</v>
      </c>
      <c r="J155" s="994">
        <v>0.3</v>
      </c>
      <c r="K155" s="994">
        <v>0.25</v>
      </c>
      <c r="L155" s="994">
        <v>0.05</v>
      </c>
      <c r="M155" s="994">
        <v>0.2</v>
      </c>
      <c r="N155" s="1001">
        <f t="shared" si="12"/>
        <v>1</v>
      </c>
      <c r="O155" s="995"/>
      <c r="P155" s="4"/>
      <c r="R155" s="117">
        <f t="shared" si="13"/>
        <v>0.73</v>
      </c>
      <c r="S155" s="206">
        <f t="shared" si="14"/>
        <v>0.71500000000000008</v>
      </c>
    </row>
    <row r="156" spans="2:19">
      <c r="B156" s="1023">
        <f t="shared" si="15"/>
        <v>1985</v>
      </c>
      <c r="C156" s="760">
        <f t="shared" si="16"/>
        <v>0</v>
      </c>
      <c r="D156" s="760">
        <f t="shared" si="17"/>
        <v>0</v>
      </c>
      <c r="E156" s="760">
        <f t="shared" si="18"/>
        <v>0.4</v>
      </c>
      <c r="F156" s="760">
        <f t="shared" si="19"/>
        <v>0.3</v>
      </c>
      <c r="G156" s="760">
        <f t="shared" si="20"/>
        <v>0.3</v>
      </c>
      <c r="H156" s="713">
        <f t="shared" si="11"/>
        <v>1</v>
      </c>
      <c r="I156" s="1017">
        <v>0.2</v>
      </c>
      <c r="J156" s="994">
        <v>0.3</v>
      </c>
      <c r="K156" s="994">
        <v>0.25</v>
      </c>
      <c r="L156" s="994">
        <v>0.05</v>
      </c>
      <c r="M156" s="994">
        <v>0.2</v>
      </c>
      <c r="N156" s="1001">
        <f t="shared" si="12"/>
        <v>1</v>
      </c>
      <c r="O156" s="995"/>
      <c r="P156" s="4"/>
      <c r="R156" s="117">
        <f t="shared" si="13"/>
        <v>0.73</v>
      </c>
      <c r="S156" s="206">
        <f t="shared" si="14"/>
        <v>0.71500000000000008</v>
      </c>
    </row>
    <row r="157" spans="2:19">
      <c r="B157" s="1023">
        <f t="shared" si="15"/>
        <v>1986</v>
      </c>
      <c r="C157" s="760">
        <f t="shared" si="16"/>
        <v>0</v>
      </c>
      <c r="D157" s="760">
        <f t="shared" si="17"/>
        <v>0</v>
      </c>
      <c r="E157" s="760">
        <f t="shared" si="18"/>
        <v>0.4</v>
      </c>
      <c r="F157" s="760">
        <f t="shared" si="19"/>
        <v>0.3</v>
      </c>
      <c r="G157" s="760">
        <f t="shared" si="20"/>
        <v>0.3</v>
      </c>
      <c r="H157" s="713">
        <f t="shared" si="11"/>
        <v>1</v>
      </c>
      <c r="I157" s="1017">
        <v>0.2</v>
      </c>
      <c r="J157" s="994">
        <v>0.3</v>
      </c>
      <c r="K157" s="994">
        <v>0.25</v>
      </c>
      <c r="L157" s="994">
        <v>0.05</v>
      </c>
      <c r="M157" s="994">
        <v>0.2</v>
      </c>
      <c r="N157" s="1001">
        <f t="shared" si="12"/>
        <v>1</v>
      </c>
      <c r="O157" s="995"/>
      <c r="P157" s="4"/>
      <c r="R157" s="117">
        <f t="shared" si="13"/>
        <v>0.73</v>
      </c>
      <c r="S157" s="206">
        <f t="shared" si="14"/>
        <v>0.71500000000000008</v>
      </c>
    </row>
    <row r="158" spans="2:19">
      <c r="B158" s="1023">
        <f t="shared" si="15"/>
        <v>1987</v>
      </c>
      <c r="C158" s="760">
        <f t="shared" si="16"/>
        <v>0</v>
      </c>
      <c r="D158" s="760">
        <f t="shared" si="17"/>
        <v>0</v>
      </c>
      <c r="E158" s="760">
        <f t="shared" si="18"/>
        <v>0.4</v>
      </c>
      <c r="F158" s="760">
        <f t="shared" si="19"/>
        <v>0.3</v>
      </c>
      <c r="G158" s="760">
        <f t="shared" si="20"/>
        <v>0.3</v>
      </c>
      <c r="H158" s="713">
        <f t="shared" si="11"/>
        <v>1</v>
      </c>
      <c r="I158" s="1017">
        <v>0.2</v>
      </c>
      <c r="J158" s="994">
        <v>0.3</v>
      </c>
      <c r="K158" s="994">
        <v>0.25</v>
      </c>
      <c r="L158" s="994">
        <v>0.05</v>
      </c>
      <c r="M158" s="994">
        <v>0.2</v>
      </c>
      <c r="N158" s="1001">
        <f t="shared" si="12"/>
        <v>1</v>
      </c>
      <c r="O158" s="995"/>
      <c r="P158" s="4"/>
      <c r="R158" s="117">
        <f t="shared" si="13"/>
        <v>0.73</v>
      </c>
      <c r="S158" s="206">
        <f t="shared" si="14"/>
        <v>0.71500000000000008</v>
      </c>
    </row>
    <row r="159" spans="2:19">
      <c r="B159" s="1023">
        <f t="shared" si="15"/>
        <v>1988</v>
      </c>
      <c r="C159" s="760">
        <f t="shared" si="16"/>
        <v>0</v>
      </c>
      <c r="D159" s="760">
        <f t="shared" si="17"/>
        <v>0</v>
      </c>
      <c r="E159" s="760">
        <f t="shared" si="18"/>
        <v>0.4</v>
      </c>
      <c r="F159" s="760">
        <f t="shared" si="19"/>
        <v>0.3</v>
      </c>
      <c r="G159" s="760">
        <f t="shared" si="20"/>
        <v>0.3</v>
      </c>
      <c r="H159" s="713">
        <f t="shared" si="11"/>
        <v>1</v>
      </c>
      <c r="I159" s="1017">
        <v>0.2</v>
      </c>
      <c r="J159" s="994">
        <v>0.3</v>
      </c>
      <c r="K159" s="994">
        <v>0.25</v>
      </c>
      <c r="L159" s="994">
        <v>0.05</v>
      </c>
      <c r="M159" s="994">
        <v>0.2</v>
      </c>
      <c r="N159" s="1001">
        <f t="shared" si="12"/>
        <v>1</v>
      </c>
      <c r="O159" s="995"/>
      <c r="P159" s="4"/>
      <c r="R159" s="117">
        <f t="shared" si="13"/>
        <v>0.73</v>
      </c>
      <c r="S159" s="206">
        <f t="shared" si="14"/>
        <v>0.71500000000000008</v>
      </c>
    </row>
    <row r="160" spans="2:19">
      <c r="B160" s="1023">
        <f t="shared" si="15"/>
        <v>1989</v>
      </c>
      <c r="C160" s="760">
        <f t="shared" si="16"/>
        <v>0</v>
      </c>
      <c r="D160" s="760">
        <f t="shared" si="17"/>
        <v>0</v>
      </c>
      <c r="E160" s="760">
        <f t="shared" si="18"/>
        <v>0.4</v>
      </c>
      <c r="F160" s="760">
        <f t="shared" si="19"/>
        <v>0.3</v>
      </c>
      <c r="G160" s="760">
        <f t="shared" si="20"/>
        <v>0.3</v>
      </c>
      <c r="H160" s="713">
        <f t="shared" si="11"/>
        <v>1</v>
      </c>
      <c r="I160" s="1017">
        <v>0.2</v>
      </c>
      <c r="J160" s="994">
        <v>0.3</v>
      </c>
      <c r="K160" s="994">
        <v>0.25</v>
      </c>
      <c r="L160" s="994">
        <v>0.05</v>
      </c>
      <c r="M160" s="994">
        <v>0.2</v>
      </c>
      <c r="N160" s="1001">
        <f t="shared" si="12"/>
        <v>1</v>
      </c>
      <c r="O160" s="995"/>
      <c r="P160" s="4"/>
      <c r="R160" s="117">
        <f t="shared" si="13"/>
        <v>0.73</v>
      </c>
      <c r="S160" s="206">
        <f t="shared" si="14"/>
        <v>0.71500000000000008</v>
      </c>
    </row>
    <row r="161" spans="2:19">
      <c r="B161" s="1023">
        <f t="shared" si="15"/>
        <v>1990</v>
      </c>
      <c r="C161" s="760">
        <f t="shared" si="16"/>
        <v>0</v>
      </c>
      <c r="D161" s="760">
        <f t="shared" si="17"/>
        <v>0</v>
      </c>
      <c r="E161" s="760">
        <f t="shared" si="18"/>
        <v>0.4</v>
      </c>
      <c r="F161" s="760">
        <f t="shared" si="19"/>
        <v>0.3</v>
      </c>
      <c r="G161" s="760">
        <f t="shared" si="20"/>
        <v>0.3</v>
      </c>
      <c r="H161" s="713">
        <f t="shared" si="11"/>
        <v>1</v>
      </c>
      <c r="I161" s="1017">
        <v>0.2</v>
      </c>
      <c r="J161" s="994">
        <v>0.3</v>
      </c>
      <c r="K161" s="994">
        <v>0.25</v>
      </c>
      <c r="L161" s="994">
        <v>0.05</v>
      </c>
      <c r="M161" s="994">
        <v>0.2</v>
      </c>
      <c r="N161" s="1001">
        <f t="shared" si="12"/>
        <v>1</v>
      </c>
      <c r="O161" s="995"/>
      <c r="P161" s="4"/>
      <c r="R161" s="117">
        <f t="shared" si="13"/>
        <v>0.73</v>
      </c>
      <c r="S161" s="206">
        <f t="shared" si="14"/>
        <v>0.71500000000000008</v>
      </c>
    </row>
    <row r="162" spans="2:19">
      <c r="B162" s="1023">
        <f t="shared" si="15"/>
        <v>1991</v>
      </c>
      <c r="C162" s="760">
        <f t="shared" si="16"/>
        <v>0</v>
      </c>
      <c r="D162" s="760">
        <f t="shared" si="17"/>
        <v>0</v>
      </c>
      <c r="E162" s="760">
        <f t="shared" si="18"/>
        <v>0.4</v>
      </c>
      <c r="F162" s="760">
        <f t="shared" si="19"/>
        <v>0.3</v>
      </c>
      <c r="G162" s="760">
        <f t="shared" si="20"/>
        <v>0.3</v>
      </c>
      <c r="H162" s="713">
        <f t="shared" si="11"/>
        <v>1</v>
      </c>
      <c r="I162" s="1017">
        <v>0.2</v>
      </c>
      <c r="J162" s="994">
        <v>0.3</v>
      </c>
      <c r="K162" s="994">
        <v>0.25</v>
      </c>
      <c r="L162" s="994">
        <v>0.05</v>
      </c>
      <c r="M162" s="994">
        <v>0.2</v>
      </c>
      <c r="N162" s="1001">
        <f t="shared" si="12"/>
        <v>1</v>
      </c>
      <c r="O162" s="995"/>
      <c r="P162" s="4"/>
      <c r="R162" s="117">
        <f t="shared" si="13"/>
        <v>0.73</v>
      </c>
      <c r="S162" s="206">
        <f t="shared" si="14"/>
        <v>0.71500000000000008</v>
      </c>
    </row>
    <row r="163" spans="2:19">
      <c r="B163" s="1023">
        <f t="shared" si="15"/>
        <v>1992</v>
      </c>
      <c r="C163" s="760">
        <f t="shared" si="16"/>
        <v>0</v>
      </c>
      <c r="D163" s="760">
        <f t="shared" si="17"/>
        <v>0</v>
      </c>
      <c r="E163" s="760">
        <f t="shared" si="18"/>
        <v>0.4</v>
      </c>
      <c r="F163" s="760">
        <f t="shared" si="19"/>
        <v>0.3</v>
      </c>
      <c r="G163" s="760">
        <f t="shared" si="20"/>
        <v>0.3</v>
      </c>
      <c r="H163" s="713">
        <f t="shared" si="11"/>
        <v>1</v>
      </c>
      <c r="I163" s="1017">
        <v>0.2</v>
      </c>
      <c r="J163" s="994">
        <v>0.3</v>
      </c>
      <c r="K163" s="994">
        <v>0.25</v>
      </c>
      <c r="L163" s="994">
        <v>0.05</v>
      </c>
      <c r="M163" s="994">
        <v>0.2</v>
      </c>
      <c r="N163" s="1001">
        <f t="shared" si="12"/>
        <v>1</v>
      </c>
      <c r="O163" s="995"/>
      <c r="P163" s="4"/>
      <c r="R163" s="117">
        <f t="shared" si="13"/>
        <v>0.73</v>
      </c>
      <c r="S163" s="206">
        <f t="shared" si="14"/>
        <v>0.71500000000000008</v>
      </c>
    </row>
    <row r="164" spans="2:19">
      <c r="B164" s="1023">
        <f t="shared" si="15"/>
        <v>1993</v>
      </c>
      <c r="C164" s="760">
        <f t="shared" si="16"/>
        <v>0</v>
      </c>
      <c r="D164" s="760">
        <f t="shared" si="17"/>
        <v>0</v>
      </c>
      <c r="E164" s="760">
        <f t="shared" si="18"/>
        <v>0.4</v>
      </c>
      <c r="F164" s="760">
        <f t="shared" si="19"/>
        <v>0.3</v>
      </c>
      <c r="G164" s="760">
        <f t="shared" si="20"/>
        <v>0.3</v>
      </c>
      <c r="H164" s="713">
        <f t="shared" si="11"/>
        <v>1</v>
      </c>
      <c r="I164" s="1017">
        <v>0.2</v>
      </c>
      <c r="J164" s="994">
        <v>0.3</v>
      </c>
      <c r="K164" s="994">
        <v>0.25</v>
      </c>
      <c r="L164" s="994">
        <v>0.05</v>
      </c>
      <c r="M164" s="994">
        <v>0.2</v>
      </c>
      <c r="N164" s="1001">
        <f t="shared" si="12"/>
        <v>1</v>
      </c>
      <c r="O164" s="995"/>
      <c r="P164" s="4"/>
      <c r="R164" s="117">
        <f t="shared" si="13"/>
        <v>0.73</v>
      </c>
      <c r="S164" s="206">
        <f t="shared" si="14"/>
        <v>0.71500000000000008</v>
      </c>
    </row>
    <row r="165" spans="2:19">
      <c r="B165" s="1023">
        <f t="shared" si="15"/>
        <v>1994</v>
      </c>
      <c r="C165" s="760">
        <f t="shared" si="16"/>
        <v>0</v>
      </c>
      <c r="D165" s="760">
        <f t="shared" si="17"/>
        <v>0</v>
      </c>
      <c r="E165" s="760">
        <f t="shared" si="18"/>
        <v>0.4</v>
      </c>
      <c r="F165" s="760">
        <f t="shared" si="19"/>
        <v>0.3</v>
      </c>
      <c r="G165" s="760">
        <f t="shared" si="20"/>
        <v>0.3</v>
      </c>
      <c r="H165" s="713">
        <f t="shared" si="11"/>
        <v>1</v>
      </c>
      <c r="I165" s="1017">
        <v>0.2</v>
      </c>
      <c r="J165" s="994">
        <v>0.3</v>
      </c>
      <c r="K165" s="994">
        <v>0.25</v>
      </c>
      <c r="L165" s="994">
        <v>0.05</v>
      </c>
      <c r="M165" s="994">
        <v>0.2</v>
      </c>
      <c r="N165" s="1001">
        <f t="shared" si="12"/>
        <v>1</v>
      </c>
      <c r="O165" s="995"/>
      <c r="P165" s="4"/>
      <c r="R165" s="117">
        <f t="shared" si="13"/>
        <v>0.73</v>
      </c>
      <c r="S165" s="206">
        <f t="shared" si="14"/>
        <v>0.71500000000000008</v>
      </c>
    </row>
    <row r="166" spans="2:19">
      <c r="B166" s="1023">
        <f t="shared" si="15"/>
        <v>1995</v>
      </c>
      <c r="C166" s="760">
        <f t="shared" si="16"/>
        <v>0</v>
      </c>
      <c r="D166" s="760">
        <f t="shared" si="17"/>
        <v>0</v>
      </c>
      <c r="E166" s="760">
        <f t="shared" si="18"/>
        <v>0.4</v>
      </c>
      <c r="F166" s="760">
        <f t="shared" si="19"/>
        <v>0.3</v>
      </c>
      <c r="G166" s="760">
        <f t="shared" si="20"/>
        <v>0.3</v>
      </c>
      <c r="H166" s="713">
        <f t="shared" si="11"/>
        <v>1</v>
      </c>
      <c r="I166" s="1017">
        <v>0.2</v>
      </c>
      <c r="J166" s="994">
        <v>0.3</v>
      </c>
      <c r="K166" s="994">
        <v>0.25</v>
      </c>
      <c r="L166" s="994">
        <v>0.05</v>
      </c>
      <c r="M166" s="994">
        <v>0.2</v>
      </c>
      <c r="N166" s="1001">
        <f t="shared" si="12"/>
        <v>1</v>
      </c>
      <c r="O166" s="995"/>
      <c r="P166" s="4"/>
      <c r="R166" s="117">
        <f t="shared" si="13"/>
        <v>0.73</v>
      </c>
      <c r="S166" s="206">
        <f t="shared" si="14"/>
        <v>0.71500000000000008</v>
      </c>
    </row>
    <row r="167" spans="2:19">
      <c r="B167" s="1023">
        <f t="shared" si="15"/>
        <v>1996</v>
      </c>
      <c r="C167" s="760">
        <f t="shared" si="16"/>
        <v>0</v>
      </c>
      <c r="D167" s="760">
        <f t="shared" si="17"/>
        <v>0</v>
      </c>
      <c r="E167" s="760">
        <f t="shared" si="18"/>
        <v>0.4</v>
      </c>
      <c r="F167" s="760">
        <f t="shared" si="19"/>
        <v>0.3</v>
      </c>
      <c r="G167" s="760">
        <f t="shared" si="20"/>
        <v>0.3</v>
      </c>
      <c r="H167" s="713">
        <f t="shared" si="11"/>
        <v>1</v>
      </c>
      <c r="I167" s="1017">
        <v>0.2</v>
      </c>
      <c r="J167" s="994">
        <v>0.3</v>
      </c>
      <c r="K167" s="994">
        <v>0.25</v>
      </c>
      <c r="L167" s="994">
        <v>0.05</v>
      </c>
      <c r="M167" s="994">
        <v>0.2</v>
      </c>
      <c r="N167" s="1001">
        <f t="shared" si="12"/>
        <v>1</v>
      </c>
      <c r="O167" s="995"/>
      <c r="P167" s="4"/>
      <c r="R167" s="117">
        <f t="shared" si="13"/>
        <v>0.73</v>
      </c>
      <c r="S167" s="206">
        <f t="shared" si="14"/>
        <v>0.71500000000000008</v>
      </c>
    </row>
    <row r="168" spans="2:19">
      <c r="B168" s="1023">
        <f t="shared" si="15"/>
        <v>1997</v>
      </c>
      <c r="C168" s="760">
        <f t="shared" si="16"/>
        <v>0</v>
      </c>
      <c r="D168" s="760">
        <f t="shared" si="17"/>
        <v>0</v>
      </c>
      <c r="E168" s="760">
        <f t="shared" si="18"/>
        <v>0.4</v>
      </c>
      <c r="F168" s="760">
        <f t="shared" si="19"/>
        <v>0.3</v>
      </c>
      <c r="G168" s="760">
        <f t="shared" si="20"/>
        <v>0.3</v>
      </c>
      <c r="H168" s="713">
        <f t="shared" si="11"/>
        <v>1</v>
      </c>
      <c r="I168" s="1017">
        <v>0.2</v>
      </c>
      <c r="J168" s="994">
        <v>0.3</v>
      </c>
      <c r="K168" s="994">
        <v>0.25</v>
      </c>
      <c r="L168" s="994">
        <v>0.05</v>
      </c>
      <c r="M168" s="994">
        <v>0.2</v>
      </c>
      <c r="N168" s="1001">
        <f t="shared" si="12"/>
        <v>1</v>
      </c>
      <c r="O168" s="995"/>
      <c r="P168" s="4"/>
      <c r="R168" s="117">
        <f t="shared" si="13"/>
        <v>0.73</v>
      </c>
      <c r="S168" s="206">
        <f t="shared" si="14"/>
        <v>0.71500000000000008</v>
      </c>
    </row>
    <row r="169" spans="2:19">
      <c r="B169" s="1023">
        <f t="shared" si="15"/>
        <v>1998</v>
      </c>
      <c r="C169" s="760">
        <f t="shared" si="16"/>
        <v>0</v>
      </c>
      <c r="D169" s="760">
        <f t="shared" si="17"/>
        <v>0</v>
      </c>
      <c r="E169" s="760">
        <f t="shared" si="18"/>
        <v>0.4</v>
      </c>
      <c r="F169" s="760">
        <f t="shared" si="19"/>
        <v>0.3</v>
      </c>
      <c r="G169" s="760">
        <f t="shared" si="20"/>
        <v>0.3</v>
      </c>
      <c r="H169" s="713">
        <f t="shared" si="11"/>
        <v>1</v>
      </c>
      <c r="I169" s="1017">
        <v>0.2</v>
      </c>
      <c r="J169" s="994">
        <v>0.3</v>
      </c>
      <c r="K169" s="994">
        <v>0.25</v>
      </c>
      <c r="L169" s="994">
        <v>0.05</v>
      </c>
      <c r="M169" s="994">
        <v>0.2</v>
      </c>
      <c r="N169" s="1001">
        <f t="shared" si="12"/>
        <v>1</v>
      </c>
      <c r="O169" s="995"/>
      <c r="P169" s="4"/>
      <c r="R169" s="117">
        <f t="shared" si="13"/>
        <v>0.73</v>
      </c>
      <c r="S169" s="206">
        <f t="shared" si="14"/>
        <v>0.71500000000000008</v>
      </c>
    </row>
    <row r="170" spans="2:19">
      <c r="B170" s="1023">
        <f t="shared" si="15"/>
        <v>1999</v>
      </c>
      <c r="C170" s="760">
        <f t="shared" si="16"/>
        <v>0</v>
      </c>
      <c r="D170" s="760">
        <f t="shared" si="17"/>
        <v>0</v>
      </c>
      <c r="E170" s="760">
        <f t="shared" si="18"/>
        <v>0.4</v>
      </c>
      <c r="F170" s="760">
        <f t="shared" si="19"/>
        <v>0.3</v>
      </c>
      <c r="G170" s="760">
        <f t="shared" si="20"/>
        <v>0.3</v>
      </c>
      <c r="H170" s="713">
        <f t="shared" si="11"/>
        <v>1</v>
      </c>
      <c r="I170" s="1017">
        <v>0.2</v>
      </c>
      <c r="J170" s="994">
        <v>0.3</v>
      </c>
      <c r="K170" s="994">
        <v>0.25</v>
      </c>
      <c r="L170" s="994">
        <v>0.05</v>
      </c>
      <c r="M170" s="994">
        <v>0.2</v>
      </c>
      <c r="N170" s="1001">
        <f t="shared" si="12"/>
        <v>1</v>
      </c>
      <c r="O170" s="995"/>
      <c r="P170" s="4"/>
      <c r="R170" s="117">
        <f t="shared" si="13"/>
        <v>0.73</v>
      </c>
      <c r="S170" s="206">
        <f t="shared" si="14"/>
        <v>0.71500000000000008</v>
      </c>
    </row>
    <row r="171" spans="2:19">
      <c r="B171" s="1023">
        <f t="shared" si="15"/>
        <v>2000</v>
      </c>
      <c r="C171" s="760">
        <f t="shared" si="16"/>
        <v>0</v>
      </c>
      <c r="D171" s="760">
        <f t="shared" si="17"/>
        <v>0</v>
      </c>
      <c r="E171" s="760">
        <f t="shared" si="18"/>
        <v>0.4</v>
      </c>
      <c r="F171" s="760">
        <f t="shared" si="19"/>
        <v>0.3</v>
      </c>
      <c r="G171" s="760">
        <f t="shared" si="20"/>
        <v>0.3</v>
      </c>
      <c r="H171" s="713">
        <f t="shared" si="11"/>
        <v>1</v>
      </c>
      <c r="I171" s="1017">
        <v>0.2</v>
      </c>
      <c r="J171" s="994">
        <v>0.3</v>
      </c>
      <c r="K171" s="994">
        <v>0.25</v>
      </c>
      <c r="L171" s="994">
        <v>0.05</v>
      </c>
      <c r="M171" s="994">
        <v>0.2</v>
      </c>
      <c r="N171" s="1001">
        <f t="shared" si="12"/>
        <v>1</v>
      </c>
      <c r="O171" s="995"/>
      <c r="P171" s="4"/>
      <c r="R171" s="117">
        <f t="shared" si="13"/>
        <v>0.73</v>
      </c>
      <c r="S171" s="206">
        <f t="shared" si="14"/>
        <v>0.71500000000000008</v>
      </c>
    </row>
    <row r="172" spans="2:19">
      <c r="B172" s="1023">
        <f t="shared" si="15"/>
        <v>2001</v>
      </c>
      <c r="C172" s="760">
        <f t="shared" si="16"/>
        <v>0</v>
      </c>
      <c r="D172" s="760">
        <f t="shared" si="17"/>
        <v>0</v>
      </c>
      <c r="E172" s="760">
        <f t="shared" si="18"/>
        <v>0.4</v>
      </c>
      <c r="F172" s="760">
        <f t="shared" si="19"/>
        <v>0.3</v>
      </c>
      <c r="G172" s="760">
        <f t="shared" si="20"/>
        <v>0.3</v>
      </c>
      <c r="H172" s="713">
        <f t="shared" si="11"/>
        <v>1</v>
      </c>
      <c r="I172" s="1017">
        <v>0.2</v>
      </c>
      <c r="J172" s="994">
        <v>0.3</v>
      </c>
      <c r="K172" s="994">
        <v>0.25</v>
      </c>
      <c r="L172" s="994">
        <v>0.05</v>
      </c>
      <c r="M172" s="994">
        <v>0.2</v>
      </c>
      <c r="N172" s="1001">
        <f t="shared" si="12"/>
        <v>1</v>
      </c>
      <c r="O172" s="995"/>
      <c r="P172" s="4"/>
      <c r="R172" s="117">
        <f t="shared" si="13"/>
        <v>0.73</v>
      </c>
      <c r="S172" s="206">
        <f t="shared" si="14"/>
        <v>0.71500000000000008</v>
      </c>
    </row>
    <row r="173" spans="2:19">
      <c r="B173" s="1023">
        <f t="shared" si="15"/>
        <v>2002</v>
      </c>
      <c r="C173" s="760">
        <f t="shared" si="16"/>
        <v>0</v>
      </c>
      <c r="D173" s="760">
        <f t="shared" si="17"/>
        <v>0</v>
      </c>
      <c r="E173" s="760">
        <f t="shared" si="18"/>
        <v>0.4</v>
      </c>
      <c r="F173" s="760">
        <f t="shared" si="19"/>
        <v>0.3</v>
      </c>
      <c r="G173" s="760">
        <f t="shared" si="20"/>
        <v>0.3</v>
      </c>
      <c r="H173" s="713">
        <f t="shared" si="11"/>
        <v>1</v>
      </c>
      <c r="I173" s="1017">
        <v>0.2</v>
      </c>
      <c r="J173" s="994">
        <v>0.3</v>
      </c>
      <c r="K173" s="994">
        <v>0.25</v>
      </c>
      <c r="L173" s="994">
        <v>0.05</v>
      </c>
      <c r="M173" s="994">
        <v>0.2</v>
      </c>
      <c r="N173" s="1001">
        <f t="shared" si="12"/>
        <v>1</v>
      </c>
      <c r="O173" s="995"/>
      <c r="P173" s="4"/>
      <c r="R173" s="117">
        <f t="shared" si="13"/>
        <v>0.73</v>
      </c>
      <c r="S173" s="206">
        <f t="shared" si="14"/>
        <v>0.71500000000000008</v>
      </c>
    </row>
    <row r="174" spans="2:19">
      <c r="B174" s="1023">
        <f t="shared" si="15"/>
        <v>2003</v>
      </c>
      <c r="C174" s="760">
        <f t="shared" si="16"/>
        <v>0</v>
      </c>
      <c r="D174" s="760">
        <f t="shared" si="17"/>
        <v>0</v>
      </c>
      <c r="E174" s="760">
        <f t="shared" si="18"/>
        <v>0.4</v>
      </c>
      <c r="F174" s="760">
        <f t="shared" si="19"/>
        <v>0.3</v>
      </c>
      <c r="G174" s="760">
        <f t="shared" si="20"/>
        <v>0.3</v>
      </c>
      <c r="H174" s="713">
        <f t="shared" si="11"/>
        <v>1</v>
      </c>
      <c r="I174" s="1017">
        <v>0.2</v>
      </c>
      <c r="J174" s="994">
        <v>0.3</v>
      </c>
      <c r="K174" s="994">
        <v>0.25</v>
      </c>
      <c r="L174" s="994">
        <v>0.05</v>
      </c>
      <c r="M174" s="994">
        <v>0.2</v>
      </c>
      <c r="N174" s="1001">
        <f t="shared" si="12"/>
        <v>1</v>
      </c>
      <c r="O174" s="995"/>
      <c r="P174" s="4"/>
      <c r="R174" s="117">
        <f t="shared" si="13"/>
        <v>0.73</v>
      </c>
      <c r="S174" s="206">
        <f t="shared" si="14"/>
        <v>0.71500000000000008</v>
      </c>
    </row>
    <row r="175" spans="2:19">
      <c r="B175" s="1023">
        <f t="shared" si="15"/>
        <v>2004</v>
      </c>
      <c r="C175" s="760">
        <f t="shared" si="16"/>
        <v>0</v>
      </c>
      <c r="D175" s="760">
        <f t="shared" si="17"/>
        <v>0</v>
      </c>
      <c r="E175" s="760">
        <f t="shared" si="18"/>
        <v>0.4</v>
      </c>
      <c r="F175" s="760">
        <f t="shared" si="19"/>
        <v>0.3</v>
      </c>
      <c r="G175" s="760">
        <f t="shared" si="20"/>
        <v>0.3</v>
      </c>
      <c r="H175" s="713">
        <f t="shared" si="11"/>
        <v>1</v>
      </c>
      <c r="I175" s="1017">
        <v>0.2</v>
      </c>
      <c r="J175" s="994">
        <v>0.3</v>
      </c>
      <c r="K175" s="994">
        <v>0.25</v>
      </c>
      <c r="L175" s="994">
        <v>0.05</v>
      </c>
      <c r="M175" s="994">
        <v>0.2</v>
      </c>
      <c r="N175" s="1001">
        <f t="shared" si="12"/>
        <v>1</v>
      </c>
      <c r="O175" s="995"/>
      <c r="P175" s="4"/>
      <c r="R175" s="117">
        <f t="shared" si="13"/>
        <v>0.73</v>
      </c>
      <c r="S175" s="206">
        <f t="shared" si="14"/>
        <v>0.71500000000000008</v>
      </c>
    </row>
    <row r="176" spans="2:19">
      <c r="B176" s="1023">
        <f t="shared" si="15"/>
        <v>2005</v>
      </c>
      <c r="C176" s="760">
        <f t="shared" si="16"/>
        <v>0</v>
      </c>
      <c r="D176" s="760">
        <f t="shared" si="17"/>
        <v>0</v>
      </c>
      <c r="E176" s="760">
        <f t="shared" si="18"/>
        <v>0.4</v>
      </c>
      <c r="F176" s="760">
        <f t="shared" si="19"/>
        <v>0.3</v>
      </c>
      <c r="G176" s="760">
        <f t="shared" si="20"/>
        <v>0.3</v>
      </c>
      <c r="H176" s="713">
        <f t="shared" si="11"/>
        <v>1</v>
      </c>
      <c r="I176" s="1017">
        <v>0.2</v>
      </c>
      <c r="J176" s="994">
        <v>0.3</v>
      </c>
      <c r="K176" s="994">
        <v>0.25</v>
      </c>
      <c r="L176" s="994">
        <v>0.05</v>
      </c>
      <c r="M176" s="994">
        <v>0.2</v>
      </c>
      <c r="N176" s="1001">
        <f t="shared" si="12"/>
        <v>1</v>
      </c>
      <c r="O176" s="995"/>
      <c r="P176" s="4"/>
      <c r="R176" s="117">
        <f t="shared" si="13"/>
        <v>0.73</v>
      </c>
      <c r="S176" s="206">
        <f t="shared" si="14"/>
        <v>0.71500000000000008</v>
      </c>
    </row>
    <row r="177" spans="1:19">
      <c r="B177" s="1023">
        <f t="shared" si="15"/>
        <v>2006</v>
      </c>
      <c r="C177" s="760">
        <f t="shared" si="16"/>
        <v>0</v>
      </c>
      <c r="D177" s="760">
        <f t="shared" si="17"/>
        <v>0</v>
      </c>
      <c r="E177" s="760">
        <f t="shared" si="18"/>
        <v>0.4</v>
      </c>
      <c r="F177" s="760">
        <f t="shared" si="19"/>
        <v>0.3</v>
      </c>
      <c r="G177" s="760">
        <f t="shared" si="20"/>
        <v>0.3</v>
      </c>
      <c r="H177" s="713">
        <f t="shared" si="11"/>
        <v>1</v>
      </c>
      <c r="I177" s="1017">
        <v>0.2</v>
      </c>
      <c r="J177" s="994">
        <v>0.3</v>
      </c>
      <c r="K177" s="994">
        <v>0.25</v>
      </c>
      <c r="L177" s="994">
        <v>0.05</v>
      </c>
      <c r="M177" s="994">
        <v>0.2</v>
      </c>
      <c r="N177" s="1001">
        <f t="shared" si="12"/>
        <v>1</v>
      </c>
      <c r="O177" s="995"/>
      <c r="P177" s="4"/>
      <c r="R177" s="117">
        <f t="shared" si="13"/>
        <v>0.73</v>
      </c>
      <c r="S177" s="206">
        <f t="shared" si="14"/>
        <v>0.71500000000000008</v>
      </c>
    </row>
    <row r="178" spans="1:19">
      <c r="B178" s="1023">
        <f t="shared" si="15"/>
        <v>2007</v>
      </c>
      <c r="C178" s="760">
        <f t="shared" si="16"/>
        <v>0</v>
      </c>
      <c r="D178" s="760">
        <f t="shared" si="17"/>
        <v>0</v>
      </c>
      <c r="E178" s="760">
        <f t="shared" si="18"/>
        <v>0.4</v>
      </c>
      <c r="F178" s="760">
        <f t="shared" si="19"/>
        <v>0.3</v>
      </c>
      <c r="G178" s="760">
        <f t="shared" si="20"/>
        <v>0.3</v>
      </c>
      <c r="H178" s="713">
        <f t="shared" si="11"/>
        <v>1</v>
      </c>
      <c r="I178" s="1017">
        <v>0.2</v>
      </c>
      <c r="J178" s="994">
        <v>0.3</v>
      </c>
      <c r="K178" s="994">
        <v>0.25</v>
      </c>
      <c r="L178" s="994">
        <v>0.05</v>
      </c>
      <c r="M178" s="994">
        <v>0.2</v>
      </c>
      <c r="N178" s="1001">
        <f t="shared" si="12"/>
        <v>1</v>
      </c>
      <c r="O178" s="995"/>
      <c r="P178" s="4"/>
      <c r="R178" s="117">
        <f t="shared" si="13"/>
        <v>0.73</v>
      </c>
      <c r="S178" s="206">
        <f t="shared" si="14"/>
        <v>0.71500000000000008</v>
      </c>
    </row>
    <row r="179" spans="1:19">
      <c r="B179" s="1023">
        <f t="shared" si="15"/>
        <v>2008</v>
      </c>
      <c r="C179" s="760">
        <f t="shared" si="16"/>
        <v>0</v>
      </c>
      <c r="D179" s="760">
        <f t="shared" si="17"/>
        <v>0</v>
      </c>
      <c r="E179" s="760">
        <f t="shared" si="18"/>
        <v>0.4</v>
      </c>
      <c r="F179" s="760">
        <f t="shared" si="19"/>
        <v>0.3</v>
      </c>
      <c r="G179" s="760">
        <f t="shared" si="20"/>
        <v>0.3</v>
      </c>
      <c r="H179" s="713">
        <f t="shared" si="11"/>
        <v>1</v>
      </c>
      <c r="I179" s="1017">
        <v>0.2</v>
      </c>
      <c r="J179" s="994">
        <v>0.3</v>
      </c>
      <c r="K179" s="994">
        <v>0.25</v>
      </c>
      <c r="L179" s="994">
        <v>0.05</v>
      </c>
      <c r="M179" s="994">
        <v>0.2</v>
      </c>
      <c r="N179" s="1001">
        <f t="shared" si="12"/>
        <v>1</v>
      </c>
      <c r="O179" s="995"/>
      <c r="P179" s="4"/>
      <c r="R179" s="117">
        <f t="shared" si="13"/>
        <v>0.73</v>
      </c>
      <c r="S179" s="206">
        <f t="shared" si="14"/>
        <v>0.71500000000000008</v>
      </c>
    </row>
    <row r="180" spans="1:19">
      <c r="B180" s="1023">
        <f t="shared" si="15"/>
        <v>2009</v>
      </c>
      <c r="C180" s="760">
        <f t="shared" si="16"/>
        <v>0</v>
      </c>
      <c r="D180" s="760">
        <f t="shared" si="17"/>
        <v>0</v>
      </c>
      <c r="E180" s="760">
        <f t="shared" si="18"/>
        <v>0.4</v>
      </c>
      <c r="F180" s="760">
        <f t="shared" si="19"/>
        <v>0.3</v>
      </c>
      <c r="G180" s="760">
        <f t="shared" si="20"/>
        <v>0.3</v>
      </c>
      <c r="H180" s="713">
        <f t="shared" si="11"/>
        <v>1</v>
      </c>
      <c r="I180" s="1017">
        <v>0.2</v>
      </c>
      <c r="J180" s="994">
        <v>0.3</v>
      </c>
      <c r="K180" s="994">
        <v>0.25</v>
      </c>
      <c r="L180" s="994">
        <v>0.05</v>
      </c>
      <c r="M180" s="994">
        <v>0.2</v>
      </c>
      <c r="N180" s="1001">
        <f t="shared" si="12"/>
        <v>1</v>
      </c>
      <c r="O180" s="995"/>
      <c r="P180" s="4"/>
      <c r="R180" s="117">
        <f t="shared" si="13"/>
        <v>0.73</v>
      </c>
      <c r="S180" s="206">
        <f t="shared" si="14"/>
        <v>0.71500000000000008</v>
      </c>
    </row>
    <row r="181" spans="1:19">
      <c r="B181" s="1023">
        <f t="shared" si="15"/>
        <v>2010</v>
      </c>
      <c r="C181" s="760">
        <f t="shared" si="16"/>
        <v>0</v>
      </c>
      <c r="D181" s="760">
        <f t="shared" si="17"/>
        <v>0</v>
      </c>
      <c r="E181" s="760">
        <f t="shared" si="18"/>
        <v>0.4</v>
      </c>
      <c r="F181" s="760">
        <f t="shared" si="19"/>
        <v>0.3</v>
      </c>
      <c r="G181" s="760">
        <f t="shared" si="20"/>
        <v>0.3</v>
      </c>
      <c r="H181" s="713">
        <f t="shared" si="11"/>
        <v>1</v>
      </c>
      <c r="I181" s="1017">
        <v>0.2</v>
      </c>
      <c r="J181" s="994">
        <v>0.3</v>
      </c>
      <c r="K181" s="994">
        <v>0.25</v>
      </c>
      <c r="L181" s="994">
        <v>0.05</v>
      </c>
      <c r="M181" s="994">
        <v>0.2</v>
      </c>
      <c r="N181" s="1001">
        <f t="shared" si="12"/>
        <v>1</v>
      </c>
      <c r="O181" s="995"/>
      <c r="P181" s="4"/>
      <c r="R181" s="117">
        <f t="shared" si="13"/>
        <v>0.73</v>
      </c>
      <c r="S181" s="206">
        <f t="shared" si="14"/>
        <v>0.71500000000000008</v>
      </c>
    </row>
    <row r="182" spans="1:19">
      <c r="B182" s="1023">
        <f t="shared" si="15"/>
        <v>2011</v>
      </c>
      <c r="C182" s="760">
        <f t="shared" si="16"/>
        <v>0</v>
      </c>
      <c r="D182" s="760">
        <f t="shared" si="17"/>
        <v>0</v>
      </c>
      <c r="E182" s="760">
        <f t="shared" si="18"/>
        <v>0.4</v>
      </c>
      <c r="F182" s="760">
        <f t="shared" si="19"/>
        <v>0.3</v>
      </c>
      <c r="G182" s="760">
        <f t="shared" si="20"/>
        <v>0.3</v>
      </c>
      <c r="H182" s="713">
        <f t="shared" si="11"/>
        <v>1</v>
      </c>
      <c r="I182" s="1017">
        <v>0.2</v>
      </c>
      <c r="J182" s="994">
        <v>0.3</v>
      </c>
      <c r="K182" s="994">
        <v>0.25</v>
      </c>
      <c r="L182" s="994">
        <v>0.05</v>
      </c>
      <c r="M182" s="994">
        <v>0.2</v>
      </c>
      <c r="N182" s="1001">
        <f t="shared" si="12"/>
        <v>1</v>
      </c>
      <c r="O182" s="995"/>
      <c r="P182" s="4"/>
      <c r="R182" s="117">
        <f t="shared" si="13"/>
        <v>0.73</v>
      </c>
      <c r="S182" s="206">
        <f t="shared" si="14"/>
        <v>0.71500000000000008</v>
      </c>
    </row>
    <row r="183" spans="1:19">
      <c r="B183" s="1023">
        <f t="shared" si="15"/>
        <v>2012</v>
      </c>
      <c r="C183" s="760">
        <f t="shared" si="16"/>
        <v>0</v>
      </c>
      <c r="D183" s="760">
        <f t="shared" si="17"/>
        <v>0</v>
      </c>
      <c r="E183" s="760">
        <f t="shared" si="18"/>
        <v>0.4</v>
      </c>
      <c r="F183" s="760">
        <f t="shared" si="19"/>
        <v>0.3</v>
      </c>
      <c r="G183" s="760">
        <f t="shared" si="20"/>
        <v>0.3</v>
      </c>
      <c r="H183" s="713">
        <f t="shared" si="11"/>
        <v>1</v>
      </c>
      <c r="I183" s="1017">
        <v>0.2</v>
      </c>
      <c r="J183" s="994">
        <v>0.3</v>
      </c>
      <c r="K183" s="994">
        <v>0.25</v>
      </c>
      <c r="L183" s="994">
        <v>0.05</v>
      </c>
      <c r="M183" s="994">
        <v>0.2</v>
      </c>
      <c r="N183" s="1001">
        <f t="shared" si="12"/>
        <v>1</v>
      </c>
      <c r="O183" s="995"/>
      <c r="P183" s="4"/>
      <c r="R183" s="117">
        <f t="shared" si="13"/>
        <v>0.73</v>
      </c>
      <c r="S183" s="206">
        <f t="shared" si="14"/>
        <v>0.71500000000000008</v>
      </c>
    </row>
    <row r="184" spans="1:19">
      <c r="B184" s="1023">
        <f t="shared" si="15"/>
        <v>2013</v>
      </c>
      <c r="C184" s="760">
        <f t="shared" si="16"/>
        <v>0</v>
      </c>
      <c r="D184" s="760">
        <f t="shared" si="17"/>
        <v>0</v>
      </c>
      <c r="E184" s="760">
        <f t="shared" si="18"/>
        <v>0.4</v>
      </c>
      <c r="F184" s="760">
        <f t="shared" si="19"/>
        <v>0.3</v>
      </c>
      <c r="G184" s="760">
        <f t="shared" si="20"/>
        <v>0.3</v>
      </c>
      <c r="H184" s="713">
        <f t="shared" si="11"/>
        <v>1</v>
      </c>
      <c r="I184" s="1017">
        <v>0.2</v>
      </c>
      <c r="J184" s="994">
        <v>0.3</v>
      </c>
      <c r="K184" s="994">
        <v>0.25</v>
      </c>
      <c r="L184" s="994">
        <v>0.05</v>
      </c>
      <c r="M184" s="994">
        <v>0.2</v>
      </c>
      <c r="N184" s="1001">
        <f t="shared" si="12"/>
        <v>1</v>
      </c>
      <c r="O184" s="995"/>
      <c r="P184" s="4"/>
      <c r="R184" s="117">
        <f t="shared" si="13"/>
        <v>0.73</v>
      </c>
      <c r="S184" s="206">
        <f t="shared" si="14"/>
        <v>0.71500000000000008</v>
      </c>
    </row>
    <row r="185" spans="1:19">
      <c r="B185" s="1023">
        <f t="shared" si="15"/>
        <v>2014</v>
      </c>
      <c r="C185" s="760">
        <f t="shared" si="16"/>
        <v>0</v>
      </c>
      <c r="D185" s="760">
        <f t="shared" si="17"/>
        <v>0</v>
      </c>
      <c r="E185" s="760">
        <f t="shared" si="18"/>
        <v>0.4</v>
      </c>
      <c r="F185" s="760">
        <f t="shared" si="19"/>
        <v>0.3</v>
      </c>
      <c r="G185" s="760">
        <f t="shared" si="20"/>
        <v>0.3</v>
      </c>
      <c r="H185" s="713">
        <f t="shared" ref="H185:H216" si="21">SUM(C185:G185)</f>
        <v>1</v>
      </c>
      <c r="I185" s="1017">
        <v>0.2</v>
      </c>
      <c r="J185" s="994">
        <v>0.3</v>
      </c>
      <c r="K185" s="994">
        <v>0.25</v>
      </c>
      <c r="L185" s="994">
        <v>0.05</v>
      </c>
      <c r="M185" s="994">
        <v>0.2</v>
      </c>
      <c r="N185" s="1001">
        <f t="shared" ref="N185:N216" si="22">SUM(I185:M185)</f>
        <v>1</v>
      </c>
      <c r="O185" s="995"/>
      <c r="P185" s="4"/>
      <c r="R185" s="117">
        <f t="shared" ref="R185:R221" si="23">C185*C$116+D185*D$116+E185*E$116+F185*F$116+G185*G$116</f>
        <v>0.73</v>
      </c>
      <c r="S185" s="206">
        <f t="shared" ref="S185:S221" si="24">I185*$I$116+J185*$J$116+K185*$K$116+L185*L$116+M185*$M$116</f>
        <v>0.71500000000000008</v>
      </c>
    </row>
    <row r="186" spans="1:19">
      <c r="B186" s="1023">
        <f t="shared" ref="B186:B221" si="25">B185+1</f>
        <v>2015</v>
      </c>
      <c r="C186" s="760">
        <f t="shared" si="16"/>
        <v>0</v>
      </c>
      <c r="D186" s="760">
        <f t="shared" si="17"/>
        <v>0</v>
      </c>
      <c r="E186" s="760">
        <f t="shared" si="18"/>
        <v>0.4</v>
      </c>
      <c r="F186" s="760">
        <f t="shared" si="19"/>
        <v>0.3</v>
      </c>
      <c r="G186" s="760">
        <f t="shared" si="20"/>
        <v>0.3</v>
      </c>
      <c r="H186" s="713">
        <f t="shared" si="21"/>
        <v>1</v>
      </c>
      <c r="I186" s="1017">
        <v>0.2</v>
      </c>
      <c r="J186" s="994">
        <v>0.3</v>
      </c>
      <c r="K186" s="994">
        <v>0.25</v>
      </c>
      <c r="L186" s="994">
        <v>0.05</v>
      </c>
      <c r="M186" s="994">
        <v>0.2</v>
      </c>
      <c r="N186" s="1001">
        <f t="shared" si="22"/>
        <v>1</v>
      </c>
      <c r="O186" s="995"/>
      <c r="P186" s="4"/>
      <c r="R186" s="117">
        <f t="shared" si="23"/>
        <v>0.73</v>
      </c>
      <c r="S186" s="206">
        <f t="shared" si="24"/>
        <v>0.71500000000000008</v>
      </c>
    </row>
    <row r="187" spans="1:19" ht="15.75" thickBot="1">
      <c r="B187" s="1023">
        <f t="shared" si="25"/>
        <v>2016</v>
      </c>
      <c r="C187" s="760">
        <f t="shared" si="16"/>
        <v>0</v>
      </c>
      <c r="D187" s="760">
        <f t="shared" si="17"/>
        <v>0</v>
      </c>
      <c r="E187" s="760">
        <f t="shared" si="18"/>
        <v>0.4</v>
      </c>
      <c r="F187" s="760">
        <f t="shared" si="19"/>
        <v>0.3</v>
      </c>
      <c r="G187" s="760">
        <f t="shared" si="20"/>
        <v>0.3</v>
      </c>
      <c r="H187" s="713">
        <f t="shared" si="21"/>
        <v>1</v>
      </c>
      <c r="I187" s="1017">
        <v>0.2</v>
      </c>
      <c r="J187" s="994">
        <v>0.3</v>
      </c>
      <c r="K187" s="994">
        <v>0.25</v>
      </c>
      <c r="L187" s="994">
        <v>0.05</v>
      </c>
      <c r="M187" s="994">
        <v>0.2</v>
      </c>
      <c r="N187" s="1001">
        <f t="shared" si="22"/>
        <v>1</v>
      </c>
      <c r="O187" s="995"/>
      <c r="P187" s="4"/>
      <c r="R187" s="120">
        <f t="shared" si="23"/>
        <v>0.73</v>
      </c>
      <c r="S187" s="207">
        <f t="shared" si="24"/>
        <v>0.71500000000000008</v>
      </c>
    </row>
    <row r="188" spans="1:19" s="1" customFormat="1">
      <c r="B188" s="998">
        <f t="shared" si="25"/>
        <v>2017</v>
      </c>
      <c r="C188" s="999">
        <f t="shared" si="16"/>
        <v>0</v>
      </c>
      <c r="D188" s="999">
        <f t="shared" si="17"/>
        <v>0</v>
      </c>
      <c r="E188" s="999">
        <f t="shared" si="18"/>
        <v>0.4</v>
      </c>
      <c r="F188" s="999">
        <f t="shared" si="19"/>
        <v>0.3</v>
      </c>
      <c r="G188" s="999">
        <f t="shared" si="20"/>
        <v>0.3</v>
      </c>
      <c r="H188" s="1011">
        <f t="shared" si="21"/>
        <v>1</v>
      </c>
      <c r="I188" s="1015">
        <v>0.2</v>
      </c>
      <c r="J188" s="1016">
        <v>0.3</v>
      </c>
      <c r="K188" s="1016">
        <v>0.25</v>
      </c>
      <c r="L188" s="1016">
        <v>0.05</v>
      </c>
      <c r="M188" s="1016">
        <v>0.2</v>
      </c>
      <c r="N188" s="1000">
        <f t="shared" si="22"/>
        <v>1</v>
      </c>
      <c r="O188" s="1014"/>
      <c r="P188" s="375"/>
      <c r="R188" s="978">
        <f t="shared" si="23"/>
        <v>0.73</v>
      </c>
      <c r="S188" s="119">
        <f t="shared" si="24"/>
        <v>0.71500000000000008</v>
      </c>
    </row>
    <row r="189" spans="1:19">
      <c r="A189" s="501" t="s">
        <v>647</v>
      </c>
      <c r="B189" s="1023">
        <f t="shared" si="25"/>
        <v>2018</v>
      </c>
      <c r="C189" s="760">
        <v>0</v>
      </c>
      <c r="D189" s="760">
        <v>0</v>
      </c>
      <c r="E189" s="760">
        <f t="shared" ref="E189:E200" si="26">($E$201-$E$188)/($B$201-$B$188)+E188</f>
        <v>0.42307692307692307</v>
      </c>
      <c r="F189" s="760">
        <f t="shared" ref="F189:F200" si="27">($F$201-$F$188)/($B$201-$B$188)+F188</f>
        <v>0.28846153846153844</v>
      </c>
      <c r="G189" s="760">
        <f>($G$201-$G$188)/($B$201-$B$188)+G188</f>
        <v>0.28846153846153844</v>
      </c>
      <c r="H189" s="713">
        <f t="shared" si="21"/>
        <v>0.99999999999999989</v>
      </c>
      <c r="I189" s="1017">
        <v>0.2</v>
      </c>
      <c r="J189" s="994">
        <v>0.3</v>
      </c>
      <c r="K189" s="994">
        <v>0.25</v>
      </c>
      <c r="L189" s="994">
        <v>0.05</v>
      </c>
      <c r="M189" s="994">
        <v>0.2</v>
      </c>
      <c r="N189" s="1001">
        <f t="shared" si="22"/>
        <v>1</v>
      </c>
      <c r="O189" s="995"/>
      <c r="P189" s="99"/>
      <c r="R189" s="117">
        <f t="shared" si="23"/>
        <v>0.74038461538461531</v>
      </c>
      <c r="S189" s="206">
        <f t="shared" si="24"/>
        <v>0.71500000000000008</v>
      </c>
    </row>
    <row r="190" spans="1:19">
      <c r="B190" s="1023">
        <f t="shared" si="25"/>
        <v>2019</v>
      </c>
      <c r="C190" s="760">
        <v>0</v>
      </c>
      <c r="D190" s="760">
        <v>0</v>
      </c>
      <c r="E190" s="760">
        <f t="shared" si="26"/>
        <v>0.44615384615384612</v>
      </c>
      <c r="F190" s="760">
        <f t="shared" si="27"/>
        <v>0.27692307692307688</v>
      </c>
      <c r="G190" s="760">
        <f t="shared" ref="G190:G200" si="28">($G$201-$G$188)/($B$201-$B$188)+G189</f>
        <v>0.27692307692307688</v>
      </c>
      <c r="H190" s="713">
        <f t="shared" si="21"/>
        <v>0.99999999999999978</v>
      </c>
      <c r="I190" s="1017">
        <v>0.2</v>
      </c>
      <c r="J190" s="994">
        <v>0.3</v>
      </c>
      <c r="K190" s="994">
        <v>0.25</v>
      </c>
      <c r="L190" s="994">
        <v>0.05</v>
      </c>
      <c r="M190" s="994">
        <v>0.2</v>
      </c>
      <c r="N190" s="1001">
        <f t="shared" si="22"/>
        <v>1</v>
      </c>
      <c r="O190" s="995"/>
      <c r="P190" s="99"/>
      <c r="R190" s="117">
        <f t="shared" si="23"/>
        <v>0.75076923076923063</v>
      </c>
      <c r="S190" s="206">
        <f t="shared" si="24"/>
        <v>0.71500000000000008</v>
      </c>
    </row>
    <row r="191" spans="1:19">
      <c r="B191" s="1023">
        <f t="shared" si="25"/>
        <v>2020</v>
      </c>
      <c r="C191" s="760">
        <v>0</v>
      </c>
      <c r="D191" s="760">
        <v>0</v>
      </c>
      <c r="E191" s="760">
        <f t="shared" si="26"/>
        <v>0.46923076923076917</v>
      </c>
      <c r="F191" s="760">
        <f t="shared" si="27"/>
        <v>0.26538461538461533</v>
      </c>
      <c r="G191" s="760">
        <f t="shared" si="28"/>
        <v>0.26538461538461533</v>
      </c>
      <c r="H191" s="713">
        <f t="shared" si="21"/>
        <v>0.99999999999999978</v>
      </c>
      <c r="I191" s="1017">
        <v>0.2</v>
      </c>
      <c r="J191" s="994">
        <v>0.3</v>
      </c>
      <c r="K191" s="994">
        <v>0.25</v>
      </c>
      <c r="L191" s="994">
        <v>0.05</v>
      </c>
      <c r="M191" s="994">
        <v>0.2</v>
      </c>
      <c r="N191" s="1001">
        <f t="shared" si="22"/>
        <v>1</v>
      </c>
      <c r="O191" s="995"/>
      <c r="P191" s="99"/>
      <c r="R191" s="117">
        <f t="shared" si="23"/>
        <v>0.76115384615384596</v>
      </c>
      <c r="S191" s="206">
        <f t="shared" si="24"/>
        <v>0.71500000000000008</v>
      </c>
    </row>
    <row r="192" spans="1:19">
      <c r="B192" s="1023">
        <f t="shared" si="25"/>
        <v>2021</v>
      </c>
      <c r="C192" s="760">
        <v>0</v>
      </c>
      <c r="D192" s="760">
        <v>0</v>
      </c>
      <c r="E192" s="760">
        <f t="shared" si="26"/>
        <v>0.49230769230769222</v>
      </c>
      <c r="F192" s="760">
        <f t="shared" si="27"/>
        <v>0.25384615384615378</v>
      </c>
      <c r="G192" s="760">
        <f t="shared" si="28"/>
        <v>0.25384615384615378</v>
      </c>
      <c r="H192" s="713">
        <f t="shared" si="21"/>
        <v>0.99999999999999978</v>
      </c>
      <c r="I192" s="1017">
        <v>0.2</v>
      </c>
      <c r="J192" s="994">
        <v>0.3</v>
      </c>
      <c r="K192" s="994">
        <v>0.25</v>
      </c>
      <c r="L192" s="994">
        <v>0.05</v>
      </c>
      <c r="M192" s="994">
        <v>0.2</v>
      </c>
      <c r="N192" s="1001">
        <f t="shared" si="22"/>
        <v>1</v>
      </c>
      <c r="O192" s="995"/>
      <c r="P192" s="99"/>
      <c r="R192" s="117">
        <f t="shared" si="23"/>
        <v>0.7715384615384614</v>
      </c>
      <c r="S192" s="206">
        <f t="shared" si="24"/>
        <v>0.71500000000000008</v>
      </c>
    </row>
    <row r="193" spans="2:19">
      <c r="B193" s="1023">
        <f t="shared" si="25"/>
        <v>2022</v>
      </c>
      <c r="C193" s="760">
        <v>0</v>
      </c>
      <c r="D193" s="760">
        <v>0</v>
      </c>
      <c r="E193" s="760">
        <f t="shared" si="26"/>
        <v>0.51538461538461533</v>
      </c>
      <c r="F193" s="760">
        <f t="shared" si="27"/>
        <v>0.24230769230769225</v>
      </c>
      <c r="G193" s="760">
        <f t="shared" si="28"/>
        <v>0.24230769230769225</v>
      </c>
      <c r="H193" s="713">
        <f t="shared" si="21"/>
        <v>0.99999999999999978</v>
      </c>
      <c r="I193" s="1017">
        <v>0.2</v>
      </c>
      <c r="J193" s="994">
        <v>0.3</v>
      </c>
      <c r="K193" s="994">
        <v>0.25</v>
      </c>
      <c r="L193" s="994">
        <v>0.05</v>
      </c>
      <c r="M193" s="994">
        <v>0.2</v>
      </c>
      <c r="N193" s="1001">
        <f t="shared" si="22"/>
        <v>1</v>
      </c>
      <c r="O193" s="995"/>
      <c r="P193" s="99"/>
      <c r="R193" s="117">
        <f t="shared" si="23"/>
        <v>0.78192307692307683</v>
      </c>
      <c r="S193" s="206">
        <f t="shared" si="24"/>
        <v>0.71500000000000008</v>
      </c>
    </row>
    <row r="194" spans="2:19">
      <c r="B194" s="1023">
        <f t="shared" si="25"/>
        <v>2023</v>
      </c>
      <c r="C194" s="760">
        <v>0</v>
      </c>
      <c r="D194" s="760">
        <v>0</v>
      </c>
      <c r="E194" s="760">
        <f t="shared" si="26"/>
        <v>0.53846153846153844</v>
      </c>
      <c r="F194" s="760">
        <f t="shared" si="27"/>
        <v>0.23076923076923073</v>
      </c>
      <c r="G194" s="760">
        <f t="shared" si="28"/>
        <v>0.23076923076923073</v>
      </c>
      <c r="H194" s="713">
        <f t="shared" si="21"/>
        <v>0.99999999999999989</v>
      </c>
      <c r="I194" s="1017">
        <v>0.2</v>
      </c>
      <c r="J194" s="994">
        <v>0.3</v>
      </c>
      <c r="K194" s="994">
        <v>0.25</v>
      </c>
      <c r="L194" s="994">
        <v>0.05</v>
      </c>
      <c r="M194" s="994">
        <v>0.2</v>
      </c>
      <c r="N194" s="1001">
        <f t="shared" si="22"/>
        <v>1</v>
      </c>
      <c r="O194" s="995"/>
      <c r="P194" s="99"/>
      <c r="R194" s="117">
        <f t="shared" si="23"/>
        <v>0.79230769230769216</v>
      </c>
      <c r="S194" s="206">
        <f t="shared" si="24"/>
        <v>0.71500000000000008</v>
      </c>
    </row>
    <row r="195" spans="2:19">
      <c r="B195" s="1023">
        <f t="shared" si="25"/>
        <v>2024</v>
      </c>
      <c r="C195" s="760">
        <v>0</v>
      </c>
      <c r="D195" s="760">
        <v>0</v>
      </c>
      <c r="E195" s="760">
        <f t="shared" si="26"/>
        <v>0.56153846153846154</v>
      </c>
      <c r="F195" s="760">
        <f t="shared" si="27"/>
        <v>0.2192307692307692</v>
      </c>
      <c r="G195" s="760">
        <f t="shared" si="28"/>
        <v>0.2192307692307692</v>
      </c>
      <c r="H195" s="713">
        <f t="shared" si="21"/>
        <v>1</v>
      </c>
      <c r="I195" s="1017">
        <v>0.2</v>
      </c>
      <c r="J195" s="994">
        <v>0.3</v>
      </c>
      <c r="K195" s="994">
        <v>0.25</v>
      </c>
      <c r="L195" s="994">
        <v>0.05</v>
      </c>
      <c r="M195" s="994">
        <v>0.2</v>
      </c>
      <c r="N195" s="1001">
        <f t="shared" si="22"/>
        <v>1</v>
      </c>
      <c r="O195" s="995"/>
      <c r="P195" s="99"/>
      <c r="R195" s="117">
        <f t="shared" si="23"/>
        <v>0.80269230769230759</v>
      </c>
      <c r="S195" s="206">
        <f t="shared" si="24"/>
        <v>0.71500000000000008</v>
      </c>
    </row>
    <row r="196" spans="2:19">
      <c r="B196" s="1023">
        <f t="shared" si="25"/>
        <v>2025</v>
      </c>
      <c r="C196" s="760">
        <v>0</v>
      </c>
      <c r="D196" s="760">
        <v>0</v>
      </c>
      <c r="E196" s="760">
        <f t="shared" si="26"/>
        <v>0.58461538461538465</v>
      </c>
      <c r="F196" s="760">
        <f t="shared" si="27"/>
        <v>0.20769230769230768</v>
      </c>
      <c r="G196" s="760">
        <f t="shared" si="28"/>
        <v>0.20769230769230768</v>
      </c>
      <c r="H196" s="713">
        <f t="shared" si="21"/>
        <v>1</v>
      </c>
      <c r="I196" s="1017">
        <v>0.2</v>
      </c>
      <c r="J196" s="994">
        <v>0.3</v>
      </c>
      <c r="K196" s="994">
        <v>0.25</v>
      </c>
      <c r="L196" s="994">
        <v>0.05</v>
      </c>
      <c r="M196" s="994">
        <v>0.2</v>
      </c>
      <c r="N196" s="1001">
        <f t="shared" si="22"/>
        <v>1</v>
      </c>
      <c r="O196" s="995"/>
      <c r="P196" s="99"/>
      <c r="R196" s="117">
        <f t="shared" si="23"/>
        <v>0.81307692307692303</v>
      </c>
      <c r="S196" s="206">
        <f t="shared" si="24"/>
        <v>0.71500000000000008</v>
      </c>
    </row>
    <row r="197" spans="2:19">
      <c r="B197" s="1023">
        <f t="shared" si="25"/>
        <v>2026</v>
      </c>
      <c r="C197" s="760">
        <v>0</v>
      </c>
      <c r="D197" s="760">
        <v>0</v>
      </c>
      <c r="E197" s="760">
        <f t="shared" si="26"/>
        <v>0.60769230769230775</v>
      </c>
      <c r="F197" s="760">
        <f t="shared" si="27"/>
        <v>0.19615384615384615</v>
      </c>
      <c r="G197" s="760">
        <f t="shared" si="28"/>
        <v>0.19615384615384615</v>
      </c>
      <c r="H197" s="713">
        <f t="shared" si="21"/>
        <v>1</v>
      </c>
      <c r="I197" s="1017">
        <v>0.2</v>
      </c>
      <c r="J197" s="994">
        <v>0.3</v>
      </c>
      <c r="K197" s="994">
        <v>0.25</v>
      </c>
      <c r="L197" s="994">
        <v>0.05</v>
      </c>
      <c r="M197" s="994">
        <v>0.2</v>
      </c>
      <c r="N197" s="1001">
        <f t="shared" si="22"/>
        <v>1</v>
      </c>
      <c r="O197" s="995"/>
      <c r="P197" s="99"/>
      <c r="R197" s="117">
        <f t="shared" si="23"/>
        <v>0.82346153846153847</v>
      </c>
      <c r="S197" s="206">
        <f t="shared" si="24"/>
        <v>0.71500000000000008</v>
      </c>
    </row>
    <row r="198" spans="2:19">
      <c r="B198" s="1023">
        <f t="shared" si="25"/>
        <v>2027</v>
      </c>
      <c r="C198" s="760">
        <v>0</v>
      </c>
      <c r="D198" s="760">
        <v>0</v>
      </c>
      <c r="E198" s="760">
        <f t="shared" si="26"/>
        <v>0.63076923076923086</v>
      </c>
      <c r="F198" s="760">
        <f t="shared" si="27"/>
        <v>0.18461538461538463</v>
      </c>
      <c r="G198" s="760">
        <f t="shared" si="28"/>
        <v>0.18461538461538463</v>
      </c>
      <c r="H198" s="713">
        <f t="shared" si="21"/>
        <v>1</v>
      </c>
      <c r="I198" s="1017">
        <v>0.2</v>
      </c>
      <c r="J198" s="994">
        <v>0.3</v>
      </c>
      <c r="K198" s="994">
        <v>0.25</v>
      </c>
      <c r="L198" s="994">
        <v>0.05</v>
      </c>
      <c r="M198" s="994">
        <v>0.2</v>
      </c>
      <c r="N198" s="1001">
        <f t="shared" si="22"/>
        <v>1</v>
      </c>
      <c r="O198" s="995"/>
      <c r="P198" s="99"/>
      <c r="R198" s="117">
        <f t="shared" si="23"/>
        <v>0.8338461538461539</v>
      </c>
      <c r="S198" s="206">
        <f t="shared" si="24"/>
        <v>0.71500000000000008</v>
      </c>
    </row>
    <row r="199" spans="2:19">
      <c r="B199" s="1023">
        <f t="shared" si="25"/>
        <v>2028</v>
      </c>
      <c r="C199" s="760">
        <v>0</v>
      </c>
      <c r="D199" s="760">
        <v>0</v>
      </c>
      <c r="E199" s="760">
        <f t="shared" si="26"/>
        <v>0.65384615384615397</v>
      </c>
      <c r="F199" s="760">
        <f t="shared" si="27"/>
        <v>0.1730769230769231</v>
      </c>
      <c r="G199" s="760">
        <f t="shared" si="28"/>
        <v>0.1730769230769231</v>
      </c>
      <c r="H199" s="713">
        <f t="shared" si="21"/>
        <v>1.0000000000000002</v>
      </c>
      <c r="I199" s="1017">
        <v>0.2</v>
      </c>
      <c r="J199" s="994">
        <v>0.3</v>
      </c>
      <c r="K199" s="994">
        <v>0.25</v>
      </c>
      <c r="L199" s="994">
        <v>0.05</v>
      </c>
      <c r="M199" s="994">
        <v>0.2</v>
      </c>
      <c r="N199" s="1001">
        <f t="shared" si="22"/>
        <v>1</v>
      </c>
      <c r="O199" s="995"/>
      <c r="P199" s="99"/>
      <c r="R199" s="117">
        <f t="shared" si="23"/>
        <v>0.84423076923076934</v>
      </c>
      <c r="S199" s="206">
        <f t="shared" si="24"/>
        <v>0.71500000000000008</v>
      </c>
    </row>
    <row r="200" spans="2:19">
      <c r="B200" s="1023">
        <f t="shared" si="25"/>
        <v>2029</v>
      </c>
      <c r="C200" s="760">
        <v>0</v>
      </c>
      <c r="D200" s="760">
        <v>0</v>
      </c>
      <c r="E200" s="760">
        <f t="shared" si="26"/>
        <v>0.67692307692307707</v>
      </c>
      <c r="F200" s="760">
        <f t="shared" si="27"/>
        <v>0.16153846153846158</v>
      </c>
      <c r="G200" s="760">
        <f t="shared" si="28"/>
        <v>0.16153846153846158</v>
      </c>
      <c r="H200" s="713">
        <f t="shared" si="21"/>
        <v>1.0000000000000002</v>
      </c>
      <c r="I200" s="1017">
        <v>0.2</v>
      </c>
      <c r="J200" s="994">
        <v>0.3</v>
      </c>
      <c r="K200" s="994">
        <v>0.25</v>
      </c>
      <c r="L200" s="994">
        <v>0.05</v>
      </c>
      <c r="M200" s="994">
        <v>0.2</v>
      </c>
      <c r="N200" s="1001">
        <f t="shared" si="22"/>
        <v>1</v>
      </c>
      <c r="O200" s="995"/>
      <c r="P200" s="99"/>
      <c r="R200" s="117">
        <f t="shared" si="23"/>
        <v>0.85461538461538478</v>
      </c>
      <c r="S200" s="206">
        <f t="shared" si="24"/>
        <v>0.71500000000000008</v>
      </c>
    </row>
    <row r="201" spans="2:19" s="1" customFormat="1">
      <c r="B201" s="1002">
        <f t="shared" si="25"/>
        <v>2030</v>
      </c>
      <c r="C201" s="996">
        <f>'Recycling - Case 1'!C36</f>
        <v>0</v>
      </c>
      <c r="D201" s="996">
        <f>'Recycling - Case 1'!D36</f>
        <v>0</v>
      </c>
      <c r="E201" s="996">
        <f>'Recycling - Case 1'!E36</f>
        <v>0.7</v>
      </c>
      <c r="F201" s="996">
        <f>'Recycling - Case 1'!F36</f>
        <v>0.15</v>
      </c>
      <c r="G201" s="996">
        <f>'Recycling - Case 1'!G36</f>
        <v>0.15</v>
      </c>
      <c r="H201" s="997">
        <f t="shared" si="21"/>
        <v>1</v>
      </c>
      <c r="I201" s="1018">
        <v>0.2</v>
      </c>
      <c r="J201" s="1013">
        <v>0.3</v>
      </c>
      <c r="K201" s="1013">
        <v>0.25</v>
      </c>
      <c r="L201" s="1013">
        <v>0.05</v>
      </c>
      <c r="M201" s="1013">
        <v>0.2</v>
      </c>
      <c r="N201" s="1003">
        <f t="shared" si="22"/>
        <v>1</v>
      </c>
      <c r="O201" s="1014"/>
      <c r="P201" s="375"/>
      <c r="R201" s="978">
        <f t="shared" si="23"/>
        <v>0.86499999999999988</v>
      </c>
      <c r="S201" s="119">
        <f t="shared" si="24"/>
        <v>0.71500000000000008</v>
      </c>
    </row>
    <row r="202" spans="2:19">
      <c r="B202" s="1023">
        <f t="shared" si="25"/>
        <v>2031</v>
      </c>
      <c r="C202" s="760">
        <v>0</v>
      </c>
      <c r="D202" s="760">
        <v>0</v>
      </c>
      <c r="E202" s="760">
        <f>($E$221-$E$201)/($B$221-$B$201)+E201</f>
        <v>0.71499999999999997</v>
      </c>
      <c r="F202" s="760">
        <f t="shared" ref="F202:F220" si="29">($F$221-$F$201)/($B$221-$B$201)+F201</f>
        <v>0.14249999999999999</v>
      </c>
      <c r="G202" s="760">
        <f>($G$221-$G$201)/($B$221-$B$201)+G201</f>
        <v>0.14249999999999999</v>
      </c>
      <c r="H202" s="713">
        <f t="shared" si="21"/>
        <v>0.99999999999999989</v>
      </c>
      <c r="I202" s="1017">
        <v>0.2</v>
      </c>
      <c r="J202" s="994">
        <v>0.3</v>
      </c>
      <c r="K202" s="994">
        <v>0.25</v>
      </c>
      <c r="L202" s="994">
        <v>0.05</v>
      </c>
      <c r="M202" s="994">
        <v>0.2</v>
      </c>
      <c r="N202" s="1001">
        <f t="shared" si="22"/>
        <v>1</v>
      </c>
      <c r="O202" s="995"/>
      <c r="P202" s="99"/>
      <c r="R202" s="117">
        <f t="shared" si="23"/>
        <v>0.87175000000000002</v>
      </c>
      <c r="S202" s="206">
        <f t="shared" si="24"/>
        <v>0.71500000000000008</v>
      </c>
    </row>
    <row r="203" spans="2:19">
      <c r="B203" s="1023">
        <f t="shared" si="25"/>
        <v>2032</v>
      </c>
      <c r="C203" s="760">
        <v>0</v>
      </c>
      <c r="D203" s="760">
        <v>0</v>
      </c>
      <c r="E203" s="760">
        <f t="shared" ref="E203:E220" si="30">($E$221-$E$201)/($B$221-$B$201)+E202</f>
        <v>0.73</v>
      </c>
      <c r="F203" s="760">
        <f t="shared" si="29"/>
        <v>0.13499999999999998</v>
      </c>
      <c r="G203" s="760">
        <f t="shared" ref="G203:G220" si="31">($G$221-$G$201)/($B$221-$B$201)+G202</f>
        <v>0.13499999999999998</v>
      </c>
      <c r="H203" s="713">
        <f t="shared" si="21"/>
        <v>1</v>
      </c>
      <c r="I203" s="1017">
        <v>0.2</v>
      </c>
      <c r="J203" s="994">
        <v>0.3</v>
      </c>
      <c r="K203" s="994">
        <v>0.25</v>
      </c>
      <c r="L203" s="994">
        <v>0.05</v>
      </c>
      <c r="M203" s="994">
        <v>0.2</v>
      </c>
      <c r="N203" s="1001">
        <f t="shared" si="22"/>
        <v>1</v>
      </c>
      <c r="O203" s="995"/>
      <c r="P203" s="104"/>
      <c r="R203" s="117">
        <f t="shared" si="23"/>
        <v>0.87849999999999995</v>
      </c>
      <c r="S203" s="206">
        <f t="shared" si="24"/>
        <v>0.71500000000000008</v>
      </c>
    </row>
    <row r="204" spans="2:19">
      <c r="B204" s="1023">
        <f t="shared" si="25"/>
        <v>2033</v>
      </c>
      <c r="C204" s="760">
        <v>0</v>
      </c>
      <c r="D204" s="760">
        <v>0</v>
      </c>
      <c r="E204" s="760">
        <f t="shared" si="30"/>
        <v>0.745</v>
      </c>
      <c r="F204" s="760">
        <f t="shared" si="29"/>
        <v>0.12749999999999997</v>
      </c>
      <c r="G204" s="760">
        <f t="shared" si="31"/>
        <v>0.12749999999999997</v>
      </c>
      <c r="H204" s="713">
        <f t="shared" si="21"/>
        <v>0.99999999999999989</v>
      </c>
      <c r="I204" s="1017">
        <v>0.2</v>
      </c>
      <c r="J204" s="994">
        <v>0.3</v>
      </c>
      <c r="K204" s="994">
        <v>0.25</v>
      </c>
      <c r="L204" s="994">
        <v>0.05</v>
      </c>
      <c r="M204" s="994">
        <v>0.2</v>
      </c>
      <c r="N204" s="1001">
        <f t="shared" si="22"/>
        <v>1</v>
      </c>
      <c r="O204" s="995"/>
      <c r="P204" s="104"/>
      <c r="R204" s="117">
        <f t="shared" si="23"/>
        <v>0.88524999999999998</v>
      </c>
      <c r="S204" s="206">
        <f t="shared" si="24"/>
        <v>0.71500000000000008</v>
      </c>
    </row>
    <row r="205" spans="2:19">
      <c r="B205" s="1023">
        <f t="shared" si="25"/>
        <v>2034</v>
      </c>
      <c r="C205" s="760">
        <v>0</v>
      </c>
      <c r="D205" s="760">
        <v>0</v>
      </c>
      <c r="E205" s="760">
        <f t="shared" si="30"/>
        <v>0.76</v>
      </c>
      <c r="F205" s="760">
        <f t="shared" si="29"/>
        <v>0.11999999999999997</v>
      </c>
      <c r="G205" s="760">
        <f t="shared" si="31"/>
        <v>0.11999999999999997</v>
      </c>
      <c r="H205" s="713">
        <f t="shared" si="21"/>
        <v>1</v>
      </c>
      <c r="I205" s="1017">
        <v>0.2</v>
      </c>
      <c r="J205" s="994">
        <v>0.3</v>
      </c>
      <c r="K205" s="994">
        <v>0.25</v>
      </c>
      <c r="L205" s="994">
        <v>0.05</v>
      </c>
      <c r="M205" s="994">
        <v>0.2</v>
      </c>
      <c r="N205" s="1001">
        <f t="shared" si="22"/>
        <v>1</v>
      </c>
      <c r="O205" s="995"/>
      <c r="P205" s="104"/>
      <c r="R205" s="117">
        <f t="shared" si="23"/>
        <v>0.8919999999999999</v>
      </c>
      <c r="S205" s="206">
        <f t="shared" si="24"/>
        <v>0.71500000000000008</v>
      </c>
    </row>
    <row r="206" spans="2:19">
      <c r="B206" s="1023">
        <f t="shared" si="25"/>
        <v>2035</v>
      </c>
      <c r="C206" s="760">
        <v>0</v>
      </c>
      <c r="D206" s="760">
        <v>0</v>
      </c>
      <c r="E206" s="760">
        <f t="shared" si="30"/>
        <v>0.77500000000000002</v>
      </c>
      <c r="F206" s="760">
        <f t="shared" si="29"/>
        <v>0.11249999999999996</v>
      </c>
      <c r="G206" s="760">
        <f t="shared" si="31"/>
        <v>0.11249999999999996</v>
      </c>
      <c r="H206" s="713">
        <f t="shared" si="21"/>
        <v>0.99999999999999989</v>
      </c>
      <c r="I206" s="1017">
        <v>0.2</v>
      </c>
      <c r="J206" s="994">
        <v>0.3</v>
      </c>
      <c r="K206" s="994">
        <v>0.25</v>
      </c>
      <c r="L206" s="994">
        <v>0.05</v>
      </c>
      <c r="M206" s="994">
        <v>0.2</v>
      </c>
      <c r="N206" s="1001">
        <f t="shared" si="22"/>
        <v>1</v>
      </c>
      <c r="O206" s="995"/>
      <c r="P206" s="104"/>
      <c r="R206" s="117">
        <f t="shared" si="23"/>
        <v>0.89875000000000005</v>
      </c>
      <c r="S206" s="206">
        <f t="shared" si="24"/>
        <v>0.71500000000000008</v>
      </c>
    </row>
    <row r="207" spans="2:19">
      <c r="B207" s="1023">
        <f t="shared" si="25"/>
        <v>2036</v>
      </c>
      <c r="C207" s="760">
        <v>0</v>
      </c>
      <c r="D207" s="760">
        <v>0</v>
      </c>
      <c r="E207" s="760">
        <f t="shared" si="30"/>
        <v>0.79</v>
      </c>
      <c r="F207" s="760">
        <f t="shared" si="29"/>
        <v>0.10499999999999995</v>
      </c>
      <c r="G207" s="760">
        <f t="shared" si="31"/>
        <v>0.10499999999999995</v>
      </c>
      <c r="H207" s="713">
        <f t="shared" si="21"/>
        <v>1</v>
      </c>
      <c r="I207" s="1017">
        <v>0.2</v>
      </c>
      <c r="J207" s="994">
        <v>0.3</v>
      </c>
      <c r="K207" s="994">
        <v>0.25</v>
      </c>
      <c r="L207" s="994">
        <v>0.05</v>
      </c>
      <c r="M207" s="994">
        <v>0.2</v>
      </c>
      <c r="N207" s="1001">
        <f t="shared" si="22"/>
        <v>1</v>
      </c>
      <c r="O207" s="995"/>
      <c r="P207" s="104"/>
      <c r="R207" s="117">
        <f t="shared" si="23"/>
        <v>0.90549999999999997</v>
      </c>
      <c r="S207" s="206">
        <f t="shared" si="24"/>
        <v>0.71500000000000008</v>
      </c>
    </row>
    <row r="208" spans="2:19">
      <c r="B208" s="1023">
        <f t="shared" si="25"/>
        <v>2037</v>
      </c>
      <c r="C208" s="760">
        <v>0</v>
      </c>
      <c r="D208" s="760">
        <v>0</v>
      </c>
      <c r="E208" s="760">
        <f t="shared" si="30"/>
        <v>0.80500000000000005</v>
      </c>
      <c r="F208" s="760">
        <f t="shared" si="29"/>
        <v>9.7499999999999948E-2</v>
      </c>
      <c r="G208" s="760">
        <f t="shared" si="31"/>
        <v>9.7499999999999948E-2</v>
      </c>
      <c r="H208" s="713">
        <f t="shared" si="21"/>
        <v>0.99999999999999989</v>
      </c>
      <c r="I208" s="1017">
        <v>0.2</v>
      </c>
      <c r="J208" s="994">
        <v>0.3</v>
      </c>
      <c r="K208" s="994">
        <v>0.25</v>
      </c>
      <c r="L208" s="994">
        <v>0.05</v>
      </c>
      <c r="M208" s="994">
        <v>0.2</v>
      </c>
      <c r="N208" s="1001">
        <f t="shared" si="22"/>
        <v>1</v>
      </c>
      <c r="O208" s="995"/>
      <c r="P208" s="104"/>
      <c r="R208" s="117">
        <f t="shared" si="23"/>
        <v>0.91225000000000001</v>
      </c>
      <c r="S208" s="206">
        <f t="shared" si="24"/>
        <v>0.71500000000000008</v>
      </c>
    </row>
    <row r="209" spans="1:20">
      <c r="B209" s="1023">
        <f t="shared" si="25"/>
        <v>2038</v>
      </c>
      <c r="C209" s="760">
        <v>0</v>
      </c>
      <c r="D209" s="760">
        <v>0</v>
      </c>
      <c r="E209" s="760">
        <f t="shared" si="30"/>
        <v>0.82000000000000006</v>
      </c>
      <c r="F209" s="760">
        <f t="shared" si="29"/>
        <v>8.9999999999999941E-2</v>
      </c>
      <c r="G209" s="760">
        <f t="shared" si="31"/>
        <v>8.9999999999999941E-2</v>
      </c>
      <c r="H209" s="713">
        <f t="shared" si="21"/>
        <v>1</v>
      </c>
      <c r="I209" s="1017">
        <v>0.2</v>
      </c>
      <c r="J209" s="994">
        <v>0.3</v>
      </c>
      <c r="K209" s="994">
        <v>0.25</v>
      </c>
      <c r="L209" s="994">
        <v>0.05</v>
      </c>
      <c r="M209" s="994">
        <v>0.2</v>
      </c>
      <c r="N209" s="1001">
        <f t="shared" si="22"/>
        <v>1</v>
      </c>
      <c r="O209" s="995"/>
      <c r="P209" s="104"/>
      <c r="R209" s="117">
        <f t="shared" si="23"/>
        <v>0.91899999999999993</v>
      </c>
      <c r="S209" s="206">
        <f t="shared" si="24"/>
        <v>0.71500000000000008</v>
      </c>
    </row>
    <row r="210" spans="1:20">
      <c r="B210" s="1023">
        <f t="shared" si="25"/>
        <v>2039</v>
      </c>
      <c r="C210" s="760">
        <v>0</v>
      </c>
      <c r="D210" s="760">
        <v>0</v>
      </c>
      <c r="E210" s="760">
        <f t="shared" si="30"/>
        <v>0.83500000000000008</v>
      </c>
      <c r="F210" s="760">
        <f t="shared" si="29"/>
        <v>8.2499999999999934E-2</v>
      </c>
      <c r="G210" s="760">
        <f t="shared" si="31"/>
        <v>8.2499999999999934E-2</v>
      </c>
      <c r="H210" s="713">
        <f t="shared" si="21"/>
        <v>0.99999999999999989</v>
      </c>
      <c r="I210" s="1017">
        <v>0.2</v>
      </c>
      <c r="J210" s="994">
        <v>0.3</v>
      </c>
      <c r="K210" s="994">
        <v>0.25</v>
      </c>
      <c r="L210" s="994">
        <v>0.05</v>
      </c>
      <c r="M210" s="994">
        <v>0.2</v>
      </c>
      <c r="N210" s="1001">
        <f t="shared" si="22"/>
        <v>1</v>
      </c>
      <c r="O210" s="995"/>
      <c r="P210" s="104"/>
      <c r="R210" s="117">
        <f t="shared" si="23"/>
        <v>0.92575000000000007</v>
      </c>
      <c r="S210" s="206">
        <f t="shared" si="24"/>
        <v>0.71500000000000008</v>
      </c>
    </row>
    <row r="211" spans="1:20">
      <c r="B211" s="1023">
        <f t="shared" si="25"/>
        <v>2040</v>
      </c>
      <c r="C211" s="760">
        <v>0</v>
      </c>
      <c r="D211" s="760">
        <v>0</v>
      </c>
      <c r="E211" s="760">
        <f t="shared" si="30"/>
        <v>0.85000000000000009</v>
      </c>
      <c r="F211" s="760">
        <f t="shared" si="29"/>
        <v>7.4999999999999928E-2</v>
      </c>
      <c r="G211" s="760">
        <f t="shared" si="31"/>
        <v>7.4999999999999928E-2</v>
      </c>
      <c r="H211" s="713">
        <f t="shared" si="21"/>
        <v>1</v>
      </c>
      <c r="I211" s="1017">
        <v>0.2</v>
      </c>
      <c r="J211" s="994">
        <v>0.3</v>
      </c>
      <c r="K211" s="994">
        <v>0.25</v>
      </c>
      <c r="L211" s="994">
        <v>0.05</v>
      </c>
      <c r="M211" s="994">
        <v>0.2</v>
      </c>
      <c r="N211" s="1001">
        <f t="shared" si="22"/>
        <v>1</v>
      </c>
      <c r="O211" s="995"/>
      <c r="P211" s="104"/>
      <c r="R211" s="117">
        <f t="shared" si="23"/>
        <v>0.9325</v>
      </c>
      <c r="S211" s="206">
        <f t="shared" si="24"/>
        <v>0.71500000000000008</v>
      </c>
    </row>
    <row r="212" spans="1:20">
      <c r="B212" s="1023">
        <f t="shared" si="25"/>
        <v>2041</v>
      </c>
      <c r="C212" s="760">
        <v>0</v>
      </c>
      <c r="D212" s="760">
        <v>0</v>
      </c>
      <c r="E212" s="760">
        <f t="shared" si="30"/>
        <v>0.8650000000000001</v>
      </c>
      <c r="F212" s="760">
        <f t="shared" si="29"/>
        <v>6.7499999999999921E-2</v>
      </c>
      <c r="G212" s="760">
        <f t="shared" si="31"/>
        <v>6.7499999999999921E-2</v>
      </c>
      <c r="H212" s="713">
        <f t="shared" si="21"/>
        <v>0.99999999999999989</v>
      </c>
      <c r="I212" s="1017">
        <v>0.2</v>
      </c>
      <c r="J212" s="994">
        <v>0.3</v>
      </c>
      <c r="K212" s="994">
        <v>0.25</v>
      </c>
      <c r="L212" s="994">
        <v>0.05</v>
      </c>
      <c r="M212" s="994">
        <v>0.2</v>
      </c>
      <c r="N212" s="1001">
        <f t="shared" si="22"/>
        <v>1</v>
      </c>
      <c r="O212" s="995"/>
      <c r="P212" s="104"/>
      <c r="R212" s="117">
        <f t="shared" si="23"/>
        <v>0.93925000000000003</v>
      </c>
      <c r="S212" s="206">
        <f t="shared" si="24"/>
        <v>0.71500000000000008</v>
      </c>
    </row>
    <row r="213" spans="1:20">
      <c r="B213" s="1023">
        <f t="shared" si="25"/>
        <v>2042</v>
      </c>
      <c r="C213" s="760">
        <v>0</v>
      </c>
      <c r="D213" s="760">
        <v>0</v>
      </c>
      <c r="E213" s="760">
        <f t="shared" si="30"/>
        <v>0.88000000000000012</v>
      </c>
      <c r="F213" s="760">
        <f t="shared" si="29"/>
        <v>5.9999999999999921E-2</v>
      </c>
      <c r="G213" s="760">
        <f t="shared" si="31"/>
        <v>5.9999999999999921E-2</v>
      </c>
      <c r="H213" s="713">
        <f t="shared" si="21"/>
        <v>1</v>
      </c>
      <c r="I213" s="1017">
        <v>0.2</v>
      </c>
      <c r="J213" s="994">
        <v>0.3</v>
      </c>
      <c r="K213" s="994">
        <v>0.25</v>
      </c>
      <c r="L213" s="994">
        <v>0.05</v>
      </c>
      <c r="M213" s="994">
        <v>0.2</v>
      </c>
      <c r="N213" s="1001">
        <f t="shared" si="22"/>
        <v>1</v>
      </c>
      <c r="O213" s="995"/>
      <c r="P213" s="104"/>
      <c r="R213" s="117">
        <f t="shared" si="23"/>
        <v>0.94599999999999995</v>
      </c>
      <c r="S213" s="206">
        <f t="shared" si="24"/>
        <v>0.71500000000000008</v>
      </c>
    </row>
    <row r="214" spans="1:20">
      <c r="B214" s="1023">
        <f t="shared" si="25"/>
        <v>2043</v>
      </c>
      <c r="C214" s="760">
        <v>0</v>
      </c>
      <c r="D214" s="760">
        <v>0</v>
      </c>
      <c r="E214" s="760">
        <f t="shared" si="30"/>
        <v>0.89500000000000013</v>
      </c>
      <c r="F214" s="760">
        <f t="shared" si="29"/>
        <v>5.2499999999999922E-2</v>
      </c>
      <c r="G214" s="760">
        <f t="shared" si="31"/>
        <v>5.2499999999999922E-2</v>
      </c>
      <c r="H214" s="713">
        <f t="shared" si="21"/>
        <v>0.99999999999999989</v>
      </c>
      <c r="I214" s="1017">
        <v>0.2</v>
      </c>
      <c r="J214" s="994">
        <v>0.3</v>
      </c>
      <c r="K214" s="994">
        <v>0.25</v>
      </c>
      <c r="L214" s="994">
        <v>0.05</v>
      </c>
      <c r="M214" s="994">
        <v>0.2</v>
      </c>
      <c r="N214" s="1001">
        <f t="shared" si="22"/>
        <v>1</v>
      </c>
      <c r="O214" s="995"/>
      <c r="P214" s="104"/>
      <c r="R214" s="117">
        <f t="shared" si="23"/>
        <v>0.9527500000000001</v>
      </c>
      <c r="S214" s="206">
        <f t="shared" si="24"/>
        <v>0.71500000000000008</v>
      </c>
    </row>
    <row r="215" spans="1:20">
      <c r="B215" s="1023">
        <f t="shared" si="25"/>
        <v>2044</v>
      </c>
      <c r="C215" s="760">
        <v>0</v>
      </c>
      <c r="D215" s="760">
        <v>0</v>
      </c>
      <c r="E215" s="760">
        <f t="shared" si="30"/>
        <v>0.91000000000000014</v>
      </c>
      <c r="F215" s="760">
        <f t="shared" si="29"/>
        <v>4.4999999999999922E-2</v>
      </c>
      <c r="G215" s="760">
        <f t="shared" si="31"/>
        <v>4.4999999999999922E-2</v>
      </c>
      <c r="H215" s="713">
        <f t="shared" si="21"/>
        <v>1</v>
      </c>
      <c r="I215" s="1017">
        <v>0.2</v>
      </c>
      <c r="J215" s="994">
        <v>0.3</v>
      </c>
      <c r="K215" s="994">
        <v>0.25</v>
      </c>
      <c r="L215" s="994">
        <v>0.05</v>
      </c>
      <c r="M215" s="994">
        <v>0.2</v>
      </c>
      <c r="N215" s="1001">
        <f t="shared" si="22"/>
        <v>1</v>
      </c>
      <c r="O215" s="995"/>
      <c r="P215" s="104"/>
      <c r="R215" s="117">
        <f t="shared" si="23"/>
        <v>0.95950000000000002</v>
      </c>
      <c r="S215" s="206">
        <f t="shared" si="24"/>
        <v>0.71500000000000008</v>
      </c>
    </row>
    <row r="216" spans="1:20">
      <c r="B216" s="1023">
        <f t="shared" si="25"/>
        <v>2045</v>
      </c>
      <c r="C216" s="760">
        <v>0</v>
      </c>
      <c r="D216" s="760">
        <v>0</v>
      </c>
      <c r="E216" s="760">
        <f t="shared" si="30"/>
        <v>0.92500000000000016</v>
      </c>
      <c r="F216" s="760">
        <f t="shared" si="29"/>
        <v>3.7499999999999922E-2</v>
      </c>
      <c r="G216" s="760">
        <f t="shared" si="31"/>
        <v>3.7499999999999922E-2</v>
      </c>
      <c r="H216" s="713">
        <f t="shared" si="21"/>
        <v>1</v>
      </c>
      <c r="I216" s="1017">
        <v>0.2</v>
      </c>
      <c r="J216" s="994">
        <v>0.3</v>
      </c>
      <c r="K216" s="994">
        <v>0.25</v>
      </c>
      <c r="L216" s="994">
        <v>0.05</v>
      </c>
      <c r="M216" s="994">
        <v>0.2</v>
      </c>
      <c r="N216" s="1001">
        <f t="shared" si="22"/>
        <v>1</v>
      </c>
      <c r="O216" s="995"/>
      <c r="P216" s="104"/>
      <c r="R216" s="117">
        <f t="shared" si="23"/>
        <v>0.96625000000000005</v>
      </c>
      <c r="S216" s="206">
        <f t="shared" si="24"/>
        <v>0.71500000000000008</v>
      </c>
    </row>
    <row r="217" spans="1:20">
      <c r="B217" s="1023">
        <f t="shared" si="25"/>
        <v>2046</v>
      </c>
      <c r="C217" s="760">
        <v>0</v>
      </c>
      <c r="D217" s="760">
        <v>0</v>
      </c>
      <c r="E217" s="760">
        <f t="shared" si="30"/>
        <v>0.94000000000000017</v>
      </c>
      <c r="F217" s="760">
        <f t="shared" si="29"/>
        <v>2.9999999999999923E-2</v>
      </c>
      <c r="G217" s="760">
        <f t="shared" si="31"/>
        <v>2.9999999999999923E-2</v>
      </c>
      <c r="H217" s="713">
        <f t="shared" ref="H217:H251" si="32">SUM(C217:G217)</f>
        <v>1</v>
      </c>
      <c r="I217" s="1017">
        <v>0.2</v>
      </c>
      <c r="J217" s="994">
        <v>0.3</v>
      </c>
      <c r="K217" s="994">
        <v>0.25</v>
      </c>
      <c r="L217" s="994">
        <v>0.05</v>
      </c>
      <c r="M217" s="994">
        <v>0.2</v>
      </c>
      <c r="N217" s="1001">
        <f t="shared" ref="N217:N221" si="33">SUM(I217:M217)</f>
        <v>1</v>
      </c>
      <c r="O217" s="995"/>
      <c r="P217" s="104"/>
      <c r="R217" s="117">
        <f t="shared" si="23"/>
        <v>0.97300000000000009</v>
      </c>
      <c r="S217" s="206">
        <f t="shared" si="24"/>
        <v>0.71500000000000008</v>
      </c>
    </row>
    <row r="218" spans="1:20">
      <c r="B218" s="1023">
        <f t="shared" si="25"/>
        <v>2047</v>
      </c>
      <c r="C218" s="760">
        <v>0</v>
      </c>
      <c r="D218" s="760">
        <v>0</v>
      </c>
      <c r="E218" s="760">
        <f t="shared" si="30"/>
        <v>0.95500000000000018</v>
      </c>
      <c r="F218" s="760">
        <f t="shared" si="29"/>
        <v>2.2499999999999923E-2</v>
      </c>
      <c r="G218" s="760">
        <f t="shared" si="31"/>
        <v>2.2499999999999923E-2</v>
      </c>
      <c r="H218" s="713">
        <f t="shared" si="32"/>
        <v>1</v>
      </c>
      <c r="I218" s="1017">
        <v>0.2</v>
      </c>
      <c r="J218" s="994">
        <v>0.3</v>
      </c>
      <c r="K218" s="994">
        <v>0.25</v>
      </c>
      <c r="L218" s="994">
        <v>0.05</v>
      </c>
      <c r="M218" s="994">
        <v>0.2</v>
      </c>
      <c r="N218" s="1001">
        <f t="shared" si="33"/>
        <v>1</v>
      </c>
      <c r="O218" s="995"/>
      <c r="P218" s="104"/>
      <c r="R218" s="117">
        <f t="shared" si="23"/>
        <v>0.97975000000000012</v>
      </c>
      <c r="S218" s="206">
        <f t="shared" si="24"/>
        <v>0.71500000000000008</v>
      </c>
    </row>
    <row r="219" spans="1:20">
      <c r="B219" s="1023">
        <f t="shared" si="25"/>
        <v>2048</v>
      </c>
      <c r="C219" s="760">
        <v>0</v>
      </c>
      <c r="D219" s="760">
        <v>0</v>
      </c>
      <c r="E219" s="760">
        <f t="shared" si="30"/>
        <v>0.9700000000000002</v>
      </c>
      <c r="F219" s="760">
        <f t="shared" si="29"/>
        <v>1.4999999999999923E-2</v>
      </c>
      <c r="G219" s="760">
        <f t="shared" si="31"/>
        <v>1.4999999999999923E-2</v>
      </c>
      <c r="H219" s="713">
        <f t="shared" si="32"/>
        <v>1</v>
      </c>
      <c r="I219" s="1017">
        <v>0.2</v>
      </c>
      <c r="J219" s="994">
        <v>0.3</v>
      </c>
      <c r="K219" s="994">
        <v>0.25</v>
      </c>
      <c r="L219" s="994">
        <v>0.05</v>
      </c>
      <c r="M219" s="994">
        <v>0.2</v>
      </c>
      <c r="N219" s="1001">
        <f t="shared" si="33"/>
        <v>1</v>
      </c>
      <c r="O219" s="995"/>
      <c r="P219" s="104"/>
      <c r="R219" s="117">
        <f t="shared" si="23"/>
        <v>0.98650000000000015</v>
      </c>
      <c r="S219" s="206">
        <f t="shared" si="24"/>
        <v>0.71500000000000008</v>
      </c>
    </row>
    <row r="220" spans="1:20">
      <c r="B220" s="1023">
        <f t="shared" si="25"/>
        <v>2049</v>
      </c>
      <c r="C220" s="760">
        <v>0</v>
      </c>
      <c r="D220" s="760">
        <v>0</v>
      </c>
      <c r="E220" s="760">
        <f t="shared" si="30"/>
        <v>0.98500000000000021</v>
      </c>
      <c r="F220" s="760">
        <f t="shared" si="29"/>
        <v>7.4999999999999234E-3</v>
      </c>
      <c r="G220" s="760">
        <f t="shared" si="31"/>
        <v>7.4999999999999234E-3</v>
      </c>
      <c r="H220" s="713">
        <f t="shared" si="32"/>
        <v>1</v>
      </c>
      <c r="I220" s="1017">
        <v>0.2</v>
      </c>
      <c r="J220" s="994">
        <v>0.3</v>
      </c>
      <c r="K220" s="994">
        <v>0.25</v>
      </c>
      <c r="L220" s="994">
        <v>0.05</v>
      </c>
      <c r="M220" s="994">
        <v>0.2</v>
      </c>
      <c r="N220" s="1001">
        <f t="shared" si="33"/>
        <v>1</v>
      </c>
      <c r="O220" s="995"/>
      <c r="P220" s="104"/>
      <c r="R220" s="117">
        <f t="shared" si="23"/>
        <v>0.99325000000000008</v>
      </c>
      <c r="S220" s="206">
        <f t="shared" si="24"/>
        <v>0.71500000000000008</v>
      </c>
    </row>
    <row r="221" spans="1:20" ht="15.75" thickBot="1">
      <c r="B221" s="1024">
        <f t="shared" si="25"/>
        <v>2050</v>
      </c>
      <c r="C221" s="762">
        <f>'Recycling - Case 1'!C37</f>
        <v>0</v>
      </c>
      <c r="D221" s="762">
        <f>'Recycling - Case 1'!D37</f>
        <v>0</v>
      </c>
      <c r="E221" s="762">
        <f>'Recycling - Case 1'!E37</f>
        <v>1</v>
      </c>
      <c r="F221" s="762">
        <f>'Recycling - Case 1'!F37</f>
        <v>0</v>
      </c>
      <c r="G221" s="762">
        <f>'Recycling - Case 1'!G37</f>
        <v>0</v>
      </c>
      <c r="H221" s="1012">
        <f t="shared" si="32"/>
        <v>1</v>
      </c>
      <c r="I221" s="1019">
        <v>0.2</v>
      </c>
      <c r="J221" s="1020">
        <v>0.3</v>
      </c>
      <c r="K221" s="1020">
        <v>0.25</v>
      </c>
      <c r="L221" s="1020">
        <v>0.05</v>
      </c>
      <c r="M221" s="1020">
        <v>0.2</v>
      </c>
      <c r="N221" s="1004">
        <f t="shared" si="33"/>
        <v>1</v>
      </c>
      <c r="O221" s="995"/>
      <c r="P221" s="104"/>
      <c r="R221" s="120">
        <f t="shared" si="23"/>
        <v>1</v>
      </c>
      <c r="S221" s="207">
        <f t="shared" si="24"/>
        <v>0.71500000000000008</v>
      </c>
    </row>
    <row r="222" spans="1:20" ht="15.75" thickBot="1">
      <c r="A222" s="104"/>
      <c r="B222" s="314"/>
      <c r="C222" s="760"/>
      <c r="D222" s="760"/>
      <c r="E222" s="760"/>
      <c r="F222" s="760"/>
      <c r="G222" s="760"/>
      <c r="H222" s="713"/>
      <c r="I222" s="994"/>
      <c r="J222" s="994"/>
      <c r="K222" s="994"/>
      <c r="L222" s="994"/>
      <c r="M222" s="994"/>
      <c r="N222" s="713"/>
      <c r="O222" s="995"/>
      <c r="Q222" s="104"/>
      <c r="R222" s="118"/>
      <c r="S222" s="118"/>
      <c r="T222" s="104"/>
    </row>
    <row r="223" spans="1:20">
      <c r="A223" s="1"/>
      <c r="B223" s="1008">
        <f>B188</f>
        <v>2017</v>
      </c>
      <c r="C223" s="1009">
        <f>C188</f>
        <v>0</v>
      </c>
      <c r="D223" s="999">
        <f t="shared" ref="D223:G223" si="34">D188</f>
        <v>0</v>
      </c>
      <c r="E223" s="999">
        <f t="shared" si="34"/>
        <v>0.4</v>
      </c>
      <c r="F223" s="999">
        <f t="shared" si="34"/>
        <v>0.3</v>
      </c>
      <c r="G223" s="999">
        <f t="shared" si="34"/>
        <v>0.3</v>
      </c>
      <c r="H223" s="1011">
        <f t="shared" si="32"/>
        <v>1</v>
      </c>
      <c r="I223" s="1015">
        <v>0.2</v>
      </c>
      <c r="J223" s="1016">
        <v>0.3</v>
      </c>
      <c r="K223" s="1016">
        <v>0.25</v>
      </c>
      <c r="L223" s="1016">
        <v>0.05</v>
      </c>
      <c r="M223" s="1016">
        <v>0.2</v>
      </c>
      <c r="N223" s="1000">
        <f t="shared" ref="N223:N256" si="35">SUM(I223:M223)</f>
        <v>1</v>
      </c>
      <c r="O223" s="1014"/>
      <c r="R223" s="1021">
        <f t="shared" ref="R223:R256" si="36">C223*C$116+D223*D$116+E223*E$116+F223*F$116+G223*G$116</f>
        <v>0.73</v>
      </c>
      <c r="S223" s="1022">
        <f t="shared" ref="S223:S256" si="37">I223*$I$116+J223*$J$116+K223*$K$116+L223*L$116+M223*$M$116</f>
        <v>0.71500000000000008</v>
      </c>
    </row>
    <row r="224" spans="1:20">
      <c r="A224" s="501" t="s">
        <v>710</v>
      </c>
      <c r="B224" s="1005">
        <f t="shared" ref="B224:B256" si="38">B189</f>
        <v>2018</v>
      </c>
      <c r="C224" s="764">
        <v>0</v>
      </c>
      <c r="D224" s="760">
        <v>0</v>
      </c>
      <c r="E224" s="760">
        <f>($E$236-$E$223)/($B$236-$B$223)+E223</f>
        <v>0.44615384615384618</v>
      </c>
      <c r="F224" s="760">
        <f>($F$236-$F$223)/($B$236-$B$223)+F223</f>
        <v>0.27692307692307694</v>
      </c>
      <c r="G224" s="760">
        <f>($G$236-$G$223)/($B$236-$B$223)+G223</f>
        <v>0.27692307692307694</v>
      </c>
      <c r="H224" s="713">
        <f t="shared" si="32"/>
        <v>1</v>
      </c>
      <c r="I224" s="1017">
        <v>0.2</v>
      </c>
      <c r="J224" s="994">
        <v>0.3</v>
      </c>
      <c r="K224" s="994">
        <v>0.25</v>
      </c>
      <c r="L224" s="994">
        <v>0.05</v>
      </c>
      <c r="M224" s="994">
        <v>0.2</v>
      </c>
      <c r="N224" s="1001">
        <f t="shared" si="35"/>
        <v>1</v>
      </c>
      <c r="O224" s="995"/>
      <c r="R224" s="117">
        <f t="shared" si="36"/>
        <v>0.75076923076923086</v>
      </c>
      <c r="S224" s="206">
        <f t="shared" si="37"/>
        <v>0.71500000000000008</v>
      </c>
    </row>
    <row r="225" spans="1:19">
      <c r="B225" s="1005">
        <f t="shared" si="38"/>
        <v>2019</v>
      </c>
      <c r="C225" s="764">
        <v>0</v>
      </c>
      <c r="D225" s="760">
        <v>0</v>
      </c>
      <c r="E225" s="760">
        <f t="shared" ref="E225:E235" si="39">($E$236-$E$223)/($B$236-$B$223)+E224</f>
        <v>0.49230769230769234</v>
      </c>
      <c r="F225" s="760">
        <f t="shared" ref="F225:F235" si="40">($F$236-$F$223)/($B$236-$B$223)+F224</f>
        <v>0.25384615384615389</v>
      </c>
      <c r="G225" s="760">
        <f t="shared" ref="G225:G235" si="41">($G$236-$G$223)/($B$236-$B$223)+G224</f>
        <v>0.25384615384615389</v>
      </c>
      <c r="H225" s="713">
        <f t="shared" si="32"/>
        <v>1</v>
      </c>
      <c r="I225" s="1017">
        <v>0.2</v>
      </c>
      <c r="J225" s="994">
        <v>0.3</v>
      </c>
      <c r="K225" s="994">
        <v>0.25</v>
      </c>
      <c r="L225" s="994">
        <v>0.05</v>
      </c>
      <c r="M225" s="994">
        <v>0.2</v>
      </c>
      <c r="N225" s="1001">
        <f t="shared" si="35"/>
        <v>1</v>
      </c>
      <c r="O225" s="995"/>
      <c r="R225" s="117">
        <f t="shared" si="36"/>
        <v>0.77153846153846162</v>
      </c>
      <c r="S225" s="206">
        <f t="shared" si="37"/>
        <v>0.71500000000000008</v>
      </c>
    </row>
    <row r="226" spans="1:19">
      <c r="B226" s="1005">
        <f t="shared" si="38"/>
        <v>2020</v>
      </c>
      <c r="C226" s="764">
        <v>0</v>
      </c>
      <c r="D226" s="760">
        <v>0</v>
      </c>
      <c r="E226" s="760">
        <f t="shared" si="39"/>
        <v>0.53846153846153844</v>
      </c>
      <c r="F226" s="760">
        <f t="shared" si="40"/>
        <v>0.23076923076923081</v>
      </c>
      <c r="G226" s="760">
        <f t="shared" si="41"/>
        <v>0.23076923076923081</v>
      </c>
      <c r="H226" s="713">
        <f t="shared" si="32"/>
        <v>1</v>
      </c>
      <c r="I226" s="1017">
        <v>0.2</v>
      </c>
      <c r="J226" s="994">
        <v>0.3</v>
      </c>
      <c r="K226" s="994">
        <v>0.25</v>
      </c>
      <c r="L226" s="994">
        <v>0.05</v>
      </c>
      <c r="M226" s="994">
        <v>0.2</v>
      </c>
      <c r="N226" s="1001">
        <f t="shared" si="35"/>
        <v>1</v>
      </c>
      <c r="O226" s="995"/>
      <c r="R226" s="117">
        <f t="shared" si="36"/>
        <v>0.79230769230769238</v>
      </c>
      <c r="S226" s="206">
        <f t="shared" si="37"/>
        <v>0.71500000000000008</v>
      </c>
    </row>
    <row r="227" spans="1:19">
      <c r="B227" s="1005">
        <f t="shared" si="38"/>
        <v>2021</v>
      </c>
      <c r="C227" s="764">
        <v>0</v>
      </c>
      <c r="D227" s="760">
        <v>0</v>
      </c>
      <c r="E227" s="760">
        <f t="shared" si="39"/>
        <v>0.58461538461538454</v>
      </c>
      <c r="F227" s="760">
        <f t="shared" si="40"/>
        <v>0.20769230769230773</v>
      </c>
      <c r="G227" s="760">
        <f t="shared" si="41"/>
        <v>0.20769230769230773</v>
      </c>
      <c r="H227" s="713">
        <f t="shared" si="32"/>
        <v>1</v>
      </c>
      <c r="I227" s="1017">
        <v>0.2</v>
      </c>
      <c r="J227" s="994">
        <v>0.3</v>
      </c>
      <c r="K227" s="994">
        <v>0.25</v>
      </c>
      <c r="L227" s="994">
        <v>0.05</v>
      </c>
      <c r="M227" s="994">
        <v>0.2</v>
      </c>
      <c r="N227" s="1001">
        <f t="shared" si="35"/>
        <v>1</v>
      </c>
      <c r="O227" s="995"/>
      <c r="R227" s="117">
        <f t="shared" si="36"/>
        <v>0.81307692307692303</v>
      </c>
      <c r="S227" s="206">
        <f t="shared" si="37"/>
        <v>0.71500000000000008</v>
      </c>
    </row>
    <row r="228" spans="1:19">
      <c r="B228" s="1005">
        <f t="shared" si="38"/>
        <v>2022</v>
      </c>
      <c r="C228" s="764">
        <v>0</v>
      </c>
      <c r="D228" s="760">
        <v>0</v>
      </c>
      <c r="E228" s="760">
        <f t="shared" si="39"/>
        <v>0.63076923076923064</v>
      </c>
      <c r="F228" s="760">
        <f t="shared" si="40"/>
        <v>0.18461538461538465</v>
      </c>
      <c r="G228" s="760">
        <f t="shared" si="41"/>
        <v>0.18461538461538465</v>
      </c>
      <c r="H228" s="713">
        <f t="shared" si="32"/>
        <v>0.99999999999999989</v>
      </c>
      <c r="I228" s="1017">
        <v>0.2</v>
      </c>
      <c r="J228" s="994">
        <v>0.3</v>
      </c>
      <c r="K228" s="994">
        <v>0.25</v>
      </c>
      <c r="L228" s="994">
        <v>0.05</v>
      </c>
      <c r="M228" s="994">
        <v>0.2</v>
      </c>
      <c r="N228" s="1001">
        <f t="shared" si="35"/>
        <v>1</v>
      </c>
      <c r="O228" s="995"/>
      <c r="R228" s="117">
        <f t="shared" si="36"/>
        <v>0.83384615384615368</v>
      </c>
      <c r="S228" s="206">
        <f t="shared" si="37"/>
        <v>0.71500000000000008</v>
      </c>
    </row>
    <row r="229" spans="1:19">
      <c r="B229" s="1005">
        <f t="shared" si="38"/>
        <v>2023</v>
      </c>
      <c r="C229" s="764">
        <v>0</v>
      </c>
      <c r="D229" s="760">
        <v>0</v>
      </c>
      <c r="E229" s="760">
        <f t="shared" si="39"/>
        <v>0.67692307692307674</v>
      </c>
      <c r="F229" s="760">
        <f t="shared" si="40"/>
        <v>0.16153846153846158</v>
      </c>
      <c r="G229" s="760">
        <f t="shared" si="41"/>
        <v>0.16153846153846158</v>
      </c>
      <c r="H229" s="713">
        <f t="shared" si="32"/>
        <v>1</v>
      </c>
      <c r="I229" s="1017">
        <v>0.2</v>
      </c>
      <c r="J229" s="994">
        <v>0.3</v>
      </c>
      <c r="K229" s="994">
        <v>0.25</v>
      </c>
      <c r="L229" s="994">
        <v>0.05</v>
      </c>
      <c r="M229" s="994">
        <v>0.2</v>
      </c>
      <c r="N229" s="1001">
        <f t="shared" si="35"/>
        <v>1</v>
      </c>
      <c r="O229" s="995"/>
      <c r="R229" s="117">
        <f t="shared" si="36"/>
        <v>0.85461538461538455</v>
      </c>
      <c r="S229" s="206">
        <f t="shared" si="37"/>
        <v>0.71500000000000008</v>
      </c>
    </row>
    <row r="230" spans="1:19">
      <c r="B230" s="1005">
        <f t="shared" si="38"/>
        <v>2024</v>
      </c>
      <c r="C230" s="764">
        <v>0</v>
      </c>
      <c r="D230" s="760">
        <v>0</v>
      </c>
      <c r="E230" s="760">
        <f t="shared" si="39"/>
        <v>0.72307692307692284</v>
      </c>
      <c r="F230" s="760">
        <f t="shared" si="40"/>
        <v>0.1384615384615385</v>
      </c>
      <c r="G230" s="760">
        <f t="shared" si="41"/>
        <v>0.1384615384615385</v>
      </c>
      <c r="H230" s="713">
        <f t="shared" si="32"/>
        <v>0.99999999999999989</v>
      </c>
      <c r="I230" s="1017">
        <v>0.2</v>
      </c>
      <c r="J230" s="994">
        <v>0.3</v>
      </c>
      <c r="K230" s="994">
        <v>0.25</v>
      </c>
      <c r="L230" s="994">
        <v>0.05</v>
      </c>
      <c r="M230" s="994">
        <v>0.2</v>
      </c>
      <c r="N230" s="1001">
        <f t="shared" si="35"/>
        <v>1</v>
      </c>
      <c r="O230" s="995"/>
      <c r="R230" s="117">
        <f t="shared" si="36"/>
        <v>0.87538461538461509</v>
      </c>
      <c r="S230" s="206">
        <f t="shared" si="37"/>
        <v>0.71500000000000008</v>
      </c>
    </row>
    <row r="231" spans="1:19">
      <c r="B231" s="1005">
        <f t="shared" si="38"/>
        <v>2025</v>
      </c>
      <c r="C231" s="764">
        <v>0</v>
      </c>
      <c r="D231" s="760">
        <v>0</v>
      </c>
      <c r="E231" s="760">
        <f t="shared" si="39"/>
        <v>0.76923076923076894</v>
      </c>
      <c r="F231" s="760">
        <f t="shared" si="40"/>
        <v>0.11538461538461542</v>
      </c>
      <c r="G231" s="760">
        <f t="shared" si="41"/>
        <v>0.11538461538461542</v>
      </c>
      <c r="H231" s="713">
        <f t="shared" si="32"/>
        <v>0.99999999999999978</v>
      </c>
      <c r="I231" s="1017">
        <v>0.2</v>
      </c>
      <c r="J231" s="994">
        <v>0.3</v>
      </c>
      <c r="K231" s="994">
        <v>0.25</v>
      </c>
      <c r="L231" s="994">
        <v>0.05</v>
      </c>
      <c r="M231" s="994">
        <v>0.2</v>
      </c>
      <c r="N231" s="1001">
        <f t="shared" si="35"/>
        <v>1</v>
      </c>
      <c r="O231" s="995"/>
      <c r="R231" s="117">
        <f t="shared" si="36"/>
        <v>0.89615384615384586</v>
      </c>
      <c r="S231" s="206">
        <f t="shared" si="37"/>
        <v>0.71500000000000008</v>
      </c>
    </row>
    <row r="232" spans="1:19">
      <c r="B232" s="1005">
        <f t="shared" si="38"/>
        <v>2026</v>
      </c>
      <c r="C232" s="764">
        <v>0</v>
      </c>
      <c r="D232" s="760">
        <v>0</v>
      </c>
      <c r="E232" s="760">
        <f t="shared" si="39"/>
        <v>0.81538461538461504</v>
      </c>
      <c r="F232" s="760">
        <f t="shared" si="40"/>
        <v>9.2307692307692341E-2</v>
      </c>
      <c r="G232" s="760">
        <f t="shared" si="41"/>
        <v>9.2307692307692341E-2</v>
      </c>
      <c r="H232" s="713">
        <f t="shared" si="32"/>
        <v>0.99999999999999967</v>
      </c>
      <c r="I232" s="1017">
        <v>0.2</v>
      </c>
      <c r="J232" s="994">
        <v>0.3</v>
      </c>
      <c r="K232" s="994">
        <v>0.25</v>
      </c>
      <c r="L232" s="994">
        <v>0.05</v>
      </c>
      <c r="M232" s="994">
        <v>0.2</v>
      </c>
      <c r="N232" s="1001">
        <f t="shared" si="35"/>
        <v>1</v>
      </c>
      <c r="O232" s="995"/>
      <c r="R232" s="117">
        <f t="shared" si="36"/>
        <v>0.91692307692307662</v>
      </c>
      <c r="S232" s="206">
        <f t="shared" si="37"/>
        <v>0.71500000000000008</v>
      </c>
    </row>
    <row r="233" spans="1:19">
      <c r="B233" s="1005">
        <f t="shared" si="38"/>
        <v>2027</v>
      </c>
      <c r="C233" s="764">
        <v>0</v>
      </c>
      <c r="D233" s="760">
        <v>0</v>
      </c>
      <c r="E233" s="760">
        <f t="shared" si="39"/>
        <v>0.86153846153846114</v>
      </c>
      <c r="F233" s="760">
        <f t="shared" si="40"/>
        <v>6.9230769230769262E-2</v>
      </c>
      <c r="G233" s="760">
        <f t="shared" si="41"/>
        <v>6.9230769230769262E-2</v>
      </c>
      <c r="H233" s="713">
        <f t="shared" si="32"/>
        <v>0.99999999999999956</v>
      </c>
      <c r="I233" s="1017">
        <v>0.2</v>
      </c>
      <c r="J233" s="994">
        <v>0.3</v>
      </c>
      <c r="K233" s="994">
        <v>0.25</v>
      </c>
      <c r="L233" s="994">
        <v>0.05</v>
      </c>
      <c r="M233" s="994">
        <v>0.2</v>
      </c>
      <c r="N233" s="1001">
        <f t="shared" si="35"/>
        <v>1</v>
      </c>
      <c r="O233" s="995"/>
      <c r="R233" s="117">
        <f t="shared" si="36"/>
        <v>0.93769230769230727</v>
      </c>
      <c r="S233" s="206">
        <f t="shared" si="37"/>
        <v>0.71500000000000008</v>
      </c>
    </row>
    <row r="234" spans="1:19">
      <c r="B234" s="1005">
        <f t="shared" si="38"/>
        <v>2028</v>
      </c>
      <c r="C234" s="764">
        <v>0</v>
      </c>
      <c r="D234" s="760">
        <v>0</v>
      </c>
      <c r="E234" s="760">
        <f t="shared" si="39"/>
        <v>0.90769230769230724</v>
      </c>
      <c r="F234" s="760">
        <f t="shared" si="40"/>
        <v>4.6153846153846184E-2</v>
      </c>
      <c r="G234" s="760">
        <f t="shared" si="41"/>
        <v>4.6153846153846184E-2</v>
      </c>
      <c r="H234" s="713">
        <f t="shared" si="32"/>
        <v>0.99999999999999967</v>
      </c>
      <c r="I234" s="1017">
        <v>0.2</v>
      </c>
      <c r="J234" s="994">
        <v>0.3</v>
      </c>
      <c r="K234" s="994">
        <v>0.25</v>
      </c>
      <c r="L234" s="994">
        <v>0.05</v>
      </c>
      <c r="M234" s="994">
        <v>0.2</v>
      </c>
      <c r="N234" s="1001">
        <f t="shared" si="35"/>
        <v>1</v>
      </c>
      <c r="O234" s="995"/>
      <c r="R234" s="117">
        <f t="shared" si="36"/>
        <v>0.95846153846153803</v>
      </c>
      <c r="S234" s="206">
        <f t="shared" si="37"/>
        <v>0.71500000000000008</v>
      </c>
    </row>
    <row r="235" spans="1:19">
      <c r="B235" s="1005">
        <f t="shared" si="38"/>
        <v>2029</v>
      </c>
      <c r="C235" s="764">
        <v>0</v>
      </c>
      <c r="D235" s="760">
        <v>0</v>
      </c>
      <c r="E235" s="760">
        <f t="shared" si="39"/>
        <v>0.95384615384615334</v>
      </c>
      <c r="F235" s="760">
        <f t="shared" si="40"/>
        <v>2.3076923076923109E-2</v>
      </c>
      <c r="G235" s="760">
        <f t="shared" si="41"/>
        <v>2.3076923076923109E-2</v>
      </c>
      <c r="H235" s="713">
        <f t="shared" si="32"/>
        <v>0.99999999999999956</v>
      </c>
      <c r="I235" s="1017">
        <v>0.2</v>
      </c>
      <c r="J235" s="994">
        <v>0.3</v>
      </c>
      <c r="K235" s="994">
        <v>0.25</v>
      </c>
      <c r="L235" s="994">
        <v>0.05</v>
      </c>
      <c r="M235" s="994">
        <v>0.2</v>
      </c>
      <c r="N235" s="1001">
        <f t="shared" si="35"/>
        <v>1</v>
      </c>
      <c r="O235" s="995"/>
      <c r="R235" s="117">
        <f t="shared" si="36"/>
        <v>0.97923076923076879</v>
      </c>
      <c r="S235" s="206">
        <f t="shared" si="37"/>
        <v>0.71500000000000008</v>
      </c>
    </row>
    <row r="236" spans="1:19">
      <c r="A236" s="1"/>
      <c r="B236" s="1006">
        <f t="shared" si="38"/>
        <v>2030</v>
      </c>
      <c r="C236" s="1010">
        <f>'Recycling - Case 2'!C38</f>
        <v>0</v>
      </c>
      <c r="D236" s="996">
        <f>'Recycling - Case 2'!D38</f>
        <v>0</v>
      </c>
      <c r="E236" s="996">
        <f>'Recycling - Case 2'!E38</f>
        <v>1</v>
      </c>
      <c r="F236" s="996">
        <f>'Recycling - Case 2'!F38</f>
        <v>0</v>
      </c>
      <c r="G236" s="996">
        <f>'Recycling - Case 2'!G38</f>
        <v>0</v>
      </c>
      <c r="H236" s="997">
        <f t="shared" si="32"/>
        <v>1</v>
      </c>
      <c r="I236" s="1018">
        <v>0.2</v>
      </c>
      <c r="J236" s="1013">
        <v>0.3</v>
      </c>
      <c r="K236" s="1013">
        <v>0.25</v>
      </c>
      <c r="L236" s="1013">
        <v>0.05</v>
      </c>
      <c r="M236" s="1013">
        <v>0.2</v>
      </c>
      <c r="N236" s="1003">
        <f t="shared" si="35"/>
        <v>1</v>
      </c>
      <c r="O236" s="1014"/>
      <c r="R236" s="117">
        <f t="shared" si="36"/>
        <v>1</v>
      </c>
      <c r="S236" s="206">
        <f t="shared" si="37"/>
        <v>0.71500000000000008</v>
      </c>
    </row>
    <row r="237" spans="1:19">
      <c r="B237" s="1005">
        <f t="shared" si="38"/>
        <v>2031</v>
      </c>
      <c r="C237" s="764">
        <f>C236</f>
        <v>0</v>
      </c>
      <c r="D237" s="760">
        <f t="shared" ref="D237:G237" si="42">D236</f>
        <v>0</v>
      </c>
      <c r="E237" s="760">
        <f t="shared" si="42"/>
        <v>1</v>
      </c>
      <c r="F237" s="760">
        <f t="shared" si="42"/>
        <v>0</v>
      </c>
      <c r="G237" s="760">
        <f t="shared" si="42"/>
        <v>0</v>
      </c>
      <c r="H237" s="713">
        <f t="shared" si="32"/>
        <v>1</v>
      </c>
      <c r="I237" s="1017">
        <v>0.2</v>
      </c>
      <c r="J237" s="994">
        <v>0.3</v>
      </c>
      <c r="K237" s="994">
        <v>0.25</v>
      </c>
      <c r="L237" s="994">
        <v>0.05</v>
      </c>
      <c r="M237" s="994">
        <v>0.2</v>
      </c>
      <c r="N237" s="1001">
        <f t="shared" si="35"/>
        <v>1</v>
      </c>
      <c r="O237" s="995"/>
      <c r="R237" s="117">
        <f t="shared" si="36"/>
        <v>1</v>
      </c>
      <c r="S237" s="206">
        <f t="shared" si="37"/>
        <v>0.71500000000000008</v>
      </c>
    </row>
    <row r="238" spans="1:19">
      <c r="B238" s="1005">
        <f t="shared" si="38"/>
        <v>2032</v>
      </c>
      <c r="C238" s="764">
        <f t="shared" ref="C238:C256" si="43">C237</f>
        <v>0</v>
      </c>
      <c r="D238" s="760">
        <f t="shared" ref="D238:D256" si="44">D237</f>
        <v>0</v>
      </c>
      <c r="E238" s="760">
        <f t="shared" ref="E238:E256" si="45">E237</f>
        <v>1</v>
      </c>
      <c r="F238" s="760">
        <f t="shared" ref="F238:F256" si="46">F237</f>
        <v>0</v>
      </c>
      <c r="G238" s="760">
        <f t="shared" ref="G238:G256" si="47">G237</f>
        <v>0</v>
      </c>
      <c r="H238" s="713">
        <f t="shared" si="32"/>
        <v>1</v>
      </c>
      <c r="I238" s="1017">
        <v>0.2</v>
      </c>
      <c r="J238" s="994">
        <v>0.3</v>
      </c>
      <c r="K238" s="994">
        <v>0.25</v>
      </c>
      <c r="L238" s="994">
        <v>0.05</v>
      </c>
      <c r="M238" s="994">
        <v>0.2</v>
      </c>
      <c r="N238" s="1001">
        <f t="shared" si="35"/>
        <v>1</v>
      </c>
      <c r="O238" s="995"/>
      <c r="R238" s="117">
        <f t="shared" si="36"/>
        <v>1</v>
      </c>
      <c r="S238" s="206">
        <f t="shared" si="37"/>
        <v>0.71500000000000008</v>
      </c>
    </row>
    <row r="239" spans="1:19">
      <c r="B239" s="1005">
        <f t="shared" si="38"/>
        <v>2033</v>
      </c>
      <c r="C239" s="764">
        <f t="shared" si="43"/>
        <v>0</v>
      </c>
      <c r="D239" s="760">
        <f t="shared" si="44"/>
        <v>0</v>
      </c>
      <c r="E239" s="760">
        <f t="shared" si="45"/>
        <v>1</v>
      </c>
      <c r="F239" s="760">
        <f t="shared" si="46"/>
        <v>0</v>
      </c>
      <c r="G239" s="760">
        <f t="shared" si="47"/>
        <v>0</v>
      </c>
      <c r="H239" s="713">
        <f t="shared" si="32"/>
        <v>1</v>
      </c>
      <c r="I239" s="1017">
        <v>0.2</v>
      </c>
      <c r="J239" s="994">
        <v>0.3</v>
      </c>
      <c r="K239" s="994">
        <v>0.25</v>
      </c>
      <c r="L239" s="994">
        <v>0.05</v>
      </c>
      <c r="M239" s="994">
        <v>0.2</v>
      </c>
      <c r="N239" s="1001">
        <f t="shared" si="35"/>
        <v>1</v>
      </c>
      <c r="O239" s="995"/>
      <c r="R239" s="117">
        <f t="shared" si="36"/>
        <v>1</v>
      </c>
      <c r="S239" s="206">
        <f t="shared" si="37"/>
        <v>0.71500000000000008</v>
      </c>
    </row>
    <row r="240" spans="1:19">
      <c r="B240" s="1005">
        <f t="shared" si="38"/>
        <v>2034</v>
      </c>
      <c r="C240" s="764">
        <f t="shared" si="43"/>
        <v>0</v>
      </c>
      <c r="D240" s="760">
        <f t="shared" si="44"/>
        <v>0</v>
      </c>
      <c r="E240" s="760">
        <f t="shared" si="45"/>
        <v>1</v>
      </c>
      <c r="F240" s="760">
        <f t="shared" si="46"/>
        <v>0</v>
      </c>
      <c r="G240" s="760">
        <f t="shared" si="47"/>
        <v>0</v>
      </c>
      <c r="H240" s="713">
        <f t="shared" si="32"/>
        <v>1</v>
      </c>
      <c r="I240" s="1017">
        <v>0.2</v>
      </c>
      <c r="J240" s="994">
        <v>0.3</v>
      </c>
      <c r="K240" s="994">
        <v>0.25</v>
      </c>
      <c r="L240" s="994">
        <v>0.05</v>
      </c>
      <c r="M240" s="994">
        <v>0.2</v>
      </c>
      <c r="N240" s="1001">
        <f t="shared" si="35"/>
        <v>1</v>
      </c>
      <c r="O240" s="995"/>
      <c r="R240" s="117">
        <f t="shared" si="36"/>
        <v>1</v>
      </c>
      <c r="S240" s="206">
        <f t="shared" si="37"/>
        <v>0.71500000000000008</v>
      </c>
    </row>
    <row r="241" spans="2:19">
      <c r="B241" s="1005">
        <f t="shared" si="38"/>
        <v>2035</v>
      </c>
      <c r="C241" s="764">
        <f t="shared" si="43"/>
        <v>0</v>
      </c>
      <c r="D241" s="760">
        <f t="shared" si="44"/>
        <v>0</v>
      </c>
      <c r="E241" s="760">
        <f t="shared" si="45"/>
        <v>1</v>
      </c>
      <c r="F241" s="760">
        <f t="shared" si="46"/>
        <v>0</v>
      </c>
      <c r="G241" s="760">
        <f t="shared" si="47"/>
        <v>0</v>
      </c>
      <c r="H241" s="713">
        <f t="shared" si="32"/>
        <v>1</v>
      </c>
      <c r="I241" s="1017">
        <v>0.2</v>
      </c>
      <c r="J241" s="994">
        <v>0.3</v>
      </c>
      <c r="K241" s="994">
        <v>0.25</v>
      </c>
      <c r="L241" s="994">
        <v>0.05</v>
      </c>
      <c r="M241" s="994">
        <v>0.2</v>
      </c>
      <c r="N241" s="1001">
        <f t="shared" si="35"/>
        <v>1</v>
      </c>
      <c r="O241" s="995"/>
      <c r="R241" s="117">
        <f t="shared" si="36"/>
        <v>1</v>
      </c>
      <c r="S241" s="206">
        <f t="shared" si="37"/>
        <v>0.71500000000000008</v>
      </c>
    </row>
    <row r="242" spans="2:19">
      <c r="B242" s="1005">
        <f t="shared" si="38"/>
        <v>2036</v>
      </c>
      <c r="C242" s="764">
        <f t="shared" si="43"/>
        <v>0</v>
      </c>
      <c r="D242" s="760">
        <f t="shared" si="44"/>
        <v>0</v>
      </c>
      <c r="E242" s="760">
        <f t="shared" si="45"/>
        <v>1</v>
      </c>
      <c r="F242" s="760">
        <f t="shared" si="46"/>
        <v>0</v>
      </c>
      <c r="G242" s="760">
        <f t="shared" si="47"/>
        <v>0</v>
      </c>
      <c r="H242" s="713">
        <f t="shared" si="32"/>
        <v>1</v>
      </c>
      <c r="I242" s="1017">
        <v>0.2</v>
      </c>
      <c r="J242" s="994">
        <v>0.3</v>
      </c>
      <c r="K242" s="994">
        <v>0.25</v>
      </c>
      <c r="L242" s="994">
        <v>0.05</v>
      </c>
      <c r="M242" s="994">
        <v>0.2</v>
      </c>
      <c r="N242" s="1001">
        <f t="shared" si="35"/>
        <v>1</v>
      </c>
      <c r="O242" s="995"/>
      <c r="R242" s="117">
        <f t="shared" si="36"/>
        <v>1</v>
      </c>
      <c r="S242" s="206">
        <f t="shared" si="37"/>
        <v>0.71500000000000008</v>
      </c>
    </row>
    <row r="243" spans="2:19">
      <c r="B243" s="1005">
        <f t="shared" si="38"/>
        <v>2037</v>
      </c>
      <c r="C243" s="764">
        <f t="shared" si="43"/>
        <v>0</v>
      </c>
      <c r="D243" s="760">
        <f t="shared" si="44"/>
        <v>0</v>
      </c>
      <c r="E243" s="760">
        <f t="shared" si="45"/>
        <v>1</v>
      </c>
      <c r="F243" s="760">
        <f t="shared" si="46"/>
        <v>0</v>
      </c>
      <c r="G243" s="760">
        <f t="shared" si="47"/>
        <v>0</v>
      </c>
      <c r="H243" s="713">
        <f t="shared" si="32"/>
        <v>1</v>
      </c>
      <c r="I243" s="1017">
        <v>0.2</v>
      </c>
      <c r="J243" s="994">
        <v>0.3</v>
      </c>
      <c r="K243" s="994">
        <v>0.25</v>
      </c>
      <c r="L243" s="994">
        <v>0.05</v>
      </c>
      <c r="M243" s="994">
        <v>0.2</v>
      </c>
      <c r="N243" s="1001">
        <f t="shared" si="35"/>
        <v>1</v>
      </c>
      <c r="O243" s="995"/>
      <c r="R243" s="117">
        <f t="shared" si="36"/>
        <v>1</v>
      </c>
      <c r="S243" s="206">
        <f t="shared" si="37"/>
        <v>0.71500000000000008</v>
      </c>
    </row>
    <row r="244" spans="2:19">
      <c r="B244" s="1005">
        <f t="shared" si="38"/>
        <v>2038</v>
      </c>
      <c r="C244" s="764">
        <f>C243</f>
        <v>0</v>
      </c>
      <c r="D244" s="760">
        <f t="shared" si="44"/>
        <v>0</v>
      </c>
      <c r="E244" s="760">
        <f t="shared" si="45"/>
        <v>1</v>
      </c>
      <c r="F244" s="760">
        <f t="shared" si="46"/>
        <v>0</v>
      </c>
      <c r="G244" s="760">
        <f t="shared" si="47"/>
        <v>0</v>
      </c>
      <c r="H244" s="713">
        <f t="shared" si="32"/>
        <v>1</v>
      </c>
      <c r="I244" s="1017">
        <v>0.2</v>
      </c>
      <c r="J244" s="994">
        <v>0.3</v>
      </c>
      <c r="K244" s="994">
        <v>0.25</v>
      </c>
      <c r="L244" s="994">
        <v>0.05</v>
      </c>
      <c r="M244" s="994">
        <v>0.2</v>
      </c>
      <c r="N244" s="1001">
        <f t="shared" si="35"/>
        <v>1</v>
      </c>
      <c r="O244" s="995"/>
      <c r="R244" s="117">
        <f t="shared" si="36"/>
        <v>1</v>
      </c>
      <c r="S244" s="206">
        <f t="shared" si="37"/>
        <v>0.71500000000000008</v>
      </c>
    </row>
    <row r="245" spans="2:19">
      <c r="B245" s="1005">
        <f t="shared" si="38"/>
        <v>2039</v>
      </c>
      <c r="C245" s="764">
        <f t="shared" si="43"/>
        <v>0</v>
      </c>
      <c r="D245" s="760">
        <f t="shared" si="44"/>
        <v>0</v>
      </c>
      <c r="E245" s="760">
        <f t="shared" si="45"/>
        <v>1</v>
      </c>
      <c r="F245" s="760">
        <f t="shared" si="46"/>
        <v>0</v>
      </c>
      <c r="G245" s="760">
        <f t="shared" si="47"/>
        <v>0</v>
      </c>
      <c r="H245" s="713">
        <f t="shared" si="32"/>
        <v>1</v>
      </c>
      <c r="I245" s="1017">
        <v>0.2</v>
      </c>
      <c r="J245" s="994">
        <v>0.3</v>
      </c>
      <c r="K245" s="994">
        <v>0.25</v>
      </c>
      <c r="L245" s="994">
        <v>0.05</v>
      </c>
      <c r="M245" s="994">
        <v>0.2</v>
      </c>
      <c r="N245" s="1001">
        <f t="shared" si="35"/>
        <v>1</v>
      </c>
      <c r="O245" s="995"/>
      <c r="R245" s="117">
        <f t="shared" si="36"/>
        <v>1</v>
      </c>
      <c r="S245" s="206">
        <f t="shared" si="37"/>
        <v>0.71500000000000008</v>
      </c>
    </row>
    <row r="246" spans="2:19">
      <c r="B246" s="1005">
        <f t="shared" si="38"/>
        <v>2040</v>
      </c>
      <c r="C246" s="764">
        <f t="shared" si="43"/>
        <v>0</v>
      </c>
      <c r="D246" s="760">
        <f t="shared" si="44"/>
        <v>0</v>
      </c>
      <c r="E246" s="760">
        <f t="shared" si="45"/>
        <v>1</v>
      </c>
      <c r="F246" s="760">
        <f t="shared" si="46"/>
        <v>0</v>
      </c>
      <c r="G246" s="760">
        <f t="shared" si="47"/>
        <v>0</v>
      </c>
      <c r="H246" s="713">
        <f t="shared" si="32"/>
        <v>1</v>
      </c>
      <c r="I246" s="1017">
        <v>0.2</v>
      </c>
      <c r="J246" s="994">
        <v>0.3</v>
      </c>
      <c r="K246" s="994">
        <v>0.25</v>
      </c>
      <c r="L246" s="994">
        <v>0.05</v>
      </c>
      <c r="M246" s="994">
        <v>0.2</v>
      </c>
      <c r="N246" s="1001">
        <f t="shared" si="35"/>
        <v>1</v>
      </c>
      <c r="O246" s="995"/>
      <c r="R246" s="117">
        <f t="shared" si="36"/>
        <v>1</v>
      </c>
      <c r="S246" s="206">
        <f t="shared" si="37"/>
        <v>0.71500000000000008</v>
      </c>
    </row>
    <row r="247" spans="2:19">
      <c r="B247" s="1005">
        <f t="shared" si="38"/>
        <v>2041</v>
      </c>
      <c r="C247" s="764">
        <f t="shared" si="43"/>
        <v>0</v>
      </c>
      <c r="D247" s="760">
        <f t="shared" si="44"/>
        <v>0</v>
      </c>
      <c r="E247" s="760">
        <f t="shared" si="45"/>
        <v>1</v>
      </c>
      <c r="F247" s="760">
        <f t="shared" si="46"/>
        <v>0</v>
      </c>
      <c r="G247" s="760">
        <f t="shared" si="47"/>
        <v>0</v>
      </c>
      <c r="H247" s="713">
        <f t="shared" si="32"/>
        <v>1</v>
      </c>
      <c r="I247" s="1017">
        <v>0.2</v>
      </c>
      <c r="J247" s="994">
        <v>0.3</v>
      </c>
      <c r="K247" s="994">
        <v>0.25</v>
      </c>
      <c r="L247" s="994">
        <v>0.05</v>
      </c>
      <c r="M247" s="994">
        <v>0.2</v>
      </c>
      <c r="N247" s="1001">
        <f t="shared" si="35"/>
        <v>1</v>
      </c>
      <c r="O247" s="995"/>
      <c r="R247" s="117">
        <f t="shared" si="36"/>
        <v>1</v>
      </c>
      <c r="S247" s="206">
        <f t="shared" si="37"/>
        <v>0.71500000000000008</v>
      </c>
    </row>
    <row r="248" spans="2:19">
      <c r="B248" s="1005">
        <f t="shared" si="38"/>
        <v>2042</v>
      </c>
      <c r="C248" s="764">
        <f t="shared" si="43"/>
        <v>0</v>
      </c>
      <c r="D248" s="760">
        <f t="shared" si="44"/>
        <v>0</v>
      </c>
      <c r="E248" s="760">
        <f t="shared" si="45"/>
        <v>1</v>
      </c>
      <c r="F248" s="760">
        <f t="shared" si="46"/>
        <v>0</v>
      </c>
      <c r="G248" s="760">
        <f t="shared" si="47"/>
        <v>0</v>
      </c>
      <c r="H248" s="713">
        <f t="shared" si="32"/>
        <v>1</v>
      </c>
      <c r="I248" s="1017">
        <v>0.2</v>
      </c>
      <c r="J248" s="994">
        <v>0.3</v>
      </c>
      <c r="K248" s="994">
        <v>0.25</v>
      </c>
      <c r="L248" s="994">
        <v>0.05</v>
      </c>
      <c r="M248" s="994">
        <v>0.2</v>
      </c>
      <c r="N248" s="1001">
        <f t="shared" si="35"/>
        <v>1</v>
      </c>
      <c r="O248" s="995"/>
      <c r="R248" s="117">
        <f t="shared" si="36"/>
        <v>1</v>
      </c>
      <c r="S248" s="206">
        <f t="shared" si="37"/>
        <v>0.71500000000000008</v>
      </c>
    </row>
    <row r="249" spans="2:19">
      <c r="B249" s="1005">
        <f t="shared" si="38"/>
        <v>2043</v>
      </c>
      <c r="C249" s="764">
        <f t="shared" si="43"/>
        <v>0</v>
      </c>
      <c r="D249" s="760">
        <f t="shared" si="44"/>
        <v>0</v>
      </c>
      <c r="E249" s="760">
        <f t="shared" si="45"/>
        <v>1</v>
      </c>
      <c r="F249" s="760">
        <f t="shared" si="46"/>
        <v>0</v>
      </c>
      <c r="G249" s="760">
        <f t="shared" si="47"/>
        <v>0</v>
      </c>
      <c r="H249" s="713">
        <f t="shared" si="32"/>
        <v>1</v>
      </c>
      <c r="I249" s="1017">
        <v>0.2</v>
      </c>
      <c r="J249" s="994">
        <v>0.3</v>
      </c>
      <c r="K249" s="994">
        <v>0.25</v>
      </c>
      <c r="L249" s="994">
        <v>0.05</v>
      </c>
      <c r="M249" s="994">
        <v>0.2</v>
      </c>
      <c r="N249" s="1001">
        <f t="shared" si="35"/>
        <v>1</v>
      </c>
      <c r="O249" s="995"/>
      <c r="R249" s="117">
        <f t="shared" si="36"/>
        <v>1</v>
      </c>
      <c r="S249" s="206">
        <f t="shared" si="37"/>
        <v>0.71500000000000008</v>
      </c>
    </row>
    <row r="250" spans="2:19">
      <c r="B250" s="1005">
        <f t="shared" si="38"/>
        <v>2044</v>
      </c>
      <c r="C250" s="764">
        <f t="shared" si="43"/>
        <v>0</v>
      </c>
      <c r="D250" s="760">
        <f t="shared" si="44"/>
        <v>0</v>
      </c>
      <c r="E250" s="760">
        <f t="shared" si="45"/>
        <v>1</v>
      </c>
      <c r="F250" s="760">
        <f t="shared" si="46"/>
        <v>0</v>
      </c>
      <c r="G250" s="760">
        <f t="shared" si="47"/>
        <v>0</v>
      </c>
      <c r="H250" s="713">
        <f t="shared" si="32"/>
        <v>1</v>
      </c>
      <c r="I250" s="1017">
        <v>0.2</v>
      </c>
      <c r="J250" s="994">
        <v>0.3</v>
      </c>
      <c r="K250" s="994">
        <v>0.25</v>
      </c>
      <c r="L250" s="994">
        <v>0.05</v>
      </c>
      <c r="M250" s="994">
        <v>0.2</v>
      </c>
      <c r="N250" s="1001">
        <f t="shared" si="35"/>
        <v>1</v>
      </c>
      <c r="O250" s="995"/>
      <c r="R250" s="117">
        <f t="shared" si="36"/>
        <v>1</v>
      </c>
      <c r="S250" s="206">
        <f t="shared" si="37"/>
        <v>0.71500000000000008</v>
      </c>
    </row>
    <row r="251" spans="2:19">
      <c r="B251" s="1005">
        <f t="shared" si="38"/>
        <v>2045</v>
      </c>
      <c r="C251" s="764">
        <f t="shared" si="43"/>
        <v>0</v>
      </c>
      <c r="D251" s="760">
        <f t="shared" si="44"/>
        <v>0</v>
      </c>
      <c r="E251" s="760">
        <f t="shared" si="45"/>
        <v>1</v>
      </c>
      <c r="F251" s="760">
        <f t="shared" si="46"/>
        <v>0</v>
      </c>
      <c r="G251" s="760">
        <f t="shared" si="47"/>
        <v>0</v>
      </c>
      <c r="H251" s="713">
        <f t="shared" si="32"/>
        <v>1</v>
      </c>
      <c r="I251" s="1017">
        <v>0.2</v>
      </c>
      <c r="J251" s="994">
        <v>0.3</v>
      </c>
      <c r="K251" s="994">
        <v>0.25</v>
      </c>
      <c r="L251" s="994">
        <v>0.05</v>
      </c>
      <c r="M251" s="994">
        <v>0.2</v>
      </c>
      <c r="N251" s="1001">
        <f t="shared" si="35"/>
        <v>1</v>
      </c>
      <c r="O251" s="995"/>
      <c r="R251" s="117">
        <f t="shared" si="36"/>
        <v>1</v>
      </c>
      <c r="S251" s="206">
        <f t="shared" si="37"/>
        <v>0.71500000000000008</v>
      </c>
    </row>
    <row r="252" spans="2:19">
      <c r="B252" s="1005">
        <f t="shared" si="38"/>
        <v>2046</v>
      </c>
      <c r="C252" s="764">
        <f t="shared" si="43"/>
        <v>0</v>
      </c>
      <c r="D252" s="760">
        <f t="shared" si="44"/>
        <v>0</v>
      </c>
      <c r="E252" s="760">
        <f t="shared" si="45"/>
        <v>1</v>
      </c>
      <c r="F252" s="760">
        <f t="shared" si="46"/>
        <v>0</v>
      </c>
      <c r="G252" s="760">
        <f t="shared" si="47"/>
        <v>0</v>
      </c>
      <c r="H252" s="713">
        <f t="shared" ref="H252:H256" si="48">SUM(C252:G252)</f>
        <v>1</v>
      </c>
      <c r="I252" s="1017">
        <v>0.2</v>
      </c>
      <c r="J252" s="994">
        <v>0.3</v>
      </c>
      <c r="K252" s="994">
        <v>0.25</v>
      </c>
      <c r="L252" s="994">
        <v>0.05</v>
      </c>
      <c r="M252" s="994">
        <v>0.2</v>
      </c>
      <c r="N252" s="1001">
        <f t="shared" si="35"/>
        <v>1</v>
      </c>
      <c r="O252" s="995"/>
      <c r="R252" s="117">
        <f t="shared" si="36"/>
        <v>1</v>
      </c>
      <c r="S252" s="206">
        <f t="shared" si="37"/>
        <v>0.71500000000000008</v>
      </c>
    </row>
    <row r="253" spans="2:19">
      <c r="B253" s="1005">
        <f t="shared" si="38"/>
        <v>2047</v>
      </c>
      <c r="C253" s="764">
        <f t="shared" si="43"/>
        <v>0</v>
      </c>
      <c r="D253" s="760">
        <f t="shared" si="44"/>
        <v>0</v>
      </c>
      <c r="E253" s="760">
        <f t="shared" si="45"/>
        <v>1</v>
      </c>
      <c r="F253" s="760">
        <f t="shared" si="46"/>
        <v>0</v>
      </c>
      <c r="G253" s="760">
        <f t="shared" si="47"/>
        <v>0</v>
      </c>
      <c r="H253" s="713">
        <f t="shared" si="48"/>
        <v>1</v>
      </c>
      <c r="I253" s="1017">
        <v>0.2</v>
      </c>
      <c r="J253" s="994">
        <v>0.3</v>
      </c>
      <c r="K253" s="994">
        <v>0.25</v>
      </c>
      <c r="L253" s="994">
        <v>0.05</v>
      </c>
      <c r="M253" s="994">
        <v>0.2</v>
      </c>
      <c r="N253" s="1001">
        <f t="shared" si="35"/>
        <v>1</v>
      </c>
      <c r="O253" s="995"/>
      <c r="R253" s="117">
        <f t="shared" si="36"/>
        <v>1</v>
      </c>
      <c r="S253" s="206">
        <f t="shared" si="37"/>
        <v>0.71500000000000008</v>
      </c>
    </row>
    <row r="254" spans="2:19">
      <c r="B254" s="1005">
        <f t="shared" si="38"/>
        <v>2048</v>
      </c>
      <c r="C254" s="764">
        <f t="shared" si="43"/>
        <v>0</v>
      </c>
      <c r="D254" s="760">
        <f t="shared" si="44"/>
        <v>0</v>
      </c>
      <c r="E254" s="760">
        <f t="shared" si="45"/>
        <v>1</v>
      </c>
      <c r="F254" s="760">
        <f t="shared" si="46"/>
        <v>0</v>
      </c>
      <c r="G254" s="760">
        <f t="shared" si="47"/>
        <v>0</v>
      </c>
      <c r="H254" s="713">
        <f t="shared" si="48"/>
        <v>1</v>
      </c>
      <c r="I254" s="1017">
        <v>0.2</v>
      </c>
      <c r="J254" s="994">
        <v>0.3</v>
      </c>
      <c r="K254" s="994">
        <v>0.25</v>
      </c>
      <c r="L254" s="994">
        <v>0.05</v>
      </c>
      <c r="M254" s="994">
        <v>0.2</v>
      </c>
      <c r="N254" s="1001">
        <f t="shared" si="35"/>
        <v>1</v>
      </c>
      <c r="O254" s="995"/>
      <c r="R254" s="117">
        <f t="shared" si="36"/>
        <v>1</v>
      </c>
      <c r="S254" s="206">
        <f t="shared" si="37"/>
        <v>0.71500000000000008</v>
      </c>
    </row>
    <row r="255" spans="2:19">
      <c r="B255" s="1005">
        <f t="shared" si="38"/>
        <v>2049</v>
      </c>
      <c r="C255" s="764">
        <f t="shared" si="43"/>
        <v>0</v>
      </c>
      <c r="D255" s="760">
        <f t="shared" si="44"/>
        <v>0</v>
      </c>
      <c r="E255" s="760">
        <f t="shared" si="45"/>
        <v>1</v>
      </c>
      <c r="F255" s="760">
        <f t="shared" si="46"/>
        <v>0</v>
      </c>
      <c r="G255" s="760">
        <f t="shared" si="47"/>
        <v>0</v>
      </c>
      <c r="H255" s="713">
        <f t="shared" si="48"/>
        <v>1</v>
      </c>
      <c r="I255" s="1017">
        <v>0.2</v>
      </c>
      <c r="J255" s="994">
        <v>0.3</v>
      </c>
      <c r="K255" s="994">
        <v>0.25</v>
      </c>
      <c r="L255" s="994">
        <v>0.05</v>
      </c>
      <c r="M255" s="994">
        <v>0.2</v>
      </c>
      <c r="N255" s="1001">
        <f t="shared" si="35"/>
        <v>1</v>
      </c>
      <c r="O255" s="995"/>
      <c r="R255" s="117">
        <f t="shared" si="36"/>
        <v>1</v>
      </c>
      <c r="S255" s="206">
        <f t="shared" si="37"/>
        <v>0.71500000000000008</v>
      </c>
    </row>
    <row r="256" spans="2:19" ht="15.75" thickBot="1">
      <c r="B256" s="1007">
        <f t="shared" si="38"/>
        <v>2050</v>
      </c>
      <c r="C256" s="765">
        <f t="shared" si="43"/>
        <v>0</v>
      </c>
      <c r="D256" s="762">
        <f t="shared" si="44"/>
        <v>0</v>
      </c>
      <c r="E256" s="762">
        <f t="shared" si="45"/>
        <v>1</v>
      </c>
      <c r="F256" s="762">
        <f t="shared" si="46"/>
        <v>0</v>
      </c>
      <c r="G256" s="762">
        <f t="shared" si="47"/>
        <v>0</v>
      </c>
      <c r="H256" s="1012">
        <f t="shared" si="48"/>
        <v>1</v>
      </c>
      <c r="I256" s="1019">
        <v>0.2</v>
      </c>
      <c r="J256" s="1020">
        <v>0.3</v>
      </c>
      <c r="K256" s="1020">
        <v>0.25</v>
      </c>
      <c r="L256" s="1020">
        <v>0.05</v>
      </c>
      <c r="M256" s="1020">
        <v>0.2</v>
      </c>
      <c r="N256" s="1004">
        <f t="shared" si="35"/>
        <v>1</v>
      </c>
      <c r="O256" s="995"/>
      <c r="R256" s="120">
        <f t="shared" si="36"/>
        <v>1</v>
      </c>
      <c r="S256" s="207">
        <f t="shared" si="37"/>
        <v>0.71500000000000008</v>
      </c>
    </row>
    <row r="257" spans="1:19" ht="15.75" thickBot="1"/>
    <row r="258" spans="1:19">
      <c r="A258" s="1"/>
      <c r="B258" s="1008">
        <f>B223</f>
        <v>2017</v>
      </c>
      <c r="C258" s="1009">
        <f>C223</f>
        <v>0</v>
      </c>
      <c r="D258" s="999">
        <f t="shared" ref="D258:G258" si="49">D223</f>
        <v>0</v>
      </c>
      <c r="E258" s="999">
        <f t="shared" si="49"/>
        <v>0.4</v>
      </c>
      <c r="F258" s="999">
        <f t="shared" si="49"/>
        <v>0.3</v>
      </c>
      <c r="G258" s="999">
        <f t="shared" si="49"/>
        <v>0.3</v>
      </c>
      <c r="H258" s="1011">
        <f t="shared" ref="H258:H286" si="50">SUM(C258:G258)</f>
        <v>1</v>
      </c>
      <c r="I258" s="1015">
        <v>0.2</v>
      </c>
      <c r="J258" s="1016">
        <v>0.3</v>
      </c>
      <c r="K258" s="1016">
        <v>0.25</v>
      </c>
      <c r="L258" s="1016">
        <v>0.05</v>
      </c>
      <c r="M258" s="1016">
        <v>0.2</v>
      </c>
      <c r="N258" s="1000">
        <f t="shared" ref="N258:N291" si="51">SUM(I258:M258)</f>
        <v>1</v>
      </c>
      <c r="O258" s="1014"/>
      <c r="R258" s="1021">
        <f t="shared" ref="R258:R291" si="52">C258*C$116+D258*D$116+E258*E$116+F258*F$116+G258*G$116</f>
        <v>0.73</v>
      </c>
      <c r="S258" s="1022">
        <f t="shared" ref="S258:S291" si="53">I258*$I$116+J258*$J$116+K258*$K$116+L258*L$116+M258*$M$116</f>
        <v>0.71500000000000008</v>
      </c>
    </row>
    <row r="259" spans="1:19">
      <c r="A259" s="501" t="s">
        <v>712</v>
      </c>
      <c r="B259" s="1005">
        <f t="shared" ref="B259:B291" si="54">B224</f>
        <v>2018</v>
      </c>
      <c r="C259" s="764">
        <f>($C$271-$C$258)/($B$271-$B$258)+C258</f>
        <v>0</v>
      </c>
      <c r="D259" s="760">
        <f>($D$271-$D$258)/($B$271-$B$258)+D258</f>
        <v>0</v>
      </c>
      <c r="E259" s="760">
        <f>($E$271-$E$258)/($B$271-$B$258)+E258</f>
        <v>0.44615384615384618</v>
      </c>
      <c r="F259" s="760">
        <f>($F$271-$F$258)/($B$271-$B$258)+F258</f>
        <v>0.27692307692307694</v>
      </c>
      <c r="G259" s="760">
        <f>($G$271-$G$258)/($B$271-$B$258)+G258</f>
        <v>0.27692307692307694</v>
      </c>
      <c r="H259" s="713">
        <f>SUM(C259:G259)</f>
        <v>1</v>
      </c>
      <c r="I259" s="1017">
        <v>0.2</v>
      </c>
      <c r="J259" s="994">
        <v>0.3</v>
      </c>
      <c r="K259" s="994">
        <v>0.25</v>
      </c>
      <c r="L259" s="994">
        <v>0.05</v>
      </c>
      <c r="M259" s="994">
        <v>0.2</v>
      </c>
      <c r="N259" s="1001">
        <f t="shared" si="51"/>
        <v>1</v>
      </c>
      <c r="O259" s="995"/>
      <c r="R259" s="117">
        <f t="shared" si="52"/>
        <v>0.75076923076923086</v>
      </c>
      <c r="S259" s="206">
        <f t="shared" si="53"/>
        <v>0.71500000000000008</v>
      </c>
    </row>
    <row r="260" spans="1:19">
      <c r="B260" s="1005">
        <f t="shared" si="54"/>
        <v>2019</v>
      </c>
      <c r="C260" s="764">
        <f t="shared" ref="C260:C270" si="55">($C$271-$C$258)/($B$271-$B$258)+C259</f>
        <v>0</v>
      </c>
      <c r="D260" s="760">
        <f t="shared" ref="D260:D270" si="56">($D$271-$D$258)/($B$271-$B$258)+D259</f>
        <v>0</v>
      </c>
      <c r="E260" s="760">
        <f t="shared" ref="E260:E270" si="57">($E$271-$E$258)/($B$271-$B$258)+E259</f>
        <v>0.49230769230769234</v>
      </c>
      <c r="F260" s="760">
        <f t="shared" ref="F260:F270" si="58">($F$271-$F$258)/($B$271-$B$258)+F259</f>
        <v>0.25384615384615389</v>
      </c>
      <c r="G260" s="760">
        <f t="shared" ref="G260:G270" si="59">($G$271-$G$258)/($B$271-$B$258)+G259</f>
        <v>0.25384615384615389</v>
      </c>
      <c r="H260" s="713">
        <f t="shared" si="50"/>
        <v>1</v>
      </c>
      <c r="I260" s="1017">
        <v>0.2</v>
      </c>
      <c r="J260" s="994">
        <v>0.3</v>
      </c>
      <c r="K260" s="994">
        <v>0.25</v>
      </c>
      <c r="L260" s="994">
        <v>0.05</v>
      </c>
      <c r="M260" s="994">
        <v>0.2</v>
      </c>
      <c r="N260" s="1001">
        <f t="shared" si="51"/>
        <v>1</v>
      </c>
      <c r="O260" s="995"/>
      <c r="R260" s="117">
        <f t="shared" si="52"/>
        <v>0.77153846153846162</v>
      </c>
      <c r="S260" s="206">
        <f t="shared" si="53"/>
        <v>0.71500000000000008</v>
      </c>
    </row>
    <row r="261" spans="1:19">
      <c r="B261" s="1005">
        <f t="shared" si="54"/>
        <v>2020</v>
      </c>
      <c r="C261" s="764">
        <f t="shared" si="55"/>
        <v>0</v>
      </c>
      <c r="D261" s="760">
        <f t="shared" si="56"/>
        <v>0</v>
      </c>
      <c r="E261" s="760">
        <f t="shared" si="57"/>
        <v>0.53846153846153844</v>
      </c>
      <c r="F261" s="760">
        <f t="shared" si="58"/>
        <v>0.23076923076923081</v>
      </c>
      <c r="G261" s="760">
        <f t="shared" si="59"/>
        <v>0.23076923076923081</v>
      </c>
      <c r="H261" s="713">
        <f t="shared" si="50"/>
        <v>1</v>
      </c>
      <c r="I261" s="1017">
        <v>0.2</v>
      </c>
      <c r="J261" s="994">
        <v>0.3</v>
      </c>
      <c r="K261" s="994">
        <v>0.25</v>
      </c>
      <c r="L261" s="994">
        <v>0.05</v>
      </c>
      <c r="M261" s="994">
        <v>0.2</v>
      </c>
      <c r="N261" s="1001">
        <f t="shared" si="51"/>
        <v>1</v>
      </c>
      <c r="O261" s="995"/>
      <c r="R261" s="117">
        <f t="shared" si="52"/>
        <v>0.79230769230769238</v>
      </c>
      <c r="S261" s="206">
        <f t="shared" si="53"/>
        <v>0.71500000000000008</v>
      </c>
    </row>
    <row r="262" spans="1:19">
      <c r="B262" s="1005">
        <f t="shared" si="54"/>
        <v>2021</v>
      </c>
      <c r="C262" s="764">
        <f t="shared" si="55"/>
        <v>0</v>
      </c>
      <c r="D262" s="760">
        <f t="shared" si="56"/>
        <v>0</v>
      </c>
      <c r="E262" s="760">
        <f t="shared" si="57"/>
        <v>0.58461538461538454</v>
      </c>
      <c r="F262" s="760">
        <f t="shared" si="58"/>
        <v>0.20769230769230773</v>
      </c>
      <c r="G262" s="760">
        <f t="shared" si="59"/>
        <v>0.20769230769230773</v>
      </c>
      <c r="H262" s="713">
        <f t="shared" si="50"/>
        <v>1</v>
      </c>
      <c r="I262" s="1017">
        <v>0.2</v>
      </c>
      <c r="J262" s="994">
        <v>0.3</v>
      </c>
      <c r="K262" s="994">
        <v>0.25</v>
      </c>
      <c r="L262" s="994">
        <v>0.05</v>
      </c>
      <c r="M262" s="994">
        <v>0.2</v>
      </c>
      <c r="N262" s="1001">
        <f t="shared" si="51"/>
        <v>1</v>
      </c>
      <c r="O262" s="995"/>
      <c r="R262" s="117">
        <f t="shared" si="52"/>
        <v>0.81307692307692303</v>
      </c>
      <c r="S262" s="206">
        <f t="shared" si="53"/>
        <v>0.71500000000000008</v>
      </c>
    </row>
    <row r="263" spans="1:19">
      <c r="B263" s="1005">
        <f t="shared" si="54"/>
        <v>2022</v>
      </c>
      <c r="C263" s="764">
        <f t="shared" si="55"/>
        <v>0</v>
      </c>
      <c r="D263" s="760">
        <f t="shared" si="56"/>
        <v>0</v>
      </c>
      <c r="E263" s="760">
        <f t="shared" si="57"/>
        <v>0.63076923076923064</v>
      </c>
      <c r="F263" s="760">
        <f t="shared" si="58"/>
        <v>0.18461538461538465</v>
      </c>
      <c r="G263" s="760">
        <f t="shared" si="59"/>
        <v>0.18461538461538465</v>
      </c>
      <c r="H263" s="713">
        <f t="shared" si="50"/>
        <v>0.99999999999999989</v>
      </c>
      <c r="I263" s="1017">
        <v>0.2</v>
      </c>
      <c r="J263" s="994">
        <v>0.3</v>
      </c>
      <c r="K263" s="994">
        <v>0.25</v>
      </c>
      <c r="L263" s="994">
        <v>0.05</v>
      </c>
      <c r="M263" s="994">
        <v>0.2</v>
      </c>
      <c r="N263" s="1001">
        <f t="shared" si="51"/>
        <v>1</v>
      </c>
      <c r="O263" s="995"/>
      <c r="R263" s="117">
        <f t="shared" si="52"/>
        <v>0.83384615384615368</v>
      </c>
      <c r="S263" s="206">
        <f t="shared" si="53"/>
        <v>0.71500000000000008</v>
      </c>
    </row>
    <row r="264" spans="1:19">
      <c r="B264" s="1005">
        <f t="shared" si="54"/>
        <v>2023</v>
      </c>
      <c r="C264" s="764">
        <f t="shared" si="55"/>
        <v>0</v>
      </c>
      <c r="D264" s="760">
        <f t="shared" si="56"/>
        <v>0</v>
      </c>
      <c r="E264" s="760">
        <f t="shared" si="57"/>
        <v>0.67692307692307674</v>
      </c>
      <c r="F264" s="760">
        <f t="shared" si="58"/>
        <v>0.16153846153846158</v>
      </c>
      <c r="G264" s="760">
        <f t="shared" si="59"/>
        <v>0.16153846153846158</v>
      </c>
      <c r="H264" s="713">
        <f t="shared" si="50"/>
        <v>1</v>
      </c>
      <c r="I264" s="1017">
        <v>0.2</v>
      </c>
      <c r="J264" s="994">
        <v>0.3</v>
      </c>
      <c r="K264" s="994">
        <v>0.25</v>
      </c>
      <c r="L264" s="994">
        <v>0.05</v>
      </c>
      <c r="M264" s="994">
        <v>0.2</v>
      </c>
      <c r="N264" s="1001">
        <f t="shared" si="51"/>
        <v>1</v>
      </c>
      <c r="O264" s="995"/>
      <c r="R264" s="117">
        <f t="shared" si="52"/>
        <v>0.85461538461538455</v>
      </c>
      <c r="S264" s="206">
        <f t="shared" si="53"/>
        <v>0.71500000000000008</v>
      </c>
    </row>
    <row r="265" spans="1:19">
      <c r="B265" s="1005">
        <f t="shared" si="54"/>
        <v>2024</v>
      </c>
      <c r="C265" s="764">
        <f t="shared" si="55"/>
        <v>0</v>
      </c>
      <c r="D265" s="760">
        <f t="shared" si="56"/>
        <v>0</v>
      </c>
      <c r="E265" s="760">
        <f t="shared" si="57"/>
        <v>0.72307692307692284</v>
      </c>
      <c r="F265" s="760">
        <f t="shared" si="58"/>
        <v>0.1384615384615385</v>
      </c>
      <c r="G265" s="760">
        <f t="shared" si="59"/>
        <v>0.1384615384615385</v>
      </c>
      <c r="H265" s="713">
        <f t="shared" si="50"/>
        <v>0.99999999999999989</v>
      </c>
      <c r="I265" s="1017">
        <v>0.2</v>
      </c>
      <c r="J265" s="994">
        <v>0.3</v>
      </c>
      <c r="K265" s="994">
        <v>0.25</v>
      </c>
      <c r="L265" s="994">
        <v>0.05</v>
      </c>
      <c r="M265" s="994">
        <v>0.2</v>
      </c>
      <c r="N265" s="1001">
        <f t="shared" si="51"/>
        <v>1</v>
      </c>
      <c r="O265" s="995"/>
      <c r="R265" s="117">
        <f t="shared" si="52"/>
        <v>0.87538461538461509</v>
      </c>
      <c r="S265" s="206">
        <f t="shared" si="53"/>
        <v>0.71500000000000008</v>
      </c>
    </row>
    <row r="266" spans="1:19">
      <c r="B266" s="1005">
        <f t="shared" si="54"/>
        <v>2025</v>
      </c>
      <c r="C266" s="764">
        <f t="shared" si="55"/>
        <v>0</v>
      </c>
      <c r="D266" s="760">
        <f t="shared" si="56"/>
        <v>0</v>
      </c>
      <c r="E266" s="760">
        <f t="shared" si="57"/>
        <v>0.76923076923076894</v>
      </c>
      <c r="F266" s="760">
        <f t="shared" si="58"/>
        <v>0.11538461538461542</v>
      </c>
      <c r="G266" s="760">
        <f t="shared" si="59"/>
        <v>0.11538461538461542</v>
      </c>
      <c r="H266" s="713">
        <f t="shared" si="50"/>
        <v>0.99999999999999978</v>
      </c>
      <c r="I266" s="1017">
        <v>0.2</v>
      </c>
      <c r="J266" s="994">
        <v>0.3</v>
      </c>
      <c r="K266" s="994">
        <v>0.25</v>
      </c>
      <c r="L266" s="994">
        <v>0.05</v>
      </c>
      <c r="M266" s="994">
        <v>0.2</v>
      </c>
      <c r="N266" s="1001">
        <f t="shared" si="51"/>
        <v>1</v>
      </c>
      <c r="O266" s="995"/>
      <c r="R266" s="117">
        <f t="shared" si="52"/>
        <v>0.89615384615384586</v>
      </c>
      <c r="S266" s="206">
        <f t="shared" si="53"/>
        <v>0.71500000000000008</v>
      </c>
    </row>
    <row r="267" spans="1:19">
      <c r="B267" s="1005">
        <f t="shared" si="54"/>
        <v>2026</v>
      </c>
      <c r="C267" s="764">
        <f t="shared" si="55"/>
        <v>0</v>
      </c>
      <c r="D267" s="760">
        <f t="shared" si="56"/>
        <v>0</v>
      </c>
      <c r="E267" s="760">
        <f t="shared" si="57"/>
        <v>0.81538461538461504</v>
      </c>
      <c r="F267" s="760">
        <f t="shared" si="58"/>
        <v>9.2307692307692341E-2</v>
      </c>
      <c r="G267" s="760">
        <f t="shared" si="59"/>
        <v>9.2307692307692341E-2</v>
      </c>
      <c r="H267" s="713">
        <f t="shared" si="50"/>
        <v>0.99999999999999967</v>
      </c>
      <c r="I267" s="1017">
        <v>0.2</v>
      </c>
      <c r="J267" s="994">
        <v>0.3</v>
      </c>
      <c r="K267" s="994">
        <v>0.25</v>
      </c>
      <c r="L267" s="994">
        <v>0.05</v>
      </c>
      <c r="M267" s="994">
        <v>0.2</v>
      </c>
      <c r="N267" s="1001">
        <f t="shared" si="51"/>
        <v>1</v>
      </c>
      <c r="O267" s="995"/>
      <c r="R267" s="117">
        <f t="shared" si="52"/>
        <v>0.91692307692307662</v>
      </c>
      <c r="S267" s="206">
        <f t="shared" si="53"/>
        <v>0.71500000000000008</v>
      </c>
    </row>
    <row r="268" spans="1:19">
      <c r="B268" s="1005">
        <f t="shared" si="54"/>
        <v>2027</v>
      </c>
      <c r="C268" s="764">
        <f t="shared" si="55"/>
        <v>0</v>
      </c>
      <c r="D268" s="760">
        <f t="shared" si="56"/>
        <v>0</v>
      </c>
      <c r="E268" s="760">
        <f t="shared" si="57"/>
        <v>0.86153846153846114</v>
      </c>
      <c r="F268" s="760">
        <f t="shared" si="58"/>
        <v>6.9230769230769262E-2</v>
      </c>
      <c r="G268" s="760">
        <f t="shared" si="59"/>
        <v>6.9230769230769262E-2</v>
      </c>
      <c r="H268" s="713">
        <f t="shared" si="50"/>
        <v>0.99999999999999956</v>
      </c>
      <c r="I268" s="1017">
        <v>0.2</v>
      </c>
      <c r="J268" s="994">
        <v>0.3</v>
      </c>
      <c r="K268" s="994">
        <v>0.25</v>
      </c>
      <c r="L268" s="994">
        <v>0.05</v>
      </c>
      <c r="M268" s="994">
        <v>0.2</v>
      </c>
      <c r="N268" s="1001">
        <f t="shared" si="51"/>
        <v>1</v>
      </c>
      <c r="O268" s="995"/>
      <c r="R268" s="117">
        <f t="shared" si="52"/>
        <v>0.93769230769230727</v>
      </c>
      <c r="S268" s="206">
        <f t="shared" si="53"/>
        <v>0.71500000000000008</v>
      </c>
    </row>
    <row r="269" spans="1:19">
      <c r="B269" s="1005">
        <f t="shared" si="54"/>
        <v>2028</v>
      </c>
      <c r="C269" s="764">
        <f t="shared" si="55"/>
        <v>0</v>
      </c>
      <c r="D269" s="760">
        <f t="shared" si="56"/>
        <v>0</v>
      </c>
      <c r="E269" s="760">
        <f t="shared" si="57"/>
        <v>0.90769230769230724</v>
      </c>
      <c r="F269" s="760">
        <f t="shared" si="58"/>
        <v>4.6153846153846184E-2</v>
      </c>
      <c r="G269" s="760">
        <f t="shared" si="59"/>
        <v>4.6153846153846184E-2</v>
      </c>
      <c r="H269" s="713">
        <f t="shared" si="50"/>
        <v>0.99999999999999967</v>
      </c>
      <c r="I269" s="1017">
        <v>0.2</v>
      </c>
      <c r="J269" s="994">
        <v>0.3</v>
      </c>
      <c r="K269" s="994">
        <v>0.25</v>
      </c>
      <c r="L269" s="994">
        <v>0.05</v>
      </c>
      <c r="M269" s="994">
        <v>0.2</v>
      </c>
      <c r="N269" s="1001">
        <f t="shared" si="51"/>
        <v>1</v>
      </c>
      <c r="O269" s="995"/>
      <c r="R269" s="117">
        <f t="shared" si="52"/>
        <v>0.95846153846153803</v>
      </c>
      <c r="S269" s="206">
        <f t="shared" si="53"/>
        <v>0.71500000000000008</v>
      </c>
    </row>
    <row r="270" spans="1:19">
      <c r="B270" s="1005">
        <f t="shared" si="54"/>
        <v>2029</v>
      </c>
      <c r="C270" s="764">
        <f t="shared" si="55"/>
        <v>0</v>
      </c>
      <c r="D270" s="760">
        <f t="shared" si="56"/>
        <v>0</v>
      </c>
      <c r="E270" s="760">
        <f t="shared" si="57"/>
        <v>0.95384615384615334</v>
      </c>
      <c r="F270" s="760">
        <f t="shared" si="58"/>
        <v>2.3076923076923109E-2</v>
      </c>
      <c r="G270" s="760">
        <f t="shared" si="59"/>
        <v>2.3076923076923109E-2</v>
      </c>
      <c r="H270" s="713">
        <f t="shared" si="50"/>
        <v>0.99999999999999956</v>
      </c>
      <c r="I270" s="1017">
        <v>0.2</v>
      </c>
      <c r="J270" s="994">
        <v>0.3</v>
      </c>
      <c r="K270" s="994">
        <v>0.25</v>
      </c>
      <c r="L270" s="994">
        <v>0.05</v>
      </c>
      <c r="M270" s="994">
        <v>0.2</v>
      </c>
      <c r="N270" s="1001">
        <f t="shared" si="51"/>
        <v>1</v>
      </c>
      <c r="O270" s="995"/>
      <c r="R270" s="117">
        <f t="shared" si="52"/>
        <v>0.97923076923076879</v>
      </c>
      <c r="S270" s="206">
        <f t="shared" si="53"/>
        <v>0.71500000000000008</v>
      </c>
    </row>
    <row r="271" spans="1:19">
      <c r="A271" s="1"/>
      <c r="B271" s="1006">
        <f t="shared" si="54"/>
        <v>2030</v>
      </c>
      <c r="C271" s="1010">
        <f>'Recycling - Case 3'!C39</f>
        <v>0</v>
      </c>
      <c r="D271" s="996">
        <f>'Recycling - Case 3'!D39</f>
        <v>0</v>
      </c>
      <c r="E271" s="996">
        <f>'Recycling - Case 3'!E39</f>
        <v>1</v>
      </c>
      <c r="F271" s="996">
        <f>'Recycling - Case 3'!F39</f>
        <v>0</v>
      </c>
      <c r="G271" s="996">
        <f>'Recycling - Case 3'!G39</f>
        <v>0</v>
      </c>
      <c r="H271" s="997">
        <f>'Recycling - Case 3'!H39</f>
        <v>0</v>
      </c>
      <c r="I271" s="1018">
        <v>0.2</v>
      </c>
      <c r="J271" s="1013">
        <v>0.3</v>
      </c>
      <c r="K271" s="1013">
        <v>0.25</v>
      </c>
      <c r="L271" s="1013">
        <v>0.05</v>
      </c>
      <c r="M271" s="1013">
        <v>0.2</v>
      </c>
      <c r="N271" s="1003">
        <f t="shared" si="51"/>
        <v>1</v>
      </c>
      <c r="O271" s="1014"/>
      <c r="R271" s="117">
        <f t="shared" si="52"/>
        <v>1</v>
      </c>
      <c r="S271" s="206">
        <f t="shared" si="53"/>
        <v>0.71500000000000008</v>
      </c>
    </row>
    <row r="272" spans="1:19">
      <c r="B272" s="1005">
        <f t="shared" si="54"/>
        <v>2031</v>
      </c>
      <c r="C272" s="764">
        <f>C271</f>
        <v>0</v>
      </c>
      <c r="D272" s="760">
        <f t="shared" ref="D272:G287" si="60">D271</f>
        <v>0</v>
      </c>
      <c r="E272" s="760">
        <f t="shared" si="60"/>
        <v>1</v>
      </c>
      <c r="F272" s="760">
        <f t="shared" si="60"/>
        <v>0</v>
      </c>
      <c r="G272" s="760">
        <f t="shared" si="60"/>
        <v>0</v>
      </c>
      <c r="H272" s="713">
        <f t="shared" si="50"/>
        <v>1</v>
      </c>
      <c r="I272" s="1017">
        <v>0.2</v>
      </c>
      <c r="J272" s="994">
        <v>0.3</v>
      </c>
      <c r="K272" s="994">
        <v>0.25</v>
      </c>
      <c r="L272" s="994">
        <v>0.05</v>
      </c>
      <c r="M272" s="994">
        <v>0.2</v>
      </c>
      <c r="N272" s="1001">
        <f t="shared" si="51"/>
        <v>1</v>
      </c>
      <c r="O272" s="995"/>
      <c r="R272" s="117">
        <f t="shared" si="52"/>
        <v>1</v>
      </c>
      <c r="S272" s="206">
        <f t="shared" si="53"/>
        <v>0.71500000000000008</v>
      </c>
    </row>
    <row r="273" spans="2:19">
      <c r="B273" s="1005">
        <f t="shared" si="54"/>
        <v>2032</v>
      </c>
      <c r="C273" s="764">
        <f t="shared" ref="C273:G288" si="61">C272</f>
        <v>0</v>
      </c>
      <c r="D273" s="760">
        <f t="shared" si="60"/>
        <v>0</v>
      </c>
      <c r="E273" s="760">
        <f t="shared" si="60"/>
        <v>1</v>
      </c>
      <c r="F273" s="760">
        <f t="shared" si="60"/>
        <v>0</v>
      </c>
      <c r="G273" s="760">
        <f t="shared" si="60"/>
        <v>0</v>
      </c>
      <c r="H273" s="713">
        <f t="shared" si="50"/>
        <v>1</v>
      </c>
      <c r="I273" s="1017">
        <v>0.2</v>
      </c>
      <c r="J273" s="994">
        <v>0.3</v>
      </c>
      <c r="K273" s="994">
        <v>0.25</v>
      </c>
      <c r="L273" s="994">
        <v>0.05</v>
      </c>
      <c r="M273" s="994">
        <v>0.2</v>
      </c>
      <c r="N273" s="1001">
        <f t="shared" si="51"/>
        <v>1</v>
      </c>
      <c r="O273" s="995"/>
      <c r="R273" s="117">
        <f t="shared" si="52"/>
        <v>1</v>
      </c>
      <c r="S273" s="206">
        <f t="shared" si="53"/>
        <v>0.71500000000000008</v>
      </c>
    </row>
    <row r="274" spans="2:19">
      <c r="B274" s="1005">
        <f t="shared" si="54"/>
        <v>2033</v>
      </c>
      <c r="C274" s="764">
        <f t="shared" si="61"/>
        <v>0</v>
      </c>
      <c r="D274" s="760">
        <f t="shared" si="60"/>
        <v>0</v>
      </c>
      <c r="E274" s="760">
        <f t="shared" si="60"/>
        <v>1</v>
      </c>
      <c r="F274" s="760">
        <f t="shared" si="60"/>
        <v>0</v>
      </c>
      <c r="G274" s="760">
        <f t="shared" si="60"/>
        <v>0</v>
      </c>
      <c r="H274" s="713">
        <f t="shared" si="50"/>
        <v>1</v>
      </c>
      <c r="I274" s="1017">
        <v>0.2</v>
      </c>
      <c r="J274" s="994">
        <v>0.3</v>
      </c>
      <c r="K274" s="994">
        <v>0.25</v>
      </c>
      <c r="L274" s="994">
        <v>0.05</v>
      </c>
      <c r="M274" s="994">
        <v>0.2</v>
      </c>
      <c r="N274" s="1001">
        <f t="shared" si="51"/>
        <v>1</v>
      </c>
      <c r="O274" s="995"/>
      <c r="R274" s="117">
        <f t="shared" si="52"/>
        <v>1</v>
      </c>
      <c r="S274" s="206">
        <f t="shared" si="53"/>
        <v>0.71500000000000008</v>
      </c>
    </row>
    <row r="275" spans="2:19">
      <c r="B275" s="1005">
        <f t="shared" si="54"/>
        <v>2034</v>
      </c>
      <c r="C275" s="764">
        <f t="shared" si="61"/>
        <v>0</v>
      </c>
      <c r="D275" s="760">
        <f t="shared" si="60"/>
        <v>0</v>
      </c>
      <c r="E275" s="760">
        <f t="shared" si="60"/>
        <v>1</v>
      </c>
      <c r="F275" s="760">
        <f t="shared" si="60"/>
        <v>0</v>
      </c>
      <c r="G275" s="760">
        <f t="shared" si="60"/>
        <v>0</v>
      </c>
      <c r="H275" s="713">
        <f t="shared" si="50"/>
        <v>1</v>
      </c>
      <c r="I275" s="1017">
        <v>0.2</v>
      </c>
      <c r="J275" s="994">
        <v>0.3</v>
      </c>
      <c r="K275" s="994">
        <v>0.25</v>
      </c>
      <c r="L275" s="994">
        <v>0.05</v>
      </c>
      <c r="M275" s="994">
        <v>0.2</v>
      </c>
      <c r="N275" s="1001">
        <f t="shared" si="51"/>
        <v>1</v>
      </c>
      <c r="O275" s="995"/>
      <c r="R275" s="117">
        <f t="shared" si="52"/>
        <v>1</v>
      </c>
      <c r="S275" s="206">
        <f t="shared" si="53"/>
        <v>0.71500000000000008</v>
      </c>
    </row>
    <row r="276" spans="2:19">
      <c r="B276" s="1005">
        <f t="shared" si="54"/>
        <v>2035</v>
      </c>
      <c r="C276" s="764">
        <f t="shared" si="61"/>
        <v>0</v>
      </c>
      <c r="D276" s="760">
        <f t="shared" si="60"/>
        <v>0</v>
      </c>
      <c r="E276" s="760">
        <f t="shared" si="60"/>
        <v>1</v>
      </c>
      <c r="F276" s="760">
        <f t="shared" si="60"/>
        <v>0</v>
      </c>
      <c r="G276" s="760">
        <f t="shared" si="60"/>
        <v>0</v>
      </c>
      <c r="H276" s="713">
        <f t="shared" si="50"/>
        <v>1</v>
      </c>
      <c r="I276" s="1017">
        <v>0.2</v>
      </c>
      <c r="J276" s="994">
        <v>0.3</v>
      </c>
      <c r="K276" s="994">
        <v>0.25</v>
      </c>
      <c r="L276" s="994">
        <v>0.05</v>
      </c>
      <c r="M276" s="994">
        <v>0.2</v>
      </c>
      <c r="N276" s="1001">
        <f t="shared" si="51"/>
        <v>1</v>
      </c>
      <c r="O276" s="995"/>
      <c r="R276" s="117">
        <f t="shared" si="52"/>
        <v>1</v>
      </c>
      <c r="S276" s="206">
        <f t="shared" si="53"/>
        <v>0.71500000000000008</v>
      </c>
    </row>
    <row r="277" spans="2:19">
      <c r="B277" s="1005">
        <f t="shared" si="54"/>
        <v>2036</v>
      </c>
      <c r="C277" s="764">
        <f t="shared" si="61"/>
        <v>0</v>
      </c>
      <c r="D277" s="760">
        <f t="shared" si="60"/>
        <v>0</v>
      </c>
      <c r="E277" s="760">
        <f t="shared" si="60"/>
        <v>1</v>
      </c>
      <c r="F277" s="760">
        <f t="shared" si="60"/>
        <v>0</v>
      </c>
      <c r="G277" s="760">
        <f t="shared" si="60"/>
        <v>0</v>
      </c>
      <c r="H277" s="713">
        <f t="shared" si="50"/>
        <v>1</v>
      </c>
      <c r="I277" s="1017">
        <v>0.2</v>
      </c>
      <c r="J277" s="994">
        <v>0.3</v>
      </c>
      <c r="K277" s="994">
        <v>0.25</v>
      </c>
      <c r="L277" s="994">
        <v>0.05</v>
      </c>
      <c r="M277" s="994">
        <v>0.2</v>
      </c>
      <c r="N277" s="1001">
        <f t="shared" si="51"/>
        <v>1</v>
      </c>
      <c r="O277" s="995"/>
      <c r="R277" s="117">
        <f t="shared" si="52"/>
        <v>1</v>
      </c>
      <c r="S277" s="206">
        <f t="shared" si="53"/>
        <v>0.71500000000000008</v>
      </c>
    </row>
    <row r="278" spans="2:19">
      <c r="B278" s="1005">
        <f t="shared" si="54"/>
        <v>2037</v>
      </c>
      <c r="C278" s="764">
        <f t="shared" si="61"/>
        <v>0</v>
      </c>
      <c r="D278" s="760">
        <f t="shared" si="60"/>
        <v>0</v>
      </c>
      <c r="E278" s="760">
        <f t="shared" si="60"/>
        <v>1</v>
      </c>
      <c r="F278" s="760">
        <f t="shared" si="60"/>
        <v>0</v>
      </c>
      <c r="G278" s="760">
        <f t="shared" si="60"/>
        <v>0</v>
      </c>
      <c r="H278" s="713">
        <f t="shared" si="50"/>
        <v>1</v>
      </c>
      <c r="I278" s="1017">
        <v>0.2</v>
      </c>
      <c r="J278" s="994">
        <v>0.3</v>
      </c>
      <c r="K278" s="994">
        <v>0.25</v>
      </c>
      <c r="L278" s="994">
        <v>0.05</v>
      </c>
      <c r="M278" s="994">
        <v>0.2</v>
      </c>
      <c r="N278" s="1001">
        <f t="shared" si="51"/>
        <v>1</v>
      </c>
      <c r="O278" s="995"/>
      <c r="R278" s="117">
        <f t="shared" si="52"/>
        <v>1</v>
      </c>
      <c r="S278" s="206">
        <f t="shared" si="53"/>
        <v>0.71500000000000008</v>
      </c>
    </row>
    <row r="279" spans="2:19">
      <c r="B279" s="1005">
        <f t="shared" si="54"/>
        <v>2038</v>
      </c>
      <c r="C279" s="764">
        <f t="shared" si="61"/>
        <v>0</v>
      </c>
      <c r="D279" s="760">
        <f t="shared" si="60"/>
        <v>0</v>
      </c>
      <c r="E279" s="760">
        <f t="shared" si="60"/>
        <v>1</v>
      </c>
      <c r="F279" s="760">
        <f t="shared" si="60"/>
        <v>0</v>
      </c>
      <c r="G279" s="760">
        <f t="shared" si="60"/>
        <v>0</v>
      </c>
      <c r="H279" s="713">
        <f t="shared" si="50"/>
        <v>1</v>
      </c>
      <c r="I279" s="1017">
        <v>0.2</v>
      </c>
      <c r="J279" s="994">
        <v>0.3</v>
      </c>
      <c r="K279" s="994">
        <v>0.25</v>
      </c>
      <c r="L279" s="994">
        <v>0.05</v>
      </c>
      <c r="M279" s="994">
        <v>0.2</v>
      </c>
      <c r="N279" s="1001">
        <f t="shared" si="51"/>
        <v>1</v>
      </c>
      <c r="O279" s="995"/>
      <c r="R279" s="117">
        <f t="shared" si="52"/>
        <v>1</v>
      </c>
      <c r="S279" s="206">
        <f t="shared" si="53"/>
        <v>0.71500000000000008</v>
      </c>
    </row>
    <row r="280" spans="2:19">
      <c r="B280" s="1005">
        <f t="shared" si="54"/>
        <v>2039</v>
      </c>
      <c r="C280" s="764">
        <f t="shared" si="61"/>
        <v>0</v>
      </c>
      <c r="D280" s="760">
        <f t="shared" si="60"/>
        <v>0</v>
      </c>
      <c r="E280" s="760">
        <f t="shared" si="60"/>
        <v>1</v>
      </c>
      <c r="F280" s="760">
        <f t="shared" si="60"/>
        <v>0</v>
      </c>
      <c r="G280" s="760">
        <f t="shared" si="60"/>
        <v>0</v>
      </c>
      <c r="H280" s="713">
        <f t="shared" si="50"/>
        <v>1</v>
      </c>
      <c r="I280" s="1017">
        <v>0.2</v>
      </c>
      <c r="J280" s="994">
        <v>0.3</v>
      </c>
      <c r="K280" s="994">
        <v>0.25</v>
      </c>
      <c r="L280" s="994">
        <v>0.05</v>
      </c>
      <c r="M280" s="994">
        <v>0.2</v>
      </c>
      <c r="N280" s="1001">
        <f t="shared" si="51"/>
        <v>1</v>
      </c>
      <c r="O280" s="995"/>
      <c r="R280" s="117">
        <f t="shared" si="52"/>
        <v>1</v>
      </c>
      <c r="S280" s="206">
        <f t="shared" si="53"/>
        <v>0.71500000000000008</v>
      </c>
    </row>
    <row r="281" spans="2:19">
      <c r="B281" s="1005">
        <f t="shared" si="54"/>
        <v>2040</v>
      </c>
      <c r="C281" s="764">
        <f t="shared" si="61"/>
        <v>0</v>
      </c>
      <c r="D281" s="760">
        <f t="shared" si="60"/>
        <v>0</v>
      </c>
      <c r="E281" s="760">
        <f t="shared" si="60"/>
        <v>1</v>
      </c>
      <c r="F281" s="760">
        <f t="shared" si="60"/>
        <v>0</v>
      </c>
      <c r="G281" s="760">
        <f t="shared" si="60"/>
        <v>0</v>
      </c>
      <c r="H281" s="713">
        <f t="shared" si="50"/>
        <v>1</v>
      </c>
      <c r="I281" s="1017">
        <v>0.2</v>
      </c>
      <c r="J281" s="994">
        <v>0.3</v>
      </c>
      <c r="K281" s="994">
        <v>0.25</v>
      </c>
      <c r="L281" s="994">
        <v>0.05</v>
      </c>
      <c r="M281" s="994">
        <v>0.2</v>
      </c>
      <c r="N281" s="1001">
        <f t="shared" si="51"/>
        <v>1</v>
      </c>
      <c r="O281" s="995"/>
      <c r="R281" s="117">
        <f t="shared" si="52"/>
        <v>1</v>
      </c>
      <c r="S281" s="206">
        <f t="shared" si="53"/>
        <v>0.71500000000000008</v>
      </c>
    </row>
    <row r="282" spans="2:19">
      <c r="B282" s="1005">
        <f t="shared" si="54"/>
        <v>2041</v>
      </c>
      <c r="C282" s="764">
        <f t="shared" si="61"/>
        <v>0</v>
      </c>
      <c r="D282" s="760">
        <f t="shared" si="60"/>
        <v>0</v>
      </c>
      <c r="E282" s="760">
        <f t="shared" si="60"/>
        <v>1</v>
      </c>
      <c r="F282" s="760">
        <f t="shared" si="60"/>
        <v>0</v>
      </c>
      <c r="G282" s="760">
        <f t="shared" si="60"/>
        <v>0</v>
      </c>
      <c r="H282" s="713">
        <f t="shared" si="50"/>
        <v>1</v>
      </c>
      <c r="I282" s="1017">
        <v>0.2</v>
      </c>
      <c r="J282" s="994">
        <v>0.3</v>
      </c>
      <c r="K282" s="994">
        <v>0.25</v>
      </c>
      <c r="L282" s="994">
        <v>0.05</v>
      </c>
      <c r="M282" s="994">
        <v>0.2</v>
      </c>
      <c r="N282" s="1001">
        <f t="shared" si="51"/>
        <v>1</v>
      </c>
      <c r="O282" s="995"/>
      <c r="R282" s="117">
        <f t="shared" si="52"/>
        <v>1</v>
      </c>
      <c r="S282" s="206">
        <f t="shared" si="53"/>
        <v>0.71500000000000008</v>
      </c>
    </row>
    <row r="283" spans="2:19">
      <c r="B283" s="1005">
        <f t="shared" si="54"/>
        <v>2042</v>
      </c>
      <c r="C283" s="764">
        <f t="shared" si="61"/>
        <v>0</v>
      </c>
      <c r="D283" s="760">
        <f t="shared" si="60"/>
        <v>0</v>
      </c>
      <c r="E283" s="760">
        <f t="shared" si="60"/>
        <v>1</v>
      </c>
      <c r="F283" s="760">
        <f t="shared" si="60"/>
        <v>0</v>
      </c>
      <c r="G283" s="760">
        <f t="shared" si="60"/>
        <v>0</v>
      </c>
      <c r="H283" s="713">
        <f t="shared" si="50"/>
        <v>1</v>
      </c>
      <c r="I283" s="1017">
        <v>0.2</v>
      </c>
      <c r="J283" s="994">
        <v>0.3</v>
      </c>
      <c r="K283" s="994">
        <v>0.25</v>
      </c>
      <c r="L283" s="994">
        <v>0.05</v>
      </c>
      <c r="M283" s="994">
        <v>0.2</v>
      </c>
      <c r="N283" s="1001">
        <f t="shared" si="51"/>
        <v>1</v>
      </c>
      <c r="O283" s="995"/>
      <c r="R283" s="117">
        <f t="shared" si="52"/>
        <v>1</v>
      </c>
      <c r="S283" s="206">
        <f t="shared" si="53"/>
        <v>0.71500000000000008</v>
      </c>
    </row>
    <row r="284" spans="2:19">
      <c r="B284" s="1005">
        <f t="shared" si="54"/>
        <v>2043</v>
      </c>
      <c r="C284" s="764">
        <f t="shared" si="61"/>
        <v>0</v>
      </c>
      <c r="D284" s="760">
        <f t="shared" si="60"/>
        <v>0</v>
      </c>
      <c r="E284" s="760">
        <f t="shared" si="60"/>
        <v>1</v>
      </c>
      <c r="F284" s="760">
        <f t="shared" si="60"/>
        <v>0</v>
      </c>
      <c r="G284" s="760">
        <f t="shared" si="60"/>
        <v>0</v>
      </c>
      <c r="H284" s="713">
        <f t="shared" si="50"/>
        <v>1</v>
      </c>
      <c r="I284" s="1017">
        <v>0.2</v>
      </c>
      <c r="J284" s="994">
        <v>0.3</v>
      </c>
      <c r="K284" s="994">
        <v>0.25</v>
      </c>
      <c r="L284" s="994">
        <v>0.05</v>
      </c>
      <c r="M284" s="994">
        <v>0.2</v>
      </c>
      <c r="N284" s="1001">
        <f t="shared" si="51"/>
        <v>1</v>
      </c>
      <c r="O284" s="995"/>
      <c r="R284" s="117">
        <f t="shared" si="52"/>
        <v>1</v>
      </c>
      <c r="S284" s="206">
        <f t="shared" si="53"/>
        <v>0.71500000000000008</v>
      </c>
    </row>
    <row r="285" spans="2:19">
      <c r="B285" s="1005">
        <f t="shared" si="54"/>
        <v>2044</v>
      </c>
      <c r="C285" s="764">
        <f t="shared" si="61"/>
        <v>0</v>
      </c>
      <c r="D285" s="760">
        <f t="shared" si="60"/>
        <v>0</v>
      </c>
      <c r="E285" s="760">
        <f t="shared" si="60"/>
        <v>1</v>
      </c>
      <c r="F285" s="760">
        <f t="shared" si="60"/>
        <v>0</v>
      </c>
      <c r="G285" s="760">
        <f t="shared" si="60"/>
        <v>0</v>
      </c>
      <c r="H285" s="713">
        <f t="shared" si="50"/>
        <v>1</v>
      </c>
      <c r="I285" s="1017">
        <v>0.2</v>
      </c>
      <c r="J285" s="994">
        <v>0.3</v>
      </c>
      <c r="K285" s="994">
        <v>0.25</v>
      </c>
      <c r="L285" s="994">
        <v>0.05</v>
      </c>
      <c r="M285" s="994">
        <v>0.2</v>
      </c>
      <c r="N285" s="1001">
        <f t="shared" si="51"/>
        <v>1</v>
      </c>
      <c r="O285" s="995"/>
      <c r="R285" s="117">
        <f t="shared" si="52"/>
        <v>1</v>
      </c>
      <c r="S285" s="206">
        <f t="shared" si="53"/>
        <v>0.71500000000000008</v>
      </c>
    </row>
    <row r="286" spans="2:19">
      <c r="B286" s="1005">
        <f t="shared" si="54"/>
        <v>2045</v>
      </c>
      <c r="C286" s="764">
        <f t="shared" si="61"/>
        <v>0</v>
      </c>
      <c r="D286" s="760">
        <f t="shared" si="60"/>
        <v>0</v>
      </c>
      <c r="E286" s="760">
        <f t="shared" si="60"/>
        <v>1</v>
      </c>
      <c r="F286" s="760">
        <f t="shared" si="60"/>
        <v>0</v>
      </c>
      <c r="G286" s="760">
        <f t="shared" si="60"/>
        <v>0</v>
      </c>
      <c r="H286" s="713">
        <f t="shared" si="50"/>
        <v>1</v>
      </c>
      <c r="I286" s="1017">
        <v>0.2</v>
      </c>
      <c r="J286" s="994">
        <v>0.3</v>
      </c>
      <c r="K286" s="994">
        <v>0.25</v>
      </c>
      <c r="L286" s="994">
        <v>0.05</v>
      </c>
      <c r="M286" s="994">
        <v>0.2</v>
      </c>
      <c r="N286" s="1001">
        <f t="shared" si="51"/>
        <v>1</v>
      </c>
      <c r="O286" s="995"/>
      <c r="R286" s="117">
        <f t="shared" si="52"/>
        <v>1</v>
      </c>
      <c r="S286" s="206">
        <f t="shared" si="53"/>
        <v>0.71500000000000008</v>
      </c>
    </row>
    <row r="287" spans="2:19">
      <c r="B287" s="1005">
        <f t="shared" si="54"/>
        <v>2046</v>
      </c>
      <c r="C287" s="764">
        <f t="shared" si="61"/>
        <v>0</v>
      </c>
      <c r="D287" s="760">
        <f t="shared" si="60"/>
        <v>0</v>
      </c>
      <c r="E287" s="760">
        <f t="shared" si="60"/>
        <v>1</v>
      </c>
      <c r="F287" s="760">
        <f t="shared" si="60"/>
        <v>0</v>
      </c>
      <c r="G287" s="760">
        <f t="shared" si="60"/>
        <v>0</v>
      </c>
      <c r="H287" s="713">
        <f t="shared" ref="H287:H291" si="62">SUM(C287:G287)</f>
        <v>1</v>
      </c>
      <c r="I287" s="1017">
        <v>0.2</v>
      </c>
      <c r="J287" s="994">
        <v>0.3</v>
      </c>
      <c r="K287" s="994">
        <v>0.25</v>
      </c>
      <c r="L287" s="994">
        <v>0.05</v>
      </c>
      <c r="M287" s="994">
        <v>0.2</v>
      </c>
      <c r="N287" s="1001">
        <f t="shared" si="51"/>
        <v>1</v>
      </c>
      <c r="O287" s="995"/>
      <c r="R287" s="117">
        <f t="shared" si="52"/>
        <v>1</v>
      </c>
      <c r="S287" s="206">
        <f t="shared" si="53"/>
        <v>0.71500000000000008</v>
      </c>
    </row>
    <row r="288" spans="2:19">
      <c r="B288" s="1005">
        <f t="shared" si="54"/>
        <v>2047</v>
      </c>
      <c r="C288" s="764">
        <f t="shared" si="61"/>
        <v>0</v>
      </c>
      <c r="D288" s="760">
        <f t="shared" si="61"/>
        <v>0</v>
      </c>
      <c r="E288" s="760">
        <f t="shared" si="61"/>
        <v>1</v>
      </c>
      <c r="F288" s="760">
        <f t="shared" si="61"/>
        <v>0</v>
      </c>
      <c r="G288" s="760">
        <f t="shared" si="61"/>
        <v>0</v>
      </c>
      <c r="H288" s="713">
        <f t="shared" si="62"/>
        <v>1</v>
      </c>
      <c r="I288" s="1017">
        <v>0.2</v>
      </c>
      <c r="J288" s="994">
        <v>0.3</v>
      </c>
      <c r="K288" s="994">
        <v>0.25</v>
      </c>
      <c r="L288" s="994">
        <v>0.05</v>
      </c>
      <c r="M288" s="994">
        <v>0.2</v>
      </c>
      <c r="N288" s="1001">
        <f t="shared" si="51"/>
        <v>1</v>
      </c>
      <c r="O288" s="995"/>
      <c r="R288" s="117">
        <f t="shared" si="52"/>
        <v>1</v>
      </c>
      <c r="S288" s="206">
        <f t="shared" si="53"/>
        <v>0.71500000000000008</v>
      </c>
    </row>
    <row r="289" spans="2:19">
      <c r="B289" s="1005">
        <f t="shared" si="54"/>
        <v>2048</v>
      </c>
      <c r="C289" s="764">
        <f t="shared" ref="C289:G291" si="63">C288</f>
        <v>0</v>
      </c>
      <c r="D289" s="760">
        <f t="shared" si="63"/>
        <v>0</v>
      </c>
      <c r="E289" s="760">
        <f t="shared" si="63"/>
        <v>1</v>
      </c>
      <c r="F289" s="760">
        <f t="shared" si="63"/>
        <v>0</v>
      </c>
      <c r="G289" s="760">
        <f t="shared" si="63"/>
        <v>0</v>
      </c>
      <c r="H289" s="713">
        <f t="shared" si="62"/>
        <v>1</v>
      </c>
      <c r="I289" s="1017">
        <v>0.2</v>
      </c>
      <c r="J289" s="994">
        <v>0.3</v>
      </c>
      <c r="K289" s="994">
        <v>0.25</v>
      </c>
      <c r="L289" s="994">
        <v>0.05</v>
      </c>
      <c r="M289" s="994">
        <v>0.2</v>
      </c>
      <c r="N289" s="1001">
        <f t="shared" si="51"/>
        <v>1</v>
      </c>
      <c r="O289" s="995"/>
      <c r="R289" s="117">
        <f t="shared" si="52"/>
        <v>1</v>
      </c>
      <c r="S289" s="206">
        <f t="shared" si="53"/>
        <v>0.71500000000000008</v>
      </c>
    </row>
    <row r="290" spans="2:19">
      <c r="B290" s="1005">
        <f t="shared" si="54"/>
        <v>2049</v>
      </c>
      <c r="C290" s="764">
        <f t="shared" si="63"/>
        <v>0</v>
      </c>
      <c r="D290" s="760">
        <f t="shared" si="63"/>
        <v>0</v>
      </c>
      <c r="E290" s="760">
        <f t="shared" si="63"/>
        <v>1</v>
      </c>
      <c r="F290" s="760">
        <f t="shared" si="63"/>
        <v>0</v>
      </c>
      <c r="G290" s="760">
        <f t="shared" si="63"/>
        <v>0</v>
      </c>
      <c r="H290" s="713">
        <f t="shared" si="62"/>
        <v>1</v>
      </c>
      <c r="I290" s="1017">
        <v>0.2</v>
      </c>
      <c r="J290" s="994">
        <v>0.3</v>
      </c>
      <c r="K290" s="994">
        <v>0.25</v>
      </c>
      <c r="L290" s="994">
        <v>0.05</v>
      </c>
      <c r="M290" s="994">
        <v>0.2</v>
      </c>
      <c r="N290" s="1001">
        <f t="shared" si="51"/>
        <v>1</v>
      </c>
      <c r="O290" s="995"/>
      <c r="R290" s="117">
        <f t="shared" si="52"/>
        <v>1</v>
      </c>
      <c r="S290" s="206">
        <f t="shared" si="53"/>
        <v>0.71500000000000008</v>
      </c>
    </row>
    <row r="291" spans="2:19" ht="15.75" thickBot="1">
      <c r="B291" s="1007">
        <f t="shared" si="54"/>
        <v>2050</v>
      </c>
      <c r="C291" s="765">
        <f t="shared" si="63"/>
        <v>0</v>
      </c>
      <c r="D291" s="762">
        <f t="shared" si="63"/>
        <v>0</v>
      </c>
      <c r="E291" s="762">
        <f t="shared" si="63"/>
        <v>1</v>
      </c>
      <c r="F291" s="762">
        <f t="shared" si="63"/>
        <v>0</v>
      </c>
      <c r="G291" s="762">
        <f t="shared" si="63"/>
        <v>0</v>
      </c>
      <c r="H291" s="1012">
        <f t="shared" si="62"/>
        <v>1</v>
      </c>
      <c r="I291" s="1019">
        <v>0.2</v>
      </c>
      <c r="J291" s="1020">
        <v>0.3</v>
      </c>
      <c r="K291" s="1020">
        <v>0.25</v>
      </c>
      <c r="L291" s="1020">
        <v>0.05</v>
      </c>
      <c r="M291" s="1020">
        <v>0.2</v>
      </c>
      <c r="N291" s="1004">
        <f t="shared" si="51"/>
        <v>1</v>
      </c>
      <c r="O291" s="995"/>
      <c r="R291" s="120">
        <f t="shared" si="52"/>
        <v>1</v>
      </c>
      <c r="S291" s="207">
        <f t="shared" si="53"/>
        <v>0.71500000000000008</v>
      </c>
    </row>
  </sheetData>
  <mergeCells count="10">
    <mergeCell ref="G71:G75"/>
    <mergeCell ref="Q105:T105"/>
    <mergeCell ref="C112:H112"/>
    <mergeCell ref="I112:N112"/>
    <mergeCell ref="R113:R119"/>
    <mergeCell ref="S113:S119"/>
    <mergeCell ref="C118:H118"/>
    <mergeCell ref="I118:N118"/>
    <mergeCell ref="H119:H120"/>
    <mergeCell ref="N119:N120"/>
  </mergeCells>
  <phoneticPr fontId="16" type="noConversion"/>
  <dataValidations xWindow="754" yWindow="518" count="4">
    <dataValidation type="decimal" allowBlank="1" showInputMessage="1" showErrorMessage="1" errorTitle="Error in MCF" error="Please enter a number between 0 and 1. Guidance can be found in the 2006 IPCC Guidelines." promptTitle="MCF" prompt="Enter a fraction between 0 and 1" sqref="C116:G116 I116:M116" xr:uid="{F5840B34-22C9-4E56-AB13-285CA6CEAAAC}">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21:G256 C272:G291" xr:uid="{858B3B0E-01AB-4C40-97D6-B526B20558FB}">
      <formula1>0</formula1>
      <formula2>1</formula2>
    </dataValidation>
    <dataValidation type="list" allowBlank="1" showInputMessage="1" showErrorMessage="1" sqref="H121" xr:uid="{7931963F-5B03-4BCB-862C-96AC6B00A1C1}">
      <formula1>"""1"""</formula1>
    </dataValidation>
    <dataValidation allowBlank="1" showErrorMessage="1" sqref="C258:H271" xr:uid="{D9F202CE-A64E-4138-B00F-15DD65EB8277}"/>
  </dataValidations>
  <pageMargins left="0.7" right="0.7" top="0.75" bottom="0.75" header="0.3" footer="0.3"/>
  <pageSetup paperSize="9" orientation="portrait" horizontalDpi="4294967293" verticalDpi="0" r:id="rId1"/>
  <ignoredErrors>
    <ignoredError sqref="G205 C258:H291" unlockedFormula="1"/>
  </ignoredErrors>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0026-5D4D-4F97-A6F4-4013E11BABE6}">
  <sheetPr codeName="Sheet9"/>
  <dimension ref="A1:BN206"/>
  <sheetViews>
    <sheetView topLeftCell="A45" zoomScale="85" zoomScaleNormal="85" workbookViewId="0">
      <selection activeCell="AK89" sqref="AK89"/>
    </sheetView>
  </sheetViews>
  <sheetFormatPr defaultRowHeight="15"/>
  <cols>
    <col min="1" max="1" width="45" customWidth="1"/>
    <col min="2" max="2" width="20.42578125" customWidth="1"/>
    <col min="3" max="3" width="16.28515625" customWidth="1"/>
    <col min="4" max="4" width="10.85546875" customWidth="1"/>
    <col min="5" max="5" width="12.28515625" customWidth="1"/>
    <col min="14" max="14" width="12.140625" customWidth="1"/>
    <col min="17" max="17" width="17.42578125" customWidth="1"/>
    <col min="18" max="18" width="15.85546875" customWidth="1"/>
    <col min="19" max="19" width="16.140625" customWidth="1"/>
    <col min="20" max="20" width="18.28515625" customWidth="1"/>
    <col min="21" max="21" width="14.85546875" customWidth="1"/>
    <col min="22" max="22" width="12" customWidth="1"/>
    <col min="24" max="24" width="10" customWidth="1"/>
    <col min="27" max="27" width="18.28515625" customWidth="1"/>
    <col min="28" max="28" width="14.85546875" customWidth="1"/>
    <col min="29" max="29" width="14.7109375" customWidth="1"/>
    <col min="30" max="30" width="15.85546875" customWidth="1"/>
    <col min="31" max="31" width="12.7109375" customWidth="1"/>
    <col min="32" max="32" width="12.28515625" customWidth="1"/>
    <col min="34" max="34" width="10" customWidth="1"/>
    <col min="37" max="37" width="18.28515625" customWidth="1"/>
    <col min="38" max="38" width="14.85546875" customWidth="1"/>
    <col min="39" max="39" width="14.7109375" customWidth="1"/>
    <col min="40" max="40" width="15.85546875" customWidth="1"/>
    <col min="41" max="41" width="12.7109375" customWidth="1"/>
    <col min="42" max="42" width="12.28515625" customWidth="1"/>
    <col min="44" max="44" width="10" customWidth="1"/>
    <col min="47" max="47" width="18.28515625" customWidth="1"/>
    <col min="48" max="48" width="14.85546875" customWidth="1"/>
    <col min="49" max="49" width="14.7109375" customWidth="1"/>
    <col min="50" max="50" width="15.85546875" customWidth="1"/>
    <col min="51" max="51" width="12.7109375" customWidth="1"/>
    <col min="52" max="52" width="12.28515625" customWidth="1"/>
    <col min="54" max="54" width="8.85546875" style="338"/>
    <col min="56" max="56" width="8.85546875" style="1321"/>
    <col min="57" max="57" width="11.28515625" customWidth="1"/>
    <col min="59" max="59" width="12.28515625" customWidth="1"/>
    <col min="61" max="62" width="11.28515625" customWidth="1"/>
    <col min="63" max="63" width="11.28515625" style="1321" customWidth="1"/>
    <col min="64" max="64" width="11.28515625" customWidth="1"/>
    <col min="66" max="66" width="12.28515625" customWidth="1"/>
  </cols>
  <sheetData>
    <row r="1" spans="1:66">
      <c r="A1" s="141" t="s">
        <v>198</v>
      </c>
      <c r="B1" s="115"/>
      <c r="C1" s="316" t="s">
        <v>267</v>
      </c>
      <c r="D1" s="316" t="s">
        <v>356</v>
      </c>
      <c r="E1" s="316" t="s">
        <v>361</v>
      </c>
      <c r="F1" s="116"/>
    </row>
    <row r="2" spans="1:66">
      <c r="A2" s="150"/>
      <c r="B2" s="99"/>
      <c r="C2" s="99"/>
      <c r="D2" s="104"/>
      <c r="E2" s="104"/>
      <c r="F2" s="130"/>
    </row>
    <row r="3" spans="1:66">
      <c r="A3" s="150" t="s">
        <v>357</v>
      </c>
      <c r="B3" s="99"/>
      <c r="C3" s="314" t="str">
        <f>Parameters!D94</f>
        <v>varies</v>
      </c>
      <c r="D3" s="99">
        <f>Parameters!E94</f>
        <v>0.15</v>
      </c>
      <c r="E3" s="99">
        <f>Parameters!F94</f>
        <v>0.05</v>
      </c>
      <c r="F3" s="130"/>
    </row>
    <row r="4" spans="1:66">
      <c r="A4" s="150" t="s">
        <v>260</v>
      </c>
      <c r="B4" s="99"/>
      <c r="C4" s="99">
        <f>Parameters!D95</f>
        <v>0.5</v>
      </c>
      <c r="D4" s="99">
        <f>Parameters!E95</f>
        <v>0.5</v>
      </c>
      <c r="E4" s="99">
        <f>Parameters!F95</f>
        <v>0.5</v>
      </c>
      <c r="F4" s="130"/>
    </row>
    <row r="5" spans="1:66">
      <c r="A5" s="174" t="s">
        <v>257</v>
      </c>
      <c r="B5" s="175"/>
      <c r="C5" s="99">
        <f>Parameters!D96</f>
        <v>0.05</v>
      </c>
      <c r="D5" s="99">
        <f>Parameters!E96</f>
        <v>0.05</v>
      </c>
      <c r="E5" s="99">
        <f>Parameters!F96</f>
        <v>0.06</v>
      </c>
      <c r="F5" s="130"/>
    </row>
    <row r="6" spans="1:66">
      <c r="A6" s="150" t="s">
        <v>258</v>
      </c>
      <c r="B6" s="107" t="s">
        <v>211</v>
      </c>
      <c r="C6" s="106">
        <f>Parameters!D97</f>
        <v>13.862943611198904</v>
      </c>
      <c r="D6" s="106">
        <f>Parameters!E97</f>
        <v>13.862943611198904</v>
      </c>
      <c r="E6" s="106">
        <f>Parameters!F97</f>
        <v>11.552453009332423</v>
      </c>
      <c r="F6" s="130"/>
    </row>
    <row r="7" spans="1:66">
      <c r="A7" s="150" t="s">
        <v>255</v>
      </c>
      <c r="B7" s="107" t="s">
        <v>256</v>
      </c>
      <c r="C7" s="99">
        <f>Parameters!D98</f>
        <v>6</v>
      </c>
      <c r="D7" s="99">
        <f>Parameters!E98</f>
        <v>6</v>
      </c>
      <c r="E7" s="99">
        <f>Parameters!F98</f>
        <v>6</v>
      </c>
      <c r="F7" s="130"/>
    </row>
    <row r="8" spans="1:66">
      <c r="A8" s="151" t="s">
        <v>248</v>
      </c>
      <c r="B8" s="108" t="s">
        <v>249</v>
      </c>
      <c r="C8" s="158">
        <f>Parameters!D99</f>
        <v>0.95122942450071402</v>
      </c>
      <c r="D8" s="158">
        <f>Parameters!E99</f>
        <v>0.95122942450071402</v>
      </c>
      <c r="E8" s="158">
        <f>Parameters!F99</f>
        <v>0.94176453358424872</v>
      </c>
      <c r="F8" s="130"/>
    </row>
    <row r="9" spans="1:66">
      <c r="A9" s="151" t="s">
        <v>250</v>
      </c>
      <c r="B9" s="108" t="s">
        <v>251</v>
      </c>
      <c r="C9" s="99">
        <f>Parameters!D100</f>
        <v>13</v>
      </c>
      <c r="D9" s="99">
        <f>Parameters!E100</f>
        <v>13</v>
      </c>
      <c r="E9" s="99">
        <f>Parameters!F100</f>
        <v>13</v>
      </c>
      <c r="F9" s="130"/>
      <c r="H9" s="714"/>
    </row>
    <row r="10" spans="1:66">
      <c r="A10" s="151" t="s">
        <v>252</v>
      </c>
      <c r="B10" s="108" t="s">
        <v>253</v>
      </c>
      <c r="C10" s="99">
        <f>Parameters!D101</f>
        <v>1</v>
      </c>
      <c r="D10" s="99">
        <f>Parameters!E101</f>
        <v>1</v>
      </c>
      <c r="E10" s="99">
        <f>Parameters!F101</f>
        <v>1</v>
      </c>
      <c r="F10" s="130"/>
    </row>
    <row r="11" spans="1:66" ht="15.75" thickBot="1">
      <c r="A11" s="152" t="s">
        <v>259</v>
      </c>
      <c r="B11" s="153" t="s">
        <v>254</v>
      </c>
      <c r="C11" s="162">
        <f>Parameters!D102</f>
        <v>0.5</v>
      </c>
      <c r="D11" s="162">
        <f>Parameters!E102</f>
        <v>0.5</v>
      </c>
      <c r="E11" s="162">
        <f>Parameters!F102</f>
        <v>0.5</v>
      </c>
      <c r="F11" s="140"/>
    </row>
    <row r="12" spans="1:66" ht="15.75" thickBot="1">
      <c r="X12" s="1" t="s">
        <v>748</v>
      </c>
      <c r="AH12" s="1" t="s">
        <v>743</v>
      </c>
      <c r="BB12" s="338" t="s">
        <v>748</v>
      </c>
      <c r="BI12" t="s">
        <v>748</v>
      </c>
    </row>
    <row r="13" spans="1:66" ht="15.75" thickBot="1">
      <c r="A13" s="10"/>
      <c r="B13" s="10"/>
      <c r="C13" s="10"/>
      <c r="D13" s="10"/>
      <c r="E13" s="10"/>
      <c r="F13" s="10"/>
      <c r="G13" s="10"/>
      <c r="H13" s="10"/>
      <c r="I13" s="10"/>
      <c r="J13" s="10"/>
      <c r="K13" s="10"/>
      <c r="L13" s="10"/>
      <c r="M13" s="10"/>
      <c r="N13" s="233" t="s">
        <v>267</v>
      </c>
      <c r="O13" s="10"/>
      <c r="P13" s="10"/>
      <c r="Q13" s="10"/>
      <c r="R13" s="10"/>
      <c r="S13" s="10"/>
      <c r="T13" s="10"/>
      <c r="U13" s="10"/>
      <c r="V13" s="10"/>
      <c r="W13" s="10"/>
      <c r="X13" s="2" t="s">
        <v>359</v>
      </c>
      <c r="AH13" s="2" t="s">
        <v>727</v>
      </c>
      <c r="AR13" s="2" t="s">
        <v>361</v>
      </c>
      <c r="BB13" s="1713" t="s">
        <v>360</v>
      </c>
      <c r="BC13" s="1714"/>
      <c r="BD13" s="1714"/>
      <c r="BE13" s="1714"/>
      <c r="BF13" s="1714"/>
      <c r="BG13" s="1715"/>
      <c r="BI13" s="1713" t="s">
        <v>360</v>
      </c>
      <c r="BJ13" s="1714"/>
      <c r="BK13" s="1714"/>
      <c r="BL13" s="1714"/>
      <c r="BM13" s="1714"/>
      <c r="BN13" s="1715"/>
    </row>
    <row r="14" spans="1:66" ht="60">
      <c r="A14" s="1726" t="s">
        <v>217</v>
      </c>
      <c r="B14" s="1729" t="s">
        <v>218</v>
      </c>
      <c r="C14" s="1726" t="s">
        <v>219</v>
      </c>
      <c r="D14" s="1729" t="s">
        <v>220</v>
      </c>
      <c r="E14" s="1726" t="s">
        <v>221</v>
      </c>
      <c r="F14" s="1731" t="s">
        <v>85</v>
      </c>
      <c r="G14" s="1731" t="s">
        <v>87</v>
      </c>
      <c r="H14" s="1731" t="s">
        <v>222</v>
      </c>
      <c r="I14" s="1731" t="s">
        <v>115</v>
      </c>
      <c r="J14" s="1731" t="s">
        <v>223</v>
      </c>
      <c r="K14" s="1731" t="s">
        <v>224</v>
      </c>
      <c r="L14" s="1724" t="s">
        <v>225</v>
      </c>
      <c r="M14" s="317"/>
      <c r="N14" s="214" t="s">
        <v>235</v>
      </c>
      <c r="O14" s="215" t="s">
        <v>22</v>
      </c>
      <c r="P14" s="215" t="s">
        <v>236</v>
      </c>
      <c r="Q14" s="216" t="s">
        <v>237</v>
      </c>
      <c r="R14" s="216" t="s">
        <v>238</v>
      </c>
      <c r="S14" s="216" t="s">
        <v>239</v>
      </c>
      <c r="T14" s="216" t="s">
        <v>240</v>
      </c>
      <c r="U14" s="216" t="s">
        <v>241</v>
      </c>
      <c r="V14" s="222" t="s">
        <v>300</v>
      </c>
      <c r="W14" s="10"/>
      <c r="X14" s="214" t="s">
        <v>235</v>
      </c>
      <c r="Y14" s="215" t="s">
        <v>22</v>
      </c>
      <c r="Z14" s="215" t="s">
        <v>236</v>
      </c>
      <c r="AA14" s="216" t="s">
        <v>237</v>
      </c>
      <c r="AB14" s="216" t="s">
        <v>238</v>
      </c>
      <c r="AC14" s="216" t="s">
        <v>239</v>
      </c>
      <c r="AD14" s="216" t="s">
        <v>240</v>
      </c>
      <c r="AE14" s="216" t="s">
        <v>241</v>
      </c>
      <c r="AF14" s="222" t="s">
        <v>300</v>
      </c>
      <c r="AH14" s="214" t="s">
        <v>235</v>
      </c>
      <c r="AI14" s="215" t="s">
        <v>22</v>
      </c>
      <c r="AJ14" s="215" t="s">
        <v>236</v>
      </c>
      <c r="AK14" s="216" t="s">
        <v>237</v>
      </c>
      <c r="AL14" s="216" t="s">
        <v>238</v>
      </c>
      <c r="AM14" s="216" t="s">
        <v>239</v>
      </c>
      <c r="AN14" s="216" t="s">
        <v>240</v>
      </c>
      <c r="AO14" s="216" t="s">
        <v>241</v>
      </c>
      <c r="AP14" s="222" t="s">
        <v>300</v>
      </c>
      <c r="AR14" s="327" t="s">
        <v>235</v>
      </c>
      <c r="AS14" s="215" t="s">
        <v>22</v>
      </c>
      <c r="AT14" s="215" t="s">
        <v>236</v>
      </c>
      <c r="AU14" s="216" t="s">
        <v>237</v>
      </c>
      <c r="AV14" s="216" t="s">
        <v>238</v>
      </c>
      <c r="AW14" s="216" t="s">
        <v>239</v>
      </c>
      <c r="AX14" s="216" t="s">
        <v>240</v>
      </c>
      <c r="AY14" s="216" t="s">
        <v>241</v>
      </c>
      <c r="AZ14" s="222" t="s">
        <v>300</v>
      </c>
      <c r="BB14" s="1716" t="s">
        <v>267</v>
      </c>
      <c r="BC14" s="1718" t="s">
        <v>356</v>
      </c>
      <c r="BD14" s="1720" t="s">
        <v>361</v>
      </c>
      <c r="BE14" s="1718" t="s">
        <v>225</v>
      </c>
      <c r="BF14" s="1718" t="s">
        <v>362</v>
      </c>
      <c r="BG14" s="1722" t="s">
        <v>363</v>
      </c>
      <c r="BI14" s="1716" t="s">
        <v>267</v>
      </c>
      <c r="BJ14" s="1718" t="s">
        <v>356</v>
      </c>
      <c r="BK14" s="1720" t="s">
        <v>361</v>
      </c>
      <c r="BL14" s="1718" t="s">
        <v>225</v>
      </c>
      <c r="BM14" s="1718" t="s">
        <v>362</v>
      </c>
      <c r="BN14" s="1722" t="s">
        <v>363</v>
      </c>
    </row>
    <row r="15" spans="1:66" ht="24.75">
      <c r="A15" s="1727"/>
      <c r="B15" s="1730"/>
      <c r="C15" s="1727"/>
      <c r="D15" s="1730"/>
      <c r="E15" s="1727"/>
      <c r="F15" s="1732"/>
      <c r="G15" s="1732"/>
      <c r="H15" s="1732"/>
      <c r="I15" s="1732"/>
      <c r="J15" s="1732"/>
      <c r="K15" s="1732"/>
      <c r="L15" s="1725"/>
      <c r="M15" s="318"/>
      <c r="N15" s="223" t="s">
        <v>242</v>
      </c>
      <c r="O15" s="224" t="s">
        <v>22</v>
      </c>
      <c r="P15" s="224" t="s">
        <v>236</v>
      </c>
      <c r="Q15" s="225" t="s">
        <v>243</v>
      </c>
      <c r="R15" s="225" t="s">
        <v>244</v>
      </c>
      <c r="S15" s="225" t="s">
        <v>245</v>
      </c>
      <c r="T15" s="225" t="s">
        <v>301</v>
      </c>
      <c r="U15" s="225" t="s">
        <v>302</v>
      </c>
      <c r="V15" s="226" t="s">
        <v>246</v>
      </c>
      <c r="W15" s="10"/>
      <c r="X15" s="223" t="s">
        <v>242</v>
      </c>
      <c r="Y15" s="224" t="s">
        <v>22</v>
      </c>
      <c r="Z15" s="224" t="s">
        <v>236</v>
      </c>
      <c r="AA15" s="225" t="s">
        <v>243</v>
      </c>
      <c r="AB15" s="225" t="s">
        <v>244</v>
      </c>
      <c r="AC15" s="225" t="s">
        <v>245</v>
      </c>
      <c r="AD15" s="225" t="s">
        <v>301</v>
      </c>
      <c r="AE15" s="225" t="s">
        <v>302</v>
      </c>
      <c r="AF15" s="226" t="s">
        <v>246</v>
      </c>
      <c r="AH15" s="223" t="s">
        <v>242</v>
      </c>
      <c r="AI15" s="224" t="s">
        <v>22</v>
      </c>
      <c r="AJ15" s="224" t="s">
        <v>236</v>
      </c>
      <c r="AK15" s="225" t="s">
        <v>243</v>
      </c>
      <c r="AL15" s="225" t="s">
        <v>244</v>
      </c>
      <c r="AM15" s="225" t="s">
        <v>245</v>
      </c>
      <c r="AN15" s="225" t="s">
        <v>301</v>
      </c>
      <c r="AO15" s="225" t="s">
        <v>302</v>
      </c>
      <c r="AP15" s="226" t="s">
        <v>246</v>
      </c>
      <c r="AR15" s="328" t="s">
        <v>242</v>
      </c>
      <c r="AS15" s="224" t="s">
        <v>22</v>
      </c>
      <c r="AT15" s="224" t="s">
        <v>236</v>
      </c>
      <c r="AU15" s="225" t="s">
        <v>243</v>
      </c>
      <c r="AV15" s="225" t="s">
        <v>244</v>
      </c>
      <c r="AW15" s="225" t="s">
        <v>245</v>
      </c>
      <c r="AX15" s="225" t="s">
        <v>301</v>
      </c>
      <c r="AY15" s="225" t="s">
        <v>302</v>
      </c>
      <c r="AZ15" s="226" t="s">
        <v>246</v>
      </c>
      <c r="BB15" s="1717"/>
      <c r="BC15" s="1719"/>
      <c r="BD15" s="1721"/>
      <c r="BE15" s="1719"/>
      <c r="BF15" s="1719"/>
      <c r="BG15" s="1723"/>
      <c r="BI15" s="1717"/>
      <c r="BJ15" s="1719"/>
      <c r="BK15" s="1721"/>
      <c r="BL15" s="1719"/>
      <c r="BM15" s="1719"/>
      <c r="BN15" s="1723"/>
    </row>
    <row r="16" spans="1:66" ht="15.75" thickBot="1">
      <c r="A16" s="1728"/>
      <c r="B16" s="578" t="s">
        <v>226</v>
      </c>
      <c r="C16" s="217" t="s">
        <v>227</v>
      </c>
      <c r="D16" s="578" t="s">
        <v>229</v>
      </c>
      <c r="E16" s="217" t="s">
        <v>229</v>
      </c>
      <c r="F16" s="218" t="s">
        <v>229</v>
      </c>
      <c r="G16" s="218" t="s">
        <v>229</v>
      </c>
      <c r="H16" s="218" t="s">
        <v>229</v>
      </c>
      <c r="I16" s="218" t="s">
        <v>229</v>
      </c>
      <c r="J16" s="218" t="s">
        <v>229</v>
      </c>
      <c r="K16" s="218" t="s">
        <v>229</v>
      </c>
      <c r="L16" s="578" t="s">
        <v>230</v>
      </c>
      <c r="M16" s="319"/>
      <c r="N16" s="218" t="s">
        <v>228</v>
      </c>
      <c r="O16" s="219" t="s">
        <v>41</v>
      </c>
      <c r="P16" s="219" t="s">
        <v>41</v>
      </c>
      <c r="Q16" s="220" t="s">
        <v>228</v>
      </c>
      <c r="R16" s="220" t="s">
        <v>228</v>
      </c>
      <c r="S16" s="220" t="s">
        <v>228</v>
      </c>
      <c r="T16" s="220" t="s">
        <v>228</v>
      </c>
      <c r="U16" s="220" t="s">
        <v>228</v>
      </c>
      <c r="V16" s="221" t="s">
        <v>228</v>
      </c>
      <c r="W16" s="10"/>
      <c r="X16" s="218" t="s">
        <v>228</v>
      </c>
      <c r="Y16" s="219" t="s">
        <v>41</v>
      </c>
      <c r="Z16" s="219" t="s">
        <v>41</v>
      </c>
      <c r="AA16" s="220" t="s">
        <v>228</v>
      </c>
      <c r="AB16" s="220" t="s">
        <v>228</v>
      </c>
      <c r="AC16" s="220" t="s">
        <v>228</v>
      </c>
      <c r="AD16" s="220" t="s">
        <v>228</v>
      </c>
      <c r="AE16" s="220" t="s">
        <v>228</v>
      </c>
      <c r="AF16" s="221" t="s">
        <v>228</v>
      </c>
      <c r="AH16" s="218" t="s">
        <v>228</v>
      </c>
      <c r="AI16" s="219" t="s">
        <v>41</v>
      </c>
      <c r="AJ16" s="219" t="s">
        <v>41</v>
      </c>
      <c r="AK16" s="220" t="s">
        <v>228</v>
      </c>
      <c r="AL16" s="220" t="s">
        <v>228</v>
      </c>
      <c r="AM16" s="220" t="s">
        <v>228</v>
      </c>
      <c r="AN16" s="220" t="s">
        <v>228</v>
      </c>
      <c r="AO16" s="220" t="s">
        <v>228</v>
      </c>
      <c r="AP16" s="221" t="s">
        <v>228</v>
      </c>
      <c r="AR16" s="217" t="s">
        <v>228</v>
      </c>
      <c r="AS16" s="219" t="s">
        <v>41</v>
      </c>
      <c r="AT16" s="219" t="s">
        <v>41</v>
      </c>
      <c r="AU16" s="220" t="s">
        <v>228</v>
      </c>
      <c r="AV16" s="220" t="s">
        <v>228</v>
      </c>
      <c r="AW16" s="220" t="s">
        <v>228</v>
      </c>
      <c r="AX16" s="220" t="s">
        <v>228</v>
      </c>
      <c r="AY16" s="220" t="s">
        <v>228</v>
      </c>
      <c r="AZ16" s="221" t="s">
        <v>228</v>
      </c>
      <c r="BB16" s="321" t="s">
        <v>228</v>
      </c>
      <c r="BC16" s="320" t="s">
        <v>228</v>
      </c>
      <c r="BD16" s="1322" t="s">
        <v>228</v>
      </c>
      <c r="BE16" s="320" t="s">
        <v>228</v>
      </c>
      <c r="BF16" s="320" t="s">
        <v>228</v>
      </c>
      <c r="BG16" s="322" t="s">
        <v>228</v>
      </c>
      <c r="BI16" s="321" t="s">
        <v>228</v>
      </c>
      <c r="BJ16" s="320" t="s">
        <v>228</v>
      </c>
      <c r="BK16" s="1322" t="s">
        <v>228</v>
      </c>
      <c r="BL16" s="320" t="s">
        <v>228</v>
      </c>
      <c r="BM16" s="320" t="s">
        <v>228</v>
      </c>
      <c r="BN16" s="322" t="s">
        <v>228</v>
      </c>
    </row>
    <row r="17" spans="1:66" ht="15.75" thickBot="1">
      <c r="A17" s="227"/>
      <c r="B17" s="1077"/>
      <c r="C17" s="1078"/>
      <c r="D17" s="1077"/>
      <c r="E17" s="1078"/>
      <c r="F17" s="1079"/>
      <c r="G17" s="1079"/>
      <c r="H17" s="1079"/>
      <c r="I17" s="1079"/>
      <c r="J17" s="1079"/>
      <c r="K17" s="1079"/>
      <c r="L17" s="1077"/>
      <c r="M17" s="229"/>
      <c r="N17" s="1079"/>
      <c r="O17" s="1132"/>
      <c r="P17" s="1132"/>
      <c r="Q17" s="1133"/>
      <c r="R17" s="1133"/>
      <c r="S17" s="1133"/>
      <c r="T17" s="1133"/>
      <c r="U17" s="1133"/>
      <c r="V17" s="1134"/>
      <c r="W17" s="10"/>
      <c r="X17" s="1079"/>
      <c r="Y17" s="1132"/>
      <c r="Z17" s="1132"/>
      <c r="AA17" s="1133"/>
      <c r="AB17" s="1133"/>
      <c r="AC17" s="1133"/>
      <c r="AD17" s="1133"/>
      <c r="AE17" s="1133"/>
      <c r="AF17" s="1134"/>
      <c r="AH17" s="1079"/>
      <c r="AI17" s="1132"/>
      <c r="AJ17" s="1132"/>
      <c r="AK17" s="1133"/>
      <c r="AL17" s="1133"/>
      <c r="AM17" s="1133"/>
      <c r="AN17" s="1133"/>
      <c r="AO17" s="1133"/>
      <c r="AP17" s="1134"/>
      <c r="AR17" s="1078"/>
      <c r="AS17" s="1132"/>
      <c r="AT17" s="1132"/>
      <c r="AU17" s="1133"/>
      <c r="AV17" s="1133"/>
      <c r="AW17" s="1133"/>
      <c r="AX17" s="1133"/>
      <c r="AY17" s="1133"/>
      <c r="AZ17" s="1150"/>
      <c r="BB17" s="323"/>
      <c r="BC17" s="324"/>
      <c r="BD17" s="1323"/>
      <c r="BE17" s="324"/>
      <c r="BF17" s="104"/>
      <c r="BG17" s="130"/>
      <c r="BI17" s="323"/>
      <c r="BJ17" s="324"/>
      <c r="BK17" s="1323"/>
      <c r="BL17" s="324"/>
      <c r="BM17" s="104"/>
      <c r="BN17" s="130"/>
    </row>
    <row r="18" spans="1:66">
      <c r="A18" s="1086">
        <f>'Input data'!A48</f>
        <v>1950</v>
      </c>
      <c r="B18" s="1087">
        <f>'Input data'!B48</f>
        <v>5.3541578999999997</v>
      </c>
      <c r="C18" s="1255">
        <f>'Baseline data (from input)'!B6</f>
        <v>578.73</v>
      </c>
      <c r="D18" s="1088">
        <f>'Baseline data (from input)'!L6</f>
        <v>0.8</v>
      </c>
      <c r="E18" s="1089">
        <f>'Input data'!C29</f>
        <v>0.24001298204245269</v>
      </c>
      <c r="F18" s="1089">
        <f>'Input data'!D29</f>
        <v>0.30440139352934503</v>
      </c>
      <c r="G18" s="1089">
        <f>'Input data'!E29</f>
        <v>5.8998240613430578E-2</v>
      </c>
      <c r="H18" s="1089">
        <f>'Input data'!F29</f>
        <v>0</v>
      </c>
      <c r="I18" s="1089">
        <f>'Input data'!G29</f>
        <v>0</v>
      </c>
      <c r="J18" s="1089">
        <f>'Input data'!H29</f>
        <v>0</v>
      </c>
      <c r="K18" s="1089">
        <f>SUM('Input data'!I29:M29)</f>
        <v>0.39658738381477154</v>
      </c>
      <c r="L18" s="1090">
        <f>SUM(E18:K18)</f>
        <v>0.99999999999999989</v>
      </c>
      <c r="M18" s="102"/>
      <c r="N18" s="1138">
        <f>B18*C18*D18</f>
        <v>2478.8894411736001</v>
      </c>
      <c r="O18" s="1139">
        <f>Parameters!R121</f>
        <v>0.73</v>
      </c>
      <c r="P18" s="1139">
        <f>E18*'MSW characteristics'!$B$28+'MSW characteristics'!$B$29*'4A SWD Case 1'!F18+'4A SWD Case 1'!G18*'MSW characteristics'!$B$30+'MSW characteristics'!$B$31*'4A SWD Case 1'!H18+'4A SWD Case 1'!I18*'MSW characteristics'!$B$32+'MSW characteristics'!$B$33*'4A SWD Case 1'!J18+'4A SWD Case 1'!K18*'MSW characteristics'!$B$35</f>
        <v>0.12048152225760915</v>
      </c>
      <c r="Q18" s="1140">
        <f>N18*P18*O18*$C$4</f>
        <v>109.01103628403193</v>
      </c>
      <c r="R18" s="1140">
        <f>Q18*$C$10</f>
        <v>109.01103628403193</v>
      </c>
      <c r="S18" s="1141">
        <f>Q18*(1-$C$10)</f>
        <v>0</v>
      </c>
      <c r="T18" s="1140">
        <f>R18+(T17*$C$8)</f>
        <v>109.01103628403193</v>
      </c>
      <c r="U18" s="1140">
        <f>S18+T17*(1-$C$8)</f>
        <v>0</v>
      </c>
      <c r="V18" s="1312">
        <f>U18*16/12*$C$11</f>
        <v>0</v>
      </c>
      <c r="W18" s="10"/>
      <c r="X18" s="1138">
        <f>'Baseline data (from input)'!T6*'Baseline data (from input)'!U6</f>
        <v>0</v>
      </c>
      <c r="Y18" s="1139">
        <f>Parameters!S121</f>
        <v>0.71500000000000008</v>
      </c>
      <c r="Z18" s="1139">
        <f>$D$3</f>
        <v>0.15</v>
      </c>
      <c r="AA18" s="1140">
        <f>X18*Z18*Y18*$D$4</f>
        <v>0</v>
      </c>
      <c r="AB18" s="1140">
        <f>AA18*$D$10</f>
        <v>0</v>
      </c>
      <c r="AC18" s="1141">
        <f>AA18*(1-$D$10)</f>
        <v>0</v>
      </c>
      <c r="AD18" s="1140">
        <f>AB18+(AD17*$D$8)</f>
        <v>0</v>
      </c>
      <c r="AE18" s="1140">
        <f>AC18+AD17*(1-$D$8)</f>
        <v>0</v>
      </c>
      <c r="AF18" s="1312">
        <f>AE18*16/12*$D$11</f>
        <v>0</v>
      </c>
      <c r="AH18" s="1138">
        <f>'Baseline data (from input)'!T6*'Baseline data (from input)'!U6</f>
        <v>0</v>
      </c>
      <c r="AI18" s="1139">
        <f>Parameters!S121</f>
        <v>0.71500000000000008</v>
      </c>
      <c r="AJ18" s="1139">
        <f>$D$3</f>
        <v>0.15</v>
      </c>
      <c r="AK18" s="1140">
        <f>AH18*AJ18*AI18*$D$4</f>
        <v>0</v>
      </c>
      <c r="AL18" s="1140">
        <f>AK18*$D$10</f>
        <v>0</v>
      </c>
      <c r="AM18" s="1141">
        <f>AK18*(1-$D$10)</f>
        <v>0</v>
      </c>
      <c r="AN18" s="1140">
        <f>AL18+(AN17*$D$8)</f>
        <v>0</v>
      </c>
      <c r="AO18" s="1140">
        <f>AM18+AN17*(1-$D$8)</f>
        <v>0</v>
      </c>
      <c r="AP18" s="1312">
        <f>AO18*16/12*$D$11</f>
        <v>0</v>
      </c>
      <c r="AR18" s="1138">
        <v>0</v>
      </c>
      <c r="AS18" s="1139">
        <v>1</v>
      </c>
      <c r="AT18" s="1139">
        <f>$E$3</f>
        <v>0.05</v>
      </c>
      <c r="AU18" s="1140">
        <f>AR18*AT18*AS18*$E$4</f>
        <v>0</v>
      </c>
      <c r="AV18" s="1140">
        <f>AU18*$E$10</f>
        <v>0</v>
      </c>
      <c r="AW18" s="1141">
        <f>AU18*(1-$E$10)</f>
        <v>0</v>
      </c>
      <c r="AX18" s="1140">
        <f>AV18+(AX17*$E$8)</f>
        <v>0</v>
      </c>
      <c r="AY18" s="1140">
        <f>AW18+AX17*(1-$E$8)</f>
        <v>0</v>
      </c>
      <c r="AZ18" s="1312">
        <f>AY18*16/12*$E$11</f>
        <v>0</v>
      </c>
      <c r="BB18" s="323">
        <f>V18</f>
        <v>0</v>
      </c>
      <c r="BC18" s="324">
        <f>AF18</f>
        <v>0</v>
      </c>
      <c r="BD18" s="1323">
        <f>AZ18</f>
        <v>0</v>
      </c>
      <c r="BE18" s="324">
        <f>SUM(BB18:BD18)</f>
        <v>0</v>
      </c>
      <c r="BF18" s="104">
        <v>0</v>
      </c>
      <c r="BG18" s="325">
        <f>BE18-BF18</f>
        <v>0</v>
      </c>
      <c r="BI18" s="323">
        <f>V18</f>
        <v>0</v>
      </c>
      <c r="BJ18" s="324">
        <f>AP18</f>
        <v>0</v>
      </c>
      <c r="BK18" s="1323">
        <f>AZ18</f>
        <v>0</v>
      </c>
      <c r="BL18" s="324">
        <f>SUM(BI18:BK18)</f>
        <v>0</v>
      </c>
      <c r="BM18" s="104">
        <v>0</v>
      </c>
      <c r="BN18" s="325">
        <f>BL18-BM18</f>
        <v>0</v>
      </c>
    </row>
    <row r="19" spans="1:66">
      <c r="A19" s="1091">
        <f>'Input data'!A49</f>
        <v>1951</v>
      </c>
      <c r="B19" s="1080">
        <f>'Input data'!B49</f>
        <v>5.53942844</v>
      </c>
      <c r="C19" s="1254">
        <f>'Baseline data (from input)'!B7</f>
        <v>578.73</v>
      </c>
      <c r="D19" s="1081">
        <f>'Baseline data (from input)'!L7</f>
        <v>0.8</v>
      </c>
      <c r="E19" s="992">
        <f>E18</f>
        <v>0.24001298204245269</v>
      </c>
      <c r="F19" s="992">
        <f t="shared" ref="F19:K19" si="0">F18</f>
        <v>0.30440139352934503</v>
      </c>
      <c r="G19" s="992">
        <f t="shared" si="0"/>
        <v>5.8998240613430578E-2</v>
      </c>
      <c r="H19" s="992">
        <f t="shared" si="0"/>
        <v>0</v>
      </c>
      <c r="I19" s="992">
        <f t="shared" si="0"/>
        <v>0</v>
      </c>
      <c r="J19" s="992">
        <f t="shared" si="0"/>
        <v>0</v>
      </c>
      <c r="K19" s="992">
        <f t="shared" si="0"/>
        <v>0.39658738381477154</v>
      </c>
      <c r="L19" s="1092">
        <f>SUM(E19:K19)</f>
        <v>0.99999999999999989</v>
      </c>
      <c r="M19" s="102"/>
      <c r="N19" s="1143">
        <f t="shared" ref="N19:N49" si="1">B19*C19*D19</f>
        <v>2564.6667368649601</v>
      </c>
      <c r="O19" s="1136">
        <f>Parameters!R122</f>
        <v>0.73</v>
      </c>
      <c r="P19" s="1136">
        <f>E19*'MSW characteristics'!$B$28+'MSW characteristics'!$B$29*'4A SWD Case 1'!F19+'4A SWD Case 1'!G19*'MSW characteristics'!$B$30+'MSW characteristics'!$B$31*'4A SWD Case 1'!H19+'4A SWD Case 1'!I19*'MSW characteristics'!$B$32+'MSW characteristics'!$B$33*'4A SWD Case 1'!J19+'4A SWD Case 1'!K19*'MSW characteristics'!$B$35</f>
        <v>0.12048152225760915</v>
      </c>
      <c r="Q19" s="1135">
        <f t="shared" ref="Q19:Q82" si="2">N19*P19*O19*$C$4</f>
        <v>112.78315767744512</v>
      </c>
      <c r="R19" s="1135">
        <f t="shared" ref="R19:R82" si="3">Q19*$C$10</f>
        <v>112.78315767744512</v>
      </c>
      <c r="S19" s="306">
        <f t="shared" ref="S19:S82" si="4">Q19*(1-$C$10)</f>
        <v>0</v>
      </c>
      <c r="T19" s="1135">
        <f t="shared" ref="T19:T82" si="5">R19+(T18*$C$8)</f>
        <v>216.47766298613126</v>
      </c>
      <c r="U19" s="1135">
        <f t="shared" ref="U19:U82" si="6">S19+T18*(1-$C$8)</f>
        <v>5.316530975345783</v>
      </c>
      <c r="V19" s="1311">
        <f t="shared" ref="V19:V82" si="7">U19*16/12*$C$11</f>
        <v>3.5443539835638553</v>
      </c>
      <c r="W19" s="10"/>
      <c r="X19" s="1143">
        <f>'Baseline data (from input)'!T7*'Baseline data (from input)'!U7</f>
        <v>0</v>
      </c>
      <c r="Y19" s="1136">
        <f>Parameters!S122</f>
        <v>0.71500000000000008</v>
      </c>
      <c r="Z19" s="1136">
        <f t="shared" ref="Z19:Z82" si="8">$D$3</f>
        <v>0.15</v>
      </c>
      <c r="AA19" s="1135">
        <f t="shared" ref="AA19:AA82" si="9">X19*Z19*Y19*$D$4</f>
        <v>0</v>
      </c>
      <c r="AB19" s="1135">
        <f t="shared" ref="AB19:AB82" si="10">AA19*$D$10</f>
        <v>0</v>
      </c>
      <c r="AC19" s="306">
        <f t="shared" ref="AC19:AC82" si="11">AA19*(1-$D$10)</f>
        <v>0</v>
      </c>
      <c r="AD19" s="1135">
        <f t="shared" ref="AD19:AD82" si="12">AB19+(AD18*$D$8)</f>
        <v>0</v>
      </c>
      <c r="AE19" s="1135">
        <f t="shared" ref="AE19:AE82" si="13">AC19+AD18*(1-$D$8)</f>
        <v>0</v>
      </c>
      <c r="AF19" s="1311">
        <f t="shared" ref="AF19:AF82" si="14">AE19*16/12*$D$11</f>
        <v>0</v>
      </c>
      <c r="AH19" s="1143">
        <f>'Baseline data (from input)'!T7*'Baseline data (from input)'!U7</f>
        <v>0</v>
      </c>
      <c r="AI19" s="1136">
        <f>Parameters!S122</f>
        <v>0.71500000000000008</v>
      </c>
      <c r="AJ19" s="1136">
        <f t="shared" ref="AJ19:AJ82" si="15">$D$3</f>
        <v>0.15</v>
      </c>
      <c r="AK19" s="1135">
        <f t="shared" ref="AK19:AK82" si="16">AH19*AJ19*AI19*$D$4</f>
        <v>0</v>
      </c>
      <c r="AL19" s="1135">
        <f t="shared" ref="AL19:AL82" si="17">AK19*$D$10</f>
        <v>0</v>
      </c>
      <c r="AM19" s="306">
        <f t="shared" ref="AM19:AM82" si="18">AK19*(1-$D$10)</f>
        <v>0</v>
      </c>
      <c r="AN19" s="1135">
        <f t="shared" ref="AN19:AN82" si="19">AL19+(AN18*$D$8)</f>
        <v>0</v>
      </c>
      <c r="AO19" s="1135">
        <f t="shared" ref="AO19:AO82" si="20">AM19+AN18*(1-$D$8)</f>
        <v>0</v>
      </c>
      <c r="AP19" s="1311">
        <f t="shared" ref="AP19:AP82" si="21">AO19*16/12*$D$11</f>
        <v>0</v>
      </c>
      <c r="AR19" s="1143">
        <v>0</v>
      </c>
      <c r="AS19" s="1136">
        <v>1</v>
      </c>
      <c r="AT19" s="1136">
        <f t="shared" ref="AT19:AT82" si="22">$E$3</f>
        <v>0.05</v>
      </c>
      <c r="AU19" s="1135">
        <f t="shared" ref="AU19:AU82" si="23">AR19*AT19*AS19*$E$4</f>
        <v>0</v>
      </c>
      <c r="AV19" s="1135">
        <f t="shared" ref="AV19:AV82" si="24">AU19*$E$10</f>
        <v>0</v>
      </c>
      <c r="AW19" s="306">
        <f t="shared" ref="AW19:AW82" si="25">AU19*(1-$C$10)</f>
        <v>0</v>
      </c>
      <c r="AX19" s="1135">
        <f t="shared" ref="AX19:AX47" si="26">AV19+(AX18*$C$8)</f>
        <v>0</v>
      </c>
      <c r="AY19" s="1135">
        <f t="shared" ref="AY19:AY67" si="27">AW19+AX18*(1-$C$8)</f>
        <v>0</v>
      </c>
      <c r="AZ19" s="1311">
        <f t="shared" ref="AZ19:AZ67" si="28">AY19*16/12*$C$11</f>
        <v>0</v>
      </c>
      <c r="BB19" s="323">
        <f t="shared" ref="BB19:BB82" si="29">V19</f>
        <v>3.5443539835638553</v>
      </c>
      <c r="BC19" s="324">
        <f t="shared" ref="BC19:BC82" si="30">AF19</f>
        <v>0</v>
      </c>
      <c r="BD19" s="1323">
        <f t="shared" ref="BD19:BD67" si="31">AZ19</f>
        <v>0</v>
      </c>
      <c r="BE19" s="324">
        <f t="shared" ref="BE19:BE81" si="32">SUM(BB19:BD19)</f>
        <v>3.5443539835638553</v>
      </c>
      <c r="BF19" s="104">
        <v>0</v>
      </c>
      <c r="BG19" s="325">
        <f t="shared" ref="BG19:BG82" si="33">BE19-BF19</f>
        <v>3.5443539835638553</v>
      </c>
      <c r="BI19" s="323">
        <f t="shared" ref="BI19:BI82" si="34">V19</f>
        <v>3.5443539835638553</v>
      </c>
      <c r="BJ19" s="324">
        <f t="shared" ref="BJ19:BJ82" si="35">AP19</f>
        <v>0</v>
      </c>
      <c r="BK19" s="1323">
        <f t="shared" ref="BK19:BK82" si="36">AZ19</f>
        <v>0</v>
      </c>
      <c r="BL19" s="324">
        <f t="shared" ref="BL19:BL81" si="37">SUM(BI19:BK19)</f>
        <v>3.5443539835638553</v>
      </c>
      <c r="BM19" s="104">
        <v>0</v>
      </c>
      <c r="BN19" s="325">
        <f t="shared" ref="BN19:BN82" si="38">BL19-BM19</f>
        <v>3.5443539835638553</v>
      </c>
    </row>
    <row r="20" spans="1:66">
      <c r="A20" s="1091">
        <f>'Input data'!A50</f>
        <v>1952</v>
      </c>
      <c r="B20" s="1080">
        <f>'Input data'!B50</f>
        <v>5.7129272200000001</v>
      </c>
      <c r="C20" s="1254">
        <f>'Baseline data (from input)'!B8</f>
        <v>578.73</v>
      </c>
      <c r="D20" s="1081">
        <f>'Baseline data (from input)'!L8</f>
        <v>0.8</v>
      </c>
      <c r="E20" s="992">
        <f t="shared" ref="E20:E83" si="39">E19</f>
        <v>0.24001298204245269</v>
      </c>
      <c r="F20" s="992">
        <f t="shared" ref="F20:F83" si="40">F19</f>
        <v>0.30440139352934503</v>
      </c>
      <c r="G20" s="992">
        <f t="shared" ref="G20:G83" si="41">G19</f>
        <v>5.8998240613430578E-2</v>
      </c>
      <c r="H20" s="992">
        <f t="shared" ref="H20:H83" si="42">H19</f>
        <v>0</v>
      </c>
      <c r="I20" s="992">
        <f t="shared" ref="I20:I83" si="43">I19</f>
        <v>0</v>
      </c>
      <c r="J20" s="992">
        <f t="shared" ref="J20:J83" si="44">J19</f>
        <v>0</v>
      </c>
      <c r="K20" s="992">
        <f t="shared" ref="K20:K83" si="45">K19</f>
        <v>0.39658738381477154</v>
      </c>
      <c r="L20" s="1092">
        <f t="shared" ref="L20:L83" si="46">SUM(E20:K20)</f>
        <v>0.99999999999999989</v>
      </c>
      <c r="M20" s="102"/>
      <c r="N20" s="1143">
        <f t="shared" si="1"/>
        <v>2644.9938960244804</v>
      </c>
      <c r="O20" s="1136">
        <f>Parameters!R123</f>
        <v>0.73</v>
      </c>
      <c r="P20" s="1136">
        <f>E20*'MSW characteristics'!$B$28+'MSW characteristics'!$B$29*'4A SWD Case 1'!F20+'4A SWD Case 1'!G20*'MSW characteristics'!$B$30+'MSW characteristics'!$B$31*'4A SWD Case 1'!H20+'4A SWD Case 1'!I20*'MSW characteristics'!$B$32+'MSW characteristics'!$B$33*'4A SWD Case 1'!J20+'4A SWD Case 1'!K20*'MSW characteristics'!$B$35</f>
        <v>0.12048152225760915</v>
      </c>
      <c r="Q20" s="1135">
        <f t="shared" si="2"/>
        <v>116.31560519861652</v>
      </c>
      <c r="R20" s="1135">
        <f t="shared" si="3"/>
        <v>116.31560519861652</v>
      </c>
      <c r="S20" s="306">
        <f t="shared" si="4"/>
        <v>0</v>
      </c>
      <c r="T20" s="1135">
        <f t="shared" si="5"/>
        <v>322.23552797817371</v>
      </c>
      <c r="U20" s="1135">
        <f t="shared" si="6"/>
        <v>10.557740206574103</v>
      </c>
      <c r="V20" s="1311">
        <f t="shared" si="7"/>
        <v>7.038493471049402</v>
      </c>
      <c r="W20" s="10"/>
      <c r="X20" s="1143">
        <f>'Baseline data (from input)'!T8*'Baseline data (from input)'!U8</f>
        <v>0</v>
      </c>
      <c r="Y20" s="1136">
        <f>Parameters!S123</f>
        <v>0.71500000000000008</v>
      </c>
      <c r="Z20" s="1136">
        <f t="shared" si="8"/>
        <v>0.15</v>
      </c>
      <c r="AA20" s="1135">
        <f t="shared" si="9"/>
        <v>0</v>
      </c>
      <c r="AB20" s="1135">
        <f t="shared" si="10"/>
        <v>0</v>
      </c>
      <c r="AC20" s="306">
        <f t="shared" si="11"/>
        <v>0</v>
      </c>
      <c r="AD20" s="1135">
        <f t="shared" si="12"/>
        <v>0</v>
      </c>
      <c r="AE20" s="1135">
        <f t="shared" si="13"/>
        <v>0</v>
      </c>
      <c r="AF20" s="1311">
        <f t="shared" si="14"/>
        <v>0</v>
      </c>
      <c r="AH20" s="1143">
        <f>'Baseline data (from input)'!T8*'Baseline data (from input)'!U8</f>
        <v>0</v>
      </c>
      <c r="AI20" s="1136">
        <f>Parameters!S123</f>
        <v>0.71500000000000008</v>
      </c>
      <c r="AJ20" s="1136">
        <f t="shared" si="15"/>
        <v>0.15</v>
      </c>
      <c r="AK20" s="1135">
        <f t="shared" si="16"/>
        <v>0</v>
      </c>
      <c r="AL20" s="1135">
        <f t="shared" si="17"/>
        <v>0</v>
      </c>
      <c r="AM20" s="306">
        <f t="shared" si="18"/>
        <v>0</v>
      </c>
      <c r="AN20" s="1135">
        <f t="shared" si="19"/>
        <v>0</v>
      </c>
      <c r="AO20" s="1135">
        <f t="shared" si="20"/>
        <v>0</v>
      </c>
      <c r="AP20" s="1311">
        <f t="shared" si="21"/>
        <v>0</v>
      </c>
      <c r="AR20" s="1143">
        <v>0</v>
      </c>
      <c r="AS20" s="1136">
        <v>1</v>
      </c>
      <c r="AT20" s="1136">
        <f t="shared" si="22"/>
        <v>0.05</v>
      </c>
      <c r="AU20" s="1135">
        <f t="shared" si="23"/>
        <v>0</v>
      </c>
      <c r="AV20" s="1135">
        <f t="shared" si="24"/>
        <v>0</v>
      </c>
      <c r="AW20" s="306">
        <f t="shared" si="25"/>
        <v>0</v>
      </c>
      <c r="AX20" s="1135">
        <f t="shared" si="26"/>
        <v>0</v>
      </c>
      <c r="AY20" s="1135">
        <f t="shared" si="27"/>
        <v>0</v>
      </c>
      <c r="AZ20" s="1311">
        <f t="shared" si="28"/>
        <v>0</v>
      </c>
      <c r="BB20" s="323">
        <f t="shared" si="29"/>
        <v>7.038493471049402</v>
      </c>
      <c r="BC20" s="324">
        <f t="shared" si="30"/>
        <v>0</v>
      </c>
      <c r="BD20" s="1323">
        <f t="shared" si="31"/>
        <v>0</v>
      </c>
      <c r="BE20" s="324">
        <f t="shared" si="32"/>
        <v>7.038493471049402</v>
      </c>
      <c r="BF20" s="104">
        <v>0</v>
      </c>
      <c r="BG20" s="325">
        <f t="shared" si="33"/>
        <v>7.038493471049402</v>
      </c>
      <c r="BI20" s="323">
        <f t="shared" si="34"/>
        <v>7.038493471049402</v>
      </c>
      <c r="BJ20" s="324">
        <f t="shared" si="35"/>
        <v>0</v>
      </c>
      <c r="BK20" s="1323">
        <f t="shared" si="36"/>
        <v>0</v>
      </c>
      <c r="BL20" s="324">
        <f t="shared" si="37"/>
        <v>7.038493471049402</v>
      </c>
      <c r="BM20" s="104">
        <v>0</v>
      </c>
      <c r="BN20" s="325">
        <f t="shared" si="38"/>
        <v>7.038493471049402</v>
      </c>
    </row>
    <row r="21" spans="1:66">
      <c r="A21" s="1091">
        <f>'Input data'!A51</f>
        <v>1953</v>
      </c>
      <c r="B21" s="1080">
        <f>'Input data'!B51</f>
        <v>5.9284297800000001</v>
      </c>
      <c r="C21" s="1254">
        <f>'Baseline data (from input)'!B9</f>
        <v>578.73</v>
      </c>
      <c r="D21" s="1081">
        <f>'Baseline data (from input)'!L9</f>
        <v>0.8</v>
      </c>
      <c r="E21" s="992">
        <f t="shared" si="39"/>
        <v>0.24001298204245269</v>
      </c>
      <c r="F21" s="992">
        <f t="shared" si="40"/>
        <v>0.30440139352934503</v>
      </c>
      <c r="G21" s="992">
        <f t="shared" si="41"/>
        <v>5.8998240613430578E-2</v>
      </c>
      <c r="H21" s="992">
        <f t="shared" si="42"/>
        <v>0</v>
      </c>
      <c r="I21" s="992">
        <f t="shared" si="43"/>
        <v>0</v>
      </c>
      <c r="J21" s="992">
        <f t="shared" si="44"/>
        <v>0</v>
      </c>
      <c r="K21" s="992">
        <f t="shared" si="45"/>
        <v>0.39658738381477154</v>
      </c>
      <c r="L21" s="1092">
        <f t="shared" si="46"/>
        <v>0.99999999999999989</v>
      </c>
      <c r="M21" s="102"/>
      <c r="N21" s="1143">
        <f t="shared" si="1"/>
        <v>2744.7681332635202</v>
      </c>
      <c r="O21" s="1136">
        <f>Parameters!R124</f>
        <v>0.73</v>
      </c>
      <c r="P21" s="1136">
        <f>E21*'MSW characteristics'!$B$28+'MSW characteristics'!$B$29*'4A SWD Case 1'!F21+'4A SWD Case 1'!G21*'MSW characteristics'!$B$30+'MSW characteristics'!$B$31*'4A SWD Case 1'!H21+'4A SWD Case 1'!I21*'MSW characteristics'!$B$32+'MSW characteristics'!$B$33*'4A SWD Case 1'!J21+'4A SWD Case 1'!K21*'MSW characteristics'!$B$35</f>
        <v>0.12048152225760915</v>
      </c>
      <c r="Q21" s="1135">
        <f t="shared" si="2"/>
        <v>120.70325267301428</v>
      </c>
      <c r="R21" s="1135">
        <f t="shared" si="3"/>
        <v>120.70325267301428</v>
      </c>
      <c r="S21" s="306">
        <f t="shared" si="4"/>
        <v>0</v>
      </c>
      <c r="T21" s="1135">
        <f t="shared" si="5"/>
        <v>427.22316850537618</v>
      </c>
      <c r="U21" s="1135">
        <f t="shared" si="6"/>
        <v>15.715612145811802</v>
      </c>
      <c r="V21" s="1311">
        <f t="shared" si="7"/>
        <v>10.477074763874535</v>
      </c>
      <c r="W21" s="10"/>
      <c r="X21" s="1143">
        <f>'Baseline data (from input)'!T9*'Baseline data (from input)'!U9</f>
        <v>0</v>
      </c>
      <c r="Y21" s="1136">
        <f>Parameters!S124</f>
        <v>0.71500000000000008</v>
      </c>
      <c r="Z21" s="1136">
        <f t="shared" si="8"/>
        <v>0.15</v>
      </c>
      <c r="AA21" s="1135">
        <f t="shared" si="9"/>
        <v>0</v>
      </c>
      <c r="AB21" s="1135">
        <f t="shared" si="10"/>
        <v>0</v>
      </c>
      <c r="AC21" s="306">
        <f t="shared" si="11"/>
        <v>0</v>
      </c>
      <c r="AD21" s="1135">
        <f t="shared" si="12"/>
        <v>0</v>
      </c>
      <c r="AE21" s="1135">
        <f t="shared" si="13"/>
        <v>0</v>
      </c>
      <c r="AF21" s="1311">
        <f t="shared" si="14"/>
        <v>0</v>
      </c>
      <c r="AH21" s="1143">
        <f>'Baseline data (from input)'!T9*'Baseline data (from input)'!U9</f>
        <v>0</v>
      </c>
      <c r="AI21" s="1136">
        <f>Parameters!S124</f>
        <v>0.71500000000000008</v>
      </c>
      <c r="AJ21" s="1136">
        <f t="shared" si="15"/>
        <v>0.15</v>
      </c>
      <c r="AK21" s="1135">
        <f t="shared" si="16"/>
        <v>0</v>
      </c>
      <c r="AL21" s="1135">
        <f t="shared" si="17"/>
        <v>0</v>
      </c>
      <c r="AM21" s="306">
        <f t="shared" si="18"/>
        <v>0</v>
      </c>
      <c r="AN21" s="1135">
        <f t="shared" si="19"/>
        <v>0</v>
      </c>
      <c r="AO21" s="1135">
        <f t="shared" si="20"/>
        <v>0</v>
      </c>
      <c r="AP21" s="1311">
        <f t="shared" si="21"/>
        <v>0</v>
      </c>
      <c r="AR21" s="1143">
        <v>0</v>
      </c>
      <c r="AS21" s="1136">
        <v>1</v>
      </c>
      <c r="AT21" s="1136">
        <f t="shared" si="22"/>
        <v>0.05</v>
      </c>
      <c r="AU21" s="1135">
        <f t="shared" si="23"/>
        <v>0</v>
      </c>
      <c r="AV21" s="1135">
        <f t="shared" si="24"/>
        <v>0</v>
      </c>
      <c r="AW21" s="306">
        <f t="shared" si="25"/>
        <v>0</v>
      </c>
      <c r="AX21" s="1135">
        <f t="shared" si="26"/>
        <v>0</v>
      </c>
      <c r="AY21" s="1135">
        <f t="shared" si="27"/>
        <v>0</v>
      </c>
      <c r="AZ21" s="1311">
        <f t="shared" si="28"/>
        <v>0</v>
      </c>
      <c r="BB21" s="323">
        <f t="shared" si="29"/>
        <v>10.477074763874535</v>
      </c>
      <c r="BC21" s="324">
        <f t="shared" si="30"/>
        <v>0</v>
      </c>
      <c r="BD21" s="1323">
        <f t="shared" si="31"/>
        <v>0</v>
      </c>
      <c r="BE21" s="324">
        <f t="shared" si="32"/>
        <v>10.477074763874535</v>
      </c>
      <c r="BF21" s="104">
        <v>0</v>
      </c>
      <c r="BG21" s="325">
        <f t="shared" si="33"/>
        <v>10.477074763874535</v>
      </c>
      <c r="BI21" s="323">
        <f t="shared" si="34"/>
        <v>10.477074763874535</v>
      </c>
      <c r="BJ21" s="324">
        <f t="shared" si="35"/>
        <v>0</v>
      </c>
      <c r="BK21" s="1323">
        <f t="shared" si="36"/>
        <v>0</v>
      </c>
      <c r="BL21" s="324">
        <f t="shared" si="37"/>
        <v>10.477074763874535</v>
      </c>
      <c r="BM21" s="104">
        <v>0</v>
      </c>
      <c r="BN21" s="325">
        <f t="shared" si="38"/>
        <v>10.477074763874535</v>
      </c>
    </row>
    <row r="22" spans="1:66">
      <c r="A22" s="1091">
        <f>'Input data'!A52</f>
        <v>1954</v>
      </c>
      <c r="B22" s="1080">
        <f>'Input data'!B52</f>
        <v>6.1065695599999996</v>
      </c>
      <c r="C22" s="1254">
        <f>'Baseline data (from input)'!B10</f>
        <v>578.73</v>
      </c>
      <c r="D22" s="1081">
        <f>'Baseline data (from input)'!L10</f>
        <v>0.8</v>
      </c>
      <c r="E22" s="992">
        <f t="shared" si="39"/>
        <v>0.24001298204245269</v>
      </c>
      <c r="F22" s="992">
        <f t="shared" si="40"/>
        <v>0.30440139352934503</v>
      </c>
      <c r="G22" s="992">
        <f t="shared" si="41"/>
        <v>5.8998240613430578E-2</v>
      </c>
      <c r="H22" s="992">
        <f t="shared" si="42"/>
        <v>0</v>
      </c>
      <c r="I22" s="992">
        <f t="shared" si="43"/>
        <v>0</v>
      </c>
      <c r="J22" s="992">
        <f t="shared" si="44"/>
        <v>0</v>
      </c>
      <c r="K22" s="992">
        <f t="shared" si="45"/>
        <v>0.39658738381477154</v>
      </c>
      <c r="L22" s="1092">
        <f t="shared" si="46"/>
        <v>0.99999999999999989</v>
      </c>
      <c r="M22" s="102"/>
      <c r="N22" s="1143">
        <f t="shared" si="1"/>
        <v>2827.2440011670401</v>
      </c>
      <c r="O22" s="1136">
        <f>Parameters!R125</f>
        <v>0.73</v>
      </c>
      <c r="P22" s="1136">
        <f>E22*'MSW characteristics'!$B$28+'MSW characteristics'!$B$29*'4A SWD Case 1'!F22+'4A SWD Case 1'!G22*'MSW characteristics'!$B$30+'MSW characteristics'!$B$31*'4A SWD Case 1'!H22+'4A SWD Case 1'!I22*'MSW characteristics'!$B$32+'MSW characteristics'!$B$33*'4A SWD Case 1'!J22+'4A SWD Case 1'!K22*'MSW characteristics'!$B$35</f>
        <v>0.12048152225760915</v>
      </c>
      <c r="Q22" s="1135">
        <f t="shared" si="2"/>
        <v>124.33019128481902</v>
      </c>
      <c r="R22" s="1135">
        <f t="shared" si="3"/>
        <v>124.33019128481902</v>
      </c>
      <c r="S22" s="306">
        <f t="shared" si="4"/>
        <v>0</v>
      </c>
      <c r="T22" s="1135">
        <f t="shared" si="5"/>
        <v>530.71743999555952</v>
      </c>
      <c r="U22" s="1135">
        <f t="shared" si="6"/>
        <v>20.835919794635625</v>
      </c>
      <c r="V22" s="1311">
        <f t="shared" si="7"/>
        <v>13.89061319642375</v>
      </c>
      <c r="W22" s="10"/>
      <c r="X22" s="1143">
        <f>'Baseline data (from input)'!T10*'Baseline data (from input)'!U10</f>
        <v>0</v>
      </c>
      <c r="Y22" s="1136">
        <f>Parameters!S125</f>
        <v>0.71500000000000008</v>
      </c>
      <c r="Z22" s="1136">
        <f t="shared" si="8"/>
        <v>0.15</v>
      </c>
      <c r="AA22" s="1135">
        <f t="shared" si="9"/>
        <v>0</v>
      </c>
      <c r="AB22" s="1135">
        <f t="shared" si="10"/>
        <v>0</v>
      </c>
      <c r="AC22" s="306">
        <f t="shared" si="11"/>
        <v>0</v>
      </c>
      <c r="AD22" s="1135">
        <f t="shared" si="12"/>
        <v>0</v>
      </c>
      <c r="AE22" s="1135">
        <f t="shared" si="13"/>
        <v>0</v>
      </c>
      <c r="AF22" s="1311">
        <f t="shared" si="14"/>
        <v>0</v>
      </c>
      <c r="AH22" s="1143">
        <f>'Baseline data (from input)'!T10*'Baseline data (from input)'!U10</f>
        <v>0</v>
      </c>
      <c r="AI22" s="1136">
        <f>Parameters!S125</f>
        <v>0.71500000000000008</v>
      </c>
      <c r="AJ22" s="1136">
        <f t="shared" si="15"/>
        <v>0.15</v>
      </c>
      <c r="AK22" s="1135">
        <f t="shared" si="16"/>
        <v>0</v>
      </c>
      <c r="AL22" s="1135">
        <f t="shared" si="17"/>
        <v>0</v>
      </c>
      <c r="AM22" s="306">
        <f t="shared" si="18"/>
        <v>0</v>
      </c>
      <c r="AN22" s="1135">
        <f t="shared" si="19"/>
        <v>0</v>
      </c>
      <c r="AO22" s="1135">
        <f t="shared" si="20"/>
        <v>0</v>
      </c>
      <c r="AP22" s="1311">
        <f t="shared" si="21"/>
        <v>0</v>
      </c>
      <c r="AR22" s="1143">
        <v>0</v>
      </c>
      <c r="AS22" s="1136">
        <v>1</v>
      </c>
      <c r="AT22" s="1136">
        <f t="shared" si="22"/>
        <v>0.05</v>
      </c>
      <c r="AU22" s="1135">
        <f t="shared" si="23"/>
        <v>0</v>
      </c>
      <c r="AV22" s="1135">
        <f t="shared" si="24"/>
        <v>0</v>
      </c>
      <c r="AW22" s="306">
        <f t="shared" si="25"/>
        <v>0</v>
      </c>
      <c r="AX22" s="1135">
        <f t="shared" si="26"/>
        <v>0</v>
      </c>
      <c r="AY22" s="1135">
        <f t="shared" si="27"/>
        <v>0</v>
      </c>
      <c r="AZ22" s="1311">
        <f t="shared" si="28"/>
        <v>0</v>
      </c>
      <c r="BB22" s="323">
        <f t="shared" si="29"/>
        <v>13.89061319642375</v>
      </c>
      <c r="BC22" s="324">
        <f t="shared" si="30"/>
        <v>0</v>
      </c>
      <c r="BD22" s="1323">
        <f t="shared" si="31"/>
        <v>0</v>
      </c>
      <c r="BE22" s="324">
        <f t="shared" si="32"/>
        <v>13.89061319642375</v>
      </c>
      <c r="BF22" s="104">
        <v>0</v>
      </c>
      <c r="BG22" s="325">
        <f t="shared" si="33"/>
        <v>13.89061319642375</v>
      </c>
      <c r="BI22" s="323">
        <f t="shared" si="34"/>
        <v>13.89061319642375</v>
      </c>
      <c r="BJ22" s="324">
        <f t="shared" si="35"/>
        <v>0</v>
      </c>
      <c r="BK22" s="1323">
        <f t="shared" si="36"/>
        <v>0</v>
      </c>
      <c r="BL22" s="324">
        <f t="shared" si="37"/>
        <v>13.89061319642375</v>
      </c>
      <c r="BM22" s="104">
        <v>0</v>
      </c>
      <c r="BN22" s="325">
        <f t="shared" si="38"/>
        <v>13.89061319642375</v>
      </c>
    </row>
    <row r="23" spans="1:66">
      <c r="A23" s="1091">
        <f>'Input data'!A53</f>
        <v>1955</v>
      </c>
      <c r="B23" s="1080">
        <f>'Input data'!B53</f>
        <v>6.2725644799999998</v>
      </c>
      <c r="C23" s="1254">
        <f>'Baseline data (from input)'!B11</f>
        <v>578.73</v>
      </c>
      <c r="D23" s="1081">
        <f>'Baseline data (from input)'!L11</f>
        <v>0.8</v>
      </c>
      <c r="E23" s="992">
        <f t="shared" si="39"/>
        <v>0.24001298204245269</v>
      </c>
      <c r="F23" s="992">
        <f t="shared" si="40"/>
        <v>0.30440139352934503</v>
      </c>
      <c r="G23" s="992">
        <f t="shared" si="41"/>
        <v>5.8998240613430578E-2</v>
      </c>
      <c r="H23" s="992">
        <f t="shared" si="42"/>
        <v>0</v>
      </c>
      <c r="I23" s="992">
        <f t="shared" si="43"/>
        <v>0</v>
      </c>
      <c r="J23" s="992">
        <f t="shared" si="44"/>
        <v>0</v>
      </c>
      <c r="K23" s="992">
        <f t="shared" si="45"/>
        <v>0.39658738381477154</v>
      </c>
      <c r="L23" s="1092">
        <f t="shared" si="46"/>
        <v>0.99999999999999989</v>
      </c>
      <c r="M23" s="102"/>
      <c r="N23" s="1143">
        <f t="shared" si="1"/>
        <v>2904.0969932083203</v>
      </c>
      <c r="O23" s="1136">
        <f>Parameters!R126</f>
        <v>0.73</v>
      </c>
      <c r="P23" s="1136">
        <f>E23*'MSW characteristics'!$B$28+'MSW characteristics'!$B$29*'4A SWD Case 1'!F23+'4A SWD Case 1'!G23*'MSW characteristics'!$B$30+'MSW characteristics'!$B$31*'4A SWD Case 1'!H23+'4A SWD Case 1'!I23*'MSW characteristics'!$B$32+'MSW characteristics'!$B$33*'4A SWD Case 1'!J23+'4A SWD Case 1'!K23*'MSW characteristics'!$B$35</f>
        <v>0.12048152225760915</v>
      </c>
      <c r="Q23" s="1135">
        <f t="shared" si="2"/>
        <v>127.70985968180169</v>
      </c>
      <c r="R23" s="1135">
        <f t="shared" si="3"/>
        <v>127.70985968180169</v>
      </c>
      <c r="S23" s="306">
        <f t="shared" si="4"/>
        <v>0</v>
      </c>
      <c r="T23" s="1135">
        <f t="shared" si="5"/>
        <v>632.54390470126998</v>
      </c>
      <c r="U23" s="1135">
        <f t="shared" si="6"/>
        <v>25.883394976091214</v>
      </c>
      <c r="V23" s="1311">
        <f t="shared" si="7"/>
        <v>17.255596650727476</v>
      </c>
      <c r="W23" s="10"/>
      <c r="X23" s="1143">
        <f>'Baseline data (from input)'!T11*'Baseline data (from input)'!U11</f>
        <v>0</v>
      </c>
      <c r="Y23" s="1136">
        <f>Parameters!S126</f>
        <v>0.71500000000000008</v>
      </c>
      <c r="Z23" s="1136">
        <f t="shared" si="8"/>
        <v>0.15</v>
      </c>
      <c r="AA23" s="1135">
        <f t="shared" si="9"/>
        <v>0</v>
      </c>
      <c r="AB23" s="1135">
        <f t="shared" si="10"/>
        <v>0</v>
      </c>
      <c r="AC23" s="306">
        <f t="shared" si="11"/>
        <v>0</v>
      </c>
      <c r="AD23" s="1135">
        <f t="shared" si="12"/>
        <v>0</v>
      </c>
      <c r="AE23" s="1135">
        <f t="shared" si="13"/>
        <v>0</v>
      </c>
      <c r="AF23" s="1311">
        <f t="shared" si="14"/>
        <v>0</v>
      </c>
      <c r="AH23" s="1143">
        <f>'Baseline data (from input)'!T11*'Baseline data (from input)'!U11</f>
        <v>0</v>
      </c>
      <c r="AI23" s="1136">
        <f>Parameters!S126</f>
        <v>0.71500000000000008</v>
      </c>
      <c r="AJ23" s="1136">
        <f t="shared" si="15"/>
        <v>0.15</v>
      </c>
      <c r="AK23" s="1135">
        <f t="shared" si="16"/>
        <v>0</v>
      </c>
      <c r="AL23" s="1135">
        <f t="shared" si="17"/>
        <v>0</v>
      </c>
      <c r="AM23" s="306">
        <f t="shared" si="18"/>
        <v>0</v>
      </c>
      <c r="AN23" s="1135">
        <f t="shared" si="19"/>
        <v>0</v>
      </c>
      <c r="AO23" s="1135">
        <f t="shared" si="20"/>
        <v>0</v>
      </c>
      <c r="AP23" s="1311">
        <f t="shared" si="21"/>
        <v>0</v>
      </c>
      <c r="AR23" s="1143">
        <v>0</v>
      </c>
      <c r="AS23" s="1136">
        <v>1</v>
      </c>
      <c r="AT23" s="1136">
        <f t="shared" si="22"/>
        <v>0.05</v>
      </c>
      <c r="AU23" s="1135">
        <f t="shared" si="23"/>
        <v>0</v>
      </c>
      <c r="AV23" s="1135">
        <f t="shared" si="24"/>
        <v>0</v>
      </c>
      <c r="AW23" s="306">
        <f t="shared" si="25"/>
        <v>0</v>
      </c>
      <c r="AX23" s="1135">
        <f t="shared" si="26"/>
        <v>0</v>
      </c>
      <c r="AY23" s="1135">
        <f t="shared" si="27"/>
        <v>0</v>
      </c>
      <c r="AZ23" s="1311">
        <f t="shared" si="28"/>
        <v>0</v>
      </c>
      <c r="BB23" s="323">
        <f t="shared" si="29"/>
        <v>17.255596650727476</v>
      </c>
      <c r="BC23" s="324">
        <f t="shared" si="30"/>
        <v>0</v>
      </c>
      <c r="BD23" s="1323">
        <f t="shared" si="31"/>
        <v>0</v>
      </c>
      <c r="BE23" s="324">
        <f t="shared" si="32"/>
        <v>17.255596650727476</v>
      </c>
      <c r="BF23" s="104">
        <v>0</v>
      </c>
      <c r="BG23" s="325">
        <f t="shared" si="33"/>
        <v>17.255596650727476</v>
      </c>
      <c r="BI23" s="323">
        <f t="shared" si="34"/>
        <v>17.255596650727476</v>
      </c>
      <c r="BJ23" s="324">
        <f t="shared" si="35"/>
        <v>0</v>
      </c>
      <c r="BK23" s="1323">
        <f t="shared" si="36"/>
        <v>0</v>
      </c>
      <c r="BL23" s="324">
        <f t="shared" si="37"/>
        <v>17.255596650727476</v>
      </c>
      <c r="BM23" s="104">
        <v>0</v>
      </c>
      <c r="BN23" s="325">
        <f t="shared" si="38"/>
        <v>17.255596650727476</v>
      </c>
    </row>
    <row r="24" spans="1:66">
      <c r="A24" s="1091">
        <f>'Input data'!A54</f>
        <v>1956</v>
      </c>
      <c r="B24" s="1080">
        <f>'Input data'!B54</f>
        <v>6.4651860000000001</v>
      </c>
      <c r="C24" s="1254">
        <f>'Baseline data (from input)'!B12</f>
        <v>578.73</v>
      </c>
      <c r="D24" s="1081">
        <f>'Baseline data (from input)'!L12</f>
        <v>0.8</v>
      </c>
      <c r="E24" s="992">
        <f t="shared" si="39"/>
        <v>0.24001298204245269</v>
      </c>
      <c r="F24" s="992">
        <f t="shared" si="40"/>
        <v>0.30440139352934503</v>
      </c>
      <c r="G24" s="992">
        <f t="shared" si="41"/>
        <v>5.8998240613430578E-2</v>
      </c>
      <c r="H24" s="992">
        <f t="shared" si="42"/>
        <v>0</v>
      </c>
      <c r="I24" s="992">
        <f t="shared" si="43"/>
        <v>0</v>
      </c>
      <c r="J24" s="992">
        <f t="shared" si="44"/>
        <v>0</v>
      </c>
      <c r="K24" s="992">
        <f t="shared" si="45"/>
        <v>0.39658738381477154</v>
      </c>
      <c r="L24" s="1092">
        <f t="shared" si="46"/>
        <v>0.99999999999999989</v>
      </c>
      <c r="M24" s="102"/>
      <c r="N24" s="1143">
        <f t="shared" si="1"/>
        <v>2993.2776750240005</v>
      </c>
      <c r="O24" s="1136">
        <f>Parameters!R127</f>
        <v>0.73</v>
      </c>
      <c r="P24" s="1136">
        <f>E24*'MSW characteristics'!$B$28+'MSW characteristics'!$B$29*'4A SWD Case 1'!F24+'4A SWD Case 1'!G24*'MSW characteristics'!$B$30+'MSW characteristics'!$B$31*'4A SWD Case 1'!H24+'4A SWD Case 1'!I24*'MSW characteristics'!$B$32+'MSW characteristics'!$B$33*'4A SWD Case 1'!J24+'4A SWD Case 1'!K24*'MSW characteristics'!$B$35</f>
        <v>0.12048152225760915</v>
      </c>
      <c r="Q24" s="1135">
        <f t="shared" si="2"/>
        <v>131.63164755171215</v>
      </c>
      <c r="R24" s="1135">
        <f t="shared" si="3"/>
        <v>131.63164755171215</v>
      </c>
      <c r="S24" s="306">
        <f t="shared" si="4"/>
        <v>0</v>
      </c>
      <c r="T24" s="1135">
        <f t="shared" si="5"/>
        <v>733.32602199213568</v>
      </c>
      <c r="U24" s="1135">
        <f t="shared" si="6"/>
        <v>30.849530260846446</v>
      </c>
      <c r="V24" s="1311">
        <f t="shared" si="7"/>
        <v>20.566353507230964</v>
      </c>
      <c r="W24" s="10"/>
      <c r="X24" s="1143">
        <f>'Baseline data (from input)'!T12*'Baseline data (from input)'!U12</f>
        <v>0</v>
      </c>
      <c r="Y24" s="1136">
        <f>Parameters!S127</f>
        <v>0.71500000000000008</v>
      </c>
      <c r="Z24" s="1136">
        <f t="shared" si="8"/>
        <v>0.15</v>
      </c>
      <c r="AA24" s="1135">
        <f t="shared" si="9"/>
        <v>0</v>
      </c>
      <c r="AB24" s="1135">
        <f t="shared" si="10"/>
        <v>0</v>
      </c>
      <c r="AC24" s="306">
        <f t="shared" si="11"/>
        <v>0</v>
      </c>
      <c r="AD24" s="1135">
        <f t="shared" si="12"/>
        <v>0</v>
      </c>
      <c r="AE24" s="1135">
        <f t="shared" si="13"/>
        <v>0</v>
      </c>
      <c r="AF24" s="1311">
        <f t="shared" si="14"/>
        <v>0</v>
      </c>
      <c r="AH24" s="1143">
        <f>'Baseline data (from input)'!T12*'Baseline data (from input)'!U12</f>
        <v>0</v>
      </c>
      <c r="AI24" s="1136">
        <f>Parameters!S127</f>
        <v>0.71500000000000008</v>
      </c>
      <c r="AJ24" s="1136">
        <f t="shared" si="15"/>
        <v>0.15</v>
      </c>
      <c r="AK24" s="1135">
        <f t="shared" si="16"/>
        <v>0</v>
      </c>
      <c r="AL24" s="1135">
        <f t="shared" si="17"/>
        <v>0</v>
      </c>
      <c r="AM24" s="306">
        <f t="shared" si="18"/>
        <v>0</v>
      </c>
      <c r="AN24" s="1135">
        <f t="shared" si="19"/>
        <v>0</v>
      </c>
      <c r="AO24" s="1135">
        <f t="shared" si="20"/>
        <v>0</v>
      </c>
      <c r="AP24" s="1311">
        <f t="shared" si="21"/>
        <v>0</v>
      </c>
      <c r="AR24" s="1143">
        <v>0</v>
      </c>
      <c r="AS24" s="1136">
        <v>1</v>
      </c>
      <c r="AT24" s="1136">
        <f t="shared" si="22"/>
        <v>0.05</v>
      </c>
      <c r="AU24" s="1135">
        <f t="shared" si="23"/>
        <v>0</v>
      </c>
      <c r="AV24" s="1135">
        <f t="shared" si="24"/>
        <v>0</v>
      </c>
      <c r="AW24" s="306">
        <f t="shared" si="25"/>
        <v>0</v>
      </c>
      <c r="AX24" s="1135">
        <f t="shared" si="26"/>
        <v>0</v>
      </c>
      <c r="AY24" s="1135">
        <f t="shared" si="27"/>
        <v>0</v>
      </c>
      <c r="AZ24" s="1311">
        <f t="shared" si="28"/>
        <v>0</v>
      </c>
      <c r="BB24" s="323">
        <f t="shared" si="29"/>
        <v>20.566353507230964</v>
      </c>
      <c r="BC24" s="324">
        <f t="shared" si="30"/>
        <v>0</v>
      </c>
      <c r="BD24" s="1323">
        <f t="shared" si="31"/>
        <v>0</v>
      </c>
      <c r="BE24" s="324">
        <f t="shared" si="32"/>
        <v>20.566353507230964</v>
      </c>
      <c r="BF24" s="104">
        <v>0</v>
      </c>
      <c r="BG24" s="325">
        <f t="shared" si="33"/>
        <v>20.566353507230964</v>
      </c>
      <c r="BI24" s="323">
        <f t="shared" si="34"/>
        <v>20.566353507230964</v>
      </c>
      <c r="BJ24" s="324">
        <f t="shared" si="35"/>
        <v>0</v>
      </c>
      <c r="BK24" s="1323">
        <f t="shared" si="36"/>
        <v>0</v>
      </c>
      <c r="BL24" s="324">
        <f t="shared" si="37"/>
        <v>20.566353507230964</v>
      </c>
      <c r="BM24" s="104">
        <v>0</v>
      </c>
      <c r="BN24" s="325">
        <f t="shared" si="38"/>
        <v>20.566353507230964</v>
      </c>
    </row>
    <row r="25" spans="1:66">
      <c r="A25" s="1091">
        <f>'Input data'!A55</f>
        <v>1957</v>
      </c>
      <c r="B25" s="1080">
        <f>'Input data'!B55</f>
        <v>6.6592707999999998</v>
      </c>
      <c r="C25" s="1254">
        <f>'Baseline data (from input)'!B13</f>
        <v>578.73</v>
      </c>
      <c r="D25" s="1081">
        <f>'Baseline data (from input)'!L13</f>
        <v>0.8</v>
      </c>
      <c r="E25" s="992">
        <f t="shared" si="39"/>
        <v>0.24001298204245269</v>
      </c>
      <c r="F25" s="992">
        <f t="shared" si="40"/>
        <v>0.30440139352934503</v>
      </c>
      <c r="G25" s="992">
        <f t="shared" si="41"/>
        <v>5.8998240613430578E-2</v>
      </c>
      <c r="H25" s="992">
        <f t="shared" si="42"/>
        <v>0</v>
      </c>
      <c r="I25" s="992">
        <f t="shared" si="43"/>
        <v>0</v>
      </c>
      <c r="J25" s="992">
        <f t="shared" si="44"/>
        <v>0</v>
      </c>
      <c r="K25" s="992">
        <f t="shared" si="45"/>
        <v>0.39658738381477154</v>
      </c>
      <c r="L25" s="1092">
        <f t="shared" si="46"/>
        <v>0.99999999999999989</v>
      </c>
      <c r="M25" s="102"/>
      <c r="N25" s="1143">
        <f t="shared" si="1"/>
        <v>3083.1358320672002</v>
      </c>
      <c r="O25" s="1136">
        <f>Parameters!R128</f>
        <v>0.73</v>
      </c>
      <c r="P25" s="1136">
        <f>E25*'MSW characteristics'!$B$28+'MSW characteristics'!$B$29*'4A SWD Case 1'!F25+'4A SWD Case 1'!G25*'MSW characteristics'!$B$30+'MSW characteristics'!$B$31*'4A SWD Case 1'!H25+'4A SWD Case 1'!I25*'MSW characteristics'!$B$32+'MSW characteristics'!$B$33*'4A SWD Case 1'!J25+'4A SWD Case 1'!K25*'MSW characteristics'!$B$35</f>
        <v>0.12048152225760915</v>
      </c>
      <c r="Q25" s="1135">
        <f t="shared" si="2"/>
        <v>135.58322790666938</v>
      </c>
      <c r="R25" s="1135">
        <f t="shared" si="3"/>
        <v>135.58322790666938</v>
      </c>
      <c r="S25" s="306">
        <f t="shared" si="4"/>
        <v>0</v>
      </c>
      <c r="T25" s="1135">
        <f t="shared" si="5"/>
        <v>833.14451777764657</v>
      </c>
      <c r="U25" s="1135">
        <f t="shared" si="6"/>
        <v>35.764732121158509</v>
      </c>
      <c r="V25" s="1311">
        <f t="shared" si="7"/>
        <v>23.843154747439005</v>
      </c>
      <c r="W25" s="10"/>
      <c r="X25" s="1143">
        <f>'Baseline data (from input)'!T13*'Baseline data (from input)'!U13</f>
        <v>0</v>
      </c>
      <c r="Y25" s="1136">
        <f>Parameters!S128</f>
        <v>0.71500000000000008</v>
      </c>
      <c r="Z25" s="1136">
        <f t="shared" si="8"/>
        <v>0.15</v>
      </c>
      <c r="AA25" s="1135">
        <f t="shared" si="9"/>
        <v>0</v>
      </c>
      <c r="AB25" s="1135">
        <f t="shared" si="10"/>
        <v>0</v>
      </c>
      <c r="AC25" s="306">
        <f t="shared" si="11"/>
        <v>0</v>
      </c>
      <c r="AD25" s="1135">
        <f t="shared" si="12"/>
        <v>0</v>
      </c>
      <c r="AE25" s="1135">
        <f t="shared" si="13"/>
        <v>0</v>
      </c>
      <c r="AF25" s="1311">
        <f t="shared" si="14"/>
        <v>0</v>
      </c>
      <c r="AH25" s="1143">
        <f>'Baseline data (from input)'!T13*'Baseline data (from input)'!U13</f>
        <v>0</v>
      </c>
      <c r="AI25" s="1136">
        <f>Parameters!S128</f>
        <v>0.71500000000000008</v>
      </c>
      <c r="AJ25" s="1136">
        <f t="shared" si="15"/>
        <v>0.15</v>
      </c>
      <c r="AK25" s="1135">
        <f t="shared" si="16"/>
        <v>0</v>
      </c>
      <c r="AL25" s="1135">
        <f t="shared" si="17"/>
        <v>0</v>
      </c>
      <c r="AM25" s="306">
        <f t="shared" si="18"/>
        <v>0</v>
      </c>
      <c r="AN25" s="1135">
        <f t="shared" si="19"/>
        <v>0</v>
      </c>
      <c r="AO25" s="1135">
        <f t="shared" si="20"/>
        <v>0</v>
      </c>
      <c r="AP25" s="1311">
        <f t="shared" si="21"/>
        <v>0</v>
      </c>
      <c r="AR25" s="1143">
        <v>0</v>
      </c>
      <c r="AS25" s="1136">
        <v>1</v>
      </c>
      <c r="AT25" s="1136">
        <f t="shared" si="22"/>
        <v>0.05</v>
      </c>
      <c r="AU25" s="1135">
        <f t="shared" si="23"/>
        <v>0</v>
      </c>
      <c r="AV25" s="1135">
        <f t="shared" si="24"/>
        <v>0</v>
      </c>
      <c r="AW25" s="306">
        <f t="shared" si="25"/>
        <v>0</v>
      </c>
      <c r="AX25" s="1151">
        <f t="shared" si="26"/>
        <v>0</v>
      </c>
      <c r="AY25" s="1151">
        <f t="shared" si="27"/>
        <v>0</v>
      </c>
      <c r="AZ25" s="1311">
        <f t="shared" si="28"/>
        <v>0</v>
      </c>
      <c r="BB25" s="323">
        <f t="shared" si="29"/>
        <v>23.843154747439005</v>
      </c>
      <c r="BC25" s="324">
        <f t="shared" si="30"/>
        <v>0</v>
      </c>
      <c r="BD25" s="1323">
        <f t="shared" si="31"/>
        <v>0</v>
      </c>
      <c r="BE25" s="324">
        <f t="shared" si="32"/>
        <v>23.843154747439005</v>
      </c>
      <c r="BF25" s="104">
        <v>0</v>
      </c>
      <c r="BG25" s="325">
        <f t="shared" si="33"/>
        <v>23.843154747439005</v>
      </c>
      <c r="BI25" s="323">
        <f t="shared" si="34"/>
        <v>23.843154747439005</v>
      </c>
      <c r="BJ25" s="324">
        <f t="shared" si="35"/>
        <v>0</v>
      </c>
      <c r="BK25" s="1323">
        <f t="shared" si="36"/>
        <v>0</v>
      </c>
      <c r="BL25" s="324">
        <f t="shared" si="37"/>
        <v>23.843154747439005</v>
      </c>
      <c r="BM25" s="104">
        <v>0</v>
      </c>
      <c r="BN25" s="325">
        <f t="shared" si="38"/>
        <v>23.843154747439005</v>
      </c>
    </row>
    <row r="26" spans="1:66">
      <c r="A26" s="1091">
        <f>'Input data'!A56</f>
        <v>1958</v>
      </c>
      <c r="B26" s="1080">
        <f>'Input data'!B56</f>
        <v>6.8699176</v>
      </c>
      <c r="C26" s="1254">
        <f>'Baseline data (from input)'!B14</f>
        <v>578.73</v>
      </c>
      <c r="D26" s="1081">
        <f>'Baseline data (from input)'!L14</f>
        <v>0.8</v>
      </c>
      <c r="E26" s="992">
        <f t="shared" si="39"/>
        <v>0.24001298204245269</v>
      </c>
      <c r="F26" s="992">
        <f t="shared" si="40"/>
        <v>0.30440139352934503</v>
      </c>
      <c r="G26" s="992">
        <f t="shared" si="41"/>
        <v>5.8998240613430578E-2</v>
      </c>
      <c r="H26" s="992">
        <f t="shared" si="42"/>
        <v>0</v>
      </c>
      <c r="I26" s="992">
        <f t="shared" si="43"/>
        <v>0</v>
      </c>
      <c r="J26" s="992">
        <f t="shared" si="44"/>
        <v>0</v>
      </c>
      <c r="K26" s="992">
        <f t="shared" si="45"/>
        <v>0.39658738381477154</v>
      </c>
      <c r="L26" s="1092">
        <f t="shared" si="46"/>
        <v>0.99999999999999989</v>
      </c>
      <c r="M26" s="102"/>
      <c r="N26" s="1143">
        <f t="shared" si="1"/>
        <v>3180.6619301184001</v>
      </c>
      <c r="O26" s="1136">
        <f>Parameters!R129</f>
        <v>0.73</v>
      </c>
      <c r="P26" s="1136">
        <f>E26*'MSW characteristics'!$B$28+'MSW characteristics'!$B$29*'4A SWD Case 1'!F26+'4A SWD Case 1'!G26*'MSW characteristics'!$B$30+'MSW characteristics'!$B$31*'4A SWD Case 1'!H26+'4A SWD Case 1'!I26*'MSW characteristics'!$B$32+'MSW characteristics'!$B$33*'4A SWD Case 1'!J26+'4A SWD Case 1'!K26*'MSW characteristics'!$B$35</f>
        <v>0.12048152225760915</v>
      </c>
      <c r="Q26" s="1135">
        <f t="shared" si="2"/>
        <v>139.87201176153388</v>
      </c>
      <c r="R26" s="1135">
        <f t="shared" si="3"/>
        <v>139.87201176153388</v>
      </c>
      <c r="S26" s="306">
        <f t="shared" si="4"/>
        <v>0</v>
      </c>
      <c r="T26" s="1135">
        <f t="shared" si="5"/>
        <v>932.38359193308952</v>
      </c>
      <c r="U26" s="1135">
        <f t="shared" si="6"/>
        <v>40.632937606090927</v>
      </c>
      <c r="V26" s="1311">
        <f t="shared" si="7"/>
        <v>27.088625070727286</v>
      </c>
      <c r="W26" s="10"/>
      <c r="X26" s="1143">
        <f>'Baseline data (from input)'!T14*'Baseline data (from input)'!U14</f>
        <v>0</v>
      </c>
      <c r="Y26" s="1136">
        <f>Parameters!S129</f>
        <v>0.71500000000000008</v>
      </c>
      <c r="Z26" s="1136">
        <f t="shared" si="8"/>
        <v>0.15</v>
      </c>
      <c r="AA26" s="1135">
        <f t="shared" si="9"/>
        <v>0</v>
      </c>
      <c r="AB26" s="1135">
        <f t="shared" si="10"/>
        <v>0</v>
      </c>
      <c r="AC26" s="306">
        <f t="shared" si="11"/>
        <v>0</v>
      </c>
      <c r="AD26" s="1135">
        <f t="shared" si="12"/>
        <v>0</v>
      </c>
      <c r="AE26" s="1135">
        <f t="shared" si="13"/>
        <v>0</v>
      </c>
      <c r="AF26" s="1311">
        <f t="shared" si="14"/>
        <v>0</v>
      </c>
      <c r="AH26" s="1143">
        <f>'Baseline data (from input)'!T14*'Baseline data (from input)'!U14</f>
        <v>0</v>
      </c>
      <c r="AI26" s="1136">
        <f>Parameters!S129</f>
        <v>0.71500000000000008</v>
      </c>
      <c r="AJ26" s="1136">
        <f t="shared" si="15"/>
        <v>0.15</v>
      </c>
      <c r="AK26" s="1135">
        <f t="shared" si="16"/>
        <v>0</v>
      </c>
      <c r="AL26" s="1135">
        <f t="shared" si="17"/>
        <v>0</v>
      </c>
      <c r="AM26" s="306">
        <f t="shared" si="18"/>
        <v>0</v>
      </c>
      <c r="AN26" s="1135">
        <f t="shared" si="19"/>
        <v>0</v>
      </c>
      <c r="AO26" s="1135">
        <f t="shared" si="20"/>
        <v>0</v>
      </c>
      <c r="AP26" s="1311">
        <f t="shared" si="21"/>
        <v>0</v>
      </c>
      <c r="AR26" s="1143">
        <v>0</v>
      </c>
      <c r="AS26" s="1136">
        <v>1</v>
      </c>
      <c r="AT26" s="1136">
        <f t="shared" si="22"/>
        <v>0.05</v>
      </c>
      <c r="AU26" s="1135">
        <f t="shared" si="23"/>
        <v>0</v>
      </c>
      <c r="AV26" s="1135">
        <f t="shared" si="24"/>
        <v>0</v>
      </c>
      <c r="AW26" s="306">
        <f t="shared" si="25"/>
        <v>0</v>
      </c>
      <c r="AX26" s="1151">
        <f t="shared" si="26"/>
        <v>0</v>
      </c>
      <c r="AY26" s="1151">
        <f t="shared" si="27"/>
        <v>0</v>
      </c>
      <c r="AZ26" s="1311">
        <f t="shared" si="28"/>
        <v>0</v>
      </c>
      <c r="BB26" s="323">
        <f t="shared" si="29"/>
        <v>27.088625070727286</v>
      </c>
      <c r="BC26" s="324">
        <f t="shared" si="30"/>
        <v>0</v>
      </c>
      <c r="BD26" s="1323">
        <f t="shared" si="31"/>
        <v>0</v>
      </c>
      <c r="BE26" s="324">
        <f t="shared" si="32"/>
        <v>27.088625070727286</v>
      </c>
      <c r="BF26" s="104">
        <v>0</v>
      </c>
      <c r="BG26" s="325">
        <f t="shared" si="33"/>
        <v>27.088625070727286</v>
      </c>
      <c r="BI26" s="323">
        <f t="shared" si="34"/>
        <v>27.088625070727286</v>
      </c>
      <c r="BJ26" s="324">
        <f t="shared" si="35"/>
        <v>0</v>
      </c>
      <c r="BK26" s="1323">
        <f t="shared" si="36"/>
        <v>0</v>
      </c>
      <c r="BL26" s="324">
        <f t="shared" si="37"/>
        <v>27.088625070727286</v>
      </c>
      <c r="BM26" s="104">
        <v>0</v>
      </c>
      <c r="BN26" s="325">
        <f t="shared" si="38"/>
        <v>27.088625070727286</v>
      </c>
    </row>
    <row r="27" spans="1:66">
      <c r="A27" s="1091">
        <f>'Input data'!A57</f>
        <v>1959</v>
      </c>
      <c r="B27" s="1080">
        <f>'Input data'!B57</f>
        <v>7.0827593200000001</v>
      </c>
      <c r="C27" s="1254">
        <f>'Baseline data (from input)'!B15</f>
        <v>578.73</v>
      </c>
      <c r="D27" s="1081">
        <f>'Baseline data (from input)'!L15</f>
        <v>0.8</v>
      </c>
      <c r="E27" s="992">
        <f t="shared" si="39"/>
        <v>0.24001298204245269</v>
      </c>
      <c r="F27" s="992">
        <f t="shared" si="40"/>
        <v>0.30440139352934503</v>
      </c>
      <c r="G27" s="992">
        <f t="shared" si="41"/>
        <v>5.8998240613430578E-2</v>
      </c>
      <c r="H27" s="992">
        <f t="shared" si="42"/>
        <v>0</v>
      </c>
      <c r="I27" s="992">
        <f t="shared" si="43"/>
        <v>0</v>
      </c>
      <c r="J27" s="992">
        <f t="shared" si="44"/>
        <v>0</v>
      </c>
      <c r="K27" s="992">
        <f t="shared" si="45"/>
        <v>0.39658738381477154</v>
      </c>
      <c r="L27" s="1092">
        <f t="shared" si="46"/>
        <v>0.99999999999999989</v>
      </c>
      <c r="M27" s="102"/>
      <c r="N27" s="1143">
        <f t="shared" si="1"/>
        <v>3279.2042410108802</v>
      </c>
      <c r="O27" s="1136">
        <f>Parameters!R130</f>
        <v>0.73</v>
      </c>
      <c r="P27" s="1136">
        <f>E27*'MSW characteristics'!$B$28+'MSW characteristics'!$B$29*'4A SWD Case 1'!F27+'4A SWD Case 1'!G27*'MSW characteristics'!$B$30+'MSW characteristics'!$B$31*'4A SWD Case 1'!H27+'4A SWD Case 1'!I27*'MSW characteristics'!$B$32+'MSW characteristics'!$B$33*'4A SWD Case 1'!J27+'4A SWD Case 1'!K27*'MSW characteristics'!$B$35</f>
        <v>0.12048152225760915</v>
      </c>
      <c r="Q27" s="1135">
        <f t="shared" si="2"/>
        <v>144.20548434396852</v>
      </c>
      <c r="R27" s="1135">
        <f t="shared" si="3"/>
        <v>144.20548434396852</v>
      </c>
      <c r="S27" s="306">
        <f t="shared" si="4"/>
        <v>0</v>
      </c>
      <c r="T27" s="1135">
        <f t="shared" si="5"/>
        <v>1031.1161919123899</v>
      </c>
      <c r="U27" s="1135">
        <f t="shared" si="6"/>
        <v>45.472884364668197</v>
      </c>
      <c r="V27" s="1311">
        <f t="shared" si="7"/>
        <v>30.315256243112131</v>
      </c>
      <c r="W27" s="10"/>
      <c r="X27" s="1143">
        <f>'Baseline data (from input)'!T15*'Baseline data (from input)'!U15</f>
        <v>0</v>
      </c>
      <c r="Y27" s="1136">
        <f>Parameters!S130</f>
        <v>0.71500000000000008</v>
      </c>
      <c r="Z27" s="1136">
        <f t="shared" si="8"/>
        <v>0.15</v>
      </c>
      <c r="AA27" s="1135">
        <f t="shared" si="9"/>
        <v>0</v>
      </c>
      <c r="AB27" s="1135">
        <f t="shared" si="10"/>
        <v>0</v>
      </c>
      <c r="AC27" s="306">
        <f t="shared" si="11"/>
        <v>0</v>
      </c>
      <c r="AD27" s="1135">
        <f t="shared" si="12"/>
        <v>0</v>
      </c>
      <c r="AE27" s="1135">
        <f t="shared" si="13"/>
        <v>0</v>
      </c>
      <c r="AF27" s="1311">
        <f t="shared" si="14"/>
        <v>0</v>
      </c>
      <c r="AH27" s="1143">
        <f>'Baseline data (from input)'!T15*'Baseline data (from input)'!U15</f>
        <v>0</v>
      </c>
      <c r="AI27" s="1136">
        <f>Parameters!S130</f>
        <v>0.71500000000000008</v>
      </c>
      <c r="AJ27" s="1136">
        <f t="shared" si="15"/>
        <v>0.15</v>
      </c>
      <c r="AK27" s="1135">
        <f t="shared" si="16"/>
        <v>0</v>
      </c>
      <c r="AL27" s="1135">
        <f t="shared" si="17"/>
        <v>0</v>
      </c>
      <c r="AM27" s="306">
        <f t="shared" si="18"/>
        <v>0</v>
      </c>
      <c r="AN27" s="1135">
        <f t="shared" si="19"/>
        <v>0</v>
      </c>
      <c r="AO27" s="1135">
        <f t="shared" si="20"/>
        <v>0</v>
      </c>
      <c r="AP27" s="1311">
        <f t="shared" si="21"/>
        <v>0</v>
      </c>
      <c r="AR27" s="1143">
        <v>0</v>
      </c>
      <c r="AS27" s="1136">
        <v>1</v>
      </c>
      <c r="AT27" s="1136">
        <f t="shared" si="22"/>
        <v>0.05</v>
      </c>
      <c r="AU27" s="1135">
        <f t="shared" si="23"/>
        <v>0</v>
      </c>
      <c r="AV27" s="1135">
        <f t="shared" si="24"/>
        <v>0</v>
      </c>
      <c r="AW27" s="306">
        <f t="shared" si="25"/>
        <v>0</v>
      </c>
      <c r="AX27" s="1151">
        <f t="shared" si="26"/>
        <v>0</v>
      </c>
      <c r="AY27" s="1151">
        <f t="shared" si="27"/>
        <v>0</v>
      </c>
      <c r="AZ27" s="1311">
        <f t="shared" si="28"/>
        <v>0</v>
      </c>
      <c r="BB27" s="323">
        <f t="shared" si="29"/>
        <v>30.315256243112131</v>
      </c>
      <c r="BC27" s="324">
        <f t="shared" si="30"/>
        <v>0</v>
      </c>
      <c r="BD27" s="1323">
        <f t="shared" si="31"/>
        <v>0</v>
      </c>
      <c r="BE27" s="324">
        <f t="shared" si="32"/>
        <v>30.315256243112131</v>
      </c>
      <c r="BF27" s="104">
        <v>0</v>
      </c>
      <c r="BG27" s="325">
        <f t="shared" si="33"/>
        <v>30.315256243112131</v>
      </c>
      <c r="BI27" s="323">
        <f t="shared" si="34"/>
        <v>30.315256243112131</v>
      </c>
      <c r="BJ27" s="324">
        <f t="shared" si="35"/>
        <v>0</v>
      </c>
      <c r="BK27" s="1323">
        <f t="shared" si="36"/>
        <v>0</v>
      </c>
      <c r="BL27" s="324">
        <f t="shared" si="37"/>
        <v>30.315256243112131</v>
      </c>
      <c r="BM27" s="104">
        <v>0</v>
      </c>
      <c r="BN27" s="325">
        <f t="shared" si="38"/>
        <v>30.315256243112131</v>
      </c>
    </row>
    <row r="28" spans="1:66">
      <c r="A28" s="1091">
        <f>'Input data'!A58</f>
        <v>1960</v>
      </c>
      <c r="B28" s="1080">
        <f>'Input data'!B58</f>
        <v>7.2819655999999995</v>
      </c>
      <c r="C28" s="1254">
        <f>'Baseline data (from input)'!B16</f>
        <v>578.73</v>
      </c>
      <c r="D28" s="1081">
        <f>'Baseline data (from input)'!L16</f>
        <v>0.8</v>
      </c>
      <c r="E28" s="992">
        <f t="shared" si="39"/>
        <v>0.24001298204245269</v>
      </c>
      <c r="F28" s="992">
        <f t="shared" si="40"/>
        <v>0.30440139352934503</v>
      </c>
      <c r="G28" s="992">
        <f t="shared" si="41"/>
        <v>5.8998240613430578E-2</v>
      </c>
      <c r="H28" s="992">
        <f t="shared" si="42"/>
        <v>0</v>
      </c>
      <c r="I28" s="992">
        <f t="shared" si="43"/>
        <v>0</v>
      </c>
      <c r="J28" s="992">
        <f t="shared" si="44"/>
        <v>0</v>
      </c>
      <c r="K28" s="992">
        <f t="shared" si="45"/>
        <v>0.39658738381477154</v>
      </c>
      <c r="L28" s="1092">
        <f t="shared" si="46"/>
        <v>0.99999999999999989</v>
      </c>
      <c r="M28" s="102"/>
      <c r="N28" s="1143">
        <f t="shared" si="1"/>
        <v>3371.4335613504004</v>
      </c>
      <c r="O28" s="1136">
        <f>Parameters!R131</f>
        <v>0.73</v>
      </c>
      <c r="P28" s="1136">
        <f>E28*'MSW characteristics'!$B$28+'MSW characteristics'!$B$29*'4A SWD Case 1'!F28+'4A SWD Case 1'!G28*'MSW characteristics'!$B$30+'MSW characteristics'!$B$31*'4A SWD Case 1'!H28+'4A SWD Case 1'!I28*'MSW characteristics'!$B$32+'MSW characteristics'!$B$33*'4A SWD Case 1'!J28+'4A SWD Case 1'!K28*'MSW characteristics'!$B$35</f>
        <v>0.12048152225760915</v>
      </c>
      <c r="Q28" s="1135">
        <f t="shared" si="2"/>
        <v>148.26133839658939</v>
      </c>
      <c r="R28" s="1135">
        <f t="shared" si="3"/>
        <v>148.26133839658939</v>
      </c>
      <c r="S28" s="306">
        <f t="shared" si="4"/>
        <v>0</v>
      </c>
      <c r="T28" s="1135">
        <f t="shared" si="5"/>
        <v>1129.0894002227799</v>
      </c>
      <c r="U28" s="1135">
        <f t="shared" si="6"/>
        <v>50.288130086199466</v>
      </c>
      <c r="V28" s="1311">
        <f t="shared" si="7"/>
        <v>33.525420057466313</v>
      </c>
      <c r="W28" s="10"/>
      <c r="X28" s="1143">
        <f>'Baseline data (from input)'!T16*'Baseline data (from input)'!U16</f>
        <v>0</v>
      </c>
      <c r="Y28" s="1136">
        <f>Parameters!S131</f>
        <v>0.71500000000000008</v>
      </c>
      <c r="Z28" s="1136">
        <f t="shared" si="8"/>
        <v>0.15</v>
      </c>
      <c r="AA28" s="1135">
        <f t="shared" si="9"/>
        <v>0</v>
      </c>
      <c r="AB28" s="1135">
        <f t="shared" si="10"/>
        <v>0</v>
      </c>
      <c r="AC28" s="306">
        <f t="shared" si="11"/>
        <v>0</v>
      </c>
      <c r="AD28" s="1135">
        <f t="shared" si="12"/>
        <v>0</v>
      </c>
      <c r="AE28" s="1135">
        <f t="shared" si="13"/>
        <v>0</v>
      </c>
      <c r="AF28" s="1311">
        <f t="shared" si="14"/>
        <v>0</v>
      </c>
      <c r="AH28" s="1143">
        <f>'Baseline data (from input)'!T16*'Baseline data (from input)'!U16</f>
        <v>0</v>
      </c>
      <c r="AI28" s="1136">
        <f>Parameters!S131</f>
        <v>0.71500000000000008</v>
      </c>
      <c r="AJ28" s="1136">
        <f t="shared" si="15"/>
        <v>0.15</v>
      </c>
      <c r="AK28" s="1135">
        <f t="shared" si="16"/>
        <v>0</v>
      </c>
      <c r="AL28" s="1135">
        <f t="shared" si="17"/>
        <v>0</v>
      </c>
      <c r="AM28" s="306">
        <f t="shared" si="18"/>
        <v>0</v>
      </c>
      <c r="AN28" s="1135">
        <f t="shared" si="19"/>
        <v>0</v>
      </c>
      <c r="AO28" s="1135">
        <f t="shared" si="20"/>
        <v>0</v>
      </c>
      <c r="AP28" s="1311">
        <f t="shared" si="21"/>
        <v>0</v>
      </c>
      <c r="AR28" s="1143">
        <v>0</v>
      </c>
      <c r="AS28" s="1136">
        <v>1</v>
      </c>
      <c r="AT28" s="1136">
        <f t="shared" si="22"/>
        <v>0.05</v>
      </c>
      <c r="AU28" s="1135">
        <f t="shared" si="23"/>
        <v>0</v>
      </c>
      <c r="AV28" s="1135">
        <f t="shared" si="24"/>
        <v>0</v>
      </c>
      <c r="AW28" s="306">
        <f t="shared" si="25"/>
        <v>0</v>
      </c>
      <c r="AX28" s="1151">
        <f t="shared" si="26"/>
        <v>0</v>
      </c>
      <c r="AY28" s="1151">
        <f t="shared" si="27"/>
        <v>0</v>
      </c>
      <c r="AZ28" s="1311">
        <f t="shared" si="28"/>
        <v>0</v>
      </c>
      <c r="BB28" s="323">
        <f t="shared" si="29"/>
        <v>33.525420057466313</v>
      </c>
      <c r="BC28" s="324">
        <f t="shared" si="30"/>
        <v>0</v>
      </c>
      <c r="BD28" s="1323">
        <f t="shared" si="31"/>
        <v>0</v>
      </c>
      <c r="BE28" s="324">
        <f t="shared" si="32"/>
        <v>33.525420057466313</v>
      </c>
      <c r="BF28" s="104">
        <v>0</v>
      </c>
      <c r="BG28" s="325">
        <f t="shared" si="33"/>
        <v>33.525420057466313</v>
      </c>
      <c r="BI28" s="323">
        <f t="shared" si="34"/>
        <v>33.525420057466313</v>
      </c>
      <c r="BJ28" s="324">
        <f t="shared" si="35"/>
        <v>0</v>
      </c>
      <c r="BK28" s="1323">
        <f t="shared" si="36"/>
        <v>0</v>
      </c>
      <c r="BL28" s="324">
        <f t="shared" si="37"/>
        <v>33.525420057466313</v>
      </c>
      <c r="BM28" s="104">
        <v>0</v>
      </c>
      <c r="BN28" s="325">
        <f t="shared" si="38"/>
        <v>33.525420057466313</v>
      </c>
    </row>
    <row r="29" spans="1:66">
      <c r="A29" s="1091">
        <f>'Input data'!A59</f>
        <v>1961</v>
      </c>
      <c r="B29" s="1080">
        <f>'Input data'!B59</f>
        <v>7.6498422000000001</v>
      </c>
      <c r="C29" s="1254">
        <f>'Baseline data (from input)'!B17</f>
        <v>578.73</v>
      </c>
      <c r="D29" s="1081">
        <f>'Baseline data (from input)'!L17</f>
        <v>0.8</v>
      </c>
      <c r="E29" s="992">
        <f t="shared" si="39"/>
        <v>0.24001298204245269</v>
      </c>
      <c r="F29" s="992">
        <f t="shared" si="40"/>
        <v>0.30440139352934503</v>
      </c>
      <c r="G29" s="992">
        <f t="shared" si="41"/>
        <v>5.8998240613430578E-2</v>
      </c>
      <c r="H29" s="992">
        <f t="shared" si="42"/>
        <v>0</v>
      </c>
      <c r="I29" s="992">
        <f t="shared" si="43"/>
        <v>0</v>
      </c>
      <c r="J29" s="992">
        <f t="shared" si="44"/>
        <v>0</v>
      </c>
      <c r="K29" s="992">
        <f t="shared" si="45"/>
        <v>0.39658738381477154</v>
      </c>
      <c r="L29" s="1092">
        <f t="shared" si="46"/>
        <v>0.99999999999999989</v>
      </c>
      <c r="M29" s="102"/>
      <c r="N29" s="1143">
        <f t="shared" si="1"/>
        <v>3541.7545411248002</v>
      </c>
      <c r="O29" s="1136">
        <f>Parameters!R132</f>
        <v>0.73</v>
      </c>
      <c r="P29" s="1136">
        <f>E29*'MSW characteristics'!$B$28+'MSW characteristics'!$B$29*'4A SWD Case 1'!F29+'4A SWD Case 1'!G29*'MSW characteristics'!$B$30+'MSW characteristics'!$B$31*'4A SWD Case 1'!H29+'4A SWD Case 1'!I29*'MSW characteristics'!$B$32+'MSW characteristics'!$B$33*'4A SWD Case 1'!J29+'4A SWD Case 1'!K29*'MSW characteristics'!$B$35</f>
        <v>0.12048152225760915</v>
      </c>
      <c r="Q29" s="1135">
        <f t="shared" si="2"/>
        <v>155.7513321807933</v>
      </c>
      <c r="R29" s="1135">
        <f t="shared" si="3"/>
        <v>155.7513321807933</v>
      </c>
      <c r="S29" s="306">
        <f t="shared" si="4"/>
        <v>0</v>
      </c>
      <c r="T29" s="1135">
        <f t="shared" si="5"/>
        <v>1229.7743925645646</v>
      </c>
      <c r="U29" s="1135">
        <f t="shared" si="6"/>
        <v>55.066339839008613</v>
      </c>
      <c r="V29" s="1311">
        <f t="shared" si="7"/>
        <v>36.710893226005744</v>
      </c>
      <c r="W29" s="10"/>
      <c r="X29" s="1143">
        <f>'Baseline data (from input)'!T17*'Baseline data (from input)'!U17</f>
        <v>14134.745938604165</v>
      </c>
      <c r="Y29" s="1136">
        <f>Parameters!S132</f>
        <v>0.71500000000000008</v>
      </c>
      <c r="Z29" s="1136">
        <f t="shared" si="8"/>
        <v>0.15</v>
      </c>
      <c r="AA29" s="1135">
        <f t="shared" si="9"/>
        <v>757.97575095764842</v>
      </c>
      <c r="AB29" s="1135">
        <f t="shared" si="10"/>
        <v>757.97575095764842</v>
      </c>
      <c r="AC29" s="306">
        <f t="shared" si="11"/>
        <v>0</v>
      </c>
      <c r="AD29" s="1135">
        <f t="shared" si="12"/>
        <v>757.97575095764842</v>
      </c>
      <c r="AE29" s="1135">
        <f t="shared" si="13"/>
        <v>0</v>
      </c>
      <c r="AF29" s="1311">
        <f t="shared" si="14"/>
        <v>0</v>
      </c>
      <c r="AH29" s="1143">
        <f>'Baseline data (from input)'!T17*'Baseline data (from input)'!U17</f>
        <v>14134.745938604165</v>
      </c>
      <c r="AI29" s="1136">
        <f>Parameters!S132</f>
        <v>0.71500000000000008</v>
      </c>
      <c r="AJ29" s="1136">
        <f t="shared" si="15"/>
        <v>0.15</v>
      </c>
      <c r="AK29" s="1135">
        <f t="shared" si="16"/>
        <v>757.97575095764842</v>
      </c>
      <c r="AL29" s="1135">
        <f t="shared" si="17"/>
        <v>757.97575095764842</v>
      </c>
      <c r="AM29" s="306">
        <f t="shared" si="18"/>
        <v>0</v>
      </c>
      <c r="AN29" s="1135">
        <f t="shared" si="19"/>
        <v>757.97575095764842</v>
      </c>
      <c r="AO29" s="1135">
        <f t="shared" si="20"/>
        <v>0</v>
      </c>
      <c r="AP29" s="1311">
        <f t="shared" si="21"/>
        <v>0</v>
      </c>
      <c r="AR29" s="1143">
        <v>0</v>
      </c>
      <c r="AS29" s="1136">
        <v>1</v>
      </c>
      <c r="AT29" s="1136">
        <f t="shared" si="22"/>
        <v>0.05</v>
      </c>
      <c r="AU29" s="1135">
        <f t="shared" si="23"/>
        <v>0</v>
      </c>
      <c r="AV29" s="1135">
        <f t="shared" si="24"/>
        <v>0</v>
      </c>
      <c r="AW29" s="306">
        <f t="shared" si="25"/>
        <v>0</v>
      </c>
      <c r="AX29" s="1151">
        <f t="shared" si="26"/>
        <v>0</v>
      </c>
      <c r="AY29" s="1151">
        <f t="shared" si="27"/>
        <v>0</v>
      </c>
      <c r="AZ29" s="1311">
        <f t="shared" si="28"/>
        <v>0</v>
      </c>
      <c r="BB29" s="323">
        <f t="shared" si="29"/>
        <v>36.710893226005744</v>
      </c>
      <c r="BC29" s="324">
        <f t="shared" si="30"/>
        <v>0</v>
      </c>
      <c r="BD29" s="1323">
        <f t="shared" si="31"/>
        <v>0</v>
      </c>
      <c r="BE29" s="324">
        <f t="shared" si="32"/>
        <v>36.710893226005744</v>
      </c>
      <c r="BF29" s="104">
        <v>0</v>
      </c>
      <c r="BG29" s="325">
        <f t="shared" si="33"/>
        <v>36.710893226005744</v>
      </c>
      <c r="BI29" s="323">
        <f t="shared" si="34"/>
        <v>36.710893226005744</v>
      </c>
      <c r="BJ29" s="324">
        <f t="shared" si="35"/>
        <v>0</v>
      </c>
      <c r="BK29" s="1323">
        <f t="shared" si="36"/>
        <v>0</v>
      </c>
      <c r="BL29" s="324">
        <f t="shared" si="37"/>
        <v>36.710893226005744</v>
      </c>
      <c r="BM29" s="104">
        <v>0</v>
      </c>
      <c r="BN29" s="325">
        <f t="shared" si="38"/>
        <v>36.710893226005744</v>
      </c>
    </row>
    <row r="30" spans="1:66">
      <c r="A30" s="1091">
        <f>'Input data'!A60</f>
        <v>1962</v>
      </c>
      <c r="B30" s="1080">
        <f>'Input data'!B60</f>
        <v>7.8559936000000006</v>
      </c>
      <c r="C30" s="1254">
        <f>'Baseline data (from input)'!B18</f>
        <v>578.73</v>
      </c>
      <c r="D30" s="1081">
        <f>'Baseline data (from input)'!L18</f>
        <v>0.8</v>
      </c>
      <c r="E30" s="992">
        <f t="shared" si="39"/>
        <v>0.24001298204245269</v>
      </c>
      <c r="F30" s="992">
        <f t="shared" si="40"/>
        <v>0.30440139352934503</v>
      </c>
      <c r="G30" s="992">
        <f t="shared" si="41"/>
        <v>5.8998240613430578E-2</v>
      </c>
      <c r="H30" s="992">
        <f t="shared" si="42"/>
        <v>0</v>
      </c>
      <c r="I30" s="992">
        <f t="shared" si="43"/>
        <v>0</v>
      </c>
      <c r="J30" s="992">
        <f t="shared" si="44"/>
        <v>0</v>
      </c>
      <c r="K30" s="992">
        <f t="shared" si="45"/>
        <v>0.39658738381477154</v>
      </c>
      <c r="L30" s="1092">
        <f t="shared" si="46"/>
        <v>0.99999999999999989</v>
      </c>
      <c r="M30" s="102"/>
      <c r="N30" s="1143">
        <f t="shared" si="1"/>
        <v>3637.1993409024008</v>
      </c>
      <c r="O30" s="1136">
        <f>Parameters!R133</f>
        <v>0.73</v>
      </c>
      <c r="P30" s="1136">
        <f>E30*'MSW characteristics'!$B$28+'MSW characteristics'!$B$29*'4A SWD Case 1'!F30+'4A SWD Case 1'!G30*'MSW characteristics'!$B$30+'MSW characteristics'!$B$31*'4A SWD Case 1'!H30+'4A SWD Case 1'!I30*'MSW characteristics'!$B$32+'MSW characteristics'!$B$33*'4A SWD Case 1'!J30+'4A SWD Case 1'!K30*'MSW characteristics'!$B$35</f>
        <v>0.12048152225760915</v>
      </c>
      <c r="Q30" s="1135">
        <f t="shared" si="2"/>
        <v>159.94858937139728</v>
      </c>
      <c r="R30" s="1135">
        <f t="shared" si="3"/>
        <v>159.94858937139728</v>
      </c>
      <c r="S30" s="306">
        <f t="shared" si="4"/>
        <v>0</v>
      </c>
      <c r="T30" s="1135">
        <f t="shared" si="5"/>
        <v>1329.7461770763032</v>
      </c>
      <c r="U30" s="1135">
        <f t="shared" si="6"/>
        <v>59.976804859658657</v>
      </c>
      <c r="V30" s="1311">
        <f t="shared" si="7"/>
        <v>39.984536573105771</v>
      </c>
      <c r="W30" s="10"/>
      <c r="X30" s="1143">
        <f>'Baseline data (from input)'!T18*'Baseline data (from input)'!U18</f>
        <v>15007.974018466391</v>
      </c>
      <c r="Y30" s="1136">
        <f>Parameters!S133</f>
        <v>0.71500000000000008</v>
      </c>
      <c r="Z30" s="1136">
        <f t="shared" si="8"/>
        <v>0.15</v>
      </c>
      <c r="AA30" s="1135">
        <f t="shared" si="9"/>
        <v>804.80260674026022</v>
      </c>
      <c r="AB30" s="1135">
        <f t="shared" si="10"/>
        <v>804.80260674026022</v>
      </c>
      <c r="AC30" s="306">
        <f t="shared" si="11"/>
        <v>0</v>
      </c>
      <c r="AD30" s="1135">
        <f t="shared" si="12"/>
        <v>1525.8114441092007</v>
      </c>
      <c r="AE30" s="1135">
        <f t="shared" si="13"/>
        <v>36.966913588707982</v>
      </c>
      <c r="AF30" s="1311">
        <f t="shared" si="14"/>
        <v>24.644609059138656</v>
      </c>
      <c r="AH30" s="1143">
        <f>'Baseline data (from input)'!T18*'Baseline data (from input)'!U18</f>
        <v>15007.974018466391</v>
      </c>
      <c r="AI30" s="1136">
        <f>Parameters!S133</f>
        <v>0.71500000000000008</v>
      </c>
      <c r="AJ30" s="1136">
        <f t="shared" si="15"/>
        <v>0.15</v>
      </c>
      <c r="AK30" s="1135">
        <f t="shared" si="16"/>
        <v>804.80260674026022</v>
      </c>
      <c r="AL30" s="1135">
        <f t="shared" si="17"/>
        <v>804.80260674026022</v>
      </c>
      <c r="AM30" s="306">
        <f t="shared" si="18"/>
        <v>0</v>
      </c>
      <c r="AN30" s="1135">
        <f t="shared" si="19"/>
        <v>1525.8114441092007</v>
      </c>
      <c r="AO30" s="1135">
        <f t="shared" si="20"/>
        <v>36.966913588707982</v>
      </c>
      <c r="AP30" s="1311">
        <f t="shared" si="21"/>
        <v>24.644609059138656</v>
      </c>
      <c r="AR30" s="1143">
        <v>0</v>
      </c>
      <c r="AS30" s="1136">
        <v>1</v>
      </c>
      <c r="AT30" s="1136">
        <f t="shared" si="22"/>
        <v>0.05</v>
      </c>
      <c r="AU30" s="1135">
        <f t="shared" si="23"/>
        <v>0</v>
      </c>
      <c r="AV30" s="1135">
        <f t="shared" si="24"/>
        <v>0</v>
      </c>
      <c r="AW30" s="306">
        <f t="shared" si="25"/>
        <v>0</v>
      </c>
      <c r="AX30" s="1151">
        <f t="shared" si="26"/>
        <v>0</v>
      </c>
      <c r="AY30" s="1151">
        <f t="shared" si="27"/>
        <v>0</v>
      </c>
      <c r="AZ30" s="1311">
        <f t="shared" si="28"/>
        <v>0</v>
      </c>
      <c r="BB30" s="323">
        <f t="shared" si="29"/>
        <v>39.984536573105771</v>
      </c>
      <c r="BC30" s="324">
        <f t="shared" si="30"/>
        <v>24.644609059138656</v>
      </c>
      <c r="BD30" s="1323">
        <f t="shared" si="31"/>
        <v>0</v>
      </c>
      <c r="BE30" s="324">
        <f t="shared" si="32"/>
        <v>64.62914563224443</v>
      </c>
      <c r="BF30" s="104">
        <v>0</v>
      </c>
      <c r="BG30" s="325">
        <f t="shared" si="33"/>
        <v>64.62914563224443</v>
      </c>
      <c r="BI30" s="323">
        <f t="shared" si="34"/>
        <v>39.984536573105771</v>
      </c>
      <c r="BJ30" s="324">
        <f t="shared" si="35"/>
        <v>24.644609059138656</v>
      </c>
      <c r="BK30" s="1323">
        <f t="shared" si="36"/>
        <v>0</v>
      </c>
      <c r="BL30" s="324">
        <f t="shared" si="37"/>
        <v>64.62914563224443</v>
      </c>
      <c r="BM30" s="104">
        <v>0</v>
      </c>
      <c r="BN30" s="325">
        <f t="shared" si="38"/>
        <v>64.62914563224443</v>
      </c>
    </row>
    <row r="31" spans="1:66">
      <c r="A31" s="127">
        <f>'Input data'!A61</f>
        <v>1963</v>
      </c>
      <c r="B31" s="1082">
        <f>'Input data'!B61</f>
        <v>8.062145000000001</v>
      </c>
      <c r="C31" s="995">
        <f>'Baseline data (from input)'!B19</f>
        <v>578.73</v>
      </c>
      <c r="D31" s="1081">
        <f>'Baseline data (from input)'!L19</f>
        <v>0.8</v>
      </c>
      <c r="E31" s="992">
        <f t="shared" si="39"/>
        <v>0.24001298204245269</v>
      </c>
      <c r="F31" s="992">
        <f t="shared" si="40"/>
        <v>0.30440139352934503</v>
      </c>
      <c r="G31" s="992">
        <f t="shared" si="41"/>
        <v>5.8998240613430578E-2</v>
      </c>
      <c r="H31" s="992">
        <f t="shared" si="42"/>
        <v>0</v>
      </c>
      <c r="I31" s="992">
        <f t="shared" si="43"/>
        <v>0</v>
      </c>
      <c r="J31" s="992">
        <f t="shared" si="44"/>
        <v>0</v>
      </c>
      <c r="K31" s="992">
        <f t="shared" si="45"/>
        <v>0.39658738381477154</v>
      </c>
      <c r="L31" s="1092">
        <f t="shared" si="46"/>
        <v>0.99999999999999989</v>
      </c>
      <c r="M31" s="101"/>
      <c r="N31" s="323">
        <f t="shared" si="1"/>
        <v>3732.6441406800004</v>
      </c>
      <c r="O31" s="1137">
        <f>Parameters!R134</f>
        <v>0.73</v>
      </c>
      <c r="P31" s="1137">
        <f>E31*'MSW characteristics'!$B$28+'MSW characteristics'!$B$29*'4A SWD Case 1'!F31+'4A SWD Case 1'!G31*'MSW characteristics'!$B$30+'MSW characteristics'!$B$31*'4A SWD Case 1'!H31+'4A SWD Case 1'!I31*'MSW characteristics'!$B$32+'MSW characteristics'!$B$33*'4A SWD Case 1'!J31+'4A SWD Case 1'!K31*'MSW characteristics'!$B$35</f>
        <v>0.12048152225760915</v>
      </c>
      <c r="Q31" s="1135">
        <f t="shared" si="2"/>
        <v>164.14584656200122</v>
      </c>
      <c r="R31" s="1135">
        <f t="shared" si="3"/>
        <v>164.14584656200122</v>
      </c>
      <c r="S31" s="306">
        <f t="shared" si="4"/>
        <v>0</v>
      </c>
      <c r="T31" s="1135">
        <f t="shared" si="5"/>
        <v>1429.0395373143176</v>
      </c>
      <c r="U31" s="1135">
        <f t="shared" si="6"/>
        <v>64.852486323986753</v>
      </c>
      <c r="V31" s="1311">
        <f t="shared" si="7"/>
        <v>43.234990882657833</v>
      </c>
      <c r="X31" s="1143">
        <f>'Baseline data (from input)'!T19*'Baseline data (from input)'!U19</f>
        <v>16114.603909461506</v>
      </c>
      <c r="Y31" s="1136">
        <f>Parameters!S134</f>
        <v>0.71500000000000008</v>
      </c>
      <c r="Z31" s="1136">
        <f t="shared" si="8"/>
        <v>0.15</v>
      </c>
      <c r="AA31" s="1135">
        <f t="shared" si="9"/>
        <v>864.14563464487333</v>
      </c>
      <c r="AB31" s="1135">
        <f t="shared" si="10"/>
        <v>864.14563464487333</v>
      </c>
      <c r="AC31" s="306">
        <f t="shared" si="11"/>
        <v>0</v>
      </c>
      <c r="AD31" s="1135">
        <f t="shared" si="12"/>
        <v>2315.5423765214719</v>
      </c>
      <c r="AE31" s="1135">
        <f t="shared" si="13"/>
        <v>74.414702232602352</v>
      </c>
      <c r="AF31" s="1311">
        <f t="shared" si="14"/>
        <v>49.609801488401565</v>
      </c>
      <c r="AH31" s="1143">
        <f>'Baseline data (from input)'!T19*'Baseline data (from input)'!U19</f>
        <v>16114.603909461506</v>
      </c>
      <c r="AI31" s="1136">
        <f>Parameters!S134</f>
        <v>0.71500000000000008</v>
      </c>
      <c r="AJ31" s="1136">
        <f t="shared" si="15"/>
        <v>0.15</v>
      </c>
      <c r="AK31" s="1135">
        <f t="shared" si="16"/>
        <v>864.14563464487333</v>
      </c>
      <c r="AL31" s="1135">
        <f t="shared" si="17"/>
        <v>864.14563464487333</v>
      </c>
      <c r="AM31" s="306">
        <f t="shared" si="18"/>
        <v>0</v>
      </c>
      <c r="AN31" s="1135">
        <f t="shared" si="19"/>
        <v>2315.5423765214719</v>
      </c>
      <c r="AO31" s="1135">
        <f t="shared" si="20"/>
        <v>74.414702232602352</v>
      </c>
      <c r="AP31" s="1311">
        <f t="shared" si="21"/>
        <v>49.609801488401565</v>
      </c>
      <c r="AR31" s="1143">
        <v>0</v>
      </c>
      <c r="AS31" s="1136">
        <v>1</v>
      </c>
      <c r="AT31" s="1136">
        <f t="shared" si="22"/>
        <v>0.05</v>
      </c>
      <c r="AU31" s="1135">
        <f t="shared" si="23"/>
        <v>0</v>
      </c>
      <c r="AV31" s="1135">
        <f t="shared" si="24"/>
        <v>0</v>
      </c>
      <c r="AW31" s="306">
        <f t="shared" si="25"/>
        <v>0</v>
      </c>
      <c r="AX31" s="1151">
        <f t="shared" si="26"/>
        <v>0</v>
      </c>
      <c r="AY31" s="1151">
        <f t="shared" si="27"/>
        <v>0</v>
      </c>
      <c r="AZ31" s="1311">
        <f t="shared" si="28"/>
        <v>0</v>
      </c>
      <c r="BB31" s="323">
        <f t="shared" si="29"/>
        <v>43.234990882657833</v>
      </c>
      <c r="BC31" s="324">
        <f t="shared" si="30"/>
        <v>49.609801488401565</v>
      </c>
      <c r="BD31" s="1323">
        <f t="shared" si="31"/>
        <v>0</v>
      </c>
      <c r="BE31" s="324">
        <f t="shared" si="32"/>
        <v>92.844792371059398</v>
      </c>
      <c r="BF31" s="104">
        <v>0</v>
      </c>
      <c r="BG31" s="325">
        <f t="shared" si="33"/>
        <v>92.844792371059398</v>
      </c>
      <c r="BI31" s="323">
        <f t="shared" si="34"/>
        <v>43.234990882657833</v>
      </c>
      <c r="BJ31" s="324">
        <f t="shared" si="35"/>
        <v>49.609801488401565</v>
      </c>
      <c r="BK31" s="1323">
        <f t="shared" si="36"/>
        <v>0</v>
      </c>
      <c r="BL31" s="324">
        <f t="shared" si="37"/>
        <v>92.844792371059398</v>
      </c>
      <c r="BM31" s="104">
        <v>0</v>
      </c>
      <c r="BN31" s="325">
        <f t="shared" si="38"/>
        <v>92.844792371059398</v>
      </c>
    </row>
    <row r="32" spans="1:66">
      <c r="A32" s="127">
        <f>'Input data'!A62</f>
        <v>1964</v>
      </c>
      <c r="B32" s="1082">
        <f>'Input data'!B62</f>
        <v>8.2682964000000005</v>
      </c>
      <c r="C32" s="995">
        <f>'Baseline data (from input)'!B20</f>
        <v>578.73</v>
      </c>
      <c r="D32" s="1081">
        <f>'Baseline data (from input)'!L20</f>
        <v>0.8</v>
      </c>
      <c r="E32" s="992">
        <f t="shared" si="39"/>
        <v>0.24001298204245269</v>
      </c>
      <c r="F32" s="992">
        <f t="shared" si="40"/>
        <v>0.30440139352934503</v>
      </c>
      <c r="G32" s="992">
        <f t="shared" si="41"/>
        <v>5.8998240613430578E-2</v>
      </c>
      <c r="H32" s="992">
        <f t="shared" si="42"/>
        <v>0</v>
      </c>
      <c r="I32" s="992">
        <f t="shared" si="43"/>
        <v>0</v>
      </c>
      <c r="J32" s="992">
        <f t="shared" si="44"/>
        <v>0</v>
      </c>
      <c r="K32" s="992">
        <f t="shared" si="45"/>
        <v>0.39658738381477154</v>
      </c>
      <c r="L32" s="1092">
        <f t="shared" si="46"/>
        <v>0.99999999999999989</v>
      </c>
      <c r="N32" s="323">
        <f t="shared" si="1"/>
        <v>3828.0889404576005</v>
      </c>
      <c r="O32" s="1137">
        <f>Parameters!R135</f>
        <v>0.73</v>
      </c>
      <c r="P32" s="1137">
        <f>E32*'MSW characteristics'!$B$28+'MSW characteristics'!$B$29*'4A SWD Case 1'!F32+'4A SWD Case 1'!G32*'MSW characteristics'!$B$30+'MSW characteristics'!$B$31*'4A SWD Case 1'!H32+'4A SWD Case 1'!I32*'MSW characteristics'!$B$32+'MSW characteristics'!$B$33*'4A SWD Case 1'!J32+'4A SWD Case 1'!K32*'MSW characteristics'!$B$35</f>
        <v>0.12048152225760915</v>
      </c>
      <c r="Q32" s="1135">
        <f t="shared" si="2"/>
        <v>168.34310375260517</v>
      </c>
      <c r="R32" s="1135">
        <f t="shared" si="3"/>
        <v>168.34310375260517</v>
      </c>
      <c r="S32" s="306">
        <f t="shared" si="4"/>
        <v>0</v>
      </c>
      <c r="T32" s="1135">
        <f t="shared" si="5"/>
        <v>1527.6875604208701</v>
      </c>
      <c r="U32" s="1135">
        <f t="shared" si="6"/>
        <v>69.695080646052631</v>
      </c>
      <c r="V32" s="1311">
        <f t="shared" si="7"/>
        <v>46.463387097368418</v>
      </c>
      <c r="X32" s="1143">
        <f>'Baseline data (from input)'!T20*'Baseline data (from input)'!U20</f>
        <v>17394.068276696889</v>
      </c>
      <c r="Y32" s="1136">
        <f>Parameters!S135</f>
        <v>0.71500000000000008</v>
      </c>
      <c r="Z32" s="1136">
        <f t="shared" si="8"/>
        <v>0.15</v>
      </c>
      <c r="AA32" s="1135">
        <f t="shared" si="9"/>
        <v>932.75691133787075</v>
      </c>
      <c r="AB32" s="1135">
        <f t="shared" si="10"/>
        <v>932.75691133787075</v>
      </c>
      <c r="AC32" s="306">
        <f t="shared" si="11"/>
        <v>0</v>
      </c>
      <c r="AD32" s="1135">
        <f t="shared" si="12"/>
        <v>3135.3689535634062</v>
      </c>
      <c r="AE32" s="1135">
        <f t="shared" si="13"/>
        <v>112.93033429593653</v>
      </c>
      <c r="AF32" s="1311">
        <f t="shared" si="14"/>
        <v>75.28688953062435</v>
      </c>
      <c r="AH32" s="1143">
        <f>'Baseline data (from input)'!T20*'Baseline data (from input)'!U20</f>
        <v>17394.068276696889</v>
      </c>
      <c r="AI32" s="1136">
        <f>Parameters!S135</f>
        <v>0.71500000000000008</v>
      </c>
      <c r="AJ32" s="1136">
        <f t="shared" si="15"/>
        <v>0.15</v>
      </c>
      <c r="AK32" s="1135">
        <f t="shared" si="16"/>
        <v>932.75691133787075</v>
      </c>
      <c r="AL32" s="1135">
        <f t="shared" si="17"/>
        <v>932.75691133787075</v>
      </c>
      <c r="AM32" s="306">
        <f t="shared" si="18"/>
        <v>0</v>
      </c>
      <c r="AN32" s="1135">
        <f t="shared" si="19"/>
        <v>3135.3689535634062</v>
      </c>
      <c r="AO32" s="1135">
        <f t="shared" si="20"/>
        <v>112.93033429593653</v>
      </c>
      <c r="AP32" s="1311">
        <f t="shared" si="21"/>
        <v>75.28688953062435</v>
      </c>
      <c r="AR32" s="1143">
        <v>0</v>
      </c>
      <c r="AS32" s="1136">
        <v>1</v>
      </c>
      <c r="AT32" s="1136">
        <f t="shared" si="22"/>
        <v>0.05</v>
      </c>
      <c r="AU32" s="1135">
        <f t="shared" si="23"/>
        <v>0</v>
      </c>
      <c r="AV32" s="1135">
        <f t="shared" si="24"/>
        <v>0</v>
      </c>
      <c r="AW32" s="306">
        <f t="shared" si="25"/>
        <v>0</v>
      </c>
      <c r="AX32" s="1151">
        <f t="shared" si="26"/>
        <v>0</v>
      </c>
      <c r="AY32" s="1151">
        <f t="shared" si="27"/>
        <v>0</v>
      </c>
      <c r="AZ32" s="1311">
        <f t="shared" si="28"/>
        <v>0</v>
      </c>
      <c r="BB32" s="323">
        <f t="shared" si="29"/>
        <v>46.463387097368418</v>
      </c>
      <c r="BC32" s="324">
        <f t="shared" si="30"/>
        <v>75.28688953062435</v>
      </c>
      <c r="BD32" s="1323">
        <f t="shared" si="31"/>
        <v>0</v>
      </c>
      <c r="BE32" s="324">
        <f t="shared" si="32"/>
        <v>121.75027662799278</v>
      </c>
      <c r="BF32" s="104">
        <v>0</v>
      </c>
      <c r="BG32" s="325">
        <f t="shared" si="33"/>
        <v>121.75027662799278</v>
      </c>
      <c r="BI32" s="323">
        <f t="shared" si="34"/>
        <v>46.463387097368418</v>
      </c>
      <c r="BJ32" s="324">
        <f t="shared" si="35"/>
        <v>75.28688953062435</v>
      </c>
      <c r="BK32" s="1323">
        <f t="shared" si="36"/>
        <v>0</v>
      </c>
      <c r="BL32" s="324">
        <f t="shared" si="37"/>
        <v>121.75027662799278</v>
      </c>
      <c r="BM32" s="104">
        <v>0</v>
      </c>
      <c r="BN32" s="325">
        <f t="shared" si="38"/>
        <v>121.75027662799278</v>
      </c>
    </row>
    <row r="33" spans="1:66">
      <c r="A33" s="127">
        <f>'Input data'!A63</f>
        <v>1965</v>
      </c>
      <c r="B33" s="1082">
        <f>'Input data'!B63</f>
        <v>8.4744478000000001</v>
      </c>
      <c r="C33" s="995">
        <f>'Baseline data (from input)'!B21</f>
        <v>578.73</v>
      </c>
      <c r="D33" s="1081">
        <f>'Baseline data (from input)'!L21</f>
        <v>0.8</v>
      </c>
      <c r="E33" s="992">
        <f t="shared" si="39"/>
        <v>0.24001298204245269</v>
      </c>
      <c r="F33" s="992">
        <f t="shared" si="40"/>
        <v>0.30440139352934503</v>
      </c>
      <c r="G33" s="992">
        <f t="shared" si="41"/>
        <v>5.8998240613430578E-2</v>
      </c>
      <c r="H33" s="992">
        <f t="shared" si="42"/>
        <v>0</v>
      </c>
      <c r="I33" s="992">
        <f t="shared" si="43"/>
        <v>0</v>
      </c>
      <c r="J33" s="992">
        <f t="shared" si="44"/>
        <v>0</v>
      </c>
      <c r="K33" s="992">
        <f t="shared" si="45"/>
        <v>0.39658738381477154</v>
      </c>
      <c r="L33" s="1092">
        <f t="shared" si="46"/>
        <v>0.99999999999999989</v>
      </c>
      <c r="N33" s="323">
        <f t="shared" si="1"/>
        <v>3923.5337402352002</v>
      </c>
      <c r="O33" s="1137">
        <f>Parameters!R136</f>
        <v>0.73</v>
      </c>
      <c r="P33" s="1137">
        <f>E33*'MSW characteristics'!$B$28+'MSW characteristics'!$B$29*'4A SWD Case 1'!F33+'4A SWD Case 1'!G33*'MSW characteristics'!$B$30+'MSW characteristics'!$B$31*'4A SWD Case 1'!H33+'4A SWD Case 1'!I33*'MSW characteristics'!$B$32+'MSW characteristics'!$B$33*'4A SWD Case 1'!J33+'4A SWD Case 1'!K33*'MSW characteristics'!$B$35</f>
        <v>0.12048152225760915</v>
      </c>
      <c r="Q33" s="1135">
        <f t="shared" si="2"/>
        <v>172.54036094320912</v>
      </c>
      <c r="R33" s="1135">
        <f t="shared" si="3"/>
        <v>172.54036094320912</v>
      </c>
      <c r="S33" s="306">
        <f t="shared" si="4"/>
        <v>0</v>
      </c>
      <c r="T33" s="1135">
        <f t="shared" si="5"/>
        <v>1625.7217198592532</v>
      </c>
      <c r="U33" s="1135">
        <f t="shared" si="6"/>
        <v>74.506201504826066</v>
      </c>
      <c r="V33" s="1311">
        <f t="shared" si="7"/>
        <v>49.670801003217377</v>
      </c>
      <c r="X33" s="1143">
        <f>'Baseline data (from input)'!T21*'Baseline data (from input)'!U21</f>
        <v>18459.065475364121</v>
      </c>
      <c r="Y33" s="1136">
        <f>Parameters!S136</f>
        <v>0.71500000000000008</v>
      </c>
      <c r="Z33" s="1136">
        <f t="shared" si="8"/>
        <v>0.15</v>
      </c>
      <c r="AA33" s="1135">
        <f t="shared" si="9"/>
        <v>989.86738611640101</v>
      </c>
      <c r="AB33" s="1135">
        <f t="shared" si="10"/>
        <v>989.86738611640101</v>
      </c>
      <c r="AC33" s="306">
        <f t="shared" si="11"/>
        <v>0</v>
      </c>
      <c r="AD33" s="1135">
        <f t="shared" si="12"/>
        <v>3972.3225914119257</v>
      </c>
      <c r="AE33" s="1135">
        <f t="shared" si="13"/>
        <v>152.9137482678814</v>
      </c>
      <c r="AF33" s="1311">
        <f t="shared" si="14"/>
        <v>101.94249884525426</v>
      </c>
      <c r="AH33" s="1143">
        <f>'Baseline data (from input)'!T21*'Baseline data (from input)'!U21</f>
        <v>18459.065475364121</v>
      </c>
      <c r="AI33" s="1136">
        <f>Parameters!S136</f>
        <v>0.71500000000000008</v>
      </c>
      <c r="AJ33" s="1136">
        <f t="shared" si="15"/>
        <v>0.15</v>
      </c>
      <c r="AK33" s="1135">
        <f t="shared" si="16"/>
        <v>989.86738611640101</v>
      </c>
      <c r="AL33" s="1135">
        <f t="shared" si="17"/>
        <v>989.86738611640101</v>
      </c>
      <c r="AM33" s="306">
        <f t="shared" si="18"/>
        <v>0</v>
      </c>
      <c r="AN33" s="1135">
        <f t="shared" si="19"/>
        <v>3972.3225914119257</v>
      </c>
      <c r="AO33" s="1135">
        <f t="shared" si="20"/>
        <v>152.9137482678814</v>
      </c>
      <c r="AP33" s="1311">
        <f t="shared" si="21"/>
        <v>101.94249884525426</v>
      </c>
      <c r="AR33" s="1143">
        <v>0</v>
      </c>
      <c r="AS33" s="1136">
        <v>1</v>
      </c>
      <c r="AT33" s="1136">
        <f t="shared" si="22"/>
        <v>0.05</v>
      </c>
      <c r="AU33" s="1135">
        <f t="shared" si="23"/>
        <v>0</v>
      </c>
      <c r="AV33" s="1135">
        <f t="shared" si="24"/>
        <v>0</v>
      </c>
      <c r="AW33" s="306">
        <f t="shared" si="25"/>
        <v>0</v>
      </c>
      <c r="AX33" s="1151">
        <f t="shared" si="26"/>
        <v>0</v>
      </c>
      <c r="AY33" s="1151">
        <f t="shared" si="27"/>
        <v>0</v>
      </c>
      <c r="AZ33" s="1311">
        <f t="shared" si="28"/>
        <v>0</v>
      </c>
      <c r="BB33" s="323">
        <f t="shared" si="29"/>
        <v>49.670801003217377</v>
      </c>
      <c r="BC33" s="324">
        <f t="shared" si="30"/>
        <v>101.94249884525426</v>
      </c>
      <c r="BD33" s="1323">
        <f t="shared" si="31"/>
        <v>0</v>
      </c>
      <c r="BE33" s="324">
        <f t="shared" si="32"/>
        <v>151.61329984847163</v>
      </c>
      <c r="BF33" s="104">
        <v>0</v>
      </c>
      <c r="BG33" s="325">
        <f t="shared" si="33"/>
        <v>151.61329984847163</v>
      </c>
      <c r="BI33" s="323">
        <f t="shared" si="34"/>
        <v>49.670801003217377</v>
      </c>
      <c r="BJ33" s="324">
        <f t="shared" si="35"/>
        <v>101.94249884525426</v>
      </c>
      <c r="BK33" s="1323">
        <f t="shared" si="36"/>
        <v>0</v>
      </c>
      <c r="BL33" s="324">
        <f t="shared" si="37"/>
        <v>151.61329984847163</v>
      </c>
      <c r="BM33" s="104">
        <v>0</v>
      </c>
      <c r="BN33" s="325">
        <f t="shared" si="38"/>
        <v>151.61329984847163</v>
      </c>
    </row>
    <row r="34" spans="1:66">
      <c r="A34" s="127">
        <f>'Input data'!A64</f>
        <v>1966</v>
      </c>
      <c r="B34" s="1082">
        <f>'Input data'!B64</f>
        <v>8.7407319999999995</v>
      </c>
      <c r="C34" s="995">
        <f>'Baseline data (from input)'!B22</f>
        <v>578.73</v>
      </c>
      <c r="D34" s="1081">
        <f>'Baseline data (from input)'!L22</f>
        <v>0.8</v>
      </c>
      <c r="E34" s="992">
        <f t="shared" si="39"/>
        <v>0.24001298204245269</v>
      </c>
      <c r="F34" s="992">
        <f t="shared" si="40"/>
        <v>0.30440139352934503</v>
      </c>
      <c r="G34" s="992">
        <f t="shared" si="41"/>
        <v>5.8998240613430578E-2</v>
      </c>
      <c r="H34" s="992">
        <f t="shared" si="42"/>
        <v>0</v>
      </c>
      <c r="I34" s="992">
        <f t="shared" si="43"/>
        <v>0</v>
      </c>
      <c r="J34" s="992">
        <f t="shared" si="44"/>
        <v>0</v>
      </c>
      <c r="K34" s="992">
        <f t="shared" si="45"/>
        <v>0.39658738381477154</v>
      </c>
      <c r="L34" s="1092">
        <f t="shared" si="46"/>
        <v>0.99999999999999989</v>
      </c>
      <c r="N34" s="323">
        <f t="shared" si="1"/>
        <v>4046.8190642879999</v>
      </c>
      <c r="O34" s="1137">
        <f>Parameters!R137</f>
        <v>0.73</v>
      </c>
      <c r="P34" s="1137">
        <f>E34*'MSW characteristics'!$B$28+'MSW characteristics'!$B$29*'4A SWD Case 1'!F34+'4A SWD Case 1'!G34*'MSW characteristics'!$B$30+'MSW characteristics'!$B$31*'4A SWD Case 1'!H34+'4A SWD Case 1'!I34*'MSW characteristics'!$B$32+'MSW characteristics'!$B$33*'4A SWD Case 1'!J34+'4A SWD Case 1'!K34*'MSW characteristics'!$B$35</f>
        <v>0.12048152225760915</v>
      </c>
      <c r="Q34" s="1135">
        <f t="shared" si="2"/>
        <v>177.96192622578405</v>
      </c>
      <c r="R34" s="1135">
        <f t="shared" si="3"/>
        <v>177.96192622578405</v>
      </c>
      <c r="S34" s="306">
        <f t="shared" si="4"/>
        <v>0</v>
      </c>
      <c r="T34" s="1135">
        <f t="shared" si="5"/>
        <v>1724.3962622058125</v>
      </c>
      <c r="U34" s="1135">
        <f t="shared" si="6"/>
        <v>79.287383879224762</v>
      </c>
      <c r="V34" s="1311">
        <f t="shared" si="7"/>
        <v>52.858255919483177</v>
      </c>
      <c r="X34" s="1143">
        <f>'Baseline data (from input)'!T22*'Baseline data (from input)'!U22</f>
        <v>19278.33570436815</v>
      </c>
      <c r="Y34" s="1136">
        <f>Parameters!S137</f>
        <v>0.71500000000000008</v>
      </c>
      <c r="Z34" s="1136">
        <f t="shared" si="8"/>
        <v>0.15</v>
      </c>
      <c r="AA34" s="1135">
        <f t="shared" si="9"/>
        <v>1033.8007521467421</v>
      </c>
      <c r="AB34" s="1135">
        <f t="shared" si="10"/>
        <v>1033.8007521467421</v>
      </c>
      <c r="AC34" s="306">
        <f t="shared" si="11"/>
        <v>0</v>
      </c>
      <c r="AD34" s="1135">
        <f t="shared" si="12"/>
        <v>4812.3908847066932</v>
      </c>
      <c r="AE34" s="1135">
        <f t="shared" si="13"/>
        <v>193.73245885197468</v>
      </c>
      <c r="AF34" s="1311">
        <f t="shared" si="14"/>
        <v>129.15497256798312</v>
      </c>
      <c r="AH34" s="1143">
        <f>'Baseline data (from input)'!T22*'Baseline data (from input)'!U22</f>
        <v>19278.33570436815</v>
      </c>
      <c r="AI34" s="1136">
        <f>Parameters!S137</f>
        <v>0.71500000000000008</v>
      </c>
      <c r="AJ34" s="1136">
        <f t="shared" si="15"/>
        <v>0.15</v>
      </c>
      <c r="AK34" s="1135">
        <f t="shared" si="16"/>
        <v>1033.8007521467421</v>
      </c>
      <c r="AL34" s="1135">
        <f t="shared" si="17"/>
        <v>1033.8007521467421</v>
      </c>
      <c r="AM34" s="306">
        <f t="shared" si="18"/>
        <v>0</v>
      </c>
      <c r="AN34" s="1135">
        <f t="shared" si="19"/>
        <v>4812.3908847066932</v>
      </c>
      <c r="AO34" s="1135">
        <f t="shared" si="20"/>
        <v>193.73245885197468</v>
      </c>
      <c r="AP34" s="1311">
        <f t="shared" si="21"/>
        <v>129.15497256798312</v>
      </c>
      <c r="AR34" s="1143">
        <v>0</v>
      </c>
      <c r="AS34" s="1136">
        <v>1</v>
      </c>
      <c r="AT34" s="1136">
        <f t="shared" si="22"/>
        <v>0.05</v>
      </c>
      <c r="AU34" s="1135">
        <f t="shared" si="23"/>
        <v>0</v>
      </c>
      <c r="AV34" s="1135">
        <f t="shared" si="24"/>
        <v>0</v>
      </c>
      <c r="AW34" s="306">
        <f t="shared" si="25"/>
        <v>0</v>
      </c>
      <c r="AX34" s="1151">
        <f t="shared" si="26"/>
        <v>0</v>
      </c>
      <c r="AY34" s="1151">
        <f t="shared" si="27"/>
        <v>0</v>
      </c>
      <c r="AZ34" s="1311">
        <f t="shared" si="28"/>
        <v>0</v>
      </c>
      <c r="BB34" s="323">
        <f t="shared" si="29"/>
        <v>52.858255919483177</v>
      </c>
      <c r="BC34" s="324">
        <f t="shared" si="30"/>
        <v>129.15497256798312</v>
      </c>
      <c r="BD34" s="1323">
        <f t="shared" si="31"/>
        <v>0</v>
      </c>
      <c r="BE34" s="324">
        <f t="shared" si="32"/>
        <v>182.01322848746631</v>
      </c>
      <c r="BF34" s="104">
        <v>0</v>
      </c>
      <c r="BG34" s="325">
        <f t="shared" si="33"/>
        <v>182.01322848746631</v>
      </c>
      <c r="BI34" s="323">
        <f t="shared" si="34"/>
        <v>52.858255919483177</v>
      </c>
      <c r="BJ34" s="324">
        <f t="shared" si="35"/>
        <v>129.15497256798312</v>
      </c>
      <c r="BK34" s="1323">
        <f t="shared" si="36"/>
        <v>0</v>
      </c>
      <c r="BL34" s="324">
        <f t="shared" si="37"/>
        <v>182.01322848746631</v>
      </c>
      <c r="BM34" s="104">
        <v>0</v>
      </c>
      <c r="BN34" s="325">
        <f t="shared" si="38"/>
        <v>182.01322848746631</v>
      </c>
    </row>
    <row r="35" spans="1:66">
      <c r="A35" s="127">
        <f>'Input data'!A65</f>
        <v>1967</v>
      </c>
      <c r="B35" s="1082">
        <f>'Input data'!B65</f>
        <v>9.0098299199999996</v>
      </c>
      <c r="C35" s="995">
        <f>'Baseline data (from input)'!B23</f>
        <v>578.73</v>
      </c>
      <c r="D35" s="1081">
        <f>'Baseline data (from input)'!L23</f>
        <v>0.8</v>
      </c>
      <c r="E35" s="992">
        <f t="shared" si="39"/>
        <v>0.24001298204245269</v>
      </c>
      <c r="F35" s="992">
        <f t="shared" si="40"/>
        <v>0.30440139352934503</v>
      </c>
      <c r="G35" s="992">
        <f t="shared" si="41"/>
        <v>5.8998240613430578E-2</v>
      </c>
      <c r="H35" s="992">
        <f t="shared" si="42"/>
        <v>0</v>
      </c>
      <c r="I35" s="992">
        <f t="shared" si="43"/>
        <v>0</v>
      </c>
      <c r="J35" s="992">
        <f t="shared" si="44"/>
        <v>0</v>
      </c>
      <c r="K35" s="992">
        <f t="shared" si="45"/>
        <v>0.39658738381477154</v>
      </c>
      <c r="L35" s="1092">
        <f t="shared" si="46"/>
        <v>0.99999999999999989</v>
      </c>
      <c r="N35" s="323">
        <f t="shared" si="1"/>
        <v>4171.4070956812802</v>
      </c>
      <c r="O35" s="1137">
        <f>Parameters!R138</f>
        <v>0.73</v>
      </c>
      <c r="P35" s="1137">
        <f>E35*'MSW characteristics'!$B$28+'MSW characteristics'!$B$29*'4A SWD Case 1'!F35+'4A SWD Case 1'!G35*'MSW characteristics'!$B$30+'MSW characteristics'!$B$31*'4A SWD Case 1'!H35+'4A SWD Case 1'!I35*'MSW characteristics'!$B$32+'MSW characteristics'!$B$33*'4A SWD Case 1'!J35+'4A SWD Case 1'!K35*'MSW characteristics'!$B$35</f>
        <v>0.12048152225760915</v>
      </c>
      <c r="Q35" s="1135">
        <f t="shared" si="2"/>
        <v>183.44077904801361</v>
      </c>
      <c r="R35" s="1135">
        <f t="shared" si="3"/>
        <v>183.44077904801361</v>
      </c>
      <c r="S35" s="306">
        <f t="shared" si="4"/>
        <v>0</v>
      </c>
      <c r="T35" s="1135">
        <f t="shared" si="5"/>
        <v>1823.737243157231</v>
      </c>
      <c r="U35" s="1135">
        <f t="shared" si="6"/>
        <v>84.099798096595123</v>
      </c>
      <c r="V35" s="1311">
        <f t="shared" si="7"/>
        <v>56.066532064396746</v>
      </c>
      <c r="X35" s="1143">
        <f>'Baseline data (from input)'!T23*'Baseline data (from input)'!U23</f>
        <v>20665.715773493925</v>
      </c>
      <c r="Y35" s="1136">
        <f>Parameters!S138</f>
        <v>0.71500000000000008</v>
      </c>
      <c r="Z35" s="1136">
        <f t="shared" si="8"/>
        <v>0.15</v>
      </c>
      <c r="AA35" s="1135">
        <f t="shared" si="9"/>
        <v>1108.1990083536118</v>
      </c>
      <c r="AB35" s="1135">
        <f t="shared" si="10"/>
        <v>1108.1990083536118</v>
      </c>
      <c r="AC35" s="306">
        <f t="shared" si="11"/>
        <v>0</v>
      </c>
      <c r="AD35" s="1135">
        <f t="shared" si="12"/>
        <v>5685.8868200856414</v>
      </c>
      <c r="AE35" s="1135">
        <f t="shared" si="13"/>
        <v>234.70307297466346</v>
      </c>
      <c r="AF35" s="1311">
        <f t="shared" si="14"/>
        <v>156.46871531644231</v>
      </c>
      <c r="AH35" s="1143">
        <f>'Baseline data (from input)'!T23*'Baseline data (from input)'!U23</f>
        <v>20665.715773493925</v>
      </c>
      <c r="AI35" s="1136">
        <f>Parameters!S138</f>
        <v>0.71500000000000008</v>
      </c>
      <c r="AJ35" s="1136">
        <f t="shared" si="15"/>
        <v>0.15</v>
      </c>
      <c r="AK35" s="1135">
        <f t="shared" si="16"/>
        <v>1108.1990083536118</v>
      </c>
      <c r="AL35" s="1135">
        <f t="shared" si="17"/>
        <v>1108.1990083536118</v>
      </c>
      <c r="AM35" s="306">
        <f t="shared" si="18"/>
        <v>0</v>
      </c>
      <c r="AN35" s="1135">
        <f t="shared" si="19"/>
        <v>5685.8868200856414</v>
      </c>
      <c r="AO35" s="1135">
        <f t="shared" si="20"/>
        <v>234.70307297466346</v>
      </c>
      <c r="AP35" s="1311">
        <f t="shared" si="21"/>
        <v>156.46871531644231</v>
      </c>
      <c r="AR35" s="1143">
        <v>0</v>
      </c>
      <c r="AS35" s="1136">
        <v>1</v>
      </c>
      <c r="AT35" s="1136">
        <f t="shared" si="22"/>
        <v>0.05</v>
      </c>
      <c r="AU35" s="1135">
        <f t="shared" si="23"/>
        <v>0</v>
      </c>
      <c r="AV35" s="1135">
        <f t="shared" si="24"/>
        <v>0</v>
      </c>
      <c r="AW35" s="306">
        <f t="shared" si="25"/>
        <v>0</v>
      </c>
      <c r="AX35" s="1151">
        <f t="shared" si="26"/>
        <v>0</v>
      </c>
      <c r="AY35" s="1151">
        <f t="shared" si="27"/>
        <v>0</v>
      </c>
      <c r="AZ35" s="1311">
        <f t="shared" si="28"/>
        <v>0</v>
      </c>
      <c r="BB35" s="323">
        <f t="shared" si="29"/>
        <v>56.066532064396746</v>
      </c>
      <c r="BC35" s="324">
        <f t="shared" si="30"/>
        <v>156.46871531644231</v>
      </c>
      <c r="BD35" s="1323">
        <f t="shared" si="31"/>
        <v>0</v>
      </c>
      <c r="BE35" s="324">
        <f t="shared" si="32"/>
        <v>212.53524738083905</v>
      </c>
      <c r="BF35" s="104">
        <v>0</v>
      </c>
      <c r="BG35" s="325">
        <f t="shared" si="33"/>
        <v>212.53524738083905</v>
      </c>
      <c r="BI35" s="323">
        <f t="shared" si="34"/>
        <v>56.066532064396746</v>
      </c>
      <c r="BJ35" s="324">
        <f t="shared" si="35"/>
        <v>156.46871531644231</v>
      </c>
      <c r="BK35" s="1323">
        <f t="shared" si="36"/>
        <v>0</v>
      </c>
      <c r="BL35" s="324">
        <f t="shared" si="37"/>
        <v>212.53524738083905</v>
      </c>
      <c r="BM35" s="104">
        <v>0</v>
      </c>
      <c r="BN35" s="325">
        <f t="shared" si="38"/>
        <v>212.53524738083905</v>
      </c>
    </row>
    <row r="36" spans="1:66">
      <c r="A36" s="127">
        <f>'Input data'!A66</f>
        <v>1968</v>
      </c>
      <c r="B36" s="1082">
        <f>'Input data'!B66</f>
        <v>9.2808861600000014</v>
      </c>
      <c r="C36" s="995">
        <f>'Baseline data (from input)'!B24</f>
        <v>578.73</v>
      </c>
      <c r="D36" s="1081">
        <f>'Baseline data (from input)'!L24</f>
        <v>0.8</v>
      </c>
      <c r="E36" s="992">
        <f t="shared" si="39"/>
        <v>0.24001298204245269</v>
      </c>
      <c r="F36" s="992">
        <f t="shared" si="40"/>
        <v>0.30440139352934503</v>
      </c>
      <c r="G36" s="992">
        <f t="shared" si="41"/>
        <v>5.8998240613430578E-2</v>
      </c>
      <c r="H36" s="992">
        <f t="shared" si="42"/>
        <v>0</v>
      </c>
      <c r="I36" s="992">
        <f t="shared" si="43"/>
        <v>0</v>
      </c>
      <c r="J36" s="992">
        <f t="shared" si="44"/>
        <v>0</v>
      </c>
      <c r="K36" s="992">
        <f t="shared" si="45"/>
        <v>0.39658738381477154</v>
      </c>
      <c r="L36" s="1092">
        <f t="shared" si="46"/>
        <v>0.99999999999999989</v>
      </c>
      <c r="N36" s="323">
        <f t="shared" si="1"/>
        <v>4296.9017979014416</v>
      </c>
      <c r="O36" s="1137">
        <f>Parameters!R139</f>
        <v>0.73</v>
      </c>
      <c r="P36" s="1137">
        <f>E36*'MSW characteristics'!$B$28+'MSW characteristics'!$B$29*'4A SWD Case 1'!F36+'4A SWD Case 1'!G36*'MSW characteristics'!$B$30+'MSW characteristics'!$B$31*'4A SWD Case 1'!H36+'4A SWD Case 1'!I36*'MSW characteristics'!$B$32+'MSW characteristics'!$B$33*'4A SWD Case 1'!J36+'4A SWD Case 1'!K36*'MSW characteristics'!$B$35</f>
        <v>0.12048152225760915</v>
      </c>
      <c r="Q36" s="1135">
        <f t="shared" si="2"/>
        <v>188.95950340495753</v>
      </c>
      <c r="R36" s="1135">
        <f t="shared" si="3"/>
        <v>188.95950340495753</v>
      </c>
      <c r="S36" s="306">
        <f t="shared" si="4"/>
        <v>0</v>
      </c>
      <c r="T36" s="1135">
        <f t="shared" si="5"/>
        <v>1923.7520316539292</v>
      </c>
      <c r="U36" s="1135">
        <f t="shared" si="6"/>
        <v>88.944714908259414</v>
      </c>
      <c r="V36" s="1311">
        <f t="shared" si="7"/>
        <v>59.296476605506278</v>
      </c>
      <c r="X36" s="1143">
        <f>'Baseline data (from input)'!T24*'Baseline data (from input)'!U24</f>
        <v>21524.054873564084</v>
      </c>
      <c r="Y36" s="1136">
        <f>Parameters!S139</f>
        <v>0.71500000000000008</v>
      </c>
      <c r="Z36" s="1136">
        <f t="shared" si="8"/>
        <v>0.15</v>
      </c>
      <c r="AA36" s="1135">
        <f t="shared" si="9"/>
        <v>1154.227442594874</v>
      </c>
      <c r="AB36" s="1135">
        <f t="shared" si="10"/>
        <v>1154.227442594874</v>
      </c>
      <c r="AC36" s="306">
        <f t="shared" si="11"/>
        <v>0</v>
      </c>
      <c r="AD36" s="1135">
        <f t="shared" si="12"/>
        <v>6562.8102902411338</v>
      </c>
      <c r="AE36" s="1135">
        <f t="shared" si="13"/>
        <v>277.30397243938188</v>
      </c>
      <c r="AF36" s="1311">
        <f t="shared" si="14"/>
        <v>184.86931495958791</v>
      </c>
      <c r="AH36" s="1143">
        <f>'Baseline data (from input)'!T24*'Baseline data (from input)'!U24</f>
        <v>21524.054873564084</v>
      </c>
      <c r="AI36" s="1136">
        <f>Parameters!S139</f>
        <v>0.71500000000000008</v>
      </c>
      <c r="AJ36" s="1136">
        <f t="shared" si="15"/>
        <v>0.15</v>
      </c>
      <c r="AK36" s="1135">
        <f t="shared" si="16"/>
        <v>1154.227442594874</v>
      </c>
      <c r="AL36" s="1135">
        <f t="shared" si="17"/>
        <v>1154.227442594874</v>
      </c>
      <c r="AM36" s="306">
        <f t="shared" si="18"/>
        <v>0</v>
      </c>
      <c r="AN36" s="1135">
        <f t="shared" si="19"/>
        <v>6562.8102902411338</v>
      </c>
      <c r="AO36" s="1135">
        <f t="shared" si="20"/>
        <v>277.30397243938188</v>
      </c>
      <c r="AP36" s="1311">
        <f t="shared" si="21"/>
        <v>184.86931495958791</v>
      </c>
      <c r="AR36" s="1143">
        <v>0</v>
      </c>
      <c r="AS36" s="1136">
        <v>1</v>
      </c>
      <c r="AT36" s="1136">
        <f t="shared" si="22"/>
        <v>0.05</v>
      </c>
      <c r="AU36" s="1135">
        <f t="shared" si="23"/>
        <v>0</v>
      </c>
      <c r="AV36" s="1135">
        <f t="shared" si="24"/>
        <v>0</v>
      </c>
      <c r="AW36" s="306">
        <f t="shared" si="25"/>
        <v>0</v>
      </c>
      <c r="AX36" s="1151">
        <f t="shared" si="26"/>
        <v>0</v>
      </c>
      <c r="AY36" s="1151">
        <f t="shared" si="27"/>
        <v>0</v>
      </c>
      <c r="AZ36" s="1311">
        <f t="shared" si="28"/>
        <v>0</v>
      </c>
      <c r="BB36" s="323">
        <f t="shared" si="29"/>
        <v>59.296476605506278</v>
      </c>
      <c r="BC36" s="324">
        <f t="shared" si="30"/>
        <v>184.86931495958791</v>
      </c>
      <c r="BD36" s="1323">
        <f t="shared" si="31"/>
        <v>0</v>
      </c>
      <c r="BE36" s="324">
        <f t="shared" si="32"/>
        <v>244.1657915650942</v>
      </c>
      <c r="BF36" s="104">
        <v>0</v>
      </c>
      <c r="BG36" s="325">
        <f t="shared" si="33"/>
        <v>244.1657915650942</v>
      </c>
      <c r="BI36" s="323">
        <f t="shared" si="34"/>
        <v>59.296476605506278</v>
      </c>
      <c r="BJ36" s="324">
        <f t="shared" si="35"/>
        <v>184.86931495958791</v>
      </c>
      <c r="BK36" s="1323">
        <f t="shared" si="36"/>
        <v>0</v>
      </c>
      <c r="BL36" s="324">
        <f t="shared" si="37"/>
        <v>244.1657915650942</v>
      </c>
      <c r="BM36" s="104">
        <v>0</v>
      </c>
      <c r="BN36" s="325">
        <f t="shared" si="38"/>
        <v>244.1657915650942</v>
      </c>
    </row>
    <row r="37" spans="1:66">
      <c r="A37" s="127">
        <f>'Input data'!A67</f>
        <v>1969</v>
      </c>
      <c r="B37" s="1082">
        <f>'Input data'!B67</f>
        <v>9.5539007199999997</v>
      </c>
      <c r="C37" s="995">
        <f>'Baseline data (from input)'!B25</f>
        <v>578.73</v>
      </c>
      <c r="D37" s="1081">
        <f>'Baseline data (from input)'!L25</f>
        <v>0.8</v>
      </c>
      <c r="E37" s="992">
        <f t="shared" si="39"/>
        <v>0.24001298204245269</v>
      </c>
      <c r="F37" s="992">
        <f t="shared" si="40"/>
        <v>0.30440139352934503</v>
      </c>
      <c r="G37" s="992">
        <f t="shared" si="41"/>
        <v>5.8998240613430578E-2</v>
      </c>
      <c r="H37" s="992">
        <f t="shared" si="42"/>
        <v>0</v>
      </c>
      <c r="I37" s="992">
        <f t="shared" si="43"/>
        <v>0</v>
      </c>
      <c r="J37" s="992">
        <f t="shared" si="44"/>
        <v>0</v>
      </c>
      <c r="K37" s="992">
        <f t="shared" si="45"/>
        <v>0.39658738381477154</v>
      </c>
      <c r="L37" s="1092">
        <f t="shared" si="46"/>
        <v>0.99999999999999989</v>
      </c>
      <c r="N37" s="323">
        <f t="shared" si="1"/>
        <v>4423.3031709484803</v>
      </c>
      <c r="O37" s="1137">
        <f>Parameters!R140</f>
        <v>0.73</v>
      </c>
      <c r="P37" s="1137">
        <f>E37*'MSW characteristics'!$B$28+'MSW characteristics'!$B$29*'4A SWD Case 1'!F37+'4A SWD Case 1'!G37*'MSW characteristics'!$B$30+'MSW characteristics'!$B$31*'4A SWD Case 1'!H37+'4A SWD Case 1'!I37*'MSW characteristics'!$B$32+'MSW characteristics'!$B$33*'4A SWD Case 1'!J37+'4A SWD Case 1'!K37*'MSW characteristics'!$B$35</f>
        <v>0.12048152225760915</v>
      </c>
      <c r="Q37" s="1135">
        <f t="shared" si="2"/>
        <v>194.51809929661559</v>
      </c>
      <c r="R37" s="1135">
        <f t="shared" si="3"/>
        <v>194.51809929661559</v>
      </c>
      <c r="S37" s="306">
        <f t="shared" si="4"/>
        <v>0</v>
      </c>
      <c r="T37" s="1135">
        <f t="shared" si="5"/>
        <v>2024.4476372488621</v>
      </c>
      <c r="U37" s="1135">
        <f t="shared" si="6"/>
        <v>93.82249370168276</v>
      </c>
      <c r="V37" s="1311">
        <f t="shared" si="7"/>
        <v>62.548329134455173</v>
      </c>
      <c r="X37" s="1143">
        <f>'Baseline data (from input)'!T25*'Baseline data (from input)'!U25</f>
        <v>22539.092841589576</v>
      </c>
      <c r="Y37" s="1136">
        <f>Parameters!S140</f>
        <v>0.71500000000000008</v>
      </c>
      <c r="Z37" s="1136">
        <f t="shared" si="8"/>
        <v>0.15</v>
      </c>
      <c r="AA37" s="1135">
        <f t="shared" si="9"/>
        <v>1208.6588536302411</v>
      </c>
      <c r="AB37" s="1135">
        <f t="shared" si="10"/>
        <v>1208.6588536302411</v>
      </c>
      <c r="AC37" s="306">
        <f t="shared" si="11"/>
        <v>0</v>
      </c>
      <c r="AD37" s="1135">
        <f t="shared" si="12"/>
        <v>7451.3971091236781</v>
      </c>
      <c r="AE37" s="1135">
        <f t="shared" si="13"/>
        <v>320.07203474769619</v>
      </c>
      <c r="AF37" s="1311">
        <f t="shared" si="14"/>
        <v>213.38135649846413</v>
      </c>
      <c r="AH37" s="1143">
        <f>'Baseline data (from input)'!T25*'Baseline data (from input)'!U25</f>
        <v>22539.092841589576</v>
      </c>
      <c r="AI37" s="1136">
        <f>Parameters!S140</f>
        <v>0.71500000000000008</v>
      </c>
      <c r="AJ37" s="1136">
        <f t="shared" si="15"/>
        <v>0.15</v>
      </c>
      <c r="AK37" s="1135">
        <f t="shared" si="16"/>
        <v>1208.6588536302411</v>
      </c>
      <c r="AL37" s="1135">
        <f t="shared" si="17"/>
        <v>1208.6588536302411</v>
      </c>
      <c r="AM37" s="306">
        <f t="shared" si="18"/>
        <v>0</v>
      </c>
      <c r="AN37" s="1135">
        <f t="shared" si="19"/>
        <v>7451.3971091236781</v>
      </c>
      <c r="AO37" s="1135">
        <f t="shared" si="20"/>
        <v>320.07203474769619</v>
      </c>
      <c r="AP37" s="1311">
        <f t="shared" si="21"/>
        <v>213.38135649846413</v>
      </c>
      <c r="AR37" s="1143">
        <v>0</v>
      </c>
      <c r="AS37" s="1136">
        <v>1</v>
      </c>
      <c r="AT37" s="1136">
        <f t="shared" si="22"/>
        <v>0.05</v>
      </c>
      <c r="AU37" s="1135">
        <f t="shared" si="23"/>
        <v>0</v>
      </c>
      <c r="AV37" s="1135">
        <f t="shared" si="24"/>
        <v>0</v>
      </c>
      <c r="AW37" s="306">
        <f t="shared" si="25"/>
        <v>0</v>
      </c>
      <c r="AX37" s="1151">
        <f t="shared" si="26"/>
        <v>0</v>
      </c>
      <c r="AY37" s="1151">
        <f t="shared" si="27"/>
        <v>0</v>
      </c>
      <c r="AZ37" s="1311">
        <f t="shared" si="28"/>
        <v>0</v>
      </c>
      <c r="BB37" s="323">
        <f t="shared" si="29"/>
        <v>62.548329134455173</v>
      </c>
      <c r="BC37" s="324">
        <f t="shared" si="30"/>
        <v>213.38135649846413</v>
      </c>
      <c r="BD37" s="1323">
        <f t="shared" si="31"/>
        <v>0</v>
      </c>
      <c r="BE37" s="324">
        <f t="shared" si="32"/>
        <v>275.9296856329193</v>
      </c>
      <c r="BF37" s="104">
        <v>0</v>
      </c>
      <c r="BG37" s="325">
        <f t="shared" si="33"/>
        <v>275.9296856329193</v>
      </c>
      <c r="BI37" s="323">
        <f t="shared" si="34"/>
        <v>62.548329134455173</v>
      </c>
      <c r="BJ37" s="324">
        <f t="shared" si="35"/>
        <v>213.38135649846413</v>
      </c>
      <c r="BK37" s="1323">
        <f t="shared" si="36"/>
        <v>0</v>
      </c>
      <c r="BL37" s="324">
        <f t="shared" si="37"/>
        <v>275.9296856329193</v>
      </c>
      <c r="BM37" s="104">
        <v>0</v>
      </c>
      <c r="BN37" s="325">
        <f t="shared" si="38"/>
        <v>275.9296856329193</v>
      </c>
    </row>
    <row r="38" spans="1:66">
      <c r="A38" s="127">
        <f>'Input data'!A68</f>
        <v>1970</v>
      </c>
      <c r="B38" s="1082">
        <f>'Input data'!B68</f>
        <v>9.8288735999999997</v>
      </c>
      <c r="C38" s="995">
        <f>'Baseline data (from input)'!B26</f>
        <v>578.73</v>
      </c>
      <c r="D38" s="1081">
        <f>'Baseline data (from input)'!L26</f>
        <v>0.8</v>
      </c>
      <c r="E38" s="992">
        <f t="shared" si="39"/>
        <v>0.24001298204245269</v>
      </c>
      <c r="F38" s="992">
        <f t="shared" si="40"/>
        <v>0.30440139352934503</v>
      </c>
      <c r="G38" s="992">
        <f t="shared" si="41"/>
        <v>5.8998240613430578E-2</v>
      </c>
      <c r="H38" s="992">
        <f t="shared" si="42"/>
        <v>0</v>
      </c>
      <c r="I38" s="992">
        <f t="shared" si="43"/>
        <v>0</v>
      </c>
      <c r="J38" s="992">
        <f t="shared" si="44"/>
        <v>0</v>
      </c>
      <c r="K38" s="992">
        <f t="shared" si="45"/>
        <v>0.39658738381477154</v>
      </c>
      <c r="L38" s="1092">
        <f t="shared" si="46"/>
        <v>0.99999999999999989</v>
      </c>
      <c r="N38" s="323">
        <f t="shared" si="1"/>
        <v>4550.6112148224001</v>
      </c>
      <c r="O38" s="1137">
        <f>Parameters!R141</f>
        <v>0.73</v>
      </c>
      <c r="P38" s="1137">
        <f>E38*'MSW characteristics'!$B$28+'MSW characteristics'!$B$29*'4A SWD Case 1'!F38+'4A SWD Case 1'!G38*'MSW characteristics'!$B$30+'MSW characteristics'!$B$31*'4A SWD Case 1'!H38+'4A SWD Case 1'!I38*'MSW characteristics'!$B$32+'MSW characteristics'!$B$33*'4A SWD Case 1'!J38+'4A SWD Case 1'!K38*'MSW characteristics'!$B$35</f>
        <v>0.12048152225760915</v>
      </c>
      <c r="Q38" s="1135">
        <f t="shared" si="2"/>
        <v>200.11656672298804</v>
      </c>
      <c r="R38" s="1135">
        <f t="shared" si="3"/>
        <v>200.11656672298804</v>
      </c>
      <c r="S38" s="306">
        <f t="shared" si="4"/>
        <v>0</v>
      </c>
      <c r="T38" s="1135">
        <f t="shared" si="5"/>
        <v>2125.8307276350533</v>
      </c>
      <c r="U38" s="1135">
        <f t="shared" si="6"/>
        <v>98.733476336796755</v>
      </c>
      <c r="V38" s="1311">
        <f t="shared" si="7"/>
        <v>65.822317557864508</v>
      </c>
      <c r="X38" s="1143">
        <f>'Baseline data (from input)'!T26*'Baseline data (from input)'!U26</f>
        <v>23722.09637782973</v>
      </c>
      <c r="Y38" s="1136">
        <f>Parameters!S141</f>
        <v>0.71500000000000008</v>
      </c>
      <c r="Z38" s="1136">
        <f t="shared" si="8"/>
        <v>0.15</v>
      </c>
      <c r="AA38" s="1135">
        <f t="shared" si="9"/>
        <v>1272.0974182611194</v>
      </c>
      <c r="AB38" s="1135">
        <f t="shared" si="10"/>
        <v>1272.0974182611194</v>
      </c>
      <c r="AC38" s="306">
        <f t="shared" si="11"/>
        <v>0</v>
      </c>
      <c r="AD38" s="1135">
        <f t="shared" si="12"/>
        <v>8360.0856020991196</v>
      </c>
      <c r="AE38" s="1135">
        <f t="shared" si="13"/>
        <v>363.40892528567764</v>
      </c>
      <c r="AF38" s="1311">
        <f t="shared" si="14"/>
        <v>242.27261685711844</v>
      </c>
      <c r="AH38" s="1143">
        <f>'Baseline data (from input)'!T26*'Baseline data (from input)'!U26</f>
        <v>23722.09637782973</v>
      </c>
      <c r="AI38" s="1136">
        <f>Parameters!S141</f>
        <v>0.71500000000000008</v>
      </c>
      <c r="AJ38" s="1136">
        <f t="shared" si="15"/>
        <v>0.15</v>
      </c>
      <c r="AK38" s="1135">
        <f t="shared" si="16"/>
        <v>1272.0974182611194</v>
      </c>
      <c r="AL38" s="1135">
        <f t="shared" si="17"/>
        <v>1272.0974182611194</v>
      </c>
      <c r="AM38" s="306">
        <f t="shared" si="18"/>
        <v>0</v>
      </c>
      <c r="AN38" s="1135">
        <f t="shared" si="19"/>
        <v>8360.0856020991196</v>
      </c>
      <c r="AO38" s="1135">
        <f t="shared" si="20"/>
        <v>363.40892528567764</v>
      </c>
      <c r="AP38" s="1311">
        <f t="shared" si="21"/>
        <v>242.27261685711844</v>
      </c>
      <c r="AR38" s="1143">
        <v>0</v>
      </c>
      <c r="AS38" s="1136">
        <v>1</v>
      </c>
      <c r="AT38" s="1136">
        <f t="shared" si="22"/>
        <v>0.05</v>
      </c>
      <c r="AU38" s="1135">
        <f t="shared" si="23"/>
        <v>0</v>
      </c>
      <c r="AV38" s="1135">
        <f t="shared" si="24"/>
        <v>0</v>
      </c>
      <c r="AW38" s="306">
        <f t="shared" si="25"/>
        <v>0</v>
      </c>
      <c r="AX38" s="1151">
        <f t="shared" si="26"/>
        <v>0</v>
      </c>
      <c r="AY38" s="1151">
        <f t="shared" si="27"/>
        <v>0</v>
      </c>
      <c r="AZ38" s="1311">
        <f t="shared" si="28"/>
        <v>0</v>
      </c>
      <c r="BB38" s="323">
        <f t="shared" si="29"/>
        <v>65.822317557864508</v>
      </c>
      <c r="BC38" s="324">
        <f t="shared" si="30"/>
        <v>242.27261685711844</v>
      </c>
      <c r="BD38" s="1323">
        <f t="shared" si="31"/>
        <v>0</v>
      </c>
      <c r="BE38" s="324">
        <f t="shared" si="32"/>
        <v>308.09493441498296</v>
      </c>
      <c r="BF38" s="104">
        <v>0</v>
      </c>
      <c r="BG38" s="325">
        <f t="shared" si="33"/>
        <v>308.09493441498296</v>
      </c>
      <c r="BI38" s="323">
        <f t="shared" si="34"/>
        <v>65.822317557864508</v>
      </c>
      <c r="BJ38" s="324">
        <f t="shared" si="35"/>
        <v>242.27261685711844</v>
      </c>
      <c r="BK38" s="1323">
        <f t="shared" si="36"/>
        <v>0</v>
      </c>
      <c r="BL38" s="324">
        <f t="shared" si="37"/>
        <v>308.09493441498296</v>
      </c>
      <c r="BM38" s="104">
        <v>0</v>
      </c>
      <c r="BN38" s="325">
        <f t="shared" si="38"/>
        <v>308.09493441498296</v>
      </c>
    </row>
    <row r="39" spans="1:66">
      <c r="A39" s="127">
        <f>'Input data'!A69</f>
        <v>1971</v>
      </c>
      <c r="B39" s="1082">
        <f>'Input data'!B69</f>
        <v>20.567820000000001</v>
      </c>
      <c r="C39" s="995">
        <f>'Baseline data (from input)'!B27</f>
        <v>578.73</v>
      </c>
      <c r="D39" s="1081">
        <f>'Baseline data (from input)'!L27</f>
        <v>0.8</v>
      </c>
      <c r="E39" s="992">
        <f t="shared" si="39"/>
        <v>0.24001298204245269</v>
      </c>
      <c r="F39" s="992">
        <f t="shared" si="40"/>
        <v>0.30440139352934503</v>
      </c>
      <c r="G39" s="992">
        <f t="shared" si="41"/>
        <v>5.8998240613430578E-2</v>
      </c>
      <c r="H39" s="992">
        <f t="shared" si="42"/>
        <v>0</v>
      </c>
      <c r="I39" s="992">
        <f t="shared" si="43"/>
        <v>0</v>
      </c>
      <c r="J39" s="992">
        <f t="shared" si="44"/>
        <v>0</v>
      </c>
      <c r="K39" s="992">
        <f t="shared" si="45"/>
        <v>0.39658738381477154</v>
      </c>
      <c r="L39" s="1092">
        <f t="shared" si="46"/>
        <v>0.99999999999999989</v>
      </c>
      <c r="N39" s="323">
        <f t="shared" si="1"/>
        <v>9522.5715748800012</v>
      </c>
      <c r="O39" s="1137">
        <f>Parameters!R142</f>
        <v>0.73</v>
      </c>
      <c r="P39" s="1137">
        <f>E39*'MSW characteristics'!$B$28+'MSW characteristics'!$B$29*'4A SWD Case 1'!F39+'4A SWD Case 1'!G39*'MSW characteristics'!$B$30+'MSW characteristics'!$B$31*'4A SWD Case 1'!H39+'4A SWD Case 1'!I39*'MSW characteristics'!$B$32+'MSW characteristics'!$B$33*'4A SWD Case 1'!J39+'4A SWD Case 1'!K39*'MSW characteristics'!$B$35</f>
        <v>0.12048152225760915</v>
      </c>
      <c r="Q39" s="1135">
        <f t="shared" si="2"/>
        <v>418.76228048923213</v>
      </c>
      <c r="R39" s="1135">
        <f t="shared" si="3"/>
        <v>418.76228048923213</v>
      </c>
      <c r="S39" s="306">
        <f t="shared" si="4"/>
        <v>0</v>
      </c>
      <c r="T39" s="1135">
        <f t="shared" si="5"/>
        <v>2440.9150201234579</v>
      </c>
      <c r="U39" s="1135">
        <f t="shared" si="6"/>
        <v>103.67798800082743</v>
      </c>
      <c r="V39" s="1311">
        <f t="shared" si="7"/>
        <v>69.118658667218284</v>
      </c>
      <c r="X39" s="1143">
        <f>'Baseline data (from input)'!T27*'Baseline data (from input)'!U27</f>
        <v>24737.157866975944</v>
      </c>
      <c r="Y39" s="1136">
        <f>Parameters!S142</f>
        <v>0.71500000000000008</v>
      </c>
      <c r="Z39" s="1136">
        <f t="shared" si="8"/>
        <v>0.15</v>
      </c>
      <c r="AA39" s="1135">
        <f t="shared" si="9"/>
        <v>1326.5300906165851</v>
      </c>
      <c r="AB39" s="1135">
        <f t="shared" si="10"/>
        <v>1326.5300906165851</v>
      </c>
      <c r="AC39" s="306">
        <f t="shared" si="11"/>
        <v>0</v>
      </c>
      <c r="AD39" s="1135">
        <f t="shared" si="12"/>
        <v>9278.8895066780369</v>
      </c>
      <c r="AE39" s="1135">
        <f t="shared" si="13"/>
        <v>407.72618603766881</v>
      </c>
      <c r="AF39" s="1311">
        <f t="shared" si="14"/>
        <v>271.81745735844589</v>
      </c>
      <c r="AH39" s="1143">
        <f>'Baseline data (from input)'!T27*'Baseline data (from input)'!U27</f>
        <v>24737.157866975944</v>
      </c>
      <c r="AI39" s="1136">
        <f>Parameters!S142</f>
        <v>0.71500000000000008</v>
      </c>
      <c r="AJ39" s="1136">
        <f t="shared" si="15"/>
        <v>0.15</v>
      </c>
      <c r="AK39" s="1135">
        <f t="shared" si="16"/>
        <v>1326.5300906165851</v>
      </c>
      <c r="AL39" s="1135">
        <f t="shared" si="17"/>
        <v>1326.5300906165851</v>
      </c>
      <c r="AM39" s="306">
        <f t="shared" si="18"/>
        <v>0</v>
      </c>
      <c r="AN39" s="1135">
        <f t="shared" si="19"/>
        <v>9278.8895066780369</v>
      </c>
      <c r="AO39" s="1135">
        <f t="shared" si="20"/>
        <v>407.72618603766881</v>
      </c>
      <c r="AP39" s="1311">
        <f t="shared" si="21"/>
        <v>271.81745735844589</v>
      </c>
      <c r="AR39" s="1143">
        <v>0</v>
      </c>
      <c r="AS39" s="1136">
        <v>1</v>
      </c>
      <c r="AT39" s="1136">
        <f t="shared" si="22"/>
        <v>0.05</v>
      </c>
      <c r="AU39" s="1135">
        <f t="shared" si="23"/>
        <v>0</v>
      </c>
      <c r="AV39" s="1135">
        <f t="shared" si="24"/>
        <v>0</v>
      </c>
      <c r="AW39" s="306">
        <f t="shared" si="25"/>
        <v>0</v>
      </c>
      <c r="AX39" s="1151">
        <f t="shared" si="26"/>
        <v>0</v>
      </c>
      <c r="AY39" s="1151">
        <f t="shared" si="27"/>
        <v>0</v>
      </c>
      <c r="AZ39" s="1311">
        <f t="shared" si="28"/>
        <v>0</v>
      </c>
      <c r="BB39" s="323">
        <f t="shared" si="29"/>
        <v>69.118658667218284</v>
      </c>
      <c r="BC39" s="324">
        <f t="shared" si="30"/>
        <v>271.81745735844589</v>
      </c>
      <c r="BD39" s="1323">
        <f t="shared" si="31"/>
        <v>0</v>
      </c>
      <c r="BE39" s="324">
        <f t="shared" si="32"/>
        <v>340.93611602566421</v>
      </c>
      <c r="BF39" s="104">
        <v>0</v>
      </c>
      <c r="BG39" s="325">
        <f t="shared" si="33"/>
        <v>340.93611602566421</v>
      </c>
      <c r="BI39" s="323">
        <f t="shared" si="34"/>
        <v>69.118658667218284</v>
      </c>
      <c r="BJ39" s="324">
        <f t="shared" si="35"/>
        <v>271.81745735844589</v>
      </c>
      <c r="BK39" s="1323">
        <f t="shared" si="36"/>
        <v>0</v>
      </c>
      <c r="BL39" s="324">
        <f t="shared" si="37"/>
        <v>340.93611602566421</v>
      </c>
      <c r="BM39" s="104">
        <v>0</v>
      </c>
      <c r="BN39" s="325">
        <f t="shared" si="38"/>
        <v>340.93611602566421</v>
      </c>
    </row>
    <row r="40" spans="1:66">
      <c r="A40" s="127">
        <f>'Input data'!A70</f>
        <v>1972</v>
      </c>
      <c r="B40" s="1082">
        <f>'Input data'!B70</f>
        <v>21.04466</v>
      </c>
      <c r="C40" s="995">
        <f>'Baseline data (from input)'!B28</f>
        <v>578.73</v>
      </c>
      <c r="D40" s="1081">
        <f>'Baseline data (from input)'!L28</f>
        <v>0.8</v>
      </c>
      <c r="E40" s="992">
        <f t="shared" si="39"/>
        <v>0.24001298204245269</v>
      </c>
      <c r="F40" s="992">
        <f t="shared" si="40"/>
        <v>0.30440139352934503</v>
      </c>
      <c r="G40" s="992">
        <f t="shared" si="41"/>
        <v>5.8998240613430578E-2</v>
      </c>
      <c r="H40" s="992">
        <f t="shared" si="42"/>
        <v>0</v>
      </c>
      <c r="I40" s="992">
        <f t="shared" si="43"/>
        <v>0</v>
      </c>
      <c r="J40" s="992">
        <f t="shared" si="44"/>
        <v>0</v>
      </c>
      <c r="K40" s="992">
        <f t="shared" si="45"/>
        <v>0.39658738381477154</v>
      </c>
      <c r="L40" s="1092">
        <f t="shared" si="46"/>
        <v>0.99999999999999989</v>
      </c>
      <c r="N40" s="323">
        <f t="shared" si="1"/>
        <v>9743.3408654400009</v>
      </c>
      <c r="O40" s="1137">
        <f>Parameters!R143</f>
        <v>0.73</v>
      </c>
      <c r="P40" s="1137">
        <f>E40*'MSW characteristics'!$B$28+'MSW characteristics'!$B$29*'4A SWD Case 1'!F40+'4A SWD Case 1'!G40*'MSW characteristics'!$B$30+'MSW characteristics'!$B$31*'4A SWD Case 1'!H40+'4A SWD Case 1'!I40*'MSW characteristics'!$B$32+'MSW characteristics'!$B$33*'4A SWD Case 1'!J40+'4A SWD Case 1'!K40*'MSW characteristics'!$B$35</f>
        <v>0.12048152225760915</v>
      </c>
      <c r="Q40" s="1135">
        <f t="shared" si="2"/>
        <v>428.47077686018849</v>
      </c>
      <c r="R40" s="1135">
        <f t="shared" si="3"/>
        <v>428.47077686018849</v>
      </c>
      <c r="S40" s="306">
        <f t="shared" si="4"/>
        <v>0</v>
      </c>
      <c r="T40" s="1135">
        <f t="shared" si="5"/>
        <v>2750.3409667073738</v>
      </c>
      <c r="U40" s="1135">
        <f t="shared" si="6"/>
        <v>119.04483027627226</v>
      </c>
      <c r="V40" s="1311">
        <f t="shared" si="7"/>
        <v>79.363220184181515</v>
      </c>
      <c r="X40" s="1143">
        <f>'Baseline data (from input)'!T28*'Baseline data (from input)'!U28</f>
        <v>25146.498965380906</v>
      </c>
      <c r="Y40" s="1136">
        <f>Parameters!S143</f>
        <v>0.71500000000000008</v>
      </c>
      <c r="Z40" s="1136">
        <f t="shared" si="8"/>
        <v>0.15</v>
      </c>
      <c r="AA40" s="1135">
        <f t="shared" si="9"/>
        <v>1348.4810070185513</v>
      </c>
      <c r="AB40" s="1135">
        <f t="shared" si="10"/>
        <v>1348.4810070185513</v>
      </c>
      <c r="AC40" s="306">
        <f t="shared" si="11"/>
        <v>0</v>
      </c>
      <c r="AD40" s="1135">
        <f t="shared" si="12"/>
        <v>10174.833732461615</v>
      </c>
      <c r="AE40" s="1135">
        <f t="shared" si="13"/>
        <v>452.53678123497366</v>
      </c>
      <c r="AF40" s="1311">
        <f t="shared" si="14"/>
        <v>301.69118748998244</v>
      </c>
      <c r="AH40" s="1143">
        <f>'Baseline data (from input)'!T28*'Baseline data (from input)'!U28</f>
        <v>25146.498965380906</v>
      </c>
      <c r="AI40" s="1136">
        <f>Parameters!S143</f>
        <v>0.71500000000000008</v>
      </c>
      <c r="AJ40" s="1136">
        <f t="shared" si="15"/>
        <v>0.15</v>
      </c>
      <c r="AK40" s="1135">
        <f t="shared" si="16"/>
        <v>1348.4810070185513</v>
      </c>
      <c r="AL40" s="1135">
        <f t="shared" si="17"/>
        <v>1348.4810070185513</v>
      </c>
      <c r="AM40" s="306">
        <f t="shared" si="18"/>
        <v>0</v>
      </c>
      <c r="AN40" s="1135">
        <f t="shared" si="19"/>
        <v>10174.833732461615</v>
      </c>
      <c r="AO40" s="1135">
        <f t="shared" si="20"/>
        <v>452.53678123497366</v>
      </c>
      <c r="AP40" s="1311">
        <f t="shared" si="21"/>
        <v>301.69118748998244</v>
      </c>
      <c r="AR40" s="1143">
        <v>0</v>
      </c>
      <c r="AS40" s="1136">
        <v>1</v>
      </c>
      <c r="AT40" s="1136">
        <f t="shared" si="22"/>
        <v>0.05</v>
      </c>
      <c r="AU40" s="1135">
        <f t="shared" si="23"/>
        <v>0</v>
      </c>
      <c r="AV40" s="1135">
        <f t="shared" si="24"/>
        <v>0</v>
      </c>
      <c r="AW40" s="306">
        <f t="shared" si="25"/>
        <v>0</v>
      </c>
      <c r="AX40" s="1151">
        <f t="shared" si="26"/>
        <v>0</v>
      </c>
      <c r="AY40" s="1151">
        <f t="shared" si="27"/>
        <v>0</v>
      </c>
      <c r="AZ40" s="1311">
        <f t="shared" si="28"/>
        <v>0</v>
      </c>
      <c r="BB40" s="323">
        <f t="shared" si="29"/>
        <v>79.363220184181515</v>
      </c>
      <c r="BC40" s="324">
        <f t="shared" si="30"/>
        <v>301.69118748998244</v>
      </c>
      <c r="BD40" s="1323">
        <f t="shared" si="31"/>
        <v>0</v>
      </c>
      <c r="BE40" s="324">
        <f t="shared" si="32"/>
        <v>381.05440767416394</v>
      </c>
      <c r="BF40" s="104">
        <v>0</v>
      </c>
      <c r="BG40" s="325">
        <f t="shared" si="33"/>
        <v>381.05440767416394</v>
      </c>
      <c r="BI40" s="323">
        <f t="shared" si="34"/>
        <v>79.363220184181515</v>
      </c>
      <c r="BJ40" s="324">
        <f t="shared" si="35"/>
        <v>301.69118748998244</v>
      </c>
      <c r="BK40" s="1323">
        <f t="shared" si="36"/>
        <v>0</v>
      </c>
      <c r="BL40" s="324">
        <f t="shared" si="37"/>
        <v>381.05440767416394</v>
      </c>
      <c r="BM40" s="104">
        <v>0</v>
      </c>
      <c r="BN40" s="325">
        <f t="shared" si="38"/>
        <v>381.05440767416394</v>
      </c>
    </row>
    <row r="41" spans="1:66">
      <c r="A41" s="127">
        <f>'Input data'!A71</f>
        <v>1973</v>
      </c>
      <c r="B41" s="1082">
        <f>'Input data'!B71</f>
        <v>21.526959999999999</v>
      </c>
      <c r="C41" s="995">
        <f>'Baseline data (from input)'!B29</f>
        <v>578.73</v>
      </c>
      <c r="D41" s="1081">
        <f>'Baseline data (from input)'!L29</f>
        <v>0.8</v>
      </c>
      <c r="E41" s="992">
        <f t="shared" si="39"/>
        <v>0.24001298204245269</v>
      </c>
      <c r="F41" s="992">
        <f t="shared" si="40"/>
        <v>0.30440139352934503</v>
      </c>
      <c r="G41" s="992">
        <f t="shared" si="41"/>
        <v>5.8998240613430578E-2</v>
      </c>
      <c r="H41" s="992">
        <f t="shared" si="42"/>
        <v>0</v>
      </c>
      <c r="I41" s="992">
        <f t="shared" si="43"/>
        <v>0</v>
      </c>
      <c r="J41" s="992">
        <f t="shared" si="44"/>
        <v>0</v>
      </c>
      <c r="K41" s="992">
        <f t="shared" si="45"/>
        <v>0.39658738381477154</v>
      </c>
      <c r="L41" s="1092">
        <f t="shared" si="46"/>
        <v>0.99999999999999989</v>
      </c>
      <c r="N41" s="323">
        <f t="shared" si="1"/>
        <v>9966.6380486400012</v>
      </c>
      <c r="O41" s="1137">
        <f>Parameters!R144</f>
        <v>0.73</v>
      </c>
      <c r="P41" s="1137">
        <f>E41*'MSW characteristics'!$B$28+'MSW characteristics'!$B$29*'4A SWD Case 1'!F41+'4A SWD Case 1'!G41*'MSW characteristics'!$B$30+'MSW characteristics'!$B$31*'4A SWD Case 1'!H41+'4A SWD Case 1'!I41*'MSW characteristics'!$B$32+'MSW characteristics'!$B$33*'4A SWD Case 1'!J41+'4A SWD Case 1'!K41*'MSW characteristics'!$B$35</f>
        <v>0.12048152225760915</v>
      </c>
      <c r="Q41" s="1135">
        <f t="shared" si="2"/>
        <v>438.29043922012539</v>
      </c>
      <c r="R41" s="1135">
        <f t="shared" si="3"/>
        <v>438.29043922012539</v>
      </c>
      <c r="S41" s="306">
        <f t="shared" si="4"/>
        <v>0</v>
      </c>
      <c r="T41" s="1135">
        <f t="shared" si="5"/>
        <v>3054.495694161918</v>
      </c>
      <c r="U41" s="1135">
        <f t="shared" si="6"/>
        <v>134.13571176558116</v>
      </c>
      <c r="V41" s="1311">
        <f t="shared" si="7"/>
        <v>89.42380784372078</v>
      </c>
      <c r="X41" s="1143">
        <f>'Baseline data (from input)'!T29*'Baseline data (from input)'!U29</f>
        <v>26296.196347621255</v>
      </c>
      <c r="Y41" s="1136">
        <f>Parameters!S144</f>
        <v>0.71500000000000008</v>
      </c>
      <c r="Z41" s="1136">
        <f t="shared" si="8"/>
        <v>0.15</v>
      </c>
      <c r="AA41" s="1135">
        <f t="shared" si="9"/>
        <v>1410.1335291411899</v>
      </c>
      <c r="AB41" s="1135">
        <f t="shared" si="10"/>
        <v>1410.1335291411899</v>
      </c>
      <c r="AC41" s="306">
        <f t="shared" si="11"/>
        <v>0</v>
      </c>
      <c r="AD41" s="1135">
        <f t="shared" si="12"/>
        <v>11088.734764861105</v>
      </c>
      <c r="AE41" s="1135">
        <f t="shared" si="13"/>
        <v>496.23249674170103</v>
      </c>
      <c r="AF41" s="1311">
        <f t="shared" si="14"/>
        <v>330.82166449446737</v>
      </c>
      <c r="AH41" s="1143">
        <f>'Baseline data (from input)'!T29*'Baseline data (from input)'!U29</f>
        <v>26296.196347621255</v>
      </c>
      <c r="AI41" s="1136">
        <f>Parameters!S144</f>
        <v>0.71500000000000008</v>
      </c>
      <c r="AJ41" s="1136">
        <f t="shared" si="15"/>
        <v>0.15</v>
      </c>
      <c r="AK41" s="1135">
        <f t="shared" si="16"/>
        <v>1410.1335291411899</v>
      </c>
      <c r="AL41" s="1135">
        <f t="shared" si="17"/>
        <v>1410.1335291411899</v>
      </c>
      <c r="AM41" s="306">
        <f t="shared" si="18"/>
        <v>0</v>
      </c>
      <c r="AN41" s="1135">
        <f t="shared" si="19"/>
        <v>11088.734764861105</v>
      </c>
      <c r="AO41" s="1135">
        <f t="shared" si="20"/>
        <v>496.23249674170103</v>
      </c>
      <c r="AP41" s="1311">
        <f t="shared" si="21"/>
        <v>330.82166449446737</v>
      </c>
      <c r="AR41" s="1143">
        <v>0</v>
      </c>
      <c r="AS41" s="1136">
        <v>1</v>
      </c>
      <c r="AT41" s="1136">
        <f t="shared" si="22"/>
        <v>0.05</v>
      </c>
      <c r="AU41" s="1135">
        <f t="shared" si="23"/>
        <v>0</v>
      </c>
      <c r="AV41" s="1135">
        <f t="shared" si="24"/>
        <v>0</v>
      </c>
      <c r="AW41" s="306">
        <f t="shared" si="25"/>
        <v>0</v>
      </c>
      <c r="AX41" s="1151">
        <f t="shared" si="26"/>
        <v>0</v>
      </c>
      <c r="AY41" s="1151">
        <f t="shared" si="27"/>
        <v>0</v>
      </c>
      <c r="AZ41" s="1311">
        <f t="shared" si="28"/>
        <v>0</v>
      </c>
      <c r="BB41" s="323">
        <f t="shared" si="29"/>
        <v>89.42380784372078</v>
      </c>
      <c r="BC41" s="324">
        <f t="shared" si="30"/>
        <v>330.82166449446737</v>
      </c>
      <c r="BD41" s="1323">
        <f t="shared" si="31"/>
        <v>0</v>
      </c>
      <c r="BE41" s="324">
        <f t="shared" si="32"/>
        <v>420.24547233818816</v>
      </c>
      <c r="BF41" s="104">
        <v>0</v>
      </c>
      <c r="BG41" s="325">
        <f t="shared" si="33"/>
        <v>420.24547233818816</v>
      </c>
      <c r="BI41" s="323">
        <f t="shared" si="34"/>
        <v>89.42380784372078</v>
      </c>
      <c r="BJ41" s="324">
        <f t="shared" si="35"/>
        <v>330.82166449446737</v>
      </c>
      <c r="BK41" s="1323">
        <f t="shared" si="36"/>
        <v>0</v>
      </c>
      <c r="BL41" s="324">
        <f t="shared" si="37"/>
        <v>420.24547233818816</v>
      </c>
      <c r="BM41" s="104">
        <v>0</v>
      </c>
      <c r="BN41" s="325">
        <f t="shared" si="38"/>
        <v>420.24547233818816</v>
      </c>
    </row>
    <row r="42" spans="1:66">
      <c r="A42" s="127">
        <f>'Input data'!A72</f>
        <v>1974</v>
      </c>
      <c r="B42" s="1082">
        <f>'Input data'!B72</f>
        <v>22.012900000000002</v>
      </c>
      <c r="C42" s="995">
        <f>'Baseline data (from input)'!B30</f>
        <v>578.73</v>
      </c>
      <c r="D42" s="1081">
        <f>'Baseline data (from input)'!L30</f>
        <v>0.8</v>
      </c>
      <c r="E42" s="992">
        <f t="shared" si="39"/>
        <v>0.24001298204245269</v>
      </c>
      <c r="F42" s="992">
        <f t="shared" si="40"/>
        <v>0.30440139352934503</v>
      </c>
      <c r="G42" s="992">
        <f t="shared" si="41"/>
        <v>5.8998240613430578E-2</v>
      </c>
      <c r="H42" s="992">
        <f t="shared" si="42"/>
        <v>0</v>
      </c>
      <c r="I42" s="992">
        <f t="shared" si="43"/>
        <v>0</v>
      </c>
      <c r="J42" s="992">
        <f t="shared" si="44"/>
        <v>0</v>
      </c>
      <c r="K42" s="992">
        <f t="shared" si="45"/>
        <v>0.39658738381477154</v>
      </c>
      <c r="L42" s="1092">
        <f t="shared" si="46"/>
        <v>0.99999999999999989</v>
      </c>
      <c r="N42" s="323">
        <f t="shared" si="1"/>
        <v>10191.620493600001</v>
      </c>
      <c r="O42" s="1137">
        <f>Parameters!R145</f>
        <v>0.73</v>
      </c>
      <c r="P42" s="1137">
        <f>E42*'MSW characteristics'!$B$28+'MSW characteristics'!$B$29*'4A SWD Case 1'!F42+'4A SWD Case 1'!G42*'MSW characteristics'!$B$30+'MSW characteristics'!$B$31*'4A SWD Case 1'!H42+'4A SWD Case 1'!I42*'MSW characteristics'!$B$32+'MSW characteristics'!$B$33*'4A SWD Case 1'!J42+'4A SWD Case 1'!K42*'MSW characteristics'!$B$35</f>
        <v>0.12048152225760915</v>
      </c>
      <c r="Q42" s="1135">
        <f t="shared" si="2"/>
        <v>448.18421223938253</v>
      </c>
      <c r="R42" s="1135">
        <f t="shared" si="3"/>
        <v>448.18421223938253</v>
      </c>
      <c r="S42" s="306">
        <f t="shared" si="4"/>
        <v>0</v>
      </c>
      <c r="T42" s="1135">
        <f t="shared" si="5"/>
        <v>3353.7103935369323</v>
      </c>
      <c r="U42" s="1135">
        <f t="shared" si="6"/>
        <v>148.96951286436777</v>
      </c>
      <c r="V42" s="1311">
        <f t="shared" si="7"/>
        <v>99.313008576245181</v>
      </c>
      <c r="X42" s="1143">
        <f>'Baseline data (from input)'!T30*'Baseline data (from input)'!U30</f>
        <v>27903.171227595885</v>
      </c>
      <c r="Y42" s="1136">
        <f>Parameters!S145</f>
        <v>0.71500000000000008</v>
      </c>
      <c r="Z42" s="1136">
        <f t="shared" si="8"/>
        <v>0.15</v>
      </c>
      <c r="AA42" s="1135">
        <f t="shared" si="9"/>
        <v>1496.3075570798296</v>
      </c>
      <c r="AB42" s="1135">
        <f t="shared" si="10"/>
        <v>1496.3075570798296</v>
      </c>
      <c r="AC42" s="306">
        <f t="shared" si="11"/>
        <v>0</v>
      </c>
      <c r="AD42" s="1135">
        <f t="shared" si="12"/>
        <v>12044.238345899719</v>
      </c>
      <c r="AE42" s="1135">
        <f t="shared" si="13"/>
        <v>540.80397604121572</v>
      </c>
      <c r="AF42" s="1311">
        <f t="shared" si="14"/>
        <v>360.53598402747713</v>
      </c>
      <c r="AH42" s="1143">
        <f>'Baseline data (from input)'!T30*'Baseline data (from input)'!U30</f>
        <v>27903.171227595885</v>
      </c>
      <c r="AI42" s="1136">
        <f>Parameters!S145</f>
        <v>0.71500000000000008</v>
      </c>
      <c r="AJ42" s="1136">
        <f t="shared" si="15"/>
        <v>0.15</v>
      </c>
      <c r="AK42" s="1135">
        <f t="shared" si="16"/>
        <v>1496.3075570798296</v>
      </c>
      <c r="AL42" s="1135">
        <f t="shared" si="17"/>
        <v>1496.3075570798296</v>
      </c>
      <c r="AM42" s="306">
        <f t="shared" si="18"/>
        <v>0</v>
      </c>
      <c r="AN42" s="1135">
        <f t="shared" si="19"/>
        <v>12044.238345899719</v>
      </c>
      <c r="AO42" s="1135">
        <f t="shared" si="20"/>
        <v>540.80397604121572</v>
      </c>
      <c r="AP42" s="1311">
        <f t="shared" si="21"/>
        <v>360.53598402747713</v>
      </c>
      <c r="AR42" s="1143">
        <v>0</v>
      </c>
      <c r="AS42" s="1136">
        <v>1</v>
      </c>
      <c r="AT42" s="1136">
        <f t="shared" si="22"/>
        <v>0.05</v>
      </c>
      <c r="AU42" s="1135">
        <f t="shared" si="23"/>
        <v>0</v>
      </c>
      <c r="AV42" s="1135">
        <f t="shared" si="24"/>
        <v>0</v>
      </c>
      <c r="AW42" s="306">
        <f t="shared" si="25"/>
        <v>0</v>
      </c>
      <c r="AX42" s="1151">
        <f t="shared" si="26"/>
        <v>0</v>
      </c>
      <c r="AY42" s="1151">
        <f t="shared" si="27"/>
        <v>0</v>
      </c>
      <c r="AZ42" s="1311">
        <f t="shared" si="28"/>
        <v>0</v>
      </c>
      <c r="BB42" s="323">
        <f t="shared" si="29"/>
        <v>99.313008576245181</v>
      </c>
      <c r="BC42" s="324">
        <f t="shared" si="30"/>
        <v>360.53598402747713</v>
      </c>
      <c r="BD42" s="1323">
        <f t="shared" si="31"/>
        <v>0</v>
      </c>
      <c r="BE42" s="324">
        <f t="shared" si="32"/>
        <v>459.84899260372231</v>
      </c>
      <c r="BF42" s="104">
        <v>0</v>
      </c>
      <c r="BG42" s="325">
        <f t="shared" si="33"/>
        <v>459.84899260372231</v>
      </c>
      <c r="BI42" s="323">
        <f t="shared" si="34"/>
        <v>99.313008576245181</v>
      </c>
      <c r="BJ42" s="324">
        <f t="shared" si="35"/>
        <v>360.53598402747713</v>
      </c>
      <c r="BK42" s="1323">
        <f t="shared" si="36"/>
        <v>0</v>
      </c>
      <c r="BL42" s="324">
        <f t="shared" si="37"/>
        <v>459.84899260372231</v>
      </c>
      <c r="BM42" s="104">
        <v>0</v>
      </c>
      <c r="BN42" s="325">
        <f t="shared" si="38"/>
        <v>459.84899260372231</v>
      </c>
    </row>
    <row r="43" spans="1:66">
      <c r="A43" s="127">
        <f>'Input data'!A73</f>
        <v>1975</v>
      </c>
      <c r="B43" s="1082">
        <f>'Input data'!B73</f>
        <v>22.502480000000002</v>
      </c>
      <c r="C43" s="995">
        <f>'Baseline data (from input)'!B31</f>
        <v>578.73</v>
      </c>
      <c r="D43" s="1081">
        <f>'Baseline data (from input)'!L31</f>
        <v>0.8</v>
      </c>
      <c r="E43" s="992">
        <f t="shared" si="39"/>
        <v>0.24001298204245269</v>
      </c>
      <c r="F43" s="992">
        <f t="shared" si="40"/>
        <v>0.30440139352934503</v>
      </c>
      <c r="G43" s="992">
        <f t="shared" si="41"/>
        <v>5.8998240613430578E-2</v>
      </c>
      <c r="H43" s="992">
        <f t="shared" si="42"/>
        <v>0</v>
      </c>
      <c r="I43" s="992">
        <f t="shared" si="43"/>
        <v>0</v>
      </c>
      <c r="J43" s="992">
        <f t="shared" si="44"/>
        <v>0</v>
      </c>
      <c r="K43" s="992">
        <f t="shared" si="45"/>
        <v>0.39658738381477154</v>
      </c>
      <c r="L43" s="1092">
        <f t="shared" si="46"/>
        <v>0.99999999999999989</v>
      </c>
      <c r="N43" s="323">
        <f t="shared" si="1"/>
        <v>10418.288200320001</v>
      </c>
      <c r="O43" s="1137">
        <f>Parameters!R146</f>
        <v>0.73</v>
      </c>
      <c r="P43" s="1137">
        <f>E43*'MSW characteristics'!$B$28+'MSW characteristics'!$B$29*'4A SWD Case 1'!F43+'4A SWD Case 1'!G43*'MSW characteristics'!$B$30+'MSW characteristics'!$B$31*'4A SWD Case 1'!H43+'4A SWD Case 1'!I43*'MSW characteristics'!$B$32+'MSW characteristics'!$B$33*'4A SWD Case 1'!J43+'4A SWD Case 1'!K43*'MSW characteristics'!$B$35</f>
        <v>0.12048152225760915</v>
      </c>
      <c r="Q43" s="1135">
        <f t="shared" si="2"/>
        <v>458.15209591795991</v>
      </c>
      <c r="R43" s="1135">
        <f t="shared" si="3"/>
        <v>458.15209591795991</v>
      </c>
      <c r="S43" s="306">
        <f t="shared" si="4"/>
        <v>0</v>
      </c>
      <c r="T43" s="1135">
        <f t="shared" si="5"/>
        <v>3648.3001035041589</v>
      </c>
      <c r="U43" s="1135">
        <f t="shared" si="6"/>
        <v>163.56238595073307</v>
      </c>
      <c r="V43" s="1311">
        <f t="shared" si="7"/>
        <v>109.04159063382205</v>
      </c>
      <c r="X43" s="1143">
        <f>'Baseline data (from input)'!T31*'Baseline data (from input)'!U31</f>
        <v>28376.255035499355</v>
      </c>
      <c r="Y43" s="1136">
        <f>Parameters!S146</f>
        <v>0.71500000000000008</v>
      </c>
      <c r="Z43" s="1136">
        <f t="shared" si="8"/>
        <v>0.15</v>
      </c>
      <c r="AA43" s="1135">
        <f t="shared" si="9"/>
        <v>1521.6766762786531</v>
      </c>
      <c r="AB43" s="1135">
        <f t="shared" si="10"/>
        <v>1521.6766762786531</v>
      </c>
      <c r="AC43" s="306">
        <f t="shared" si="11"/>
        <v>0</v>
      </c>
      <c r="AD43" s="1135">
        <f t="shared" si="12"/>
        <v>12978.510586598275</v>
      </c>
      <c r="AE43" s="1135">
        <f t="shared" si="13"/>
        <v>587.40443558009758</v>
      </c>
      <c r="AF43" s="1311">
        <f t="shared" si="14"/>
        <v>391.60295705339837</v>
      </c>
      <c r="AH43" s="1143">
        <f>'Baseline data (from input)'!T31*'Baseline data (from input)'!U31</f>
        <v>28376.255035499355</v>
      </c>
      <c r="AI43" s="1136">
        <f>Parameters!S146</f>
        <v>0.71500000000000008</v>
      </c>
      <c r="AJ43" s="1136">
        <f t="shared" si="15"/>
        <v>0.15</v>
      </c>
      <c r="AK43" s="1135">
        <f t="shared" si="16"/>
        <v>1521.6766762786531</v>
      </c>
      <c r="AL43" s="1135">
        <f t="shared" si="17"/>
        <v>1521.6766762786531</v>
      </c>
      <c r="AM43" s="306">
        <f t="shared" si="18"/>
        <v>0</v>
      </c>
      <c r="AN43" s="1135">
        <f t="shared" si="19"/>
        <v>12978.510586598275</v>
      </c>
      <c r="AO43" s="1135">
        <f t="shared" si="20"/>
        <v>587.40443558009758</v>
      </c>
      <c r="AP43" s="1311">
        <f t="shared" si="21"/>
        <v>391.60295705339837</v>
      </c>
      <c r="AR43" s="1143">
        <v>0</v>
      </c>
      <c r="AS43" s="1136">
        <v>1</v>
      </c>
      <c r="AT43" s="1136">
        <f t="shared" si="22"/>
        <v>0.05</v>
      </c>
      <c r="AU43" s="1135">
        <f t="shared" si="23"/>
        <v>0</v>
      </c>
      <c r="AV43" s="1135">
        <f t="shared" si="24"/>
        <v>0</v>
      </c>
      <c r="AW43" s="306">
        <f t="shared" si="25"/>
        <v>0</v>
      </c>
      <c r="AX43" s="1151">
        <f t="shared" si="26"/>
        <v>0</v>
      </c>
      <c r="AY43" s="1151">
        <f t="shared" si="27"/>
        <v>0</v>
      </c>
      <c r="AZ43" s="1311">
        <f t="shared" si="28"/>
        <v>0</v>
      </c>
      <c r="BB43" s="323">
        <f t="shared" si="29"/>
        <v>109.04159063382205</v>
      </c>
      <c r="BC43" s="324">
        <f t="shared" si="30"/>
        <v>391.60295705339837</v>
      </c>
      <c r="BD43" s="1323">
        <f t="shared" si="31"/>
        <v>0</v>
      </c>
      <c r="BE43" s="324">
        <f t="shared" si="32"/>
        <v>500.64454768722044</v>
      </c>
      <c r="BF43" s="104">
        <v>0</v>
      </c>
      <c r="BG43" s="325">
        <f t="shared" si="33"/>
        <v>500.64454768722044</v>
      </c>
      <c r="BI43" s="323">
        <f t="shared" si="34"/>
        <v>109.04159063382205</v>
      </c>
      <c r="BJ43" s="324">
        <f t="shared" si="35"/>
        <v>391.60295705339837</v>
      </c>
      <c r="BK43" s="1323">
        <f t="shared" si="36"/>
        <v>0</v>
      </c>
      <c r="BL43" s="324">
        <f t="shared" si="37"/>
        <v>500.64454768722044</v>
      </c>
      <c r="BM43" s="104">
        <v>0</v>
      </c>
      <c r="BN43" s="325">
        <f t="shared" si="38"/>
        <v>500.64454768722044</v>
      </c>
    </row>
    <row r="44" spans="1:66">
      <c r="A44" s="127">
        <f>'Input data'!A74</f>
        <v>1976</v>
      </c>
      <c r="B44" s="1082">
        <f>'Input data'!B74</f>
        <v>22.993880000000001</v>
      </c>
      <c r="C44" s="995">
        <f>'Baseline data (from input)'!B32</f>
        <v>578.73</v>
      </c>
      <c r="D44" s="1081">
        <f>'Baseline data (from input)'!L32</f>
        <v>0.8</v>
      </c>
      <c r="E44" s="992">
        <f t="shared" si="39"/>
        <v>0.24001298204245269</v>
      </c>
      <c r="F44" s="992">
        <f t="shared" si="40"/>
        <v>0.30440139352934503</v>
      </c>
      <c r="G44" s="992">
        <f t="shared" si="41"/>
        <v>5.8998240613430578E-2</v>
      </c>
      <c r="H44" s="992">
        <f t="shared" si="42"/>
        <v>0</v>
      </c>
      <c r="I44" s="992">
        <f t="shared" si="43"/>
        <v>0</v>
      </c>
      <c r="J44" s="992">
        <f t="shared" si="44"/>
        <v>0</v>
      </c>
      <c r="K44" s="992">
        <f t="shared" si="45"/>
        <v>0.39658738381477154</v>
      </c>
      <c r="L44" s="1092">
        <f t="shared" si="46"/>
        <v>0.99999999999999989</v>
      </c>
      <c r="N44" s="323">
        <f t="shared" si="1"/>
        <v>10645.798537920002</v>
      </c>
      <c r="O44" s="1137">
        <f>Parameters!R147</f>
        <v>0.73</v>
      </c>
      <c r="P44" s="1137">
        <f>E44*'MSW characteristics'!$B$28+'MSW characteristics'!$B$29*'4A SWD Case 1'!F44+'4A SWD Case 1'!G44*'MSW characteristics'!$B$30+'MSW characteristics'!$B$31*'4A SWD Case 1'!H44+'4A SWD Case 1'!I44*'MSW characteristics'!$B$32+'MSW characteristics'!$B$33*'4A SWD Case 1'!J44+'4A SWD Case 1'!K44*'MSW characteristics'!$B$35</f>
        <v>0.12048152225760915</v>
      </c>
      <c r="Q44" s="1135">
        <f t="shared" si="2"/>
        <v>468.15703492619758</v>
      </c>
      <c r="R44" s="1135">
        <f t="shared" si="3"/>
        <v>468.15703492619758</v>
      </c>
      <c r="S44" s="306">
        <f t="shared" si="4"/>
        <v>0</v>
      </c>
      <c r="T44" s="1135">
        <f t="shared" si="5"/>
        <v>3938.5274427883537</v>
      </c>
      <c r="U44" s="1135">
        <f t="shared" si="6"/>
        <v>177.92969564200246</v>
      </c>
      <c r="V44" s="1311">
        <f t="shared" si="7"/>
        <v>118.6197970946683</v>
      </c>
      <c r="X44" s="1143">
        <f>'Baseline data (from input)'!T32*'Baseline data (from input)'!U32</f>
        <v>29014.693547916435</v>
      </c>
      <c r="Y44" s="1136">
        <f>Parameters!S147</f>
        <v>0.71500000000000008</v>
      </c>
      <c r="Z44" s="1136">
        <f t="shared" si="8"/>
        <v>0.15</v>
      </c>
      <c r="AA44" s="1135">
        <f t="shared" si="9"/>
        <v>1555.9129415070188</v>
      </c>
      <c r="AB44" s="1135">
        <f t="shared" si="10"/>
        <v>1555.9129415070188</v>
      </c>
      <c r="AC44" s="306">
        <f t="shared" si="11"/>
        <v>0</v>
      </c>
      <c r="AD44" s="1135">
        <f t="shared" si="12"/>
        <v>13901.454097673321</v>
      </c>
      <c r="AE44" s="1135">
        <f t="shared" si="13"/>
        <v>632.96943043197359</v>
      </c>
      <c r="AF44" s="1311">
        <f t="shared" si="14"/>
        <v>421.97962028798241</v>
      </c>
      <c r="AH44" s="1143">
        <f>'Baseline data (from input)'!T32*'Baseline data (from input)'!U32</f>
        <v>29014.693547916435</v>
      </c>
      <c r="AI44" s="1136">
        <f>Parameters!S147</f>
        <v>0.71500000000000008</v>
      </c>
      <c r="AJ44" s="1136">
        <f t="shared" si="15"/>
        <v>0.15</v>
      </c>
      <c r="AK44" s="1135">
        <f t="shared" si="16"/>
        <v>1555.9129415070188</v>
      </c>
      <c r="AL44" s="1135">
        <f t="shared" si="17"/>
        <v>1555.9129415070188</v>
      </c>
      <c r="AM44" s="306">
        <f t="shared" si="18"/>
        <v>0</v>
      </c>
      <c r="AN44" s="1135">
        <f t="shared" si="19"/>
        <v>13901.454097673321</v>
      </c>
      <c r="AO44" s="1135">
        <f t="shared" si="20"/>
        <v>632.96943043197359</v>
      </c>
      <c r="AP44" s="1311">
        <f t="shared" si="21"/>
        <v>421.97962028798241</v>
      </c>
      <c r="AR44" s="1143">
        <v>0</v>
      </c>
      <c r="AS44" s="1136">
        <v>1</v>
      </c>
      <c r="AT44" s="1136">
        <f t="shared" si="22"/>
        <v>0.05</v>
      </c>
      <c r="AU44" s="1135">
        <f t="shared" si="23"/>
        <v>0</v>
      </c>
      <c r="AV44" s="1135">
        <f t="shared" si="24"/>
        <v>0</v>
      </c>
      <c r="AW44" s="306">
        <f t="shared" si="25"/>
        <v>0</v>
      </c>
      <c r="AX44" s="1151">
        <f t="shared" si="26"/>
        <v>0</v>
      </c>
      <c r="AY44" s="1151">
        <f t="shared" si="27"/>
        <v>0</v>
      </c>
      <c r="AZ44" s="1311">
        <f t="shared" si="28"/>
        <v>0</v>
      </c>
      <c r="BB44" s="323">
        <f t="shared" si="29"/>
        <v>118.6197970946683</v>
      </c>
      <c r="BC44" s="324">
        <f t="shared" si="30"/>
        <v>421.97962028798241</v>
      </c>
      <c r="BD44" s="1323">
        <f t="shared" si="31"/>
        <v>0</v>
      </c>
      <c r="BE44" s="324">
        <f t="shared" si="32"/>
        <v>540.5994173826507</v>
      </c>
      <c r="BF44" s="104">
        <v>0</v>
      </c>
      <c r="BG44" s="325">
        <f t="shared" si="33"/>
        <v>540.5994173826507</v>
      </c>
      <c r="BI44" s="323">
        <f t="shared" si="34"/>
        <v>118.6197970946683</v>
      </c>
      <c r="BJ44" s="324">
        <f t="shared" si="35"/>
        <v>421.97962028798241</v>
      </c>
      <c r="BK44" s="1323">
        <f t="shared" si="36"/>
        <v>0</v>
      </c>
      <c r="BL44" s="324">
        <f t="shared" si="37"/>
        <v>540.5994173826507</v>
      </c>
      <c r="BM44" s="104">
        <v>0</v>
      </c>
      <c r="BN44" s="325">
        <f t="shared" si="38"/>
        <v>540.5994173826507</v>
      </c>
    </row>
    <row r="45" spans="1:66">
      <c r="A45" s="127">
        <f>'Input data'!A75</f>
        <v>1977</v>
      </c>
      <c r="B45" s="1082">
        <f>'Input data'!B75</f>
        <v>23.483460000000001</v>
      </c>
      <c r="C45" s="995">
        <f>'Baseline data (from input)'!B33</f>
        <v>578.73</v>
      </c>
      <c r="D45" s="1081">
        <f>'Baseline data (from input)'!L33</f>
        <v>0.8</v>
      </c>
      <c r="E45" s="992">
        <f t="shared" si="39"/>
        <v>0.24001298204245269</v>
      </c>
      <c r="F45" s="992">
        <f t="shared" si="40"/>
        <v>0.30440139352934503</v>
      </c>
      <c r="G45" s="992">
        <f t="shared" si="41"/>
        <v>5.8998240613430578E-2</v>
      </c>
      <c r="H45" s="992">
        <f t="shared" si="42"/>
        <v>0</v>
      </c>
      <c r="I45" s="992">
        <f t="shared" si="43"/>
        <v>0</v>
      </c>
      <c r="J45" s="992">
        <f t="shared" si="44"/>
        <v>0</v>
      </c>
      <c r="K45" s="992">
        <f t="shared" si="45"/>
        <v>0.39658738381477154</v>
      </c>
      <c r="L45" s="1092">
        <f t="shared" si="46"/>
        <v>0.99999999999999989</v>
      </c>
      <c r="N45" s="323">
        <f t="shared" si="1"/>
        <v>10872.466244640002</v>
      </c>
      <c r="O45" s="1137">
        <f>Parameters!R148</f>
        <v>0.73</v>
      </c>
      <c r="P45" s="1137">
        <f>E45*'MSW characteristics'!$B$28+'MSW characteristics'!$B$29*'4A SWD Case 1'!F45+'4A SWD Case 1'!G45*'MSW characteristics'!$B$30+'MSW characteristics'!$B$31*'4A SWD Case 1'!H45+'4A SWD Case 1'!I45*'MSW characteristics'!$B$32+'MSW characteristics'!$B$33*'4A SWD Case 1'!J45+'4A SWD Case 1'!K45*'MSW characteristics'!$B$35</f>
        <v>0.12048152225760915</v>
      </c>
      <c r="Q45" s="1135">
        <f t="shared" si="2"/>
        <v>478.12491860477496</v>
      </c>
      <c r="R45" s="1135">
        <f t="shared" si="3"/>
        <v>478.12491860477496</v>
      </c>
      <c r="S45" s="306">
        <f t="shared" si="4"/>
        <v>0</v>
      </c>
      <c r="T45" s="1135">
        <f t="shared" si="5"/>
        <v>4224.5681113886094</v>
      </c>
      <c r="U45" s="1135">
        <f t="shared" si="6"/>
        <v>192.08425000451916</v>
      </c>
      <c r="V45" s="1311">
        <f t="shared" si="7"/>
        <v>128.05616666967944</v>
      </c>
      <c r="X45" s="1143">
        <f>'Baseline data (from input)'!T33*'Baseline data (from input)'!U33</f>
        <v>28987.408845606311</v>
      </c>
      <c r="Y45" s="1136">
        <f>Parameters!S148</f>
        <v>0.71500000000000008</v>
      </c>
      <c r="Z45" s="1136">
        <f t="shared" si="8"/>
        <v>0.15</v>
      </c>
      <c r="AA45" s="1135">
        <f t="shared" si="9"/>
        <v>1554.4497993456384</v>
      </c>
      <c r="AB45" s="1135">
        <f t="shared" si="10"/>
        <v>1554.4497993456384</v>
      </c>
      <c r="AC45" s="306">
        <f t="shared" si="11"/>
        <v>0</v>
      </c>
      <c r="AD45" s="1135">
        <f t="shared" si="12"/>
        <v>14777.921980398523</v>
      </c>
      <c r="AE45" s="1135">
        <f t="shared" si="13"/>
        <v>677.98191662043519</v>
      </c>
      <c r="AF45" s="1311">
        <f t="shared" si="14"/>
        <v>451.98794441362344</v>
      </c>
      <c r="AH45" s="1143">
        <f>'Baseline data (from input)'!T33*'Baseline data (from input)'!U33</f>
        <v>28987.408845606311</v>
      </c>
      <c r="AI45" s="1136">
        <f>Parameters!S148</f>
        <v>0.71500000000000008</v>
      </c>
      <c r="AJ45" s="1136">
        <f t="shared" si="15"/>
        <v>0.15</v>
      </c>
      <c r="AK45" s="1135">
        <f t="shared" si="16"/>
        <v>1554.4497993456384</v>
      </c>
      <c r="AL45" s="1135">
        <f t="shared" si="17"/>
        <v>1554.4497993456384</v>
      </c>
      <c r="AM45" s="306">
        <f t="shared" si="18"/>
        <v>0</v>
      </c>
      <c r="AN45" s="1135">
        <f t="shared" si="19"/>
        <v>14777.921980398523</v>
      </c>
      <c r="AO45" s="1135">
        <f t="shared" si="20"/>
        <v>677.98191662043519</v>
      </c>
      <c r="AP45" s="1311">
        <f t="shared" si="21"/>
        <v>451.98794441362344</v>
      </c>
      <c r="AR45" s="1143">
        <v>0</v>
      </c>
      <c r="AS45" s="1136">
        <v>1</v>
      </c>
      <c r="AT45" s="1136">
        <f t="shared" si="22"/>
        <v>0.05</v>
      </c>
      <c r="AU45" s="1135">
        <f t="shared" si="23"/>
        <v>0</v>
      </c>
      <c r="AV45" s="1135">
        <f t="shared" si="24"/>
        <v>0</v>
      </c>
      <c r="AW45" s="306">
        <f t="shared" si="25"/>
        <v>0</v>
      </c>
      <c r="AX45" s="1151">
        <f t="shared" si="26"/>
        <v>0</v>
      </c>
      <c r="AY45" s="1151">
        <f t="shared" si="27"/>
        <v>0</v>
      </c>
      <c r="AZ45" s="1311">
        <f t="shared" si="28"/>
        <v>0</v>
      </c>
      <c r="BB45" s="323">
        <f t="shared" si="29"/>
        <v>128.05616666967944</v>
      </c>
      <c r="BC45" s="324">
        <f t="shared" si="30"/>
        <v>451.98794441362344</v>
      </c>
      <c r="BD45" s="1323">
        <f t="shared" si="31"/>
        <v>0</v>
      </c>
      <c r="BE45" s="324">
        <f t="shared" si="32"/>
        <v>580.04411108330282</v>
      </c>
      <c r="BF45" s="104">
        <v>0</v>
      </c>
      <c r="BG45" s="325">
        <f t="shared" si="33"/>
        <v>580.04411108330282</v>
      </c>
      <c r="BI45" s="323">
        <f t="shared" si="34"/>
        <v>128.05616666967944</v>
      </c>
      <c r="BJ45" s="324">
        <f t="shared" si="35"/>
        <v>451.98794441362344</v>
      </c>
      <c r="BK45" s="1323">
        <f t="shared" si="36"/>
        <v>0</v>
      </c>
      <c r="BL45" s="324">
        <f t="shared" si="37"/>
        <v>580.04411108330282</v>
      </c>
      <c r="BM45" s="104">
        <v>0</v>
      </c>
      <c r="BN45" s="325">
        <f t="shared" si="38"/>
        <v>580.04411108330282</v>
      </c>
    </row>
    <row r="46" spans="1:66">
      <c r="A46" s="127">
        <f>'Input data'!A76</f>
        <v>1978</v>
      </c>
      <c r="B46" s="1082">
        <f>'Input data'!B76</f>
        <v>23.983049999999999</v>
      </c>
      <c r="C46" s="995">
        <f>'Baseline data (from input)'!B34</f>
        <v>578.73</v>
      </c>
      <c r="D46" s="1081">
        <f>'Baseline data (from input)'!L34</f>
        <v>0.8</v>
      </c>
      <c r="E46" s="992">
        <f t="shared" si="39"/>
        <v>0.24001298204245269</v>
      </c>
      <c r="F46" s="992">
        <f t="shared" si="40"/>
        <v>0.30440139352934503</v>
      </c>
      <c r="G46" s="992">
        <f t="shared" si="41"/>
        <v>5.8998240613430578E-2</v>
      </c>
      <c r="H46" s="992">
        <f t="shared" si="42"/>
        <v>0</v>
      </c>
      <c r="I46" s="992">
        <f t="shared" si="43"/>
        <v>0</v>
      </c>
      <c r="J46" s="992">
        <f t="shared" si="44"/>
        <v>0</v>
      </c>
      <c r="K46" s="992">
        <f t="shared" si="45"/>
        <v>0.39658738381477154</v>
      </c>
      <c r="L46" s="1092">
        <f t="shared" si="46"/>
        <v>0.99999999999999989</v>
      </c>
      <c r="N46" s="323">
        <f t="shared" si="1"/>
        <v>11103.7684212</v>
      </c>
      <c r="O46" s="1137">
        <f>Parameters!R149</f>
        <v>0.73</v>
      </c>
      <c r="P46" s="1137">
        <f>E46*'MSW characteristics'!$B$28+'MSW characteristics'!$B$29*'4A SWD Case 1'!F46+'4A SWD Case 1'!G46*'MSW characteristics'!$B$30+'MSW characteristics'!$B$31*'4A SWD Case 1'!H46+'4A SWD Case 1'!I46*'MSW characteristics'!$B$32+'MSW characteristics'!$B$33*'4A SWD Case 1'!J46+'4A SWD Case 1'!K46*'MSW characteristics'!$B$35</f>
        <v>0.12048152225760915</v>
      </c>
      <c r="Q46" s="1135">
        <f t="shared" si="2"/>
        <v>488.29660659648306</v>
      </c>
      <c r="R46" s="1135">
        <f t="shared" si="3"/>
        <v>488.29660659648306</v>
      </c>
      <c r="S46" s="306">
        <f t="shared" si="4"/>
        <v>0</v>
      </c>
      <c r="T46" s="1135">
        <f t="shared" si="5"/>
        <v>4506.8300999567382</v>
      </c>
      <c r="U46" s="1135">
        <f t="shared" si="6"/>
        <v>206.03461802835417</v>
      </c>
      <c r="V46" s="1311">
        <f t="shared" si="7"/>
        <v>137.35641201890277</v>
      </c>
      <c r="X46" s="1143">
        <f>'Baseline data (from input)'!T34*'Baseline data (from input)'!U34</f>
        <v>29861.248479231726</v>
      </c>
      <c r="Y46" s="1136">
        <f>Parameters!S149</f>
        <v>0.71500000000000008</v>
      </c>
      <c r="Z46" s="1136">
        <f t="shared" si="8"/>
        <v>0.15</v>
      </c>
      <c r="AA46" s="1135">
        <f t="shared" si="9"/>
        <v>1601.3094496988015</v>
      </c>
      <c r="AB46" s="1135">
        <f t="shared" si="10"/>
        <v>1601.3094496988015</v>
      </c>
      <c r="AC46" s="306">
        <f t="shared" si="11"/>
        <v>0</v>
      </c>
      <c r="AD46" s="1135">
        <f t="shared" si="12"/>
        <v>15658.50367042974</v>
      </c>
      <c r="AE46" s="1135">
        <f t="shared" si="13"/>
        <v>720.727759667584</v>
      </c>
      <c r="AF46" s="1311">
        <f t="shared" si="14"/>
        <v>480.48517311172264</v>
      </c>
      <c r="AH46" s="1143">
        <f>'Baseline data (from input)'!T34*'Baseline data (from input)'!U34</f>
        <v>29861.248479231726</v>
      </c>
      <c r="AI46" s="1136">
        <f>Parameters!S149</f>
        <v>0.71500000000000008</v>
      </c>
      <c r="AJ46" s="1136">
        <f t="shared" si="15"/>
        <v>0.15</v>
      </c>
      <c r="AK46" s="1135">
        <f t="shared" si="16"/>
        <v>1601.3094496988015</v>
      </c>
      <c r="AL46" s="1135">
        <f t="shared" si="17"/>
        <v>1601.3094496988015</v>
      </c>
      <c r="AM46" s="306">
        <f t="shared" si="18"/>
        <v>0</v>
      </c>
      <c r="AN46" s="1135">
        <f t="shared" si="19"/>
        <v>15658.50367042974</v>
      </c>
      <c r="AO46" s="1135">
        <f t="shared" si="20"/>
        <v>720.727759667584</v>
      </c>
      <c r="AP46" s="1311">
        <f t="shared" si="21"/>
        <v>480.48517311172264</v>
      </c>
      <c r="AR46" s="1143">
        <v>0</v>
      </c>
      <c r="AS46" s="1136">
        <v>1</v>
      </c>
      <c r="AT46" s="1136">
        <f t="shared" si="22"/>
        <v>0.05</v>
      </c>
      <c r="AU46" s="1135">
        <f t="shared" si="23"/>
        <v>0</v>
      </c>
      <c r="AV46" s="1135">
        <f t="shared" si="24"/>
        <v>0</v>
      </c>
      <c r="AW46" s="306">
        <f t="shared" si="25"/>
        <v>0</v>
      </c>
      <c r="AX46" s="1151">
        <f t="shared" si="26"/>
        <v>0</v>
      </c>
      <c r="AY46" s="1151">
        <f t="shared" si="27"/>
        <v>0</v>
      </c>
      <c r="AZ46" s="1311">
        <f t="shared" si="28"/>
        <v>0</v>
      </c>
      <c r="BB46" s="323">
        <f t="shared" si="29"/>
        <v>137.35641201890277</v>
      </c>
      <c r="BC46" s="324">
        <f t="shared" si="30"/>
        <v>480.48517311172264</v>
      </c>
      <c r="BD46" s="1323">
        <f t="shared" si="31"/>
        <v>0</v>
      </c>
      <c r="BE46" s="324">
        <f t="shared" si="32"/>
        <v>617.84158513062539</v>
      </c>
      <c r="BF46" s="104">
        <v>0</v>
      </c>
      <c r="BG46" s="325">
        <f t="shared" si="33"/>
        <v>617.84158513062539</v>
      </c>
      <c r="BI46" s="323">
        <f t="shared" si="34"/>
        <v>137.35641201890277</v>
      </c>
      <c r="BJ46" s="324">
        <f t="shared" si="35"/>
        <v>480.48517311172264</v>
      </c>
      <c r="BK46" s="1323">
        <f t="shared" si="36"/>
        <v>0</v>
      </c>
      <c r="BL46" s="324">
        <f t="shared" si="37"/>
        <v>617.84158513062539</v>
      </c>
      <c r="BM46" s="104">
        <v>0</v>
      </c>
      <c r="BN46" s="325">
        <f t="shared" si="38"/>
        <v>617.84158513062539</v>
      </c>
    </row>
    <row r="47" spans="1:66">
      <c r="A47" s="127">
        <f>'Input data'!A77</f>
        <v>1979</v>
      </c>
      <c r="B47" s="1082">
        <f>'Input data'!B77</f>
        <v>24.516309999999997</v>
      </c>
      <c r="C47" s="995">
        <f>'Baseline data (from input)'!B35</f>
        <v>578.73</v>
      </c>
      <c r="D47" s="1081">
        <f>'Baseline data (from input)'!L35</f>
        <v>0.8</v>
      </c>
      <c r="E47" s="992">
        <f t="shared" si="39"/>
        <v>0.24001298204245269</v>
      </c>
      <c r="F47" s="992">
        <f t="shared" si="40"/>
        <v>0.30440139352934503</v>
      </c>
      <c r="G47" s="992">
        <f t="shared" si="41"/>
        <v>5.8998240613430578E-2</v>
      </c>
      <c r="H47" s="992">
        <f t="shared" si="42"/>
        <v>0</v>
      </c>
      <c r="I47" s="992">
        <f t="shared" si="43"/>
        <v>0</v>
      </c>
      <c r="J47" s="992">
        <f t="shared" si="44"/>
        <v>0</v>
      </c>
      <c r="K47" s="992">
        <f t="shared" si="45"/>
        <v>0.39658738381477154</v>
      </c>
      <c r="L47" s="1092">
        <f t="shared" si="46"/>
        <v>0.99999999999999989</v>
      </c>
      <c r="N47" s="323">
        <f t="shared" si="1"/>
        <v>11350.659269039999</v>
      </c>
      <c r="O47" s="1137">
        <f>Parameters!R150</f>
        <v>0.73</v>
      </c>
      <c r="P47" s="1137">
        <f>E47*'MSW characteristics'!$B$28+'MSW characteristics'!$B$29*'4A SWD Case 1'!F47+'4A SWD Case 1'!G47*'MSW characteristics'!$B$30+'MSW characteristics'!$B$31*'4A SWD Case 1'!H47+'4A SWD Case 1'!I47*'MSW characteristics'!$B$32+'MSW characteristics'!$B$33*'4A SWD Case 1'!J47+'4A SWD Case 1'!K47*'MSW characteristics'!$B$35</f>
        <v>0.12048152225760915</v>
      </c>
      <c r="Q47" s="1135">
        <f t="shared" si="2"/>
        <v>499.15381818690378</v>
      </c>
      <c r="R47" s="1135">
        <f t="shared" si="3"/>
        <v>499.15381818690378</v>
      </c>
      <c r="S47" s="306">
        <f t="shared" si="4"/>
        <v>0</v>
      </c>
      <c r="T47" s="1135">
        <f t="shared" si="5"/>
        <v>4786.1832204912471</v>
      </c>
      <c r="U47" s="1135">
        <f t="shared" si="6"/>
        <v>219.80069765239469</v>
      </c>
      <c r="V47" s="1311">
        <f t="shared" si="7"/>
        <v>146.53379843492979</v>
      </c>
      <c r="X47" s="1143">
        <f>'Baseline data (from input)'!T35*'Baseline data (from input)'!U35</f>
        <v>30993.140241147801</v>
      </c>
      <c r="Y47" s="1136">
        <f>Parameters!S150</f>
        <v>0.71500000000000008</v>
      </c>
      <c r="Z47" s="1136">
        <f t="shared" si="8"/>
        <v>0.15</v>
      </c>
      <c r="AA47" s="1135">
        <f t="shared" si="9"/>
        <v>1662.007145431551</v>
      </c>
      <c r="AB47" s="1135">
        <f t="shared" si="10"/>
        <v>1662.007145431551</v>
      </c>
      <c r="AC47" s="306">
        <f t="shared" si="11"/>
        <v>0</v>
      </c>
      <c r="AD47" s="1135">
        <f t="shared" si="12"/>
        <v>16556.83658039675</v>
      </c>
      <c r="AE47" s="1135">
        <f t="shared" si="13"/>
        <v>763.67423546454029</v>
      </c>
      <c r="AF47" s="1311">
        <f t="shared" si="14"/>
        <v>509.11615697636017</v>
      </c>
      <c r="AH47" s="1143">
        <f>'Baseline data (from input)'!T35*'Baseline data (from input)'!U35</f>
        <v>30993.140241147801</v>
      </c>
      <c r="AI47" s="1136">
        <f>Parameters!S150</f>
        <v>0.71500000000000008</v>
      </c>
      <c r="AJ47" s="1136">
        <f t="shared" si="15"/>
        <v>0.15</v>
      </c>
      <c r="AK47" s="1135">
        <f t="shared" si="16"/>
        <v>1662.007145431551</v>
      </c>
      <c r="AL47" s="1135">
        <f t="shared" si="17"/>
        <v>1662.007145431551</v>
      </c>
      <c r="AM47" s="306">
        <f t="shared" si="18"/>
        <v>0</v>
      </c>
      <c r="AN47" s="1135">
        <f t="shared" si="19"/>
        <v>16556.83658039675</v>
      </c>
      <c r="AO47" s="1135">
        <f t="shared" si="20"/>
        <v>763.67423546454029</v>
      </c>
      <c r="AP47" s="1311">
        <f t="shared" si="21"/>
        <v>509.11615697636017</v>
      </c>
      <c r="AR47" s="1143">
        <v>0</v>
      </c>
      <c r="AS47" s="1136">
        <v>1</v>
      </c>
      <c r="AT47" s="1136">
        <f t="shared" si="22"/>
        <v>0.05</v>
      </c>
      <c r="AU47" s="1135">
        <f t="shared" si="23"/>
        <v>0</v>
      </c>
      <c r="AV47" s="1135">
        <f t="shared" si="24"/>
        <v>0</v>
      </c>
      <c r="AW47" s="199">
        <f t="shared" si="25"/>
        <v>0</v>
      </c>
      <c r="AX47" s="1151">
        <f t="shared" si="26"/>
        <v>0</v>
      </c>
      <c r="AY47" s="1151">
        <f t="shared" si="27"/>
        <v>0</v>
      </c>
      <c r="AZ47" s="1311">
        <f t="shared" si="28"/>
        <v>0</v>
      </c>
      <c r="BB47" s="323">
        <f t="shared" si="29"/>
        <v>146.53379843492979</v>
      </c>
      <c r="BC47" s="324">
        <f t="shared" si="30"/>
        <v>509.11615697636017</v>
      </c>
      <c r="BD47" s="1323">
        <f t="shared" si="31"/>
        <v>0</v>
      </c>
      <c r="BE47" s="324">
        <f t="shared" si="32"/>
        <v>655.64995541128997</v>
      </c>
      <c r="BF47" s="104">
        <v>0</v>
      </c>
      <c r="BG47" s="325">
        <f t="shared" si="33"/>
        <v>655.64995541128997</v>
      </c>
      <c r="BI47" s="323">
        <f t="shared" si="34"/>
        <v>146.53379843492979</v>
      </c>
      <c r="BJ47" s="324">
        <f t="shared" si="35"/>
        <v>509.11615697636017</v>
      </c>
      <c r="BK47" s="1323">
        <f t="shared" si="36"/>
        <v>0</v>
      </c>
      <c r="BL47" s="324">
        <f t="shared" si="37"/>
        <v>655.64995541128997</v>
      </c>
      <c r="BM47" s="104">
        <v>0</v>
      </c>
      <c r="BN47" s="325">
        <f t="shared" si="38"/>
        <v>655.64995541128997</v>
      </c>
    </row>
    <row r="48" spans="1:66">
      <c r="A48" s="127">
        <f>'Input data'!A78</f>
        <v>1980</v>
      </c>
      <c r="B48" s="1082">
        <f>'Input data'!B78</f>
        <v>25.094160000000002</v>
      </c>
      <c r="C48" s="995">
        <f>'Baseline data (from input)'!B36</f>
        <v>578.73</v>
      </c>
      <c r="D48" s="1081">
        <f>'Baseline data (from input)'!L36</f>
        <v>0.8</v>
      </c>
      <c r="E48" s="992">
        <f t="shared" si="39"/>
        <v>0.24001298204245269</v>
      </c>
      <c r="F48" s="992">
        <f t="shared" si="40"/>
        <v>0.30440139352934503</v>
      </c>
      <c r="G48" s="992">
        <f t="shared" si="41"/>
        <v>5.8998240613430578E-2</v>
      </c>
      <c r="H48" s="992">
        <f t="shared" si="42"/>
        <v>0</v>
      </c>
      <c r="I48" s="992">
        <f t="shared" si="43"/>
        <v>0</v>
      </c>
      <c r="J48" s="992">
        <f t="shared" si="44"/>
        <v>0</v>
      </c>
      <c r="K48" s="992">
        <f t="shared" si="45"/>
        <v>0.39658738381477154</v>
      </c>
      <c r="L48" s="1092">
        <f t="shared" si="46"/>
        <v>0.99999999999999989</v>
      </c>
      <c r="N48" s="323">
        <f t="shared" si="1"/>
        <v>11618.194573440001</v>
      </c>
      <c r="O48" s="1137">
        <f>Parameters!R151</f>
        <v>0.73</v>
      </c>
      <c r="P48" s="1137">
        <f>E48*'MSW characteristics'!$B$28+'MSW characteristics'!$B$29*'4A SWD Case 1'!F48+'4A SWD Case 1'!G48*'MSW characteristics'!$B$30+'MSW characteristics'!$B$31*'4A SWD Case 1'!H48+'4A SWD Case 1'!I48*'MSW characteristics'!$B$32+'MSW characteristics'!$B$33*'4A SWD Case 1'!J48+'4A SWD Case 1'!K48*'MSW characteristics'!$B$35</f>
        <v>0.12048152225760915</v>
      </c>
      <c r="Q48" s="1135">
        <f t="shared" si="2"/>
        <v>510.91888535399806</v>
      </c>
      <c r="R48" s="1135">
        <f t="shared" si="3"/>
        <v>510.91888535399806</v>
      </c>
      <c r="S48" s="306">
        <f t="shared" si="4"/>
        <v>0</v>
      </c>
      <c r="T48" s="1135">
        <f t="shared" si="5"/>
        <v>5063.677195736861</v>
      </c>
      <c r="U48" s="1135">
        <f t="shared" si="6"/>
        <v>233.4249101083841</v>
      </c>
      <c r="V48" s="1311">
        <f t="shared" si="7"/>
        <v>155.61660673892274</v>
      </c>
      <c r="X48" s="1143">
        <f>'Baseline data (from input)'!T36*'Baseline data (from input)'!U36</f>
        <v>33045.06746008664</v>
      </c>
      <c r="Y48" s="1136">
        <f>Parameters!S151</f>
        <v>0.71500000000000008</v>
      </c>
      <c r="Z48" s="1136">
        <f t="shared" si="8"/>
        <v>0.15</v>
      </c>
      <c r="AA48" s="1135">
        <f t="shared" si="9"/>
        <v>1772.0417425471464</v>
      </c>
      <c r="AB48" s="1135">
        <f t="shared" si="10"/>
        <v>1772.0417425471464</v>
      </c>
      <c r="AC48" s="306">
        <f t="shared" si="11"/>
        <v>0</v>
      </c>
      <c r="AD48" s="1135">
        <f t="shared" si="12"/>
        <v>17521.391874470319</v>
      </c>
      <c r="AE48" s="1135">
        <f t="shared" si="13"/>
        <v>807.48644847357969</v>
      </c>
      <c r="AF48" s="1311">
        <f t="shared" si="14"/>
        <v>538.32429898238649</v>
      </c>
      <c r="AH48" s="1143">
        <f>'Baseline data (from input)'!T36*'Baseline data (from input)'!U36</f>
        <v>33045.06746008664</v>
      </c>
      <c r="AI48" s="1136">
        <f>Parameters!S151</f>
        <v>0.71500000000000008</v>
      </c>
      <c r="AJ48" s="1136">
        <f t="shared" si="15"/>
        <v>0.15</v>
      </c>
      <c r="AK48" s="1135">
        <f t="shared" si="16"/>
        <v>1772.0417425471464</v>
      </c>
      <c r="AL48" s="1135">
        <f t="shared" si="17"/>
        <v>1772.0417425471464</v>
      </c>
      <c r="AM48" s="306">
        <f t="shared" si="18"/>
        <v>0</v>
      </c>
      <c r="AN48" s="1135">
        <f t="shared" si="19"/>
        <v>17521.391874470319</v>
      </c>
      <c r="AO48" s="1135">
        <f t="shared" si="20"/>
        <v>807.48644847357969</v>
      </c>
      <c r="AP48" s="1311">
        <f t="shared" si="21"/>
        <v>538.32429898238649</v>
      </c>
      <c r="AR48" s="1143">
        <v>0</v>
      </c>
      <c r="AS48" s="1136">
        <v>1</v>
      </c>
      <c r="AT48" s="1136">
        <f t="shared" si="22"/>
        <v>0.05</v>
      </c>
      <c r="AU48" s="1135">
        <f t="shared" si="23"/>
        <v>0</v>
      </c>
      <c r="AV48" s="1135">
        <f t="shared" si="24"/>
        <v>0</v>
      </c>
      <c r="AW48" s="199">
        <f t="shared" si="25"/>
        <v>0</v>
      </c>
      <c r="AX48" s="1151">
        <f t="shared" ref="AX48:AX68" si="47">AV48+(AX47*$E$8)</f>
        <v>0</v>
      </c>
      <c r="AY48" s="1151">
        <f t="shared" si="27"/>
        <v>0</v>
      </c>
      <c r="AZ48" s="1311">
        <f t="shared" si="28"/>
        <v>0</v>
      </c>
      <c r="BB48" s="323">
        <f t="shared" si="29"/>
        <v>155.61660673892274</v>
      </c>
      <c r="BC48" s="324">
        <f t="shared" si="30"/>
        <v>538.32429898238649</v>
      </c>
      <c r="BD48" s="1323">
        <f t="shared" si="31"/>
        <v>0</v>
      </c>
      <c r="BE48" s="324">
        <f t="shared" si="32"/>
        <v>693.94090572130926</v>
      </c>
      <c r="BF48" s="104">
        <v>0</v>
      </c>
      <c r="BG48" s="325">
        <f t="shared" si="33"/>
        <v>693.94090572130926</v>
      </c>
      <c r="BI48" s="323">
        <f t="shared" si="34"/>
        <v>155.61660673892274</v>
      </c>
      <c r="BJ48" s="324">
        <f t="shared" si="35"/>
        <v>538.32429898238649</v>
      </c>
      <c r="BK48" s="1323">
        <f t="shared" si="36"/>
        <v>0</v>
      </c>
      <c r="BL48" s="324">
        <f t="shared" si="37"/>
        <v>693.94090572130926</v>
      </c>
      <c r="BM48" s="104">
        <v>0</v>
      </c>
      <c r="BN48" s="325">
        <f t="shared" si="38"/>
        <v>693.94090572130926</v>
      </c>
    </row>
    <row r="49" spans="1:66">
      <c r="A49" s="127">
        <f>'Input data'!A79</f>
        <v>1981</v>
      </c>
      <c r="B49" s="1082">
        <f>'Input data'!B79</f>
        <v>25.712049999999998</v>
      </c>
      <c r="C49" s="995">
        <f>'Baseline data (from input)'!B37</f>
        <v>578.73</v>
      </c>
      <c r="D49" s="1081">
        <f>'Baseline data (from input)'!L37</f>
        <v>0.8</v>
      </c>
      <c r="E49" s="992">
        <f t="shared" si="39"/>
        <v>0.24001298204245269</v>
      </c>
      <c r="F49" s="992">
        <f t="shared" si="40"/>
        <v>0.30440139352934503</v>
      </c>
      <c r="G49" s="992">
        <f t="shared" si="41"/>
        <v>5.8998240613430578E-2</v>
      </c>
      <c r="H49" s="992">
        <f t="shared" si="42"/>
        <v>0</v>
      </c>
      <c r="I49" s="992">
        <f t="shared" si="43"/>
        <v>0</v>
      </c>
      <c r="J49" s="992">
        <f t="shared" si="44"/>
        <v>0</v>
      </c>
      <c r="K49" s="992">
        <f t="shared" si="45"/>
        <v>0.39658738381477154</v>
      </c>
      <c r="L49" s="1092">
        <f t="shared" si="46"/>
        <v>0.99999999999999989</v>
      </c>
      <c r="N49" s="323">
        <f t="shared" si="1"/>
        <v>11904.267757200001</v>
      </c>
      <c r="O49" s="1137">
        <f>Parameters!R152</f>
        <v>0.73</v>
      </c>
      <c r="P49" s="1137">
        <f>E49*'MSW characteristics'!$B$28+'MSW characteristics'!$B$29*'4A SWD Case 1'!F49+'4A SWD Case 1'!G49*'MSW characteristics'!$B$30+'MSW characteristics'!$B$31*'4A SWD Case 1'!H49+'4A SWD Case 1'!I49*'MSW characteristics'!$B$32+'MSW characteristics'!$B$33*'4A SWD Case 1'!J49+'4A SWD Case 1'!K49*'MSW characteristics'!$B$35</f>
        <v>0.12048152225760915</v>
      </c>
      <c r="Q49" s="1135">
        <f t="shared" si="2"/>
        <v>523.49916977361522</v>
      </c>
      <c r="R49" s="1135">
        <f t="shared" si="3"/>
        <v>523.49916977361522</v>
      </c>
      <c r="S49" s="306">
        <f t="shared" si="4"/>
        <v>0</v>
      </c>
      <c r="T49" s="1135">
        <f t="shared" si="5"/>
        <v>5340.2179145317787</v>
      </c>
      <c r="U49" s="1135">
        <f t="shared" si="6"/>
        <v>246.9584509786973</v>
      </c>
      <c r="V49" s="1311">
        <f t="shared" si="7"/>
        <v>164.63896731913152</v>
      </c>
      <c r="X49" s="1143">
        <f>'Baseline data (from input)'!T37*'Baseline data (from input)'!U37</f>
        <v>34816.526756553299</v>
      </c>
      <c r="Y49" s="1136">
        <f>Parameters!S152</f>
        <v>0.71500000000000008</v>
      </c>
      <c r="Z49" s="1136">
        <f t="shared" si="8"/>
        <v>0.15</v>
      </c>
      <c r="AA49" s="1135">
        <f t="shared" si="9"/>
        <v>1867.0362473201708</v>
      </c>
      <c r="AB49" s="1135">
        <f t="shared" si="10"/>
        <v>1867.0362473201708</v>
      </c>
      <c r="AC49" s="306">
        <f t="shared" si="11"/>
        <v>0</v>
      </c>
      <c r="AD49" s="1135">
        <f t="shared" si="12"/>
        <v>18533.899756524061</v>
      </c>
      <c r="AE49" s="1135">
        <f t="shared" si="13"/>
        <v>854.52836526643068</v>
      </c>
      <c r="AF49" s="1311">
        <f t="shared" si="14"/>
        <v>569.68557684428708</v>
      </c>
      <c r="AH49" s="1143">
        <f>'Baseline data (from input)'!T37*'Baseline data (from input)'!U37</f>
        <v>34816.526756553299</v>
      </c>
      <c r="AI49" s="1136">
        <f>Parameters!S152</f>
        <v>0.71500000000000008</v>
      </c>
      <c r="AJ49" s="1136">
        <f t="shared" si="15"/>
        <v>0.15</v>
      </c>
      <c r="AK49" s="1135">
        <f t="shared" si="16"/>
        <v>1867.0362473201708</v>
      </c>
      <c r="AL49" s="1135">
        <f t="shared" si="17"/>
        <v>1867.0362473201708</v>
      </c>
      <c r="AM49" s="306">
        <f t="shared" si="18"/>
        <v>0</v>
      </c>
      <c r="AN49" s="1135">
        <f t="shared" si="19"/>
        <v>18533.899756524061</v>
      </c>
      <c r="AO49" s="1135">
        <f t="shared" si="20"/>
        <v>854.52836526643068</v>
      </c>
      <c r="AP49" s="1311">
        <f t="shared" si="21"/>
        <v>569.68557684428708</v>
      </c>
      <c r="AR49" s="1143">
        <v>0</v>
      </c>
      <c r="AS49" s="1136">
        <v>1</v>
      </c>
      <c r="AT49" s="1136">
        <f t="shared" si="22"/>
        <v>0.05</v>
      </c>
      <c r="AU49" s="1135">
        <f t="shared" si="23"/>
        <v>0</v>
      </c>
      <c r="AV49" s="1135">
        <f t="shared" si="24"/>
        <v>0</v>
      </c>
      <c r="AW49" s="199">
        <f t="shared" si="25"/>
        <v>0</v>
      </c>
      <c r="AX49" s="1151">
        <f t="shared" si="47"/>
        <v>0</v>
      </c>
      <c r="AY49" s="1151">
        <f t="shared" si="27"/>
        <v>0</v>
      </c>
      <c r="AZ49" s="1311">
        <f t="shared" si="28"/>
        <v>0</v>
      </c>
      <c r="BB49" s="323">
        <f t="shared" si="29"/>
        <v>164.63896731913152</v>
      </c>
      <c r="BC49" s="324">
        <f t="shared" si="30"/>
        <v>569.68557684428708</v>
      </c>
      <c r="BD49" s="1323">
        <f t="shared" si="31"/>
        <v>0</v>
      </c>
      <c r="BE49" s="324">
        <f t="shared" si="32"/>
        <v>734.32454416341864</v>
      </c>
      <c r="BF49" s="104">
        <v>0</v>
      </c>
      <c r="BG49" s="325">
        <f t="shared" si="33"/>
        <v>734.32454416341864</v>
      </c>
      <c r="BI49" s="323">
        <f t="shared" si="34"/>
        <v>164.63896731913152</v>
      </c>
      <c r="BJ49" s="324">
        <f t="shared" si="35"/>
        <v>569.68557684428708</v>
      </c>
      <c r="BK49" s="1323">
        <f t="shared" si="36"/>
        <v>0</v>
      </c>
      <c r="BL49" s="324">
        <f t="shared" si="37"/>
        <v>734.32454416341864</v>
      </c>
      <c r="BM49" s="104">
        <v>0</v>
      </c>
      <c r="BN49" s="325">
        <f t="shared" si="38"/>
        <v>734.32454416341864</v>
      </c>
    </row>
    <row r="50" spans="1:66">
      <c r="A50" s="127">
        <f>'Input data'!A80</f>
        <v>1982</v>
      </c>
      <c r="B50" s="1082">
        <f>'Input data'!B80</f>
        <v>26.364520000000002</v>
      </c>
      <c r="C50" s="995">
        <f>'Baseline data (from input)'!B38</f>
        <v>578.73</v>
      </c>
      <c r="D50" s="1081">
        <f>'Baseline data (from input)'!L38</f>
        <v>0.8</v>
      </c>
      <c r="E50" s="992">
        <f t="shared" si="39"/>
        <v>0.24001298204245269</v>
      </c>
      <c r="F50" s="992">
        <f t="shared" si="40"/>
        <v>0.30440139352934503</v>
      </c>
      <c r="G50" s="992">
        <f t="shared" si="41"/>
        <v>5.8998240613430578E-2</v>
      </c>
      <c r="H50" s="992">
        <f t="shared" si="42"/>
        <v>0</v>
      </c>
      <c r="I50" s="992">
        <f t="shared" si="43"/>
        <v>0</v>
      </c>
      <c r="J50" s="992">
        <f t="shared" si="44"/>
        <v>0</v>
      </c>
      <c r="K50" s="992">
        <f t="shared" si="45"/>
        <v>0.39658738381477154</v>
      </c>
      <c r="L50" s="1092">
        <f t="shared" si="46"/>
        <v>0.99999999999999989</v>
      </c>
      <c r="N50" s="323">
        <f t="shared" ref="N50:N81" si="48">B50*C50*D50</f>
        <v>12206.350927680003</v>
      </c>
      <c r="O50" s="1137">
        <f>Parameters!R153</f>
        <v>0.73</v>
      </c>
      <c r="P50" s="1137">
        <f>E50*'MSW characteristics'!$B$28+'MSW characteristics'!$B$29*'4A SWD Case 1'!F50+'4A SWD Case 1'!G50*'MSW characteristics'!$B$30+'MSW characteristics'!$B$31*'4A SWD Case 1'!H50+'4A SWD Case 1'!I50*'MSW characteristics'!$B$32+'MSW characteristics'!$B$33*'4A SWD Case 1'!J50+'4A SWD Case 1'!K50*'MSW characteristics'!$B$35</f>
        <v>0.12048152225760915</v>
      </c>
      <c r="Q50" s="1135">
        <f t="shared" si="2"/>
        <v>536.78350545677517</v>
      </c>
      <c r="R50" s="1135">
        <f t="shared" si="3"/>
        <v>536.78350545677517</v>
      </c>
      <c r="S50" s="306">
        <f t="shared" si="4"/>
        <v>0</v>
      </c>
      <c r="T50" s="1135">
        <f t="shared" si="5"/>
        <v>5616.5559190052418</v>
      </c>
      <c r="U50" s="1135">
        <f t="shared" si="6"/>
        <v>260.44550098331166</v>
      </c>
      <c r="V50" s="1311">
        <f t="shared" si="7"/>
        <v>173.63033398887444</v>
      </c>
      <c r="X50" s="1143">
        <f>'Baseline data (from input)'!T38*'Baseline data (from input)'!U38</f>
        <v>34683.043406882258</v>
      </c>
      <c r="Y50" s="1136">
        <f>Parameters!S153</f>
        <v>0.71500000000000008</v>
      </c>
      <c r="Z50" s="1136">
        <f t="shared" si="8"/>
        <v>0.15</v>
      </c>
      <c r="AA50" s="1135">
        <f t="shared" si="9"/>
        <v>1859.8782026940612</v>
      </c>
      <c r="AB50" s="1135">
        <f t="shared" si="10"/>
        <v>1859.8782026940612</v>
      </c>
      <c r="AC50" s="306">
        <f t="shared" si="11"/>
        <v>0</v>
      </c>
      <c r="AD50" s="1135">
        <f t="shared" si="12"/>
        <v>19489.869001846368</v>
      </c>
      <c r="AE50" s="1135">
        <f t="shared" si="13"/>
        <v>903.90895737175481</v>
      </c>
      <c r="AF50" s="1311">
        <f t="shared" si="14"/>
        <v>602.60597158116991</v>
      </c>
      <c r="AH50" s="1143">
        <f>'Baseline data (from input)'!T38*'Baseline data (from input)'!U38</f>
        <v>34683.043406882258</v>
      </c>
      <c r="AI50" s="1136">
        <f>Parameters!S153</f>
        <v>0.71500000000000008</v>
      </c>
      <c r="AJ50" s="1136">
        <f t="shared" si="15"/>
        <v>0.15</v>
      </c>
      <c r="AK50" s="1135">
        <f t="shared" si="16"/>
        <v>1859.8782026940612</v>
      </c>
      <c r="AL50" s="1135">
        <f t="shared" si="17"/>
        <v>1859.8782026940612</v>
      </c>
      <c r="AM50" s="306">
        <f t="shared" si="18"/>
        <v>0</v>
      </c>
      <c r="AN50" s="1135">
        <f t="shared" si="19"/>
        <v>19489.869001846368</v>
      </c>
      <c r="AO50" s="1135">
        <f t="shared" si="20"/>
        <v>903.90895737175481</v>
      </c>
      <c r="AP50" s="1311">
        <f t="shared" si="21"/>
        <v>602.60597158116991</v>
      </c>
      <c r="AR50" s="1143">
        <v>0</v>
      </c>
      <c r="AS50" s="1136">
        <v>1</v>
      </c>
      <c r="AT50" s="1136">
        <f t="shared" si="22"/>
        <v>0.05</v>
      </c>
      <c r="AU50" s="1135">
        <f t="shared" si="23"/>
        <v>0</v>
      </c>
      <c r="AV50" s="1135">
        <f t="shared" si="24"/>
        <v>0</v>
      </c>
      <c r="AW50" s="199">
        <f t="shared" si="25"/>
        <v>0</v>
      </c>
      <c r="AX50" s="1151">
        <f t="shared" si="47"/>
        <v>0</v>
      </c>
      <c r="AY50" s="1151">
        <f t="shared" si="27"/>
        <v>0</v>
      </c>
      <c r="AZ50" s="1311">
        <f t="shared" si="28"/>
        <v>0</v>
      </c>
      <c r="BB50" s="323">
        <f t="shared" si="29"/>
        <v>173.63033398887444</v>
      </c>
      <c r="BC50" s="324">
        <f t="shared" si="30"/>
        <v>602.60597158116991</v>
      </c>
      <c r="BD50" s="1323">
        <f t="shared" si="31"/>
        <v>0</v>
      </c>
      <c r="BE50" s="324">
        <f t="shared" si="32"/>
        <v>776.23630557004435</v>
      </c>
      <c r="BF50" s="104">
        <v>0</v>
      </c>
      <c r="BG50" s="325">
        <f t="shared" si="33"/>
        <v>776.23630557004435</v>
      </c>
      <c r="BI50" s="323">
        <f t="shared" si="34"/>
        <v>173.63033398887444</v>
      </c>
      <c r="BJ50" s="324">
        <f t="shared" si="35"/>
        <v>602.60597158116991</v>
      </c>
      <c r="BK50" s="1323">
        <f t="shared" si="36"/>
        <v>0</v>
      </c>
      <c r="BL50" s="324">
        <f t="shared" si="37"/>
        <v>776.23630557004435</v>
      </c>
      <c r="BM50" s="104">
        <v>0</v>
      </c>
      <c r="BN50" s="325">
        <f t="shared" si="38"/>
        <v>776.23630557004435</v>
      </c>
    </row>
    <row r="51" spans="1:66">
      <c r="A51" s="127">
        <f>'Input data'!A81</f>
        <v>1983</v>
      </c>
      <c r="B51" s="1082">
        <f>'Input data'!B81</f>
        <v>27.048839999999998</v>
      </c>
      <c r="C51" s="995">
        <f>'Baseline data (from input)'!B39</f>
        <v>578.73</v>
      </c>
      <c r="D51" s="1081">
        <f>'Baseline data (from input)'!L39</f>
        <v>0.8</v>
      </c>
      <c r="E51" s="992">
        <f t="shared" si="39"/>
        <v>0.24001298204245269</v>
      </c>
      <c r="F51" s="992">
        <f t="shared" si="40"/>
        <v>0.30440139352934503</v>
      </c>
      <c r="G51" s="992">
        <f t="shared" si="41"/>
        <v>5.8998240613430578E-2</v>
      </c>
      <c r="H51" s="992">
        <f t="shared" si="42"/>
        <v>0</v>
      </c>
      <c r="I51" s="992">
        <f t="shared" si="43"/>
        <v>0</v>
      </c>
      <c r="J51" s="992">
        <f t="shared" si="44"/>
        <v>0</v>
      </c>
      <c r="K51" s="992">
        <f t="shared" si="45"/>
        <v>0.39658738381477154</v>
      </c>
      <c r="L51" s="1092">
        <f t="shared" si="46"/>
        <v>0.99999999999999989</v>
      </c>
      <c r="N51" s="323">
        <f t="shared" si="48"/>
        <v>12523.180138560001</v>
      </c>
      <c r="O51" s="1137">
        <f>Parameters!R154</f>
        <v>0.73</v>
      </c>
      <c r="P51" s="1137">
        <f>E51*'MSW characteristics'!$B$28+'MSW characteristics'!$B$29*'4A SWD Case 1'!F51+'4A SWD Case 1'!G51*'MSW characteristics'!$B$30+'MSW characteristics'!$B$31*'4A SWD Case 1'!H51+'4A SWD Case 1'!I51*'MSW characteristics'!$B$32+'MSW characteristics'!$B$33*'4A SWD Case 1'!J51+'4A SWD Case 1'!K51*'MSW characteristics'!$B$35</f>
        <v>0.12048152225760915</v>
      </c>
      <c r="Q51" s="1135">
        <f t="shared" si="2"/>
        <v>550.7163094089874</v>
      </c>
      <c r="R51" s="1135">
        <f t="shared" si="3"/>
        <v>550.7163094089874</v>
      </c>
      <c r="S51" s="306">
        <f t="shared" si="4"/>
        <v>0</v>
      </c>
      <c r="T51" s="1135">
        <f t="shared" si="5"/>
        <v>5893.349563920422</v>
      </c>
      <c r="U51" s="1135">
        <f t="shared" si="6"/>
        <v>273.92266449380674</v>
      </c>
      <c r="V51" s="1311">
        <f t="shared" si="7"/>
        <v>182.61510966253783</v>
      </c>
      <c r="X51" s="1143">
        <f>'Baseline data (from input)'!T39*'Baseline data (from input)'!U39</f>
        <v>34042.605584396959</v>
      </c>
      <c r="Y51" s="1136">
        <f>Parameters!S154</f>
        <v>0.71500000000000008</v>
      </c>
      <c r="Z51" s="1136">
        <f t="shared" si="8"/>
        <v>0.15</v>
      </c>
      <c r="AA51" s="1135">
        <f t="shared" si="9"/>
        <v>1825.5347244632871</v>
      </c>
      <c r="AB51" s="1135">
        <f t="shared" si="10"/>
        <v>1825.5347244632871</v>
      </c>
      <c r="AC51" s="306">
        <f t="shared" si="11"/>
        <v>0</v>
      </c>
      <c r="AD51" s="1135">
        <f t="shared" si="12"/>
        <v>20364.871598683912</v>
      </c>
      <c r="AE51" s="1135">
        <f t="shared" si="13"/>
        <v>950.53212762574185</v>
      </c>
      <c r="AF51" s="1311">
        <f t="shared" si="14"/>
        <v>633.6880850838279</v>
      </c>
      <c r="AH51" s="1143">
        <f>'Baseline data (from input)'!T39*'Baseline data (from input)'!U39</f>
        <v>34042.605584396959</v>
      </c>
      <c r="AI51" s="1136">
        <f>Parameters!S154</f>
        <v>0.71500000000000008</v>
      </c>
      <c r="AJ51" s="1136">
        <f t="shared" si="15"/>
        <v>0.15</v>
      </c>
      <c r="AK51" s="1135">
        <f t="shared" si="16"/>
        <v>1825.5347244632871</v>
      </c>
      <c r="AL51" s="1135">
        <f t="shared" si="17"/>
        <v>1825.5347244632871</v>
      </c>
      <c r="AM51" s="306">
        <f t="shared" si="18"/>
        <v>0</v>
      </c>
      <c r="AN51" s="1135">
        <f t="shared" si="19"/>
        <v>20364.871598683912</v>
      </c>
      <c r="AO51" s="1135">
        <f t="shared" si="20"/>
        <v>950.53212762574185</v>
      </c>
      <c r="AP51" s="1311">
        <f t="shared" si="21"/>
        <v>633.6880850838279</v>
      </c>
      <c r="AR51" s="1143">
        <v>0</v>
      </c>
      <c r="AS51" s="1136">
        <v>1</v>
      </c>
      <c r="AT51" s="1136">
        <f t="shared" si="22"/>
        <v>0.05</v>
      </c>
      <c r="AU51" s="1135">
        <f t="shared" si="23"/>
        <v>0</v>
      </c>
      <c r="AV51" s="1135">
        <f t="shared" si="24"/>
        <v>0</v>
      </c>
      <c r="AW51" s="199">
        <f t="shared" si="25"/>
        <v>0</v>
      </c>
      <c r="AX51" s="1151">
        <f t="shared" si="47"/>
        <v>0</v>
      </c>
      <c r="AY51" s="1151">
        <f t="shared" si="27"/>
        <v>0</v>
      </c>
      <c r="AZ51" s="1311">
        <f t="shared" si="28"/>
        <v>0</v>
      </c>
      <c r="BB51" s="323">
        <f t="shared" si="29"/>
        <v>182.61510966253783</v>
      </c>
      <c r="BC51" s="324">
        <f t="shared" si="30"/>
        <v>633.6880850838279</v>
      </c>
      <c r="BD51" s="1323">
        <f t="shared" si="31"/>
        <v>0</v>
      </c>
      <c r="BE51" s="324">
        <f t="shared" si="32"/>
        <v>816.30319474636576</v>
      </c>
      <c r="BF51" s="104">
        <v>0</v>
      </c>
      <c r="BG51" s="325">
        <f t="shared" si="33"/>
        <v>816.30319474636576</v>
      </c>
      <c r="BI51" s="323">
        <f t="shared" si="34"/>
        <v>182.61510966253783</v>
      </c>
      <c r="BJ51" s="324">
        <f t="shared" si="35"/>
        <v>633.6880850838279</v>
      </c>
      <c r="BK51" s="1323">
        <f t="shared" si="36"/>
        <v>0</v>
      </c>
      <c r="BL51" s="324">
        <f t="shared" si="37"/>
        <v>816.30319474636576</v>
      </c>
      <c r="BM51" s="104">
        <v>0</v>
      </c>
      <c r="BN51" s="325">
        <f t="shared" si="38"/>
        <v>816.30319474636576</v>
      </c>
    </row>
    <row r="52" spans="1:66">
      <c r="A52" s="127">
        <f>'Input data'!A82</f>
        <v>1984</v>
      </c>
      <c r="B52" s="1082">
        <f>'Input data'!B82</f>
        <v>27.759549999999997</v>
      </c>
      <c r="C52" s="995">
        <f>'Baseline data (from input)'!B40</f>
        <v>578.73</v>
      </c>
      <c r="D52" s="1081">
        <f>'Baseline data (from input)'!L40</f>
        <v>0.8</v>
      </c>
      <c r="E52" s="992">
        <f t="shared" si="39"/>
        <v>0.24001298204245269</v>
      </c>
      <c r="F52" s="992">
        <f t="shared" si="40"/>
        <v>0.30440139352934503</v>
      </c>
      <c r="G52" s="992">
        <f t="shared" si="41"/>
        <v>5.8998240613430578E-2</v>
      </c>
      <c r="H52" s="992">
        <f t="shared" si="42"/>
        <v>0</v>
      </c>
      <c r="I52" s="992">
        <f t="shared" si="43"/>
        <v>0</v>
      </c>
      <c r="J52" s="992">
        <f t="shared" si="44"/>
        <v>0</v>
      </c>
      <c r="K52" s="992">
        <f t="shared" si="45"/>
        <v>0.39658738381477154</v>
      </c>
      <c r="L52" s="1092">
        <f t="shared" si="46"/>
        <v>0.99999999999999989</v>
      </c>
      <c r="N52" s="323">
        <f t="shared" si="48"/>
        <v>12852.2274972</v>
      </c>
      <c r="O52" s="1137">
        <f>Parameters!R155</f>
        <v>0.73</v>
      </c>
      <c r="P52" s="1137">
        <f>E52*'MSW characteristics'!$B$28+'MSW characteristics'!$B$29*'4A SWD Case 1'!F52+'4A SWD Case 1'!G52*'MSW characteristics'!$B$30+'MSW characteristics'!$B$31*'4A SWD Case 1'!H52+'4A SWD Case 1'!I52*'MSW characteristics'!$B$32+'MSW characteristics'!$B$33*'4A SWD Case 1'!J52+'4A SWD Case 1'!K52*'MSW characteristics'!$B$35</f>
        <v>0.12048152225760915</v>
      </c>
      <c r="Q52" s="1135">
        <f t="shared" si="2"/>
        <v>565.18641564127176</v>
      </c>
      <c r="R52" s="1135">
        <f t="shared" si="3"/>
        <v>565.18641564127176</v>
      </c>
      <c r="S52" s="306">
        <f t="shared" si="4"/>
        <v>0</v>
      </c>
      <c r="T52" s="1135">
        <f t="shared" si="5"/>
        <v>6171.1139297108293</v>
      </c>
      <c r="U52" s="1135">
        <f t="shared" si="6"/>
        <v>287.42204985086505</v>
      </c>
      <c r="V52" s="1311">
        <f t="shared" si="7"/>
        <v>191.61469990057671</v>
      </c>
      <c r="X52" s="1143">
        <f>'Baseline data (from input)'!T40*'Baseline data (from input)'!U40</f>
        <v>35778.477161503433</v>
      </c>
      <c r="Y52" s="1136">
        <f>Parameters!S155</f>
        <v>0.71500000000000008</v>
      </c>
      <c r="Z52" s="1136">
        <f t="shared" si="8"/>
        <v>0.15</v>
      </c>
      <c r="AA52" s="1135">
        <f t="shared" si="9"/>
        <v>1918.6208377856219</v>
      </c>
      <c r="AB52" s="1135">
        <f t="shared" si="10"/>
        <v>1918.6208377856219</v>
      </c>
      <c r="AC52" s="306">
        <f t="shared" si="11"/>
        <v>0</v>
      </c>
      <c r="AD52" s="1135">
        <f t="shared" si="12"/>
        <v>21290.285928632657</v>
      </c>
      <c r="AE52" s="1135">
        <f t="shared" si="13"/>
        <v>993.20650783687859</v>
      </c>
      <c r="AF52" s="1311">
        <f t="shared" si="14"/>
        <v>662.13767189125235</v>
      </c>
      <c r="AH52" s="1143">
        <f>'Baseline data (from input)'!T40*'Baseline data (from input)'!U40</f>
        <v>35778.477161503433</v>
      </c>
      <c r="AI52" s="1136">
        <f>Parameters!S155</f>
        <v>0.71500000000000008</v>
      </c>
      <c r="AJ52" s="1136">
        <f t="shared" si="15"/>
        <v>0.15</v>
      </c>
      <c r="AK52" s="1135">
        <f t="shared" si="16"/>
        <v>1918.6208377856219</v>
      </c>
      <c r="AL52" s="1135">
        <f t="shared" si="17"/>
        <v>1918.6208377856219</v>
      </c>
      <c r="AM52" s="306">
        <f t="shared" si="18"/>
        <v>0</v>
      </c>
      <c r="AN52" s="1135">
        <f t="shared" si="19"/>
        <v>21290.285928632657</v>
      </c>
      <c r="AO52" s="1135">
        <f t="shared" si="20"/>
        <v>993.20650783687859</v>
      </c>
      <c r="AP52" s="1311">
        <f t="shared" si="21"/>
        <v>662.13767189125235</v>
      </c>
      <c r="AR52" s="1143">
        <v>0</v>
      </c>
      <c r="AS52" s="1136">
        <v>1</v>
      </c>
      <c r="AT52" s="1136">
        <f t="shared" si="22"/>
        <v>0.05</v>
      </c>
      <c r="AU52" s="1135">
        <f t="shared" si="23"/>
        <v>0</v>
      </c>
      <c r="AV52" s="1135">
        <f t="shared" si="24"/>
        <v>0</v>
      </c>
      <c r="AW52" s="199">
        <f t="shared" si="25"/>
        <v>0</v>
      </c>
      <c r="AX52" s="1151">
        <f t="shared" si="47"/>
        <v>0</v>
      </c>
      <c r="AY52" s="1151">
        <f t="shared" si="27"/>
        <v>0</v>
      </c>
      <c r="AZ52" s="1311">
        <f t="shared" si="28"/>
        <v>0</v>
      </c>
      <c r="BB52" s="323">
        <f t="shared" si="29"/>
        <v>191.61469990057671</v>
      </c>
      <c r="BC52" s="324">
        <f t="shared" si="30"/>
        <v>662.13767189125235</v>
      </c>
      <c r="BD52" s="1323">
        <f t="shared" si="31"/>
        <v>0</v>
      </c>
      <c r="BE52" s="324">
        <f t="shared" si="32"/>
        <v>853.75237179182909</v>
      </c>
      <c r="BF52" s="104">
        <v>0</v>
      </c>
      <c r="BG52" s="325">
        <f t="shared" si="33"/>
        <v>853.75237179182909</v>
      </c>
      <c r="BI52" s="323">
        <f t="shared" si="34"/>
        <v>191.61469990057671</v>
      </c>
      <c r="BJ52" s="324">
        <f t="shared" si="35"/>
        <v>662.13767189125235</v>
      </c>
      <c r="BK52" s="1323">
        <f t="shared" si="36"/>
        <v>0</v>
      </c>
      <c r="BL52" s="324">
        <f t="shared" si="37"/>
        <v>853.75237179182909</v>
      </c>
      <c r="BM52" s="104">
        <v>0</v>
      </c>
      <c r="BN52" s="325">
        <f t="shared" si="38"/>
        <v>853.75237179182909</v>
      </c>
    </row>
    <row r="53" spans="1:66">
      <c r="A53" s="127">
        <f>'Input data'!A83</f>
        <v>1985</v>
      </c>
      <c r="B53" s="1082">
        <f>'Input data'!B83</f>
        <v>28.490279999999998</v>
      </c>
      <c r="C53" s="995">
        <f>'Baseline data (from input)'!B41</f>
        <v>578.73</v>
      </c>
      <c r="D53" s="1081">
        <f>'Baseline data (from input)'!L41</f>
        <v>0.8</v>
      </c>
      <c r="E53" s="992">
        <f t="shared" si="39"/>
        <v>0.24001298204245269</v>
      </c>
      <c r="F53" s="992">
        <f t="shared" si="40"/>
        <v>0.30440139352934503</v>
      </c>
      <c r="G53" s="992">
        <f t="shared" si="41"/>
        <v>5.8998240613430578E-2</v>
      </c>
      <c r="H53" s="992">
        <f t="shared" si="42"/>
        <v>0</v>
      </c>
      <c r="I53" s="992">
        <f t="shared" si="43"/>
        <v>0</v>
      </c>
      <c r="J53" s="992">
        <f t="shared" si="44"/>
        <v>0</v>
      </c>
      <c r="K53" s="992">
        <f t="shared" si="45"/>
        <v>0.39658738381477154</v>
      </c>
      <c r="L53" s="1092">
        <f t="shared" si="46"/>
        <v>0.99999999999999989</v>
      </c>
      <c r="N53" s="323">
        <f t="shared" si="48"/>
        <v>13190.543795520001</v>
      </c>
      <c r="O53" s="1137">
        <f>Parameters!R156</f>
        <v>0.73</v>
      </c>
      <c r="P53" s="1137">
        <f>E53*'MSW characteristics'!$B$28+'MSW characteristics'!$B$29*'4A SWD Case 1'!F53+'4A SWD Case 1'!G53*'MSW characteristics'!$B$30+'MSW characteristics'!$B$31*'4A SWD Case 1'!H53+'4A SWD Case 1'!I53*'MSW characteristics'!$B$32+'MSW characteristics'!$B$33*'4A SWD Case 1'!J53+'4A SWD Case 1'!K53*'MSW characteristics'!$B$35</f>
        <v>0.12048152225760915</v>
      </c>
      <c r="Q53" s="1135">
        <f t="shared" si="2"/>
        <v>580.06413049981757</v>
      </c>
      <c r="R53" s="1135">
        <f t="shared" si="3"/>
        <v>580.06413049981757</v>
      </c>
      <c r="S53" s="306">
        <f t="shared" si="4"/>
        <v>0</v>
      </c>
      <c r="T53" s="1135">
        <f t="shared" si="5"/>
        <v>6450.2092823869898</v>
      </c>
      <c r="U53" s="1135">
        <f t="shared" si="6"/>
        <v>300.96877782365743</v>
      </c>
      <c r="V53" s="1311">
        <f t="shared" si="7"/>
        <v>200.64585188243828</v>
      </c>
      <c r="X53" s="1143">
        <f>'Baseline data (from input)'!T41*'Baseline data (from input)'!U41</f>
        <v>35345.026735785679</v>
      </c>
      <c r="Y53" s="1136">
        <f>Parameters!S156</f>
        <v>0.71500000000000008</v>
      </c>
      <c r="Z53" s="1136">
        <f t="shared" si="8"/>
        <v>0.15</v>
      </c>
      <c r="AA53" s="1135">
        <f t="shared" si="9"/>
        <v>1895.3770587065073</v>
      </c>
      <c r="AB53" s="1135">
        <f t="shared" si="10"/>
        <v>1895.3770587065073</v>
      </c>
      <c r="AC53" s="306">
        <f t="shared" si="11"/>
        <v>0</v>
      </c>
      <c r="AD53" s="1135">
        <f t="shared" si="12"/>
        <v>22147.323490055402</v>
      </c>
      <c r="AE53" s="1135">
        <f t="shared" si="13"/>
        <v>1038.339497283765</v>
      </c>
      <c r="AF53" s="1311">
        <f t="shared" si="14"/>
        <v>692.22633152251001</v>
      </c>
      <c r="AH53" s="1143">
        <f>'Baseline data (from input)'!T41*'Baseline data (from input)'!U41</f>
        <v>35345.026735785679</v>
      </c>
      <c r="AI53" s="1136">
        <f>Parameters!S156</f>
        <v>0.71500000000000008</v>
      </c>
      <c r="AJ53" s="1136">
        <f t="shared" si="15"/>
        <v>0.15</v>
      </c>
      <c r="AK53" s="1135">
        <f t="shared" si="16"/>
        <v>1895.3770587065073</v>
      </c>
      <c r="AL53" s="1135">
        <f t="shared" si="17"/>
        <v>1895.3770587065073</v>
      </c>
      <c r="AM53" s="306">
        <f t="shared" si="18"/>
        <v>0</v>
      </c>
      <c r="AN53" s="1135">
        <f t="shared" si="19"/>
        <v>22147.323490055402</v>
      </c>
      <c r="AO53" s="1135">
        <f t="shared" si="20"/>
        <v>1038.339497283765</v>
      </c>
      <c r="AP53" s="1311">
        <f t="shared" si="21"/>
        <v>692.22633152251001</v>
      </c>
      <c r="AR53" s="1143">
        <v>0</v>
      </c>
      <c r="AS53" s="1136">
        <v>1</v>
      </c>
      <c r="AT53" s="1136">
        <f t="shared" si="22"/>
        <v>0.05</v>
      </c>
      <c r="AU53" s="1135">
        <f t="shared" si="23"/>
        <v>0</v>
      </c>
      <c r="AV53" s="1135">
        <f t="shared" si="24"/>
        <v>0</v>
      </c>
      <c r="AW53" s="199">
        <f t="shared" si="25"/>
        <v>0</v>
      </c>
      <c r="AX53" s="1151">
        <f t="shared" si="47"/>
        <v>0</v>
      </c>
      <c r="AY53" s="1151">
        <f t="shared" si="27"/>
        <v>0</v>
      </c>
      <c r="AZ53" s="1311">
        <f t="shared" si="28"/>
        <v>0</v>
      </c>
      <c r="BB53" s="323">
        <f t="shared" si="29"/>
        <v>200.64585188243828</v>
      </c>
      <c r="BC53" s="324">
        <f t="shared" si="30"/>
        <v>692.22633152251001</v>
      </c>
      <c r="BD53" s="1323">
        <f t="shared" si="31"/>
        <v>0</v>
      </c>
      <c r="BE53" s="324">
        <f t="shared" si="32"/>
        <v>892.87218340494826</v>
      </c>
      <c r="BF53" s="104">
        <v>0</v>
      </c>
      <c r="BG53" s="325">
        <f t="shared" si="33"/>
        <v>892.87218340494826</v>
      </c>
      <c r="BI53" s="323">
        <f t="shared" si="34"/>
        <v>200.64585188243828</v>
      </c>
      <c r="BJ53" s="324">
        <f t="shared" si="35"/>
        <v>692.22633152251001</v>
      </c>
      <c r="BK53" s="1323">
        <f t="shared" si="36"/>
        <v>0</v>
      </c>
      <c r="BL53" s="324">
        <f t="shared" si="37"/>
        <v>892.87218340494826</v>
      </c>
      <c r="BM53" s="104">
        <v>0</v>
      </c>
      <c r="BN53" s="325">
        <f t="shared" si="38"/>
        <v>892.87218340494826</v>
      </c>
    </row>
    <row r="54" spans="1:66">
      <c r="A54" s="127">
        <f>'Input data'!A84</f>
        <v>1986</v>
      </c>
      <c r="B54" s="1082">
        <f>'Input data'!B84</f>
        <v>29.230110000000003</v>
      </c>
      <c r="C54" s="995">
        <f>'Baseline data (from input)'!B42</f>
        <v>578.73</v>
      </c>
      <c r="D54" s="1081">
        <f>'Baseline data (from input)'!L42</f>
        <v>0.8</v>
      </c>
      <c r="E54" s="992">
        <f t="shared" si="39"/>
        <v>0.24001298204245269</v>
      </c>
      <c r="F54" s="992">
        <f t="shared" si="40"/>
        <v>0.30440139352934503</v>
      </c>
      <c r="G54" s="992">
        <f t="shared" si="41"/>
        <v>5.8998240613430578E-2</v>
      </c>
      <c r="H54" s="992">
        <f t="shared" si="42"/>
        <v>0</v>
      </c>
      <c r="I54" s="992">
        <f t="shared" si="43"/>
        <v>0</v>
      </c>
      <c r="J54" s="992">
        <f t="shared" si="44"/>
        <v>0</v>
      </c>
      <c r="K54" s="992">
        <f t="shared" si="45"/>
        <v>0.39658738381477154</v>
      </c>
      <c r="L54" s="1092">
        <f t="shared" si="46"/>
        <v>0.99999999999999989</v>
      </c>
      <c r="N54" s="323">
        <f t="shared" si="48"/>
        <v>13533.073248240004</v>
      </c>
      <c r="O54" s="1137">
        <f>Parameters!R157</f>
        <v>0.73</v>
      </c>
      <c r="P54" s="1137">
        <f>E54*'MSW characteristics'!$B$28+'MSW characteristics'!$B$29*'4A SWD Case 1'!F54+'4A SWD Case 1'!G54*'MSW characteristics'!$B$30+'MSW characteristics'!$B$31*'4A SWD Case 1'!H54+'4A SWD Case 1'!I54*'MSW characteristics'!$B$32+'MSW characteristics'!$B$33*'4A SWD Case 1'!J54+'4A SWD Case 1'!K54*'MSW characteristics'!$B$35</f>
        <v>0.12048152225760915</v>
      </c>
      <c r="Q54" s="1135">
        <f t="shared" si="2"/>
        <v>595.12712200666419</v>
      </c>
      <c r="R54" s="1135">
        <f t="shared" si="3"/>
        <v>595.12712200666419</v>
      </c>
      <c r="S54" s="306">
        <f t="shared" si="4"/>
        <v>0</v>
      </c>
      <c r="T54" s="1135">
        <f t="shared" si="5"/>
        <v>6730.7559856008047</v>
      </c>
      <c r="U54" s="1135">
        <f t="shared" si="6"/>
        <v>314.58041879284997</v>
      </c>
      <c r="V54" s="1311">
        <f t="shared" si="7"/>
        <v>209.7202791952333</v>
      </c>
      <c r="X54" s="1143">
        <f>'Baseline data (from input)'!T42*'Baseline data (from input)'!U42</f>
        <v>35351.330442838051</v>
      </c>
      <c r="Y54" s="1136">
        <f>Parameters!S157</f>
        <v>0.71500000000000008</v>
      </c>
      <c r="Z54" s="1136">
        <f t="shared" si="8"/>
        <v>0.15</v>
      </c>
      <c r="AA54" s="1135">
        <f t="shared" si="9"/>
        <v>1895.7150949971906</v>
      </c>
      <c r="AB54" s="1135">
        <f t="shared" si="10"/>
        <v>1895.7150949971906</v>
      </c>
      <c r="AC54" s="306">
        <f t="shared" si="11"/>
        <v>0</v>
      </c>
      <c r="AD54" s="1135">
        <f t="shared" si="12"/>
        <v>22962.900872673737</v>
      </c>
      <c r="AE54" s="1135">
        <f t="shared" si="13"/>
        <v>1080.137712378857</v>
      </c>
      <c r="AF54" s="1311">
        <f t="shared" si="14"/>
        <v>720.09180825257135</v>
      </c>
      <c r="AH54" s="1143">
        <f>'Baseline data (from input)'!T42*'Baseline data (from input)'!U42</f>
        <v>35351.330442838051</v>
      </c>
      <c r="AI54" s="1136">
        <f>Parameters!S157</f>
        <v>0.71500000000000008</v>
      </c>
      <c r="AJ54" s="1136">
        <f t="shared" si="15"/>
        <v>0.15</v>
      </c>
      <c r="AK54" s="1135">
        <f t="shared" si="16"/>
        <v>1895.7150949971906</v>
      </c>
      <c r="AL54" s="1135">
        <f t="shared" si="17"/>
        <v>1895.7150949971906</v>
      </c>
      <c r="AM54" s="306">
        <f t="shared" si="18"/>
        <v>0</v>
      </c>
      <c r="AN54" s="1135">
        <f t="shared" si="19"/>
        <v>22962.900872673737</v>
      </c>
      <c r="AO54" s="1135">
        <f t="shared" si="20"/>
        <v>1080.137712378857</v>
      </c>
      <c r="AP54" s="1311">
        <f t="shared" si="21"/>
        <v>720.09180825257135</v>
      </c>
      <c r="AR54" s="1143">
        <v>0</v>
      </c>
      <c r="AS54" s="1136">
        <v>1</v>
      </c>
      <c r="AT54" s="1136">
        <f t="shared" si="22"/>
        <v>0.05</v>
      </c>
      <c r="AU54" s="1135">
        <f t="shared" si="23"/>
        <v>0</v>
      </c>
      <c r="AV54" s="1135">
        <f t="shared" si="24"/>
        <v>0</v>
      </c>
      <c r="AW54" s="199">
        <f t="shared" si="25"/>
        <v>0</v>
      </c>
      <c r="AX54" s="1151">
        <f t="shared" si="47"/>
        <v>0</v>
      </c>
      <c r="AY54" s="1151">
        <f t="shared" si="27"/>
        <v>0</v>
      </c>
      <c r="AZ54" s="1311">
        <f t="shared" si="28"/>
        <v>0</v>
      </c>
      <c r="BB54" s="323">
        <f t="shared" si="29"/>
        <v>209.7202791952333</v>
      </c>
      <c r="BC54" s="324">
        <f t="shared" si="30"/>
        <v>720.09180825257135</v>
      </c>
      <c r="BD54" s="1323">
        <f t="shared" si="31"/>
        <v>0</v>
      </c>
      <c r="BE54" s="324">
        <f t="shared" si="32"/>
        <v>929.81208744780463</v>
      </c>
      <c r="BF54" s="104">
        <v>0</v>
      </c>
      <c r="BG54" s="325">
        <f t="shared" si="33"/>
        <v>929.81208744780463</v>
      </c>
      <c r="BI54" s="323">
        <f t="shared" si="34"/>
        <v>209.7202791952333</v>
      </c>
      <c r="BJ54" s="324">
        <f t="shared" si="35"/>
        <v>720.09180825257135</v>
      </c>
      <c r="BK54" s="1323">
        <f t="shared" si="36"/>
        <v>0</v>
      </c>
      <c r="BL54" s="324">
        <f t="shared" si="37"/>
        <v>929.81208744780463</v>
      </c>
      <c r="BM54" s="104">
        <v>0</v>
      </c>
      <c r="BN54" s="325">
        <f t="shared" si="38"/>
        <v>929.81208744780463</v>
      </c>
    </row>
    <row r="55" spans="1:66">
      <c r="A55" s="127">
        <f>'Input data'!A85</f>
        <v>1987</v>
      </c>
      <c r="B55" s="1082">
        <f>'Input data'!B85</f>
        <v>29.96903</v>
      </c>
      <c r="C55" s="995">
        <f>'Baseline data (from input)'!B43</f>
        <v>578.73</v>
      </c>
      <c r="D55" s="1081">
        <f>'Baseline data (from input)'!L43</f>
        <v>0.8</v>
      </c>
      <c r="E55" s="992">
        <f t="shared" si="39"/>
        <v>0.24001298204245269</v>
      </c>
      <c r="F55" s="992">
        <f t="shared" si="40"/>
        <v>0.30440139352934503</v>
      </c>
      <c r="G55" s="992">
        <f t="shared" si="41"/>
        <v>5.8998240613430578E-2</v>
      </c>
      <c r="H55" s="992">
        <f t="shared" si="42"/>
        <v>0</v>
      </c>
      <c r="I55" s="992">
        <f t="shared" si="43"/>
        <v>0</v>
      </c>
      <c r="J55" s="992">
        <f t="shared" si="44"/>
        <v>0</v>
      </c>
      <c r="K55" s="992">
        <f t="shared" si="45"/>
        <v>0.39658738381477154</v>
      </c>
      <c r="L55" s="1092">
        <f t="shared" si="46"/>
        <v>0.99999999999999989</v>
      </c>
      <c r="N55" s="323">
        <f t="shared" si="48"/>
        <v>13875.181385520002</v>
      </c>
      <c r="O55" s="1137">
        <f>Parameters!R158</f>
        <v>0.73</v>
      </c>
      <c r="P55" s="1137">
        <f>E55*'MSW characteristics'!$B$28+'MSW characteristics'!$B$29*'4A SWD Case 1'!F55+'4A SWD Case 1'!G55*'MSW characteristics'!$B$30+'MSW characteristics'!$B$31*'4A SWD Case 1'!H55+'4A SWD Case 1'!I55*'MSW characteristics'!$B$32+'MSW characteristics'!$B$33*'4A SWD Case 1'!J55+'4A SWD Case 1'!K55*'MSW characteristics'!$B$35</f>
        <v>0.12048152225760915</v>
      </c>
      <c r="Q55" s="1135">
        <f t="shared" si="2"/>
        <v>610.17158584868059</v>
      </c>
      <c r="R55" s="1135">
        <f t="shared" si="3"/>
        <v>610.17158584868059</v>
      </c>
      <c r="S55" s="306">
        <f t="shared" si="4"/>
        <v>0</v>
      </c>
      <c r="T55" s="1135">
        <f t="shared" si="5"/>
        <v>7012.6647284864703</v>
      </c>
      <c r="U55" s="1135">
        <f t="shared" si="6"/>
        <v>328.26284296301509</v>
      </c>
      <c r="V55" s="1311">
        <f t="shared" si="7"/>
        <v>218.84189530867673</v>
      </c>
      <c r="X55" s="1143">
        <f>'Baseline data (from input)'!T43*'Baseline data (from input)'!U43</f>
        <v>36093.968292542842</v>
      </c>
      <c r="Y55" s="1136">
        <f>Parameters!S158</f>
        <v>0.71500000000000008</v>
      </c>
      <c r="Z55" s="1136">
        <f t="shared" si="8"/>
        <v>0.15</v>
      </c>
      <c r="AA55" s="1135">
        <f t="shared" si="9"/>
        <v>1935.5390496876103</v>
      </c>
      <c r="AB55" s="1135">
        <f t="shared" si="10"/>
        <v>1935.5390496876103</v>
      </c>
      <c r="AC55" s="306">
        <f t="shared" si="11"/>
        <v>0</v>
      </c>
      <c r="AD55" s="1135">
        <f t="shared" si="12"/>
        <v>23778.526031667992</v>
      </c>
      <c r="AE55" s="1135">
        <f t="shared" si="13"/>
        <v>1119.9138906933545</v>
      </c>
      <c r="AF55" s="1311">
        <f t="shared" si="14"/>
        <v>746.60926046223631</v>
      </c>
      <c r="AH55" s="1143">
        <f>'Baseline data (from input)'!T43*'Baseline data (from input)'!U43</f>
        <v>36093.968292542842</v>
      </c>
      <c r="AI55" s="1136">
        <f>Parameters!S158</f>
        <v>0.71500000000000008</v>
      </c>
      <c r="AJ55" s="1136">
        <f t="shared" si="15"/>
        <v>0.15</v>
      </c>
      <c r="AK55" s="1135">
        <f t="shared" si="16"/>
        <v>1935.5390496876103</v>
      </c>
      <c r="AL55" s="1135">
        <f t="shared" si="17"/>
        <v>1935.5390496876103</v>
      </c>
      <c r="AM55" s="306">
        <f t="shared" si="18"/>
        <v>0</v>
      </c>
      <c r="AN55" s="1135">
        <f t="shared" si="19"/>
        <v>23778.526031667992</v>
      </c>
      <c r="AO55" s="1135">
        <f t="shared" si="20"/>
        <v>1119.9138906933545</v>
      </c>
      <c r="AP55" s="1311">
        <f t="shared" si="21"/>
        <v>746.60926046223631</v>
      </c>
      <c r="AR55" s="1143">
        <v>0</v>
      </c>
      <c r="AS55" s="1136">
        <v>1</v>
      </c>
      <c r="AT55" s="1136">
        <f t="shared" si="22"/>
        <v>0.05</v>
      </c>
      <c r="AU55" s="1135">
        <f t="shared" si="23"/>
        <v>0</v>
      </c>
      <c r="AV55" s="1135">
        <f t="shared" si="24"/>
        <v>0</v>
      </c>
      <c r="AW55" s="199">
        <f t="shared" si="25"/>
        <v>0</v>
      </c>
      <c r="AX55" s="1151">
        <f t="shared" si="47"/>
        <v>0</v>
      </c>
      <c r="AY55" s="1151">
        <f t="shared" si="27"/>
        <v>0</v>
      </c>
      <c r="AZ55" s="1311">
        <f t="shared" si="28"/>
        <v>0</v>
      </c>
      <c r="BB55" s="323">
        <f t="shared" si="29"/>
        <v>218.84189530867673</v>
      </c>
      <c r="BC55" s="324">
        <f t="shared" si="30"/>
        <v>746.60926046223631</v>
      </c>
      <c r="BD55" s="1323">
        <f t="shared" si="31"/>
        <v>0</v>
      </c>
      <c r="BE55" s="324">
        <f t="shared" si="32"/>
        <v>965.45115577091303</v>
      </c>
      <c r="BF55" s="104">
        <v>0</v>
      </c>
      <c r="BG55" s="325">
        <f t="shared" si="33"/>
        <v>965.45115577091303</v>
      </c>
      <c r="BI55" s="323">
        <f t="shared" si="34"/>
        <v>218.84189530867673</v>
      </c>
      <c r="BJ55" s="324">
        <f t="shared" si="35"/>
        <v>746.60926046223631</v>
      </c>
      <c r="BK55" s="1323">
        <f t="shared" si="36"/>
        <v>0</v>
      </c>
      <c r="BL55" s="324">
        <f t="shared" si="37"/>
        <v>965.45115577091303</v>
      </c>
      <c r="BM55" s="104">
        <v>0</v>
      </c>
      <c r="BN55" s="325">
        <f t="shared" si="38"/>
        <v>965.45115577091303</v>
      </c>
    </row>
    <row r="56" spans="1:66">
      <c r="A56" s="127">
        <f>'Input data'!A86</f>
        <v>1988</v>
      </c>
      <c r="B56" s="1082">
        <f>'Input data'!B86</f>
        <v>30.692480000000003</v>
      </c>
      <c r="C56" s="995">
        <f>'Baseline data (from input)'!B44</f>
        <v>578.73</v>
      </c>
      <c r="D56" s="1081">
        <f>'Baseline data (from input)'!L44</f>
        <v>0.8</v>
      </c>
      <c r="E56" s="992">
        <f t="shared" si="39"/>
        <v>0.24001298204245269</v>
      </c>
      <c r="F56" s="992">
        <f t="shared" si="40"/>
        <v>0.30440139352934503</v>
      </c>
      <c r="G56" s="992">
        <f t="shared" si="41"/>
        <v>5.8998240613430578E-2</v>
      </c>
      <c r="H56" s="992">
        <f t="shared" si="42"/>
        <v>0</v>
      </c>
      <c r="I56" s="992">
        <f t="shared" si="43"/>
        <v>0</v>
      </c>
      <c r="J56" s="992">
        <f t="shared" si="44"/>
        <v>0</v>
      </c>
      <c r="K56" s="992">
        <f t="shared" si="45"/>
        <v>0.39658738381477154</v>
      </c>
      <c r="L56" s="1092">
        <f t="shared" si="46"/>
        <v>0.99999999999999989</v>
      </c>
      <c r="N56" s="323">
        <f t="shared" si="48"/>
        <v>14210.127160320004</v>
      </c>
      <c r="O56" s="1137">
        <f>Parameters!R159</f>
        <v>0.73</v>
      </c>
      <c r="P56" s="1137">
        <f>E56*'MSW characteristics'!$B$28+'MSW characteristics'!$B$29*'4A SWD Case 1'!F56+'4A SWD Case 1'!G56*'MSW characteristics'!$B$30+'MSW characteristics'!$B$31*'4A SWD Case 1'!H56+'4A SWD Case 1'!I56*'MSW characteristics'!$B$32+'MSW characteristics'!$B$33*'4A SWD Case 1'!J56+'4A SWD Case 1'!K56*'MSW characteristics'!$B$35</f>
        <v>0.12048152225760915</v>
      </c>
      <c r="Q56" s="1135">
        <f t="shared" si="2"/>
        <v>624.90107938858603</v>
      </c>
      <c r="R56" s="1135">
        <f t="shared" si="3"/>
        <v>624.90107938858603</v>
      </c>
      <c r="S56" s="306">
        <f t="shared" si="4"/>
        <v>0</v>
      </c>
      <c r="T56" s="1135">
        <f t="shared" si="5"/>
        <v>7295.5541132832277</v>
      </c>
      <c r="U56" s="1135">
        <f t="shared" si="6"/>
        <v>342.01169459182927</v>
      </c>
      <c r="V56" s="1311">
        <f t="shared" si="7"/>
        <v>228.00779639455286</v>
      </c>
      <c r="X56" s="1143">
        <f>'Baseline data (from input)'!T44*'Baseline data (from input)'!U44</f>
        <v>37609.962803023671</v>
      </c>
      <c r="Y56" s="1136">
        <f>Parameters!S159</f>
        <v>0.71500000000000008</v>
      </c>
      <c r="Z56" s="1136">
        <f t="shared" si="8"/>
        <v>0.15</v>
      </c>
      <c r="AA56" s="1135">
        <f t="shared" si="9"/>
        <v>2016.8342553121445</v>
      </c>
      <c r="AB56" s="1135">
        <f t="shared" si="10"/>
        <v>2016.8342553121445</v>
      </c>
      <c r="AC56" s="306">
        <f t="shared" si="11"/>
        <v>0</v>
      </c>
      <c r="AD56" s="1135">
        <f t="shared" si="12"/>
        <v>24635.667887890937</v>
      </c>
      <c r="AE56" s="1135">
        <f t="shared" si="13"/>
        <v>1159.692399089201</v>
      </c>
      <c r="AF56" s="1311">
        <f t="shared" si="14"/>
        <v>773.12826605946736</v>
      </c>
      <c r="AH56" s="1143">
        <f>'Baseline data (from input)'!T44*'Baseline data (from input)'!U44</f>
        <v>37609.962803023671</v>
      </c>
      <c r="AI56" s="1136">
        <f>Parameters!S159</f>
        <v>0.71500000000000008</v>
      </c>
      <c r="AJ56" s="1136">
        <f t="shared" si="15"/>
        <v>0.15</v>
      </c>
      <c r="AK56" s="1135">
        <f t="shared" si="16"/>
        <v>2016.8342553121445</v>
      </c>
      <c r="AL56" s="1135">
        <f t="shared" si="17"/>
        <v>2016.8342553121445</v>
      </c>
      <c r="AM56" s="306">
        <f t="shared" si="18"/>
        <v>0</v>
      </c>
      <c r="AN56" s="1135">
        <f t="shared" si="19"/>
        <v>24635.667887890937</v>
      </c>
      <c r="AO56" s="1135">
        <f t="shared" si="20"/>
        <v>1159.692399089201</v>
      </c>
      <c r="AP56" s="1311">
        <f t="shared" si="21"/>
        <v>773.12826605946736</v>
      </c>
      <c r="AR56" s="1143">
        <v>0</v>
      </c>
      <c r="AS56" s="1136">
        <v>1</v>
      </c>
      <c r="AT56" s="1136">
        <f t="shared" si="22"/>
        <v>0.05</v>
      </c>
      <c r="AU56" s="1135">
        <f t="shared" si="23"/>
        <v>0</v>
      </c>
      <c r="AV56" s="1135">
        <f t="shared" si="24"/>
        <v>0</v>
      </c>
      <c r="AW56" s="199">
        <f t="shared" si="25"/>
        <v>0</v>
      </c>
      <c r="AX56" s="1151">
        <f t="shared" si="47"/>
        <v>0</v>
      </c>
      <c r="AY56" s="1151">
        <f t="shared" si="27"/>
        <v>0</v>
      </c>
      <c r="AZ56" s="1311">
        <f t="shared" si="28"/>
        <v>0</v>
      </c>
      <c r="BB56" s="323">
        <f t="shared" si="29"/>
        <v>228.00779639455286</v>
      </c>
      <c r="BC56" s="324">
        <f t="shared" si="30"/>
        <v>773.12826605946736</v>
      </c>
      <c r="BD56" s="1323">
        <f t="shared" si="31"/>
        <v>0</v>
      </c>
      <c r="BE56" s="324">
        <f t="shared" si="32"/>
        <v>1001.1360624540202</v>
      </c>
      <c r="BF56" s="104">
        <v>0</v>
      </c>
      <c r="BG56" s="325">
        <f t="shared" si="33"/>
        <v>1001.1360624540202</v>
      </c>
      <c r="BI56" s="323">
        <f t="shared" si="34"/>
        <v>228.00779639455286</v>
      </c>
      <c r="BJ56" s="324">
        <f t="shared" si="35"/>
        <v>773.12826605946736</v>
      </c>
      <c r="BK56" s="1323">
        <f t="shared" si="36"/>
        <v>0</v>
      </c>
      <c r="BL56" s="324">
        <f t="shared" si="37"/>
        <v>1001.1360624540202</v>
      </c>
      <c r="BM56" s="104">
        <v>0</v>
      </c>
      <c r="BN56" s="325">
        <f t="shared" si="38"/>
        <v>1001.1360624540202</v>
      </c>
    </row>
    <row r="57" spans="1:66">
      <c r="A57" s="127">
        <f>'Input data'!A87</f>
        <v>1989</v>
      </c>
      <c r="B57" s="1082">
        <f>'Input data'!B87</f>
        <v>31.386810000000001</v>
      </c>
      <c r="C57" s="995">
        <f>'Baseline data (from input)'!B45</f>
        <v>578.73</v>
      </c>
      <c r="D57" s="1081">
        <f>'Baseline data (from input)'!L45</f>
        <v>0.8</v>
      </c>
      <c r="E57" s="992">
        <f t="shared" si="39"/>
        <v>0.24001298204245269</v>
      </c>
      <c r="F57" s="992">
        <f t="shared" si="40"/>
        <v>0.30440139352934503</v>
      </c>
      <c r="G57" s="992">
        <f t="shared" si="41"/>
        <v>5.8998240613430578E-2</v>
      </c>
      <c r="H57" s="992">
        <f t="shared" si="42"/>
        <v>0</v>
      </c>
      <c r="I57" s="992">
        <f t="shared" si="43"/>
        <v>0</v>
      </c>
      <c r="J57" s="992">
        <f t="shared" si="44"/>
        <v>0</v>
      </c>
      <c r="K57" s="992">
        <f t="shared" si="45"/>
        <v>0.39658738381477154</v>
      </c>
      <c r="L57" s="1092">
        <f t="shared" si="46"/>
        <v>0.99999999999999989</v>
      </c>
      <c r="N57" s="323">
        <f t="shared" si="48"/>
        <v>14531.590841040001</v>
      </c>
      <c r="O57" s="1137">
        <f>Parameters!R160</f>
        <v>0.73</v>
      </c>
      <c r="P57" s="1137">
        <f>E57*'MSW characteristics'!$B$28+'MSW characteristics'!$B$29*'4A SWD Case 1'!F57+'4A SWD Case 1'!G57*'MSW characteristics'!$B$30+'MSW characteristics'!$B$31*'4A SWD Case 1'!H57+'4A SWD Case 1'!I57*'MSW characteristics'!$B$32+'MSW characteristics'!$B$33*'4A SWD Case 1'!J57+'4A SWD Case 1'!K57*'MSW characteristics'!$B$35</f>
        <v>0.12048152225760915</v>
      </c>
      <c r="Q57" s="1135">
        <f t="shared" si="2"/>
        <v>639.03768765392897</v>
      </c>
      <c r="R57" s="1135">
        <f t="shared" si="3"/>
        <v>639.03768765392897</v>
      </c>
      <c r="S57" s="306">
        <f t="shared" si="4"/>
        <v>0</v>
      </c>
      <c r="T57" s="1135">
        <f t="shared" si="5"/>
        <v>7578.7834282461499</v>
      </c>
      <c r="U57" s="1135">
        <f t="shared" si="6"/>
        <v>355.80837269100607</v>
      </c>
      <c r="V57" s="1311">
        <f t="shared" si="7"/>
        <v>237.20558179400405</v>
      </c>
      <c r="X57" s="1143">
        <f>'Baseline data (from input)'!T45*'Baseline data (from input)'!U45</f>
        <v>38510.64023443628</v>
      </c>
      <c r="Y57" s="1136">
        <f>Parameters!S160</f>
        <v>0.71500000000000008</v>
      </c>
      <c r="Z57" s="1136">
        <f t="shared" si="8"/>
        <v>0.15</v>
      </c>
      <c r="AA57" s="1135">
        <f t="shared" si="9"/>
        <v>2065.1330825716459</v>
      </c>
      <c r="AB57" s="1135">
        <f t="shared" si="10"/>
        <v>2065.1330825716459</v>
      </c>
      <c r="AC57" s="306">
        <f t="shared" si="11"/>
        <v>0</v>
      </c>
      <c r="AD57" s="1135">
        <f t="shared" si="12"/>
        <v>25499.305269760862</v>
      </c>
      <c r="AE57" s="1135">
        <f t="shared" si="13"/>
        <v>1201.4957007017201</v>
      </c>
      <c r="AF57" s="1311">
        <f t="shared" si="14"/>
        <v>800.99713380114679</v>
      </c>
      <c r="AH57" s="1143">
        <f>'Baseline data (from input)'!T45*'Baseline data (from input)'!U45</f>
        <v>38510.64023443628</v>
      </c>
      <c r="AI57" s="1136">
        <f>Parameters!S160</f>
        <v>0.71500000000000008</v>
      </c>
      <c r="AJ57" s="1136">
        <f t="shared" si="15"/>
        <v>0.15</v>
      </c>
      <c r="AK57" s="1135">
        <f t="shared" si="16"/>
        <v>2065.1330825716459</v>
      </c>
      <c r="AL57" s="1135">
        <f t="shared" si="17"/>
        <v>2065.1330825716459</v>
      </c>
      <c r="AM57" s="306">
        <f t="shared" si="18"/>
        <v>0</v>
      </c>
      <c r="AN57" s="1135">
        <f t="shared" si="19"/>
        <v>25499.305269760862</v>
      </c>
      <c r="AO57" s="1135">
        <f t="shared" si="20"/>
        <v>1201.4957007017201</v>
      </c>
      <c r="AP57" s="1311">
        <f t="shared" si="21"/>
        <v>800.99713380114679</v>
      </c>
      <c r="AR57" s="1143">
        <v>0</v>
      </c>
      <c r="AS57" s="1136">
        <v>1</v>
      </c>
      <c r="AT57" s="1136">
        <f t="shared" si="22"/>
        <v>0.05</v>
      </c>
      <c r="AU57" s="1135">
        <f t="shared" si="23"/>
        <v>0</v>
      </c>
      <c r="AV57" s="1135">
        <f t="shared" si="24"/>
        <v>0</v>
      </c>
      <c r="AW57" s="199">
        <f t="shared" si="25"/>
        <v>0</v>
      </c>
      <c r="AX57" s="1151">
        <f t="shared" si="47"/>
        <v>0</v>
      </c>
      <c r="AY57" s="1151">
        <f t="shared" si="27"/>
        <v>0</v>
      </c>
      <c r="AZ57" s="1311">
        <f t="shared" si="28"/>
        <v>0</v>
      </c>
      <c r="BB57" s="323">
        <f t="shared" si="29"/>
        <v>237.20558179400405</v>
      </c>
      <c r="BC57" s="324">
        <f t="shared" si="30"/>
        <v>800.99713380114679</v>
      </c>
      <c r="BD57" s="1323">
        <f t="shared" si="31"/>
        <v>0</v>
      </c>
      <c r="BE57" s="324">
        <f t="shared" si="32"/>
        <v>1038.2027155951509</v>
      </c>
      <c r="BF57" s="104">
        <v>0</v>
      </c>
      <c r="BG57" s="325">
        <f t="shared" si="33"/>
        <v>1038.2027155951509</v>
      </c>
      <c r="BI57" s="323">
        <f t="shared" si="34"/>
        <v>237.20558179400405</v>
      </c>
      <c r="BJ57" s="324">
        <f t="shared" si="35"/>
        <v>800.99713380114679</v>
      </c>
      <c r="BK57" s="1323">
        <f t="shared" si="36"/>
        <v>0</v>
      </c>
      <c r="BL57" s="324">
        <f t="shared" si="37"/>
        <v>1038.2027155951509</v>
      </c>
      <c r="BM57" s="104">
        <v>0</v>
      </c>
      <c r="BN57" s="325">
        <f t="shared" si="38"/>
        <v>1038.2027155951509</v>
      </c>
    </row>
    <row r="58" spans="1:66">
      <c r="A58" s="127">
        <f>'Input data'!A88</f>
        <v>1990</v>
      </c>
      <c r="B58" s="1082">
        <f>'Input data'!B88</f>
        <v>32.032000000000004</v>
      </c>
      <c r="C58" s="995">
        <f>'Baseline data (from input)'!B46</f>
        <v>578.73</v>
      </c>
      <c r="D58" s="1081">
        <f>'Baseline data (from input)'!L46</f>
        <v>0.8</v>
      </c>
      <c r="E58" s="992">
        <f t="shared" si="39"/>
        <v>0.24001298204245269</v>
      </c>
      <c r="F58" s="992">
        <f t="shared" si="40"/>
        <v>0.30440139352934503</v>
      </c>
      <c r="G58" s="992">
        <f t="shared" si="41"/>
        <v>5.8998240613430578E-2</v>
      </c>
      <c r="H58" s="992">
        <f t="shared" si="42"/>
        <v>0</v>
      </c>
      <c r="I58" s="992">
        <f t="shared" si="43"/>
        <v>0</v>
      </c>
      <c r="J58" s="992">
        <f t="shared" si="44"/>
        <v>0</v>
      </c>
      <c r="K58" s="992">
        <f t="shared" si="45"/>
        <v>0.39658738381477154</v>
      </c>
      <c r="L58" s="1092">
        <f t="shared" si="46"/>
        <v>0.99999999999999989</v>
      </c>
      <c r="N58" s="323">
        <f t="shared" si="48"/>
        <v>14830.303488000003</v>
      </c>
      <c r="O58" s="1137">
        <f>Parameters!R161</f>
        <v>0.73</v>
      </c>
      <c r="P58" s="1137">
        <f>E58*'MSW characteristics'!$B$28+'MSW characteristics'!$B$29*'4A SWD Case 1'!F58+'4A SWD Case 1'!G58*'MSW characteristics'!$B$30+'MSW characteristics'!$B$31*'4A SWD Case 1'!H58+'4A SWD Case 1'!I58*'MSW characteristics'!$B$32+'MSW characteristics'!$B$33*'4A SWD Case 1'!J58+'4A SWD Case 1'!K58*'MSW characteristics'!$B$35</f>
        <v>0.12048152225760915</v>
      </c>
      <c r="Q58" s="1135">
        <f t="shared" si="2"/>
        <v>652.17380201844844</v>
      </c>
      <c r="R58" s="1135">
        <f t="shared" si="3"/>
        <v>652.17380201844844</v>
      </c>
      <c r="S58" s="306">
        <f t="shared" si="4"/>
        <v>0</v>
      </c>
      <c r="T58" s="1135">
        <f t="shared" si="5"/>
        <v>7861.3356008845822</v>
      </c>
      <c r="U58" s="1135">
        <f t="shared" si="6"/>
        <v>369.62162938001632</v>
      </c>
      <c r="V58" s="1311">
        <f t="shared" si="7"/>
        <v>246.41441958667755</v>
      </c>
      <c r="X58" s="1143">
        <f>'Baseline data (from input)'!T46*'Baseline data (from input)'!U46</f>
        <v>38388.258936035352</v>
      </c>
      <c r="Y58" s="1136">
        <f>Parameters!S161</f>
        <v>0.71500000000000008</v>
      </c>
      <c r="Z58" s="1136">
        <f t="shared" si="8"/>
        <v>0.15</v>
      </c>
      <c r="AA58" s="1135">
        <f t="shared" si="9"/>
        <v>2058.5703854448961</v>
      </c>
      <c r="AB58" s="1135">
        <f t="shared" si="10"/>
        <v>2058.5703854448961</v>
      </c>
      <c r="AC58" s="306">
        <f t="shared" si="11"/>
        <v>0</v>
      </c>
      <c r="AD58" s="1135">
        <f t="shared" si="12"/>
        <v>26314.259862367544</v>
      </c>
      <c r="AE58" s="1135">
        <f t="shared" si="13"/>
        <v>1243.6157928382131</v>
      </c>
      <c r="AF58" s="1311">
        <f t="shared" si="14"/>
        <v>829.07719522547541</v>
      </c>
      <c r="AH58" s="1143">
        <f>'Baseline data (from input)'!T46*'Baseline data (from input)'!U46</f>
        <v>38388.258936035352</v>
      </c>
      <c r="AI58" s="1136">
        <f>Parameters!S161</f>
        <v>0.71500000000000008</v>
      </c>
      <c r="AJ58" s="1136">
        <f t="shared" si="15"/>
        <v>0.15</v>
      </c>
      <c r="AK58" s="1135">
        <f t="shared" si="16"/>
        <v>2058.5703854448961</v>
      </c>
      <c r="AL58" s="1135">
        <f t="shared" si="17"/>
        <v>2058.5703854448961</v>
      </c>
      <c r="AM58" s="306">
        <f t="shared" si="18"/>
        <v>0</v>
      </c>
      <c r="AN58" s="1135">
        <f t="shared" si="19"/>
        <v>26314.259862367544</v>
      </c>
      <c r="AO58" s="1135">
        <f t="shared" si="20"/>
        <v>1243.6157928382131</v>
      </c>
      <c r="AP58" s="1311">
        <f t="shared" si="21"/>
        <v>829.07719522547541</v>
      </c>
      <c r="AR58" s="1143">
        <v>0</v>
      </c>
      <c r="AS58" s="1136">
        <v>1</v>
      </c>
      <c r="AT58" s="1136">
        <f t="shared" si="22"/>
        <v>0.05</v>
      </c>
      <c r="AU58" s="1135">
        <f t="shared" si="23"/>
        <v>0</v>
      </c>
      <c r="AV58" s="1135">
        <f t="shared" si="24"/>
        <v>0</v>
      </c>
      <c r="AW58" s="199">
        <f t="shared" si="25"/>
        <v>0</v>
      </c>
      <c r="AX58" s="1151">
        <f t="shared" si="47"/>
        <v>0</v>
      </c>
      <c r="AY58" s="1151">
        <f t="shared" si="27"/>
        <v>0</v>
      </c>
      <c r="AZ58" s="1311">
        <f t="shared" si="28"/>
        <v>0</v>
      </c>
      <c r="BB58" s="323">
        <f t="shared" si="29"/>
        <v>246.41441958667755</v>
      </c>
      <c r="BC58" s="324">
        <f t="shared" si="30"/>
        <v>829.07719522547541</v>
      </c>
      <c r="BD58" s="1323">
        <f t="shared" si="31"/>
        <v>0</v>
      </c>
      <c r="BE58" s="324">
        <f t="shared" si="32"/>
        <v>1075.4916148121529</v>
      </c>
      <c r="BF58" s="104">
        <v>0</v>
      </c>
      <c r="BG58" s="325">
        <f t="shared" si="33"/>
        <v>1075.4916148121529</v>
      </c>
      <c r="BI58" s="323">
        <f t="shared" si="34"/>
        <v>246.41441958667755</v>
      </c>
      <c r="BJ58" s="324">
        <f t="shared" si="35"/>
        <v>829.07719522547541</v>
      </c>
      <c r="BK58" s="1323">
        <f t="shared" si="36"/>
        <v>0</v>
      </c>
      <c r="BL58" s="324">
        <f t="shared" si="37"/>
        <v>1075.4916148121529</v>
      </c>
      <c r="BM58" s="104">
        <v>0</v>
      </c>
      <c r="BN58" s="325">
        <f t="shared" si="38"/>
        <v>1075.4916148121529</v>
      </c>
    </row>
    <row r="59" spans="1:66">
      <c r="A59" s="127">
        <f>'Input data'!A89</f>
        <v>1991</v>
      </c>
      <c r="B59" s="1082">
        <f>'Input data'!B89</f>
        <v>32.69903</v>
      </c>
      <c r="C59" s="995">
        <f>'Baseline data (from input)'!B47</f>
        <v>578.73</v>
      </c>
      <c r="D59" s="1081">
        <f>'Baseline data (from input)'!L47</f>
        <v>0.8</v>
      </c>
      <c r="E59" s="992">
        <f t="shared" si="39"/>
        <v>0.24001298204245269</v>
      </c>
      <c r="F59" s="992">
        <f t="shared" si="40"/>
        <v>0.30440139352934503</v>
      </c>
      <c r="G59" s="992">
        <f t="shared" si="41"/>
        <v>5.8998240613430578E-2</v>
      </c>
      <c r="H59" s="992">
        <f t="shared" si="42"/>
        <v>0</v>
      </c>
      <c r="I59" s="992">
        <f t="shared" si="43"/>
        <v>0</v>
      </c>
      <c r="J59" s="992">
        <f t="shared" si="44"/>
        <v>0</v>
      </c>
      <c r="K59" s="992">
        <f t="shared" si="45"/>
        <v>0.39658738381477154</v>
      </c>
      <c r="L59" s="1092">
        <f t="shared" si="46"/>
        <v>0.99999999999999989</v>
      </c>
      <c r="N59" s="323">
        <f t="shared" si="48"/>
        <v>15139.127705520003</v>
      </c>
      <c r="O59" s="1137">
        <f>Parameters!R162</f>
        <v>0.73</v>
      </c>
      <c r="P59" s="1137">
        <f>E59*'MSW characteristics'!$B$28+'MSW characteristics'!$B$29*'4A SWD Case 1'!F59+'4A SWD Case 1'!G59*'MSW characteristics'!$B$30+'MSW characteristics'!$B$31*'4A SWD Case 1'!H59+'4A SWD Case 1'!I59*'MSW characteristics'!$B$32+'MSW characteristics'!$B$33*'4A SWD Case 1'!J59+'4A SWD Case 1'!K59*'MSW characteristics'!$B$35</f>
        <v>0.12048152225760915</v>
      </c>
      <c r="Q59" s="1135">
        <f t="shared" si="2"/>
        <v>665.75458033888935</v>
      </c>
      <c r="R59" s="1135">
        <f t="shared" si="3"/>
        <v>665.75458033888935</v>
      </c>
      <c r="S59" s="306">
        <f t="shared" si="4"/>
        <v>0</v>
      </c>
      <c r="T59" s="1135">
        <f t="shared" si="5"/>
        <v>8143.688319775305</v>
      </c>
      <c r="U59" s="1135">
        <f t="shared" si="6"/>
        <v>383.40186144816624</v>
      </c>
      <c r="V59" s="1311">
        <f t="shared" si="7"/>
        <v>255.60124096544416</v>
      </c>
      <c r="X59" s="1143">
        <f>'Baseline data (from input)'!T47*'Baseline data (from input)'!U47</f>
        <v>37997.382054649941</v>
      </c>
      <c r="Y59" s="1136">
        <f>Parameters!S162</f>
        <v>0.71500000000000008</v>
      </c>
      <c r="Z59" s="1136">
        <f t="shared" si="8"/>
        <v>0.15</v>
      </c>
      <c r="AA59" s="1135">
        <f t="shared" si="9"/>
        <v>2037.6096126806033</v>
      </c>
      <c r="AB59" s="1135">
        <f t="shared" si="10"/>
        <v>2037.6096126806033</v>
      </c>
      <c r="AC59" s="306">
        <f t="shared" si="11"/>
        <v>0</v>
      </c>
      <c r="AD59" s="1135">
        <f t="shared" si="12"/>
        <v>27068.507877722721</v>
      </c>
      <c r="AE59" s="1135">
        <f t="shared" si="13"/>
        <v>1283.3615973254271</v>
      </c>
      <c r="AF59" s="1311">
        <f t="shared" si="14"/>
        <v>855.57439821695141</v>
      </c>
      <c r="AH59" s="1143">
        <f>'Baseline data (from input)'!T47*'Baseline data (from input)'!U47</f>
        <v>37997.382054649941</v>
      </c>
      <c r="AI59" s="1136">
        <f>Parameters!S162</f>
        <v>0.71500000000000008</v>
      </c>
      <c r="AJ59" s="1136">
        <f t="shared" si="15"/>
        <v>0.15</v>
      </c>
      <c r="AK59" s="1135">
        <f t="shared" si="16"/>
        <v>2037.6096126806033</v>
      </c>
      <c r="AL59" s="1135">
        <f t="shared" si="17"/>
        <v>2037.6096126806033</v>
      </c>
      <c r="AM59" s="306">
        <f t="shared" si="18"/>
        <v>0</v>
      </c>
      <c r="AN59" s="1135">
        <f t="shared" si="19"/>
        <v>27068.507877722721</v>
      </c>
      <c r="AO59" s="1135">
        <f t="shared" si="20"/>
        <v>1283.3615973254271</v>
      </c>
      <c r="AP59" s="1311">
        <f t="shared" si="21"/>
        <v>855.57439821695141</v>
      </c>
      <c r="AR59" s="1143">
        <v>0</v>
      </c>
      <c r="AS59" s="1136">
        <v>1</v>
      </c>
      <c r="AT59" s="1136">
        <f t="shared" si="22"/>
        <v>0.05</v>
      </c>
      <c r="AU59" s="1135">
        <f t="shared" si="23"/>
        <v>0</v>
      </c>
      <c r="AV59" s="1135">
        <f t="shared" si="24"/>
        <v>0</v>
      </c>
      <c r="AW59" s="199">
        <f t="shared" si="25"/>
        <v>0</v>
      </c>
      <c r="AX59" s="1151">
        <f t="shared" si="47"/>
        <v>0</v>
      </c>
      <c r="AY59" s="1151">
        <f t="shared" si="27"/>
        <v>0</v>
      </c>
      <c r="AZ59" s="1311">
        <f t="shared" si="28"/>
        <v>0</v>
      </c>
      <c r="BB59" s="323">
        <f t="shared" si="29"/>
        <v>255.60124096544416</v>
      </c>
      <c r="BC59" s="324">
        <f t="shared" si="30"/>
        <v>855.57439821695141</v>
      </c>
      <c r="BD59" s="1323">
        <f t="shared" si="31"/>
        <v>0</v>
      </c>
      <c r="BE59" s="324">
        <f t="shared" si="32"/>
        <v>1111.1756391823956</v>
      </c>
      <c r="BF59" s="104">
        <v>0</v>
      </c>
      <c r="BG59" s="325">
        <f t="shared" si="33"/>
        <v>1111.1756391823956</v>
      </c>
      <c r="BI59" s="323">
        <f t="shared" si="34"/>
        <v>255.60124096544416</v>
      </c>
      <c r="BJ59" s="324">
        <f t="shared" si="35"/>
        <v>855.57439821695141</v>
      </c>
      <c r="BK59" s="1323">
        <f t="shared" si="36"/>
        <v>0</v>
      </c>
      <c r="BL59" s="324">
        <f t="shared" si="37"/>
        <v>1111.1756391823956</v>
      </c>
      <c r="BM59" s="104">
        <v>0</v>
      </c>
      <c r="BN59" s="325">
        <f t="shared" si="38"/>
        <v>1111.1756391823956</v>
      </c>
    </row>
    <row r="60" spans="1:66">
      <c r="A60" s="127">
        <f>'Input data'!A90</f>
        <v>1992</v>
      </c>
      <c r="B60" s="1082">
        <f>'Input data'!B90</f>
        <v>33.388809999999999</v>
      </c>
      <c r="C60" s="995">
        <f>'Baseline data (from input)'!B48</f>
        <v>578.73</v>
      </c>
      <c r="D60" s="1081">
        <f>'Baseline data (from input)'!L48</f>
        <v>0.8</v>
      </c>
      <c r="E60" s="992">
        <f t="shared" si="39"/>
        <v>0.24001298204245269</v>
      </c>
      <c r="F60" s="992">
        <f t="shared" si="40"/>
        <v>0.30440139352934503</v>
      </c>
      <c r="G60" s="992">
        <f t="shared" si="41"/>
        <v>5.8998240613430578E-2</v>
      </c>
      <c r="H60" s="992">
        <f t="shared" si="42"/>
        <v>0</v>
      </c>
      <c r="I60" s="992">
        <f t="shared" si="43"/>
        <v>0</v>
      </c>
      <c r="J60" s="992">
        <f t="shared" si="44"/>
        <v>0</v>
      </c>
      <c r="K60" s="992">
        <f t="shared" si="45"/>
        <v>0.39658738381477154</v>
      </c>
      <c r="L60" s="1092">
        <f t="shared" si="46"/>
        <v>0.99999999999999989</v>
      </c>
      <c r="N60" s="323">
        <f t="shared" si="48"/>
        <v>15458.484809039999</v>
      </c>
      <c r="O60" s="1137">
        <f>Parameters!R163</f>
        <v>0.73</v>
      </c>
      <c r="P60" s="1137">
        <f>E60*'MSW characteristics'!$B$28+'MSW characteristics'!$B$29*'4A SWD Case 1'!F60+'4A SWD Case 1'!G60*'MSW characteristics'!$B$30+'MSW characteristics'!$B$31*'4A SWD Case 1'!H60+'4A SWD Case 1'!I60*'MSW characteristics'!$B$32+'MSW characteristics'!$B$33*'4A SWD Case 1'!J60+'4A SWD Case 1'!K60*'MSW characteristics'!$B$35</f>
        <v>0.12048152225760915</v>
      </c>
      <c r="Q60" s="1135">
        <f t="shared" si="2"/>
        <v>679.79855028008194</v>
      </c>
      <c r="R60" s="1135">
        <f t="shared" si="3"/>
        <v>679.79855028008194</v>
      </c>
      <c r="S60" s="306">
        <f t="shared" si="4"/>
        <v>0</v>
      </c>
      <c r="T60" s="1135">
        <f t="shared" si="5"/>
        <v>8426.3145040131312</v>
      </c>
      <c r="U60" s="1135">
        <f t="shared" si="6"/>
        <v>397.17236604225491</v>
      </c>
      <c r="V60" s="1311">
        <f t="shared" si="7"/>
        <v>264.78157736150325</v>
      </c>
      <c r="X60" s="1143">
        <f>'Baseline data (from input)'!T48*'Baseline data (from input)'!U48</f>
        <v>37185.356383811391</v>
      </c>
      <c r="Y60" s="1136">
        <f>Parameters!S163</f>
        <v>0.71500000000000008</v>
      </c>
      <c r="Z60" s="1136">
        <f t="shared" si="8"/>
        <v>0.15</v>
      </c>
      <c r="AA60" s="1135">
        <f t="shared" si="9"/>
        <v>1994.0647360818859</v>
      </c>
      <c r="AB60" s="1135">
        <f t="shared" si="10"/>
        <v>1994.0647360818859</v>
      </c>
      <c r="AC60" s="306">
        <f t="shared" si="11"/>
        <v>0</v>
      </c>
      <c r="AD60" s="1135">
        <f t="shared" si="12"/>
        <v>27742.425906701115</v>
      </c>
      <c r="AE60" s="1135">
        <f t="shared" si="13"/>
        <v>1320.1467071034933</v>
      </c>
      <c r="AF60" s="1311">
        <f t="shared" si="14"/>
        <v>880.09780473566218</v>
      </c>
      <c r="AH60" s="1143">
        <f>'Baseline data (from input)'!T48*'Baseline data (from input)'!U48</f>
        <v>37185.356383811391</v>
      </c>
      <c r="AI60" s="1136">
        <f>Parameters!S163</f>
        <v>0.71500000000000008</v>
      </c>
      <c r="AJ60" s="1136">
        <f t="shared" si="15"/>
        <v>0.15</v>
      </c>
      <c r="AK60" s="1135">
        <f t="shared" si="16"/>
        <v>1994.0647360818859</v>
      </c>
      <c r="AL60" s="1135">
        <f t="shared" si="17"/>
        <v>1994.0647360818859</v>
      </c>
      <c r="AM60" s="306">
        <f t="shared" si="18"/>
        <v>0</v>
      </c>
      <c r="AN60" s="1135">
        <f t="shared" si="19"/>
        <v>27742.425906701115</v>
      </c>
      <c r="AO60" s="1135">
        <f t="shared" si="20"/>
        <v>1320.1467071034933</v>
      </c>
      <c r="AP60" s="1311">
        <f t="shared" si="21"/>
        <v>880.09780473566218</v>
      </c>
      <c r="AR60" s="1143">
        <v>0</v>
      </c>
      <c r="AS60" s="1136">
        <v>1</v>
      </c>
      <c r="AT60" s="1136">
        <f t="shared" si="22"/>
        <v>0.05</v>
      </c>
      <c r="AU60" s="1135">
        <f t="shared" si="23"/>
        <v>0</v>
      </c>
      <c r="AV60" s="1135">
        <f t="shared" si="24"/>
        <v>0</v>
      </c>
      <c r="AW60" s="199">
        <f t="shared" si="25"/>
        <v>0</v>
      </c>
      <c r="AX60" s="1151">
        <f t="shared" si="47"/>
        <v>0</v>
      </c>
      <c r="AY60" s="1151">
        <f t="shared" si="27"/>
        <v>0</v>
      </c>
      <c r="AZ60" s="1311">
        <f t="shared" si="28"/>
        <v>0</v>
      </c>
      <c r="BB60" s="323">
        <f t="shared" si="29"/>
        <v>264.78157736150325</v>
      </c>
      <c r="BC60" s="324">
        <f t="shared" si="30"/>
        <v>880.09780473566218</v>
      </c>
      <c r="BD60" s="1323">
        <f t="shared" si="31"/>
        <v>0</v>
      </c>
      <c r="BE60" s="324">
        <f t="shared" si="32"/>
        <v>1144.8793820971655</v>
      </c>
      <c r="BF60" s="104">
        <v>0</v>
      </c>
      <c r="BG60" s="325">
        <f t="shared" si="33"/>
        <v>1144.8793820971655</v>
      </c>
      <c r="BI60" s="323">
        <f t="shared" si="34"/>
        <v>264.78157736150325</v>
      </c>
      <c r="BJ60" s="324">
        <f t="shared" si="35"/>
        <v>880.09780473566218</v>
      </c>
      <c r="BK60" s="1323">
        <f t="shared" si="36"/>
        <v>0</v>
      </c>
      <c r="BL60" s="324">
        <f t="shared" si="37"/>
        <v>1144.8793820971655</v>
      </c>
      <c r="BM60" s="104">
        <v>0</v>
      </c>
      <c r="BN60" s="325">
        <f t="shared" si="38"/>
        <v>1144.8793820971655</v>
      </c>
    </row>
    <row r="61" spans="1:66">
      <c r="A61" s="127">
        <f>'Input data'!A91</f>
        <v>1993</v>
      </c>
      <c r="B61" s="1082">
        <f>'Input data'!B91</f>
        <v>34.101339999999993</v>
      </c>
      <c r="C61" s="995">
        <f>'Baseline data (from input)'!B49</f>
        <v>578.73</v>
      </c>
      <c r="D61" s="1081">
        <f>'Baseline data (from input)'!L49</f>
        <v>0.8</v>
      </c>
      <c r="E61" s="992">
        <f t="shared" si="39"/>
        <v>0.24001298204245269</v>
      </c>
      <c r="F61" s="992">
        <f t="shared" si="40"/>
        <v>0.30440139352934503</v>
      </c>
      <c r="G61" s="992">
        <f t="shared" si="41"/>
        <v>5.8998240613430578E-2</v>
      </c>
      <c r="H61" s="992">
        <f t="shared" si="42"/>
        <v>0</v>
      </c>
      <c r="I61" s="992">
        <f t="shared" si="43"/>
        <v>0</v>
      </c>
      <c r="J61" s="992">
        <f t="shared" si="44"/>
        <v>0</v>
      </c>
      <c r="K61" s="992">
        <f t="shared" si="45"/>
        <v>0.39658738381477154</v>
      </c>
      <c r="L61" s="1092">
        <f t="shared" si="46"/>
        <v>0.99999999999999989</v>
      </c>
      <c r="N61" s="323">
        <f t="shared" si="48"/>
        <v>15788.374798559998</v>
      </c>
      <c r="O61" s="1137">
        <f>Parameters!R164</f>
        <v>0.73</v>
      </c>
      <c r="P61" s="1137">
        <f>E61*'MSW characteristics'!$B$28+'MSW characteristics'!$B$29*'4A SWD Case 1'!F61+'4A SWD Case 1'!G61*'MSW characteristics'!$B$30+'MSW characteristics'!$B$31*'4A SWD Case 1'!H61+'4A SWD Case 1'!I61*'MSW characteristics'!$B$32+'MSW characteristics'!$B$33*'4A SWD Case 1'!J61+'4A SWD Case 1'!K61*'MSW characteristics'!$B$35</f>
        <v>0.12048152225760915</v>
      </c>
      <c r="Q61" s="1135">
        <f t="shared" si="2"/>
        <v>694.30571184202631</v>
      </c>
      <c r="R61" s="1135">
        <f t="shared" si="3"/>
        <v>694.30571184202631</v>
      </c>
      <c r="S61" s="306">
        <f t="shared" si="4"/>
        <v>0</v>
      </c>
      <c r="T61" s="1135">
        <f t="shared" si="5"/>
        <v>8709.6640081564565</v>
      </c>
      <c r="U61" s="1135">
        <f t="shared" si="6"/>
        <v>410.95620769870095</v>
      </c>
      <c r="V61" s="1311">
        <f t="shared" si="7"/>
        <v>273.97080513246732</v>
      </c>
      <c r="X61" s="1143">
        <f>'Baseline data (from input)'!T49*'Baseline data (from input)'!U49</f>
        <v>37644.045159525725</v>
      </c>
      <c r="Y61" s="1136">
        <f>Parameters!S164</f>
        <v>0.71500000000000008</v>
      </c>
      <c r="Z61" s="1136">
        <f t="shared" si="8"/>
        <v>0.15</v>
      </c>
      <c r="AA61" s="1135">
        <f t="shared" si="9"/>
        <v>2018.6619216795671</v>
      </c>
      <c r="AB61" s="1135">
        <f t="shared" si="10"/>
        <v>2018.6619216795671</v>
      </c>
      <c r="AC61" s="306">
        <f t="shared" si="11"/>
        <v>0</v>
      </c>
      <c r="AD61" s="1135">
        <f t="shared" si="12"/>
        <v>28408.073751164568</v>
      </c>
      <c r="AE61" s="1135">
        <f t="shared" si="13"/>
        <v>1353.0140772161142</v>
      </c>
      <c r="AF61" s="1311">
        <f t="shared" si="14"/>
        <v>902.00938481074274</v>
      </c>
      <c r="AH61" s="1143">
        <f>'Baseline data (from input)'!T49*'Baseline data (from input)'!U49</f>
        <v>37644.045159525725</v>
      </c>
      <c r="AI61" s="1136">
        <f>Parameters!S164</f>
        <v>0.71500000000000008</v>
      </c>
      <c r="AJ61" s="1136">
        <f t="shared" si="15"/>
        <v>0.15</v>
      </c>
      <c r="AK61" s="1135">
        <f t="shared" si="16"/>
        <v>2018.6619216795671</v>
      </c>
      <c r="AL61" s="1135">
        <f t="shared" si="17"/>
        <v>2018.6619216795671</v>
      </c>
      <c r="AM61" s="306">
        <f t="shared" si="18"/>
        <v>0</v>
      </c>
      <c r="AN61" s="1135">
        <f t="shared" si="19"/>
        <v>28408.073751164568</v>
      </c>
      <c r="AO61" s="1135">
        <f t="shared" si="20"/>
        <v>1353.0140772161142</v>
      </c>
      <c r="AP61" s="1311">
        <f t="shared" si="21"/>
        <v>902.00938481074274</v>
      </c>
      <c r="AR61" s="1143">
        <v>0</v>
      </c>
      <c r="AS61" s="1136">
        <v>1</v>
      </c>
      <c r="AT61" s="1136">
        <f t="shared" si="22"/>
        <v>0.05</v>
      </c>
      <c r="AU61" s="1135">
        <f t="shared" si="23"/>
        <v>0</v>
      </c>
      <c r="AV61" s="1135">
        <f t="shared" si="24"/>
        <v>0</v>
      </c>
      <c r="AW61" s="199">
        <f t="shared" si="25"/>
        <v>0</v>
      </c>
      <c r="AX61" s="1151">
        <f t="shared" si="47"/>
        <v>0</v>
      </c>
      <c r="AY61" s="1151">
        <f t="shared" si="27"/>
        <v>0</v>
      </c>
      <c r="AZ61" s="1311">
        <f t="shared" si="28"/>
        <v>0</v>
      </c>
      <c r="BB61" s="323">
        <f t="shared" si="29"/>
        <v>273.97080513246732</v>
      </c>
      <c r="BC61" s="324">
        <f t="shared" si="30"/>
        <v>902.00938481074274</v>
      </c>
      <c r="BD61" s="1323">
        <f t="shared" si="31"/>
        <v>0</v>
      </c>
      <c r="BE61" s="324">
        <f t="shared" si="32"/>
        <v>1175.98018994321</v>
      </c>
      <c r="BF61" s="104">
        <v>0</v>
      </c>
      <c r="BG61" s="325">
        <f t="shared" si="33"/>
        <v>1175.98018994321</v>
      </c>
      <c r="BI61" s="323">
        <f t="shared" si="34"/>
        <v>273.97080513246732</v>
      </c>
      <c r="BJ61" s="324">
        <f t="shared" si="35"/>
        <v>902.00938481074274</v>
      </c>
      <c r="BK61" s="1323">
        <f t="shared" si="36"/>
        <v>0</v>
      </c>
      <c r="BL61" s="324">
        <f t="shared" si="37"/>
        <v>1175.98018994321</v>
      </c>
      <c r="BM61" s="104">
        <v>0</v>
      </c>
      <c r="BN61" s="325">
        <f t="shared" si="38"/>
        <v>1175.98018994321</v>
      </c>
    </row>
    <row r="62" spans="1:66">
      <c r="A62" s="127">
        <f>'Input data'!A92</f>
        <v>1994</v>
      </c>
      <c r="B62" s="1082">
        <f>'Input data'!B92</f>
        <v>34.837530000000001</v>
      </c>
      <c r="C62" s="995">
        <f>'Baseline data (from input)'!B50</f>
        <v>578.73</v>
      </c>
      <c r="D62" s="1081">
        <f>'Baseline data (from input)'!L50</f>
        <v>0.8</v>
      </c>
      <c r="E62" s="992">
        <f t="shared" si="39"/>
        <v>0.24001298204245269</v>
      </c>
      <c r="F62" s="992">
        <f t="shared" si="40"/>
        <v>0.30440139352934503</v>
      </c>
      <c r="G62" s="992">
        <f t="shared" si="41"/>
        <v>5.8998240613430578E-2</v>
      </c>
      <c r="H62" s="992">
        <f t="shared" si="42"/>
        <v>0</v>
      </c>
      <c r="I62" s="992">
        <f t="shared" si="43"/>
        <v>0</v>
      </c>
      <c r="J62" s="992">
        <f t="shared" si="44"/>
        <v>0</v>
      </c>
      <c r="K62" s="992">
        <f t="shared" si="45"/>
        <v>0.39658738381477154</v>
      </c>
      <c r="L62" s="1092">
        <f t="shared" si="46"/>
        <v>0.99999999999999989</v>
      </c>
      <c r="N62" s="323">
        <f t="shared" si="48"/>
        <v>16129.218989520003</v>
      </c>
      <c r="O62" s="1137">
        <f>Parameters!R165</f>
        <v>0.73</v>
      </c>
      <c r="P62" s="1137">
        <f>E62*'MSW characteristics'!$B$28+'MSW characteristics'!$B$29*'4A SWD Case 1'!F62+'4A SWD Case 1'!G62*'MSW characteristics'!$B$30+'MSW characteristics'!$B$31*'4A SWD Case 1'!H62+'4A SWD Case 1'!I62*'MSW characteristics'!$B$32+'MSW characteristics'!$B$33*'4A SWD Case 1'!J62+'4A SWD Case 1'!K62*'MSW characteristics'!$B$35</f>
        <v>0.12048152225760915</v>
      </c>
      <c r="Q62" s="1135">
        <f t="shared" si="2"/>
        <v>709.29459268955281</v>
      </c>
      <c r="R62" s="1135">
        <f t="shared" si="3"/>
        <v>709.29459268955281</v>
      </c>
      <c r="S62" s="306">
        <f t="shared" si="4"/>
        <v>0</v>
      </c>
      <c r="T62" s="1135">
        <f t="shared" si="5"/>
        <v>8994.1832747628014</v>
      </c>
      <c r="U62" s="1135">
        <f t="shared" si="6"/>
        <v>424.77532608320826</v>
      </c>
      <c r="V62" s="1311">
        <f t="shared" si="7"/>
        <v>283.18355072213882</v>
      </c>
      <c r="X62" s="1143">
        <f>'Baseline data (from input)'!T50*'Baseline data (from input)'!U50</f>
        <v>38848.654999516577</v>
      </c>
      <c r="Y62" s="1136">
        <f>Parameters!S165</f>
        <v>0.71500000000000008</v>
      </c>
      <c r="Z62" s="1136">
        <f t="shared" si="8"/>
        <v>0.15</v>
      </c>
      <c r="AA62" s="1135">
        <f t="shared" si="9"/>
        <v>2083.259124349077</v>
      </c>
      <c r="AB62" s="1135">
        <f t="shared" si="10"/>
        <v>2083.259124349077</v>
      </c>
      <c r="AC62" s="306">
        <f t="shared" si="11"/>
        <v>0</v>
      </c>
      <c r="AD62" s="1135">
        <f t="shared" si="12"/>
        <v>29105.854769843187</v>
      </c>
      <c r="AE62" s="1135">
        <f t="shared" si="13"/>
        <v>1385.478105670456</v>
      </c>
      <c r="AF62" s="1311">
        <f t="shared" si="14"/>
        <v>923.6520704469707</v>
      </c>
      <c r="AH62" s="1143">
        <f>'Baseline data (from input)'!T50*'Baseline data (from input)'!U50</f>
        <v>38848.654999516577</v>
      </c>
      <c r="AI62" s="1136">
        <f>Parameters!S165</f>
        <v>0.71500000000000008</v>
      </c>
      <c r="AJ62" s="1136">
        <f t="shared" si="15"/>
        <v>0.15</v>
      </c>
      <c r="AK62" s="1135">
        <f t="shared" si="16"/>
        <v>2083.259124349077</v>
      </c>
      <c r="AL62" s="1135">
        <f t="shared" si="17"/>
        <v>2083.259124349077</v>
      </c>
      <c r="AM62" s="306">
        <f t="shared" si="18"/>
        <v>0</v>
      </c>
      <c r="AN62" s="1135">
        <f t="shared" si="19"/>
        <v>29105.854769843187</v>
      </c>
      <c r="AO62" s="1135">
        <f t="shared" si="20"/>
        <v>1385.478105670456</v>
      </c>
      <c r="AP62" s="1311">
        <f t="shared" si="21"/>
        <v>923.6520704469707</v>
      </c>
      <c r="AR62" s="1143">
        <v>0</v>
      </c>
      <c r="AS62" s="1136">
        <v>1</v>
      </c>
      <c r="AT62" s="1136">
        <f t="shared" si="22"/>
        <v>0.05</v>
      </c>
      <c r="AU62" s="1135">
        <f t="shared" si="23"/>
        <v>0</v>
      </c>
      <c r="AV62" s="1135">
        <f t="shared" si="24"/>
        <v>0</v>
      </c>
      <c r="AW62" s="199">
        <f t="shared" si="25"/>
        <v>0</v>
      </c>
      <c r="AX62" s="1151">
        <f t="shared" si="47"/>
        <v>0</v>
      </c>
      <c r="AY62" s="1151">
        <f t="shared" si="27"/>
        <v>0</v>
      </c>
      <c r="AZ62" s="1311">
        <f t="shared" si="28"/>
        <v>0</v>
      </c>
      <c r="BB62" s="323">
        <f t="shared" si="29"/>
        <v>283.18355072213882</v>
      </c>
      <c r="BC62" s="324">
        <f t="shared" si="30"/>
        <v>923.6520704469707</v>
      </c>
      <c r="BD62" s="1323">
        <f t="shared" si="31"/>
        <v>0</v>
      </c>
      <c r="BE62" s="324">
        <f t="shared" si="32"/>
        <v>1206.8356211691096</v>
      </c>
      <c r="BF62" s="104">
        <v>0</v>
      </c>
      <c r="BG62" s="325">
        <f t="shared" si="33"/>
        <v>1206.8356211691096</v>
      </c>
      <c r="BI62" s="323">
        <f t="shared" si="34"/>
        <v>283.18355072213882</v>
      </c>
      <c r="BJ62" s="324">
        <f t="shared" si="35"/>
        <v>923.6520704469707</v>
      </c>
      <c r="BK62" s="1323">
        <f t="shared" si="36"/>
        <v>0</v>
      </c>
      <c r="BL62" s="324">
        <f t="shared" si="37"/>
        <v>1206.8356211691096</v>
      </c>
      <c r="BM62" s="104">
        <v>0</v>
      </c>
      <c r="BN62" s="325">
        <f t="shared" si="38"/>
        <v>1206.8356211691096</v>
      </c>
    </row>
    <row r="63" spans="1:66">
      <c r="A63" s="127">
        <f>'Input data'!A93</f>
        <v>1995</v>
      </c>
      <c r="B63" s="1082">
        <f>'Input data'!B93</f>
        <v>35.599199999999996</v>
      </c>
      <c r="C63" s="995">
        <f>'Baseline data (from input)'!B51</f>
        <v>578.73</v>
      </c>
      <c r="D63" s="1081">
        <f>'Baseline data (from input)'!L51</f>
        <v>0.8</v>
      </c>
      <c r="E63" s="992">
        <f t="shared" si="39"/>
        <v>0.24001298204245269</v>
      </c>
      <c r="F63" s="992">
        <f t="shared" si="40"/>
        <v>0.30440139352934503</v>
      </c>
      <c r="G63" s="992">
        <f t="shared" si="41"/>
        <v>5.8998240613430578E-2</v>
      </c>
      <c r="H63" s="992">
        <f t="shared" si="42"/>
        <v>0</v>
      </c>
      <c r="I63" s="992">
        <f t="shared" si="43"/>
        <v>0</v>
      </c>
      <c r="J63" s="992">
        <f t="shared" si="44"/>
        <v>0</v>
      </c>
      <c r="K63" s="992">
        <f t="shared" si="45"/>
        <v>0.39658738381477154</v>
      </c>
      <c r="L63" s="1092">
        <f t="shared" si="46"/>
        <v>0.99999999999999989</v>
      </c>
      <c r="M63" s="4"/>
      <c r="N63" s="323">
        <f t="shared" si="48"/>
        <v>16481.8600128</v>
      </c>
      <c r="O63" s="1137">
        <f>Parameters!R166</f>
        <v>0.73</v>
      </c>
      <c r="P63" s="1137">
        <f>E63*'MSW characteristics'!$B$28+'MSW characteristics'!$B$29*'4A SWD Case 1'!F63+'4A SWD Case 1'!G63*'MSW characteristics'!$B$30+'MSW characteristics'!$B$31*'4A SWD Case 1'!H63+'4A SWD Case 1'!I63*'MSW characteristics'!$B$32+'MSW characteristics'!$B$33*'4A SWD Case 1'!J63+'4A SWD Case 1'!K63*'MSW characteristics'!$B$35</f>
        <v>0.12048152225760915</v>
      </c>
      <c r="Q63" s="1135">
        <f t="shared" si="2"/>
        <v>724.80224815232089</v>
      </c>
      <c r="R63" s="1135">
        <f t="shared" si="3"/>
        <v>724.80224815232089</v>
      </c>
      <c r="S63" s="306">
        <f t="shared" si="4"/>
        <v>0</v>
      </c>
      <c r="T63" s="1135">
        <f t="shared" si="5"/>
        <v>9280.3340284588867</v>
      </c>
      <c r="U63" s="1135">
        <f t="shared" si="6"/>
        <v>438.65149445623445</v>
      </c>
      <c r="V63" s="1311">
        <f t="shared" si="7"/>
        <v>292.43432963748961</v>
      </c>
      <c r="X63" s="1143">
        <f>'Baseline data (from input)'!T51*'Baseline data (from input)'!U51</f>
        <v>40052.961524456216</v>
      </c>
      <c r="Y63" s="1136">
        <f>Parameters!S166</f>
        <v>0.71500000000000008</v>
      </c>
      <c r="Z63" s="1136">
        <f t="shared" si="8"/>
        <v>0.15</v>
      </c>
      <c r="AA63" s="1135">
        <f t="shared" si="9"/>
        <v>2147.8400617489647</v>
      </c>
      <c r="AB63" s="1135">
        <f t="shared" si="10"/>
        <v>2147.8400617489647</v>
      </c>
      <c r="AC63" s="306">
        <f t="shared" si="11"/>
        <v>0</v>
      </c>
      <c r="AD63" s="1135">
        <f t="shared" si="12"/>
        <v>29834.185544068259</v>
      </c>
      <c r="AE63" s="1135">
        <f t="shared" si="13"/>
        <v>1419.5092875238902</v>
      </c>
      <c r="AF63" s="1311">
        <f t="shared" si="14"/>
        <v>946.33952501592682</v>
      </c>
      <c r="AH63" s="1143">
        <f>'Baseline data (from input)'!T51*'Baseline data (from input)'!U51</f>
        <v>40052.961524456216</v>
      </c>
      <c r="AI63" s="1136">
        <f>Parameters!S166</f>
        <v>0.71500000000000008</v>
      </c>
      <c r="AJ63" s="1136">
        <f t="shared" si="15"/>
        <v>0.15</v>
      </c>
      <c r="AK63" s="1135">
        <f t="shared" si="16"/>
        <v>2147.8400617489647</v>
      </c>
      <c r="AL63" s="1135">
        <f t="shared" si="17"/>
        <v>2147.8400617489647</v>
      </c>
      <c r="AM63" s="306">
        <f t="shared" si="18"/>
        <v>0</v>
      </c>
      <c r="AN63" s="1135">
        <f t="shared" si="19"/>
        <v>29834.185544068259</v>
      </c>
      <c r="AO63" s="1135">
        <f t="shared" si="20"/>
        <v>1419.5092875238902</v>
      </c>
      <c r="AP63" s="1311">
        <f t="shared" si="21"/>
        <v>946.33952501592682</v>
      </c>
      <c r="AR63" s="1143">
        <v>0</v>
      </c>
      <c r="AS63" s="1136">
        <v>1</v>
      </c>
      <c r="AT63" s="1136">
        <f t="shared" si="22"/>
        <v>0.05</v>
      </c>
      <c r="AU63" s="1135">
        <f t="shared" si="23"/>
        <v>0</v>
      </c>
      <c r="AV63" s="1135">
        <f t="shared" si="24"/>
        <v>0</v>
      </c>
      <c r="AW63" s="199">
        <f t="shared" si="25"/>
        <v>0</v>
      </c>
      <c r="AX63" s="1151">
        <f t="shared" si="47"/>
        <v>0</v>
      </c>
      <c r="AY63" s="1151">
        <f t="shared" si="27"/>
        <v>0</v>
      </c>
      <c r="AZ63" s="1311">
        <f t="shared" si="28"/>
        <v>0</v>
      </c>
      <c r="BB63" s="323">
        <f t="shared" si="29"/>
        <v>292.43432963748961</v>
      </c>
      <c r="BC63" s="324">
        <f t="shared" si="30"/>
        <v>946.33952501592682</v>
      </c>
      <c r="BD63" s="1323">
        <f t="shared" si="31"/>
        <v>0</v>
      </c>
      <c r="BE63" s="324">
        <f t="shared" si="32"/>
        <v>1238.7738546534165</v>
      </c>
      <c r="BF63" s="104">
        <v>0</v>
      </c>
      <c r="BG63" s="325">
        <f t="shared" si="33"/>
        <v>1238.7738546534165</v>
      </c>
      <c r="BI63" s="323">
        <f t="shared" si="34"/>
        <v>292.43432963748961</v>
      </c>
      <c r="BJ63" s="324">
        <f t="shared" si="35"/>
        <v>946.33952501592682</v>
      </c>
      <c r="BK63" s="1323">
        <f t="shared" si="36"/>
        <v>0</v>
      </c>
      <c r="BL63" s="324">
        <f t="shared" si="37"/>
        <v>1238.7738546534165</v>
      </c>
      <c r="BM63" s="104">
        <v>0</v>
      </c>
      <c r="BN63" s="325">
        <f t="shared" si="38"/>
        <v>1238.7738546534165</v>
      </c>
    </row>
    <row r="64" spans="1:66">
      <c r="A64" s="127">
        <f>'Input data'!A94</f>
        <v>1996</v>
      </c>
      <c r="B64" s="1082">
        <f>'Input data'!B94</f>
        <v>36.4</v>
      </c>
      <c r="C64" s="995">
        <f>'Baseline data (from input)'!B52</f>
        <v>578.73</v>
      </c>
      <c r="D64" s="1081">
        <f>'Baseline data (from input)'!L52</f>
        <v>0.8</v>
      </c>
      <c r="E64" s="992">
        <f t="shared" si="39"/>
        <v>0.24001298204245269</v>
      </c>
      <c r="F64" s="992">
        <f t="shared" si="40"/>
        <v>0.30440139352934503</v>
      </c>
      <c r="G64" s="992">
        <f t="shared" si="41"/>
        <v>5.8998240613430578E-2</v>
      </c>
      <c r="H64" s="992">
        <f t="shared" si="42"/>
        <v>0</v>
      </c>
      <c r="I64" s="992">
        <f t="shared" si="43"/>
        <v>0</v>
      </c>
      <c r="J64" s="992">
        <f t="shared" si="44"/>
        <v>0</v>
      </c>
      <c r="K64" s="992">
        <f t="shared" si="45"/>
        <v>0.39658738381477154</v>
      </c>
      <c r="L64" s="1092">
        <f t="shared" si="46"/>
        <v>0.99999999999999989</v>
      </c>
      <c r="M64" s="4"/>
      <c r="N64" s="323">
        <f t="shared" si="48"/>
        <v>16852.617600000001</v>
      </c>
      <c r="O64" s="1137">
        <f>Parameters!R167</f>
        <v>0.73</v>
      </c>
      <c r="P64" s="1137">
        <f>E64*'MSW characteristics'!$B$28+'MSW characteristics'!$B$29*'4A SWD Case 1'!F64+'4A SWD Case 1'!G64*'MSW characteristics'!$B$30+'MSW characteristics'!$B$31*'4A SWD Case 1'!H64+'4A SWD Case 1'!I64*'MSW characteristics'!$B$32+'MSW characteristics'!$B$33*'4A SWD Case 1'!J64+'4A SWD Case 1'!K64*'MSW characteristics'!$B$35</f>
        <v>0.12048152225760915</v>
      </c>
      <c r="Q64" s="1135">
        <f t="shared" si="2"/>
        <v>741.10659320278216</v>
      </c>
      <c r="R64" s="1135">
        <f t="shared" si="3"/>
        <v>741.10659320278216</v>
      </c>
      <c r="S64" s="306">
        <f t="shared" si="4"/>
        <v>0</v>
      </c>
      <c r="T64" s="1135">
        <f t="shared" si="5"/>
        <v>9568.8333902681206</v>
      </c>
      <c r="U64" s="1135">
        <f t="shared" si="6"/>
        <v>452.60723139354695</v>
      </c>
      <c r="V64" s="1311">
        <f t="shared" si="7"/>
        <v>301.73815426236462</v>
      </c>
      <c r="X64" s="1143">
        <f>'Baseline data (from input)'!T52*'Baseline data (from input)'!U52</f>
        <v>41775.238453857564</v>
      </c>
      <c r="Y64" s="1136">
        <f>Parameters!S167</f>
        <v>0.71500000000000008</v>
      </c>
      <c r="Z64" s="1136">
        <f t="shared" si="8"/>
        <v>0.15</v>
      </c>
      <c r="AA64" s="1135">
        <f t="shared" si="9"/>
        <v>2240.1971620881122</v>
      </c>
      <c r="AB64" s="1135">
        <f t="shared" si="10"/>
        <v>2240.1971620881122</v>
      </c>
      <c r="AC64" s="306">
        <f t="shared" si="11"/>
        <v>0</v>
      </c>
      <c r="AD64" s="1135">
        <f t="shared" si="12"/>
        <v>30619.352307619683</v>
      </c>
      <c r="AE64" s="1135">
        <f t="shared" si="13"/>
        <v>1455.0303985366875</v>
      </c>
      <c r="AF64" s="1311">
        <f t="shared" si="14"/>
        <v>970.02026569112502</v>
      </c>
      <c r="AH64" s="1143">
        <f>'Baseline data (from input)'!T52*'Baseline data (from input)'!U52</f>
        <v>41775.238453857564</v>
      </c>
      <c r="AI64" s="1136">
        <f>Parameters!S167</f>
        <v>0.71500000000000008</v>
      </c>
      <c r="AJ64" s="1136">
        <f t="shared" si="15"/>
        <v>0.15</v>
      </c>
      <c r="AK64" s="1135">
        <f t="shared" si="16"/>
        <v>2240.1971620881122</v>
      </c>
      <c r="AL64" s="1135">
        <f t="shared" si="17"/>
        <v>2240.1971620881122</v>
      </c>
      <c r="AM64" s="306">
        <f t="shared" si="18"/>
        <v>0</v>
      </c>
      <c r="AN64" s="1135">
        <f t="shared" si="19"/>
        <v>30619.352307619683</v>
      </c>
      <c r="AO64" s="1135">
        <f t="shared" si="20"/>
        <v>1455.0303985366875</v>
      </c>
      <c r="AP64" s="1311">
        <f t="shared" si="21"/>
        <v>970.02026569112502</v>
      </c>
      <c r="AR64" s="323">
        <f>V64*W64*X64</f>
        <v>0</v>
      </c>
      <c r="AS64" s="1136">
        <v>1</v>
      </c>
      <c r="AT64" s="1136">
        <f t="shared" si="22"/>
        <v>0.05</v>
      </c>
      <c r="AU64" s="1135">
        <f t="shared" si="23"/>
        <v>0</v>
      </c>
      <c r="AV64" s="1135">
        <f t="shared" si="24"/>
        <v>0</v>
      </c>
      <c r="AW64" s="199">
        <f t="shared" si="25"/>
        <v>0</v>
      </c>
      <c r="AX64" s="1151">
        <f t="shared" si="47"/>
        <v>0</v>
      </c>
      <c r="AY64" s="1151">
        <f t="shared" si="27"/>
        <v>0</v>
      </c>
      <c r="AZ64" s="1311">
        <f t="shared" si="28"/>
        <v>0</v>
      </c>
      <c r="BB64" s="323">
        <f t="shared" si="29"/>
        <v>301.73815426236462</v>
      </c>
      <c r="BC64" s="324">
        <f t="shared" si="30"/>
        <v>970.02026569112502</v>
      </c>
      <c r="BD64" s="1323">
        <f t="shared" si="31"/>
        <v>0</v>
      </c>
      <c r="BE64" s="324">
        <f t="shared" si="32"/>
        <v>1271.7584199534897</v>
      </c>
      <c r="BF64" s="104">
        <v>0</v>
      </c>
      <c r="BG64" s="325">
        <f t="shared" si="33"/>
        <v>1271.7584199534897</v>
      </c>
      <c r="BI64" s="323">
        <f t="shared" si="34"/>
        <v>301.73815426236462</v>
      </c>
      <c r="BJ64" s="324">
        <f t="shared" si="35"/>
        <v>970.02026569112502</v>
      </c>
      <c r="BK64" s="1323">
        <f t="shared" si="36"/>
        <v>0</v>
      </c>
      <c r="BL64" s="324">
        <f t="shared" si="37"/>
        <v>1271.7584199534897</v>
      </c>
      <c r="BM64" s="104">
        <v>0</v>
      </c>
      <c r="BN64" s="325">
        <f t="shared" si="38"/>
        <v>1271.7584199534897</v>
      </c>
    </row>
    <row r="65" spans="1:66">
      <c r="A65" s="127">
        <f>'Input data'!A95</f>
        <v>1997</v>
      </c>
      <c r="B65" s="1082">
        <f>'Input data'!B95</f>
        <v>37.242660000000001</v>
      </c>
      <c r="C65" s="995">
        <f>'Baseline data (from input)'!B53</f>
        <v>578.73</v>
      </c>
      <c r="D65" s="1081">
        <f>'Baseline data (from input)'!L53</f>
        <v>0.8</v>
      </c>
      <c r="E65" s="992">
        <f t="shared" si="39"/>
        <v>0.24001298204245269</v>
      </c>
      <c r="F65" s="992">
        <f t="shared" si="40"/>
        <v>0.30440139352934503</v>
      </c>
      <c r="G65" s="992">
        <f t="shared" si="41"/>
        <v>5.8998240613430578E-2</v>
      </c>
      <c r="H65" s="992">
        <f t="shared" si="42"/>
        <v>0</v>
      </c>
      <c r="I65" s="992">
        <f t="shared" si="43"/>
        <v>0</v>
      </c>
      <c r="J65" s="992">
        <f t="shared" si="44"/>
        <v>0</v>
      </c>
      <c r="K65" s="992">
        <f t="shared" si="45"/>
        <v>0.39658738381477154</v>
      </c>
      <c r="L65" s="1092">
        <f t="shared" si="46"/>
        <v>0.99999999999999989</v>
      </c>
      <c r="M65" s="4"/>
      <c r="N65" s="323">
        <f t="shared" si="48"/>
        <v>17242.755697440003</v>
      </c>
      <c r="O65" s="1137">
        <f>Parameters!R168</f>
        <v>0.73</v>
      </c>
      <c r="P65" s="1137">
        <f>E65*'MSW characteristics'!$B$28+'MSW characteristics'!$B$29*'4A SWD Case 1'!F65+'4A SWD Case 1'!G65*'MSW characteristics'!$B$30+'MSW characteristics'!$B$31*'4A SWD Case 1'!H65+'4A SWD Case 1'!I65*'MSW characteristics'!$B$32+'MSW characteristics'!$B$33*'4A SWD Case 1'!J65+'4A SWD Case 1'!K65*'MSW characteristics'!$B$35</f>
        <v>0.12048152225760915</v>
      </c>
      <c r="Q65" s="1135">
        <f t="shared" si="2"/>
        <v>758.26321083542666</v>
      </c>
      <c r="R65" s="1135">
        <f t="shared" si="3"/>
        <v>758.26321083542666</v>
      </c>
      <c r="S65" s="306">
        <f t="shared" si="4"/>
        <v>0</v>
      </c>
      <c r="T65" s="1135">
        <f t="shared" si="5"/>
        <v>9860.4190898033867</v>
      </c>
      <c r="U65" s="1135">
        <f t="shared" si="6"/>
        <v>466.67751130016006</v>
      </c>
      <c r="V65" s="1311">
        <f t="shared" si="7"/>
        <v>311.11834086677339</v>
      </c>
      <c r="X65" s="1143">
        <f>'Baseline data (from input)'!T53*'Baseline data (from input)'!U53</f>
        <v>42861.395537621902</v>
      </c>
      <c r="Y65" s="1136">
        <f>Parameters!S168</f>
        <v>0.71500000000000008</v>
      </c>
      <c r="Z65" s="1136">
        <f t="shared" si="8"/>
        <v>0.15</v>
      </c>
      <c r="AA65" s="1135">
        <f t="shared" si="9"/>
        <v>2298.4423357049745</v>
      </c>
      <c r="AB65" s="1135">
        <f t="shared" si="10"/>
        <v>2298.4423357049745</v>
      </c>
      <c r="AC65" s="306">
        <f t="shared" si="11"/>
        <v>0</v>
      </c>
      <c r="AD65" s="1135">
        <f t="shared" si="12"/>
        <v>31424.471209866657</v>
      </c>
      <c r="AE65" s="1135">
        <f t="shared" si="13"/>
        <v>1493.3234334580022</v>
      </c>
      <c r="AF65" s="1311">
        <f t="shared" si="14"/>
        <v>995.54895563866819</v>
      </c>
      <c r="AG65" s="4"/>
      <c r="AH65" s="1143">
        <f>'Baseline data (from input)'!T53*'Baseline data (from input)'!U53</f>
        <v>42861.395537621902</v>
      </c>
      <c r="AI65" s="1136">
        <f>Parameters!S168</f>
        <v>0.71500000000000008</v>
      </c>
      <c r="AJ65" s="1136">
        <f t="shared" si="15"/>
        <v>0.15</v>
      </c>
      <c r="AK65" s="1135">
        <f t="shared" si="16"/>
        <v>2298.4423357049745</v>
      </c>
      <c r="AL65" s="1135">
        <f t="shared" si="17"/>
        <v>2298.4423357049745</v>
      </c>
      <c r="AM65" s="306">
        <f t="shared" si="18"/>
        <v>0</v>
      </c>
      <c r="AN65" s="1135">
        <f t="shared" si="19"/>
        <v>31424.471209866657</v>
      </c>
      <c r="AO65" s="1135">
        <f t="shared" si="20"/>
        <v>1493.3234334580022</v>
      </c>
      <c r="AP65" s="1311">
        <f t="shared" si="21"/>
        <v>995.54895563866819</v>
      </c>
      <c r="AQ65" s="4"/>
      <c r="AR65" s="323">
        <f>V65*W65*X65</f>
        <v>0</v>
      </c>
      <c r="AS65" s="1136">
        <v>1</v>
      </c>
      <c r="AT65" s="1136">
        <f t="shared" si="22"/>
        <v>0.05</v>
      </c>
      <c r="AU65" s="1135">
        <f t="shared" si="23"/>
        <v>0</v>
      </c>
      <c r="AV65" s="1135">
        <f t="shared" si="24"/>
        <v>0</v>
      </c>
      <c r="AW65" s="199">
        <f t="shared" si="25"/>
        <v>0</v>
      </c>
      <c r="AX65" s="1151">
        <f t="shared" si="47"/>
        <v>0</v>
      </c>
      <c r="AY65" s="1151">
        <f t="shared" si="27"/>
        <v>0</v>
      </c>
      <c r="AZ65" s="1311">
        <f t="shared" si="28"/>
        <v>0</v>
      </c>
      <c r="BB65" s="323">
        <f t="shared" si="29"/>
        <v>311.11834086677339</v>
      </c>
      <c r="BC65" s="324">
        <f t="shared" si="30"/>
        <v>995.54895563866819</v>
      </c>
      <c r="BD65" s="1323">
        <f t="shared" si="31"/>
        <v>0</v>
      </c>
      <c r="BE65" s="324">
        <f t="shared" si="32"/>
        <v>1306.6672965054415</v>
      </c>
      <c r="BF65" s="104">
        <v>0</v>
      </c>
      <c r="BG65" s="325">
        <f t="shared" si="33"/>
        <v>1306.6672965054415</v>
      </c>
      <c r="BI65" s="323">
        <f t="shared" si="34"/>
        <v>311.11834086677339</v>
      </c>
      <c r="BJ65" s="324">
        <f t="shared" si="35"/>
        <v>995.54895563866819</v>
      </c>
      <c r="BK65" s="1323">
        <f t="shared" si="36"/>
        <v>0</v>
      </c>
      <c r="BL65" s="324">
        <f t="shared" si="37"/>
        <v>1306.6672965054415</v>
      </c>
      <c r="BM65" s="104">
        <v>0</v>
      </c>
      <c r="BN65" s="325">
        <f t="shared" si="38"/>
        <v>1306.6672965054415</v>
      </c>
    </row>
    <row r="66" spans="1:66">
      <c r="A66" s="127">
        <f>'Input data'!A96</f>
        <v>1998</v>
      </c>
      <c r="B66" s="1082">
        <f>'Input data'!B96</f>
        <v>38.128999999999998</v>
      </c>
      <c r="C66" s="995">
        <f>'Baseline data (from input)'!B54</f>
        <v>578.73</v>
      </c>
      <c r="D66" s="1081">
        <f>'Baseline data (from input)'!L54</f>
        <v>0.8</v>
      </c>
      <c r="E66" s="992">
        <f t="shared" si="39"/>
        <v>0.24001298204245269</v>
      </c>
      <c r="F66" s="992">
        <f t="shared" si="40"/>
        <v>0.30440139352934503</v>
      </c>
      <c r="G66" s="992">
        <f t="shared" si="41"/>
        <v>5.8998240613430578E-2</v>
      </c>
      <c r="H66" s="992">
        <f t="shared" si="42"/>
        <v>0</v>
      </c>
      <c r="I66" s="992">
        <f t="shared" si="43"/>
        <v>0</v>
      </c>
      <c r="J66" s="992">
        <f t="shared" si="44"/>
        <v>0</v>
      </c>
      <c r="K66" s="992">
        <f t="shared" si="45"/>
        <v>0.39658738381477154</v>
      </c>
      <c r="L66" s="1092">
        <f t="shared" si="46"/>
        <v>0.99999999999999989</v>
      </c>
      <c r="M66" s="4"/>
      <c r="N66" s="323">
        <f t="shared" si="48"/>
        <v>17653.116936000002</v>
      </c>
      <c r="O66" s="1137">
        <f>Parameters!R169</f>
        <v>0.73</v>
      </c>
      <c r="P66" s="1137">
        <f>E66*'MSW characteristics'!$B$28+'MSW characteristics'!$B$29*'4A SWD Case 1'!F66+'4A SWD Case 1'!G66*'MSW characteristics'!$B$30+'MSW characteristics'!$B$31*'4A SWD Case 1'!H66+'4A SWD Case 1'!I66*'MSW characteristics'!$B$32+'MSW characteristics'!$B$33*'4A SWD Case 1'!J66+'4A SWD Case 1'!K66*'MSW characteristics'!$B$35</f>
        <v>0.12048152225760915</v>
      </c>
      <c r="Q66" s="1135">
        <f t="shared" si="2"/>
        <v>776.30915637991438</v>
      </c>
      <c r="R66" s="1135">
        <f t="shared" si="3"/>
        <v>776.30915637991438</v>
      </c>
      <c r="S66" s="306">
        <f t="shared" si="4"/>
        <v>0</v>
      </c>
      <c r="T66" s="1135">
        <f t="shared" si="5"/>
        <v>10155.829932509445</v>
      </c>
      <c r="U66" s="1135">
        <f t="shared" si="6"/>
        <v>480.89831367385688</v>
      </c>
      <c r="V66" s="1311">
        <f t="shared" si="7"/>
        <v>320.59887578257127</v>
      </c>
      <c r="X66" s="1143">
        <f>'Baseline data (from input)'!T54*'Baseline data (from input)'!U54</f>
        <v>43075.702903205638</v>
      </c>
      <c r="Y66" s="1136">
        <f>Parameters!S169</f>
        <v>0.71500000000000008</v>
      </c>
      <c r="Z66" s="1136">
        <f t="shared" si="8"/>
        <v>0.15</v>
      </c>
      <c r="AA66" s="1135">
        <f t="shared" si="9"/>
        <v>2309.9345681844025</v>
      </c>
      <c r="AB66" s="1135">
        <f t="shared" si="10"/>
        <v>2309.9345681844025</v>
      </c>
      <c r="AC66" s="306">
        <f t="shared" si="11"/>
        <v>0</v>
      </c>
      <c r="AD66" s="1135">
        <f t="shared" si="12"/>
        <v>32201.816232385117</v>
      </c>
      <c r="AE66" s="1135">
        <f t="shared" si="13"/>
        <v>1532.5895456659405</v>
      </c>
      <c r="AF66" s="1311">
        <f t="shared" si="14"/>
        <v>1021.7263637772936</v>
      </c>
      <c r="AG66" s="4"/>
      <c r="AH66" s="1143">
        <f>'Baseline data (from input)'!T54*'Baseline data (from input)'!U54</f>
        <v>43075.702903205638</v>
      </c>
      <c r="AI66" s="1136">
        <f>Parameters!S169</f>
        <v>0.71500000000000008</v>
      </c>
      <c r="AJ66" s="1136">
        <f t="shared" si="15"/>
        <v>0.15</v>
      </c>
      <c r="AK66" s="1135">
        <f t="shared" si="16"/>
        <v>2309.9345681844025</v>
      </c>
      <c r="AL66" s="1135">
        <f t="shared" si="17"/>
        <v>2309.9345681844025</v>
      </c>
      <c r="AM66" s="306">
        <f t="shared" si="18"/>
        <v>0</v>
      </c>
      <c r="AN66" s="1135">
        <f t="shared" si="19"/>
        <v>32201.816232385117</v>
      </c>
      <c r="AO66" s="1135">
        <f t="shared" si="20"/>
        <v>1532.5895456659405</v>
      </c>
      <c r="AP66" s="1311">
        <f t="shared" si="21"/>
        <v>1021.7263637772936</v>
      </c>
      <c r="AQ66" s="4"/>
      <c r="AR66" s="323">
        <f>V66*W66*X66</f>
        <v>0</v>
      </c>
      <c r="AS66" s="1136">
        <v>1</v>
      </c>
      <c r="AT66" s="1136">
        <f t="shared" si="22"/>
        <v>0.05</v>
      </c>
      <c r="AU66" s="1135">
        <f t="shared" si="23"/>
        <v>0</v>
      </c>
      <c r="AV66" s="1135">
        <f t="shared" si="24"/>
        <v>0</v>
      </c>
      <c r="AW66" s="199">
        <f t="shared" si="25"/>
        <v>0</v>
      </c>
      <c r="AX66" s="1151">
        <f t="shared" si="47"/>
        <v>0</v>
      </c>
      <c r="AY66" s="1151">
        <f t="shared" si="27"/>
        <v>0</v>
      </c>
      <c r="AZ66" s="1311">
        <f t="shared" si="28"/>
        <v>0</v>
      </c>
      <c r="BB66" s="323">
        <f t="shared" si="29"/>
        <v>320.59887578257127</v>
      </c>
      <c r="BC66" s="324">
        <f t="shared" si="30"/>
        <v>1021.7263637772936</v>
      </c>
      <c r="BD66" s="1323">
        <f t="shared" si="31"/>
        <v>0</v>
      </c>
      <c r="BE66" s="324">
        <f t="shared" si="32"/>
        <v>1342.3252395598649</v>
      </c>
      <c r="BF66" s="104">
        <v>0</v>
      </c>
      <c r="BG66" s="325">
        <f t="shared" si="33"/>
        <v>1342.3252395598649</v>
      </c>
      <c r="BI66" s="323">
        <f t="shared" si="34"/>
        <v>320.59887578257127</v>
      </c>
      <c r="BJ66" s="324">
        <f t="shared" si="35"/>
        <v>1021.7263637772936</v>
      </c>
      <c r="BK66" s="1323">
        <f t="shared" si="36"/>
        <v>0</v>
      </c>
      <c r="BL66" s="324">
        <f t="shared" si="37"/>
        <v>1342.3252395598649</v>
      </c>
      <c r="BM66" s="104">
        <v>0</v>
      </c>
      <c r="BN66" s="325">
        <f t="shared" si="38"/>
        <v>1342.3252395598649</v>
      </c>
    </row>
    <row r="67" spans="1:66" ht="15.75" thickBot="1">
      <c r="A67" s="127">
        <f>'Input data'!A97</f>
        <v>1999</v>
      </c>
      <c r="B67" s="1082">
        <f>'Input data'!B97</f>
        <v>39.059930000000001</v>
      </c>
      <c r="C67" s="995">
        <f>'Baseline data (from input)'!B55</f>
        <v>578.73</v>
      </c>
      <c r="D67" s="1081">
        <f>'Baseline data (from input)'!L55</f>
        <v>0.8</v>
      </c>
      <c r="E67" s="992">
        <f t="shared" si="39"/>
        <v>0.24001298204245269</v>
      </c>
      <c r="F67" s="992">
        <f t="shared" si="40"/>
        <v>0.30440139352934503</v>
      </c>
      <c r="G67" s="992">
        <f t="shared" si="41"/>
        <v>5.8998240613430578E-2</v>
      </c>
      <c r="H67" s="992">
        <f t="shared" si="42"/>
        <v>0</v>
      </c>
      <c r="I67" s="992">
        <f t="shared" si="43"/>
        <v>0</v>
      </c>
      <c r="J67" s="992">
        <f t="shared" si="44"/>
        <v>0</v>
      </c>
      <c r="K67" s="992">
        <f t="shared" si="45"/>
        <v>0.39658738381477154</v>
      </c>
      <c r="L67" s="1092">
        <f t="shared" si="46"/>
        <v>0.99999999999999989</v>
      </c>
      <c r="M67" s="4"/>
      <c r="N67" s="323">
        <f t="shared" si="48"/>
        <v>18084.122631120001</v>
      </c>
      <c r="O67" s="1137">
        <f>Parameters!R170</f>
        <v>0.73</v>
      </c>
      <c r="P67" s="1137">
        <f>E67*'MSW characteristics'!$B$28+'MSW characteristics'!$B$29*'4A SWD Case 1'!F67+'4A SWD Case 1'!G67*'MSW characteristics'!$B$30+'MSW characteristics'!$B$31*'4A SWD Case 1'!H67+'4A SWD Case 1'!I67*'MSW characteristics'!$B$32+'MSW characteristics'!$B$33*'4A SWD Case 1'!J67+'4A SWD Case 1'!K67*'MSW characteristics'!$B$35</f>
        <v>0.12048152225760915</v>
      </c>
      <c r="Q67" s="1135">
        <f t="shared" si="2"/>
        <v>795.26295750107545</v>
      </c>
      <c r="R67" s="1135">
        <f t="shared" si="3"/>
        <v>795.26295750107545</v>
      </c>
      <c r="S67" s="306">
        <f t="shared" si="4"/>
        <v>0</v>
      </c>
      <c r="T67" s="1135">
        <f t="shared" si="5"/>
        <v>10455.78721952916</v>
      </c>
      <c r="U67" s="1135">
        <f t="shared" si="6"/>
        <v>495.30567048136038</v>
      </c>
      <c r="V67" s="1311">
        <f t="shared" si="7"/>
        <v>330.2037803209069</v>
      </c>
      <c r="W67" s="4"/>
      <c r="X67" s="1143">
        <f>'Baseline data (from input)'!T55*'Baseline data (from input)'!U55</f>
        <v>44109.518155389938</v>
      </c>
      <c r="Y67" s="1136">
        <f>Parameters!S170</f>
        <v>0.71500000000000008</v>
      </c>
      <c r="Z67" s="1136">
        <f t="shared" si="8"/>
        <v>0.15</v>
      </c>
      <c r="AA67" s="1135">
        <f t="shared" si="9"/>
        <v>2365.3729110827858</v>
      </c>
      <c r="AB67" s="1135">
        <f t="shared" si="10"/>
        <v>2365.3729110827858</v>
      </c>
      <c r="AC67" s="306">
        <f t="shared" si="11"/>
        <v>0</v>
      </c>
      <c r="AD67" s="1135">
        <f t="shared" si="12"/>
        <v>32996.688033692233</v>
      </c>
      <c r="AE67" s="1135">
        <f t="shared" si="13"/>
        <v>1570.5011097756712</v>
      </c>
      <c r="AF67" s="1311">
        <f t="shared" si="14"/>
        <v>1047.0007398504474</v>
      </c>
      <c r="AG67" s="4"/>
      <c r="AH67" s="1143">
        <f>'Baseline data (from input)'!T55*'Baseline data (from input)'!U55</f>
        <v>44109.518155389938</v>
      </c>
      <c r="AI67" s="1136">
        <f>Parameters!S170</f>
        <v>0.71500000000000008</v>
      </c>
      <c r="AJ67" s="1136">
        <f t="shared" si="15"/>
        <v>0.15</v>
      </c>
      <c r="AK67" s="1135">
        <f t="shared" si="16"/>
        <v>2365.3729110827858</v>
      </c>
      <c r="AL67" s="1135">
        <f t="shared" si="17"/>
        <v>2365.3729110827858</v>
      </c>
      <c r="AM67" s="306">
        <f t="shared" si="18"/>
        <v>0</v>
      </c>
      <c r="AN67" s="1135">
        <f t="shared" si="19"/>
        <v>32996.688033692233</v>
      </c>
      <c r="AO67" s="1135">
        <f t="shared" si="20"/>
        <v>1570.5011097756712</v>
      </c>
      <c r="AP67" s="1311">
        <f t="shared" si="21"/>
        <v>1047.0007398504474</v>
      </c>
      <c r="AQ67" s="4"/>
      <c r="AR67" s="323">
        <f>V67*W67*X67</f>
        <v>0</v>
      </c>
      <c r="AS67" s="1136">
        <v>1</v>
      </c>
      <c r="AT67" s="1136">
        <f t="shared" si="22"/>
        <v>0.05</v>
      </c>
      <c r="AU67" s="1135">
        <f t="shared" si="23"/>
        <v>0</v>
      </c>
      <c r="AV67" s="1135">
        <f t="shared" si="24"/>
        <v>0</v>
      </c>
      <c r="AW67" s="199">
        <f t="shared" si="25"/>
        <v>0</v>
      </c>
      <c r="AX67" s="1151">
        <f t="shared" si="47"/>
        <v>0</v>
      </c>
      <c r="AY67" s="1151">
        <f t="shared" si="27"/>
        <v>0</v>
      </c>
      <c r="AZ67" s="1311">
        <f t="shared" si="28"/>
        <v>0</v>
      </c>
      <c r="BB67" s="323">
        <f t="shared" si="29"/>
        <v>330.2037803209069</v>
      </c>
      <c r="BC67" s="324">
        <f t="shared" si="30"/>
        <v>1047.0007398504474</v>
      </c>
      <c r="BD67" s="1323">
        <f t="shared" si="31"/>
        <v>0</v>
      </c>
      <c r="BE67" s="324">
        <f t="shared" si="32"/>
        <v>1377.2045201713543</v>
      </c>
      <c r="BF67" s="104">
        <v>0</v>
      </c>
      <c r="BG67" s="325">
        <f t="shared" si="33"/>
        <v>1377.2045201713543</v>
      </c>
      <c r="BI67" s="323">
        <f t="shared" si="34"/>
        <v>330.2037803209069</v>
      </c>
      <c r="BJ67" s="324">
        <f t="shared" si="35"/>
        <v>1047.0007398504474</v>
      </c>
      <c r="BK67" s="1323">
        <f t="shared" si="36"/>
        <v>0</v>
      </c>
      <c r="BL67" s="324">
        <f t="shared" si="37"/>
        <v>1377.2045201713543</v>
      </c>
      <c r="BM67" s="104">
        <v>0</v>
      </c>
      <c r="BN67" s="325">
        <f t="shared" si="38"/>
        <v>1377.2045201713543</v>
      </c>
    </row>
    <row r="68" spans="1:66">
      <c r="A68" s="1099">
        <f>'Input data'!A98</f>
        <v>2000</v>
      </c>
      <c r="B68" s="1100">
        <f>'Input data'!B98</f>
        <v>44</v>
      </c>
      <c r="C68" s="1257">
        <f>'Baseline data (from input)'!B56</f>
        <v>578.73</v>
      </c>
      <c r="D68" s="1101">
        <f>'Baseline data (from input)'!L56</f>
        <v>0.8</v>
      </c>
      <c r="E68" s="1102">
        <f t="shared" si="39"/>
        <v>0.24001298204245269</v>
      </c>
      <c r="F68" s="1102">
        <f t="shared" si="40"/>
        <v>0.30440139352934503</v>
      </c>
      <c r="G68" s="1102">
        <f t="shared" si="41"/>
        <v>5.8998240613430578E-2</v>
      </c>
      <c r="H68" s="1102">
        <f t="shared" si="42"/>
        <v>0</v>
      </c>
      <c r="I68" s="1102">
        <f t="shared" si="43"/>
        <v>0</v>
      </c>
      <c r="J68" s="1102">
        <f t="shared" si="44"/>
        <v>0</v>
      </c>
      <c r="K68" s="1102">
        <f t="shared" si="45"/>
        <v>0.39658738381477154</v>
      </c>
      <c r="L68" s="1103">
        <f t="shared" si="46"/>
        <v>0.99999999999999989</v>
      </c>
      <c r="M68" s="199"/>
      <c r="N68" s="1107">
        <f t="shared" si="48"/>
        <v>20371.296000000002</v>
      </c>
      <c r="O68" s="1108">
        <f>Parameters!R171</f>
        <v>0.73</v>
      </c>
      <c r="P68" s="1108">
        <f>E68*'MSW characteristics'!$B$28+'MSW characteristics'!$B$29*'4A SWD Case 1'!F68+'4A SWD Case 1'!G68*'MSW characteristics'!$B$30+'MSW characteristics'!$B$31*'4A SWD Case 1'!H68+'4A SWD Case 1'!I68*'MSW characteristics'!$B$32+'MSW characteristics'!$B$33*'4A SWD Case 1'!J68+'4A SWD Case 1'!K68*'MSW characteristics'!$B$35</f>
        <v>0.12048152225760915</v>
      </c>
      <c r="Q68" s="1109">
        <f t="shared" si="2"/>
        <v>895.84313464072579</v>
      </c>
      <c r="R68" s="1109">
        <f t="shared" si="3"/>
        <v>895.84313464072579</v>
      </c>
      <c r="S68" s="1110">
        <f t="shared" si="4"/>
        <v>0</v>
      </c>
      <c r="T68" s="1109">
        <f t="shared" si="5"/>
        <v>10841.695594175369</v>
      </c>
      <c r="U68" s="1109">
        <f t="shared" si="6"/>
        <v>509.93475999451641</v>
      </c>
      <c r="V68" s="1116">
        <f t="shared" si="7"/>
        <v>339.95650666301094</v>
      </c>
      <c r="W68" s="199"/>
      <c r="X68" s="1107">
        <f>'Baseline data (from input)'!T56*'Baseline data (from input)'!U56</f>
        <v>45962.119451163169</v>
      </c>
      <c r="Y68" s="1108">
        <f>Parameters!S171</f>
        <v>0.71500000000000008</v>
      </c>
      <c r="Z68" s="1108">
        <f t="shared" si="8"/>
        <v>0.15</v>
      </c>
      <c r="AA68" s="1109">
        <f t="shared" si="9"/>
        <v>2464.7186555686253</v>
      </c>
      <c r="AB68" s="1109">
        <f t="shared" si="10"/>
        <v>2464.7186555686253</v>
      </c>
      <c r="AC68" s="1110">
        <f t="shared" si="11"/>
        <v>0</v>
      </c>
      <c r="AD68" s="1109">
        <f t="shared" si="12"/>
        <v>33852.139224287283</v>
      </c>
      <c r="AE68" s="1109">
        <f t="shared" si="13"/>
        <v>1609.2674649735734</v>
      </c>
      <c r="AF68" s="1116">
        <f t="shared" si="14"/>
        <v>1072.8449766490489</v>
      </c>
      <c r="AG68" s="99"/>
      <c r="AH68" s="1107">
        <f>'Baseline data (from input)'!T56*'Baseline data (from input)'!U56</f>
        <v>45962.119451163169</v>
      </c>
      <c r="AI68" s="1108">
        <f>Parameters!S171</f>
        <v>0.71500000000000008</v>
      </c>
      <c r="AJ68" s="1108">
        <f t="shared" si="15"/>
        <v>0.15</v>
      </c>
      <c r="AK68" s="1109">
        <f t="shared" si="16"/>
        <v>2464.7186555686253</v>
      </c>
      <c r="AL68" s="1109">
        <f t="shared" si="17"/>
        <v>2464.7186555686253</v>
      </c>
      <c r="AM68" s="1110">
        <f t="shared" si="18"/>
        <v>0</v>
      </c>
      <c r="AN68" s="1109">
        <f t="shared" si="19"/>
        <v>33852.139224287283</v>
      </c>
      <c r="AO68" s="1109">
        <f t="shared" si="20"/>
        <v>1609.2674649735734</v>
      </c>
      <c r="AP68" s="1116">
        <f t="shared" si="21"/>
        <v>1072.8449766490489</v>
      </c>
      <c r="AQ68" s="99"/>
      <c r="AR68" s="1107">
        <v>501</v>
      </c>
      <c r="AS68" s="1108">
        <v>1</v>
      </c>
      <c r="AT68" s="1108">
        <f t="shared" si="22"/>
        <v>0.05</v>
      </c>
      <c r="AU68" s="1109">
        <f t="shared" si="23"/>
        <v>12.525</v>
      </c>
      <c r="AV68" s="1109">
        <f t="shared" si="24"/>
        <v>12.525</v>
      </c>
      <c r="AW68" s="1110">
        <f t="shared" si="25"/>
        <v>0</v>
      </c>
      <c r="AX68" s="1109">
        <f t="shared" si="47"/>
        <v>12.525</v>
      </c>
      <c r="AY68" s="1109">
        <f>AW68+AX67*(1-$E$8)</f>
        <v>0</v>
      </c>
      <c r="AZ68" s="1116">
        <f>AY68*16/12*$E$11</f>
        <v>0</v>
      </c>
      <c r="BB68" s="1320">
        <f t="shared" si="29"/>
        <v>339.95650666301094</v>
      </c>
      <c r="BC68" s="1123">
        <f t="shared" si="30"/>
        <v>1072.8449766490489</v>
      </c>
      <c r="BD68" s="1324">
        <f>AZ68</f>
        <v>0</v>
      </c>
      <c r="BE68" s="1123">
        <f t="shared" si="32"/>
        <v>1412.8014833120599</v>
      </c>
      <c r="BF68" s="115">
        <v>0</v>
      </c>
      <c r="BG68" s="1313">
        <f t="shared" si="33"/>
        <v>1412.8014833120599</v>
      </c>
      <c r="BI68" s="1320">
        <f t="shared" si="34"/>
        <v>339.95650666301094</v>
      </c>
      <c r="BJ68" s="1123">
        <f t="shared" si="35"/>
        <v>1072.8449766490489</v>
      </c>
      <c r="BK68" s="1324">
        <f t="shared" si="36"/>
        <v>0</v>
      </c>
      <c r="BL68" s="1123">
        <f t="shared" si="37"/>
        <v>1412.8014833120599</v>
      </c>
      <c r="BM68" s="115">
        <v>0</v>
      </c>
      <c r="BN68" s="1313">
        <f t="shared" si="38"/>
        <v>1412.8014833120599</v>
      </c>
    </row>
    <row r="69" spans="1:66">
      <c r="A69" s="1034">
        <f>'Input data'!A99</f>
        <v>2001</v>
      </c>
      <c r="B69" s="1083">
        <f>'Input data'!B99</f>
        <v>44.91</v>
      </c>
      <c r="C69" s="1256">
        <f>'Baseline data (from input)'!B57</f>
        <v>578.73</v>
      </c>
      <c r="D69" s="1084">
        <f>'Baseline data (from input)'!L57</f>
        <v>0.8</v>
      </c>
      <c r="E69" s="1085">
        <f t="shared" si="39"/>
        <v>0.24001298204245269</v>
      </c>
      <c r="F69" s="1085">
        <f t="shared" si="40"/>
        <v>0.30440139352934503</v>
      </c>
      <c r="G69" s="1085">
        <f t="shared" si="41"/>
        <v>5.8998240613430578E-2</v>
      </c>
      <c r="H69" s="1085">
        <f t="shared" si="42"/>
        <v>0</v>
      </c>
      <c r="I69" s="1085">
        <f t="shared" si="43"/>
        <v>0</v>
      </c>
      <c r="J69" s="1085">
        <f t="shared" si="44"/>
        <v>0</v>
      </c>
      <c r="K69" s="1085">
        <f t="shared" si="45"/>
        <v>0.39658738381477154</v>
      </c>
      <c r="L69" s="1093">
        <f t="shared" si="46"/>
        <v>0.99999999999999989</v>
      </c>
      <c r="M69" s="199"/>
      <c r="N69" s="1111">
        <f t="shared" si="48"/>
        <v>20792.611440000001</v>
      </c>
      <c r="O69" s="1105">
        <f>Parameters!R172</f>
        <v>0.73</v>
      </c>
      <c r="P69" s="1105">
        <f>E69*'MSW characteristics'!$B$28+'MSW characteristics'!$B$29*'4A SWD Case 1'!F69+'4A SWD Case 1'!G69*'MSW characteristics'!$B$30+'MSW characteristics'!$B$31*'4A SWD Case 1'!H69+'4A SWD Case 1'!I69*'MSW characteristics'!$B$32+'MSW characteristics'!$B$33*'4A SWD Case 1'!J69+'4A SWD Case 1'!K69*'MSW characteristics'!$B$35</f>
        <v>0.12048152225760915</v>
      </c>
      <c r="Q69" s="1104">
        <f t="shared" si="2"/>
        <v>914.37079947079519</v>
      </c>
      <c r="R69" s="1104">
        <f t="shared" si="3"/>
        <v>914.37079947079519</v>
      </c>
      <c r="S69" s="1106">
        <f t="shared" si="4"/>
        <v>0</v>
      </c>
      <c r="T69" s="1104">
        <f t="shared" si="5"/>
        <v>11227.310660130159</v>
      </c>
      <c r="U69" s="1104">
        <f t="shared" si="6"/>
        <v>528.7557335160061</v>
      </c>
      <c r="V69" s="1117">
        <f t="shared" si="7"/>
        <v>352.50382234400405</v>
      </c>
      <c r="W69" s="199"/>
      <c r="X69" s="1111">
        <f>'Baseline data (from input)'!T57*'Baseline data (from input)'!U57</f>
        <v>47203.094179222629</v>
      </c>
      <c r="Y69" s="1105">
        <f>Parameters!S172</f>
        <v>0.71500000000000008</v>
      </c>
      <c r="Z69" s="1105">
        <f t="shared" si="8"/>
        <v>0.15</v>
      </c>
      <c r="AA69" s="1104">
        <f t="shared" si="9"/>
        <v>2531.2659253608135</v>
      </c>
      <c r="AB69" s="1104">
        <f t="shared" si="10"/>
        <v>2531.2659253608135</v>
      </c>
      <c r="AC69" s="1106">
        <f t="shared" si="11"/>
        <v>0</v>
      </c>
      <c r="AD69" s="1104">
        <f t="shared" si="12"/>
        <v>34732.416837797653</v>
      </c>
      <c r="AE69" s="1104">
        <f t="shared" si="13"/>
        <v>1650.9883118504433</v>
      </c>
      <c r="AF69" s="1117">
        <f t="shared" si="14"/>
        <v>1100.6588745669621</v>
      </c>
      <c r="AG69" s="99"/>
      <c r="AH69" s="1111">
        <f>'Baseline data (from input)'!T57*'Baseline data (from input)'!U57</f>
        <v>47203.094179222629</v>
      </c>
      <c r="AI69" s="1105">
        <f>Parameters!S172</f>
        <v>0.71500000000000008</v>
      </c>
      <c r="AJ69" s="1105">
        <f t="shared" si="15"/>
        <v>0.15</v>
      </c>
      <c r="AK69" s="1104">
        <f t="shared" si="16"/>
        <v>2531.2659253608135</v>
      </c>
      <c r="AL69" s="1104">
        <f t="shared" si="17"/>
        <v>2531.2659253608135</v>
      </c>
      <c r="AM69" s="1106">
        <f t="shared" si="18"/>
        <v>0</v>
      </c>
      <c r="AN69" s="1104">
        <f t="shared" si="19"/>
        <v>34732.416837797653</v>
      </c>
      <c r="AO69" s="1104">
        <f t="shared" si="20"/>
        <v>1650.9883118504433</v>
      </c>
      <c r="AP69" s="1117">
        <f t="shared" si="21"/>
        <v>1100.6588745669621</v>
      </c>
      <c r="AQ69" s="99"/>
      <c r="AR69" s="1111">
        <v>501</v>
      </c>
      <c r="AS69" s="1105">
        <v>1</v>
      </c>
      <c r="AT69" s="1105">
        <f t="shared" si="22"/>
        <v>0.05</v>
      </c>
      <c r="AU69" s="1104">
        <f t="shared" si="23"/>
        <v>12.525</v>
      </c>
      <c r="AV69" s="1104">
        <f t="shared" si="24"/>
        <v>12.525</v>
      </c>
      <c r="AW69" s="1106">
        <f t="shared" si="25"/>
        <v>0</v>
      </c>
      <c r="AX69" s="1104">
        <f t="shared" ref="AX69:AX118" si="49">AV69+(AX68*$E$8)</f>
        <v>24.320600783142716</v>
      </c>
      <c r="AY69" s="1104">
        <f>AW69+AX68*(1-$E$8)</f>
        <v>0.72939921685728482</v>
      </c>
      <c r="AZ69" s="1117">
        <f t="shared" ref="AZ69:AZ118" si="50">AY69*16/12*$E$11</f>
        <v>0.48626614457152323</v>
      </c>
      <c r="BB69" s="323">
        <f t="shared" si="29"/>
        <v>352.50382234400405</v>
      </c>
      <c r="BC69" s="324">
        <f t="shared" si="30"/>
        <v>1100.6588745669621</v>
      </c>
      <c r="BD69" s="1323">
        <f t="shared" ref="BD69:BD85" si="51">AZ69</f>
        <v>0.48626614457152323</v>
      </c>
      <c r="BE69" s="324">
        <f t="shared" si="32"/>
        <v>1453.6489630555377</v>
      </c>
      <c r="BF69" s="104">
        <v>0</v>
      </c>
      <c r="BG69" s="1314">
        <f t="shared" si="33"/>
        <v>1453.6489630555377</v>
      </c>
      <c r="BI69" s="323">
        <f t="shared" si="34"/>
        <v>352.50382234400405</v>
      </c>
      <c r="BJ69" s="324">
        <f t="shared" si="35"/>
        <v>1100.6588745669621</v>
      </c>
      <c r="BK69" s="1323">
        <f t="shared" si="36"/>
        <v>0.48626614457152323</v>
      </c>
      <c r="BL69" s="324">
        <f t="shared" si="37"/>
        <v>1453.6489630555377</v>
      </c>
      <c r="BM69" s="104">
        <v>0</v>
      </c>
      <c r="BN69" s="1314">
        <f t="shared" si="38"/>
        <v>1453.6489630555377</v>
      </c>
    </row>
    <row r="70" spans="1:66">
      <c r="A70" s="1034">
        <f>'Input data'!A100</f>
        <v>2002</v>
      </c>
      <c r="B70" s="1083">
        <f>'Input data'!B100</f>
        <v>45.533000000000001</v>
      </c>
      <c r="C70" s="1256">
        <f>'Baseline data (from input)'!B58</f>
        <v>578.73</v>
      </c>
      <c r="D70" s="1084">
        <f>'Baseline data (from input)'!L58</f>
        <v>0.8</v>
      </c>
      <c r="E70" s="1085">
        <f t="shared" si="39"/>
        <v>0.24001298204245269</v>
      </c>
      <c r="F70" s="1085">
        <f t="shared" si="40"/>
        <v>0.30440139352934503</v>
      </c>
      <c r="G70" s="1085">
        <f t="shared" si="41"/>
        <v>5.8998240613430578E-2</v>
      </c>
      <c r="H70" s="1085">
        <f t="shared" si="42"/>
        <v>0</v>
      </c>
      <c r="I70" s="1085">
        <f t="shared" si="43"/>
        <v>0</v>
      </c>
      <c r="J70" s="1085">
        <f t="shared" si="44"/>
        <v>0</v>
      </c>
      <c r="K70" s="1085">
        <f t="shared" si="45"/>
        <v>0.39658738381477154</v>
      </c>
      <c r="L70" s="1093">
        <f t="shared" si="46"/>
        <v>0.99999999999999989</v>
      </c>
      <c r="M70" s="199"/>
      <c r="N70" s="1111">
        <f t="shared" si="48"/>
        <v>21081.050472000003</v>
      </c>
      <c r="O70" s="1105">
        <f>Parameters!R173</f>
        <v>0.73</v>
      </c>
      <c r="P70" s="1105">
        <f>E70*'MSW characteristics'!$B$28+'MSW characteristics'!$B$29*'4A SWD Case 1'!F70+'4A SWD Case 1'!G70*'MSW characteristics'!$B$30+'MSW characteristics'!$B$31*'4A SWD Case 1'!H70+'4A SWD Case 1'!I70*'MSW characteristics'!$B$32+'MSW characteristics'!$B$33*'4A SWD Case 1'!J70+'4A SWD Case 1'!K70*'MSW characteristics'!$B$35</f>
        <v>0.12048152225760915</v>
      </c>
      <c r="Q70" s="1104">
        <f t="shared" si="2"/>
        <v>927.05512385445832</v>
      </c>
      <c r="R70" s="1104">
        <f t="shared" si="3"/>
        <v>927.05512385445832</v>
      </c>
      <c r="S70" s="1106">
        <f t="shared" si="4"/>
        <v>0</v>
      </c>
      <c r="T70" s="1104">
        <f t="shared" si="5"/>
        <v>11606.803381780801</v>
      </c>
      <c r="U70" s="1104">
        <f t="shared" si="6"/>
        <v>547.5624022038163</v>
      </c>
      <c r="V70" s="1117">
        <f t="shared" si="7"/>
        <v>365.04160146921089</v>
      </c>
      <c r="W70" s="199"/>
      <c r="X70" s="1111">
        <f>'Baseline data (from input)'!T58*'Baseline data (from input)'!U58</f>
        <v>48949.789145828523</v>
      </c>
      <c r="Y70" s="1105">
        <f>Parameters!S173</f>
        <v>0.71500000000000008</v>
      </c>
      <c r="Z70" s="1105">
        <f t="shared" si="8"/>
        <v>0.15</v>
      </c>
      <c r="AA70" s="1104">
        <f t="shared" si="9"/>
        <v>2624.9324429450548</v>
      </c>
      <c r="AB70" s="1104">
        <f t="shared" si="10"/>
        <v>2624.9324429450548</v>
      </c>
      <c r="AC70" s="1106">
        <f t="shared" si="11"/>
        <v>0</v>
      </c>
      <c r="AD70" s="1104">
        <f t="shared" si="12"/>
        <v>35663.42932308223</v>
      </c>
      <c r="AE70" s="1104">
        <f t="shared" si="13"/>
        <v>1693.9199576604822</v>
      </c>
      <c r="AF70" s="1117">
        <f t="shared" si="14"/>
        <v>1129.2799717736548</v>
      </c>
      <c r="AG70" s="99"/>
      <c r="AH70" s="1111">
        <f>'Baseline data (from input)'!T58*'Baseline data (from input)'!U58</f>
        <v>48949.789145828523</v>
      </c>
      <c r="AI70" s="1105">
        <f>Parameters!S173</f>
        <v>0.71500000000000008</v>
      </c>
      <c r="AJ70" s="1105">
        <f t="shared" si="15"/>
        <v>0.15</v>
      </c>
      <c r="AK70" s="1104">
        <f t="shared" si="16"/>
        <v>2624.9324429450548</v>
      </c>
      <c r="AL70" s="1104">
        <f t="shared" si="17"/>
        <v>2624.9324429450548</v>
      </c>
      <c r="AM70" s="1106">
        <f t="shared" si="18"/>
        <v>0</v>
      </c>
      <c r="AN70" s="1104">
        <f t="shared" si="19"/>
        <v>35663.42932308223</v>
      </c>
      <c r="AO70" s="1104">
        <f t="shared" si="20"/>
        <v>1693.9199576604822</v>
      </c>
      <c r="AP70" s="1117">
        <f t="shared" si="21"/>
        <v>1129.2799717736548</v>
      </c>
      <c r="AQ70" s="99"/>
      <c r="AR70" s="1111">
        <v>501</v>
      </c>
      <c r="AS70" s="1105">
        <v>1</v>
      </c>
      <c r="AT70" s="1105">
        <f t="shared" si="22"/>
        <v>0.05</v>
      </c>
      <c r="AU70" s="1104">
        <f t="shared" si="23"/>
        <v>12.525</v>
      </c>
      <c r="AV70" s="1104">
        <f t="shared" si="24"/>
        <v>12.525</v>
      </c>
      <c r="AW70" s="1106">
        <f t="shared" si="25"/>
        <v>0</v>
      </c>
      <c r="AX70" s="1104">
        <f t="shared" si="49"/>
        <v>35.429279253025115</v>
      </c>
      <c r="AY70" s="1104">
        <f t="shared" ref="AY70:AY118" si="52">AW70+AX69*(1-$E$8)</f>
        <v>1.416321530117602</v>
      </c>
      <c r="AZ70" s="1117">
        <f t="shared" si="50"/>
        <v>0.94421435341173465</v>
      </c>
      <c r="BB70" s="323">
        <f t="shared" si="29"/>
        <v>365.04160146921089</v>
      </c>
      <c r="BC70" s="324">
        <f t="shared" si="30"/>
        <v>1129.2799717736548</v>
      </c>
      <c r="BD70" s="1323">
        <f t="shared" si="51"/>
        <v>0.94421435341173465</v>
      </c>
      <c r="BE70" s="324">
        <f t="shared" si="32"/>
        <v>1495.2657875962775</v>
      </c>
      <c r="BF70" s="104">
        <v>0</v>
      </c>
      <c r="BG70" s="1314">
        <f t="shared" si="33"/>
        <v>1495.2657875962775</v>
      </c>
      <c r="BI70" s="323">
        <f t="shared" si="34"/>
        <v>365.04160146921089</v>
      </c>
      <c r="BJ70" s="324">
        <f t="shared" si="35"/>
        <v>1129.2799717736548</v>
      </c>
      <c r="BK70" s="1323">
        <f t="shared" si="36"/>
        <v>0.94421435341173465</v>
      </c>
      <c r="BL70" s="324">
        <f t="shared" si="37"/>
        <v>1495.2657875962775</v>
      </c>
      <c r="BM70" s="104">
        <v>0</v>
      </c>
      <c r="BN70" s="1314">
        <f t="shared" si="38"/>
        <v>1495.2657875962775</v>
      </c>
    </row>
    <row r="71" spans="1:66">
      <c r="A71" s="1034">
        <f>'Input data'!A101</f>
        <v>2003</v>
      </c>
      <c r="B71" s="1083">
        <f>'Input data'!B101</f>
        <v>46.116</v>
      </c>
      <c r="C71" s="1256">
        <f>'Baseline data (from input)'!B59</f>
        <v>578.73</v>
      </c>
      <c r="D71" s="1084">
        <f>'Baseline data (from input)'!L59</f>
        <v>0.8</v>
      </c>
      <c r="E71" s="1085">
        <f t="shared" si="39"/>
        <v>0.24001298204245269</v>
      </c>
      <c r="F71" s="1085">
        <f t="shared" si="40"/>
        <v>0.30440139352934503</v>
      </c>
      <c r="G71" s="1085">
        <f t="shared" si="41"/>
        <v>5.8998240613430578E-2</v>
      </c>
      <c r="H71" s="1085">
        <f t="shared" si="42"/>
        <v>0</v>
      </c>
      <c r="I71" s="1085">
        <f t="shared" si="43"/>
        <v>0</v>
      </c>
      <c r="J71" s="1085">
        <f t="shared" si="44"/>
        <v>0</v>
      </c>
      <c r="K71" s="1085">
        <f t="shared" si="45"/>
        <v>0.39658738381477154</v>
      </c>
      <c r="L71" s="1093">
        <f t="shared" si="46"/>
        <v>0.99999999999999989</v>
      </c>
      <c r="M71" s="199"/>
      <c r="N71" s="1111">
        <f t="shared" si="48"/>
        <v>21350.970144000003</v>
      </c>
      <c r="O71" s="1105">
        <f>Parameters!R174</f>
        <v>0.73</v>
      </c>
      <c r="P71" s="1105">
        <f>E71*'MSW characteristics'!$B$28+'MSW characteristics'!$B$29*'4A SWD Case 1'!F71+'4A SWD Case 1'!G71*'MSW characteristics'!$B$30+'MSW characteristics'!$B$31*'4A SWD Case 1'!H71+'4A SWD Case 1'!I71*'MSW characteristics'!$B$32+'MSW characteristics'!$B$33*'4A SWD Case 1'!J71+'4A SWD Case 1'!K71*'MSW characteristics'!$B$35</f>
        <v>0.12048152225760915</v>
      </c>
      <c r="Q71" s="1104">
        <f t="shared" si="2"/>
        <v>938.92504538844787</v>
      </c>
      <c r="R71" s="1104">
        <f t="shared" si="3"/>
        <v>938.92504538844787</v>
      </c>
      <c r="S71" s="1106">
        <f t="shared" si="4"/>
        <v>0</v>
      </c>
      <c r="T71" s="1104">
        <f t="shared" si="5"/>
        <v>11979.657946532741</v>
      </c>
      <c r="U71" s="1104">
        <f t="shared" si="6"/>
        <v>566.07048063650848</v>
      </c>
      <c r="V71" s="1117">
        <f t="shared" si="7"/>
        <v>377.380320424339</v>
      </c>
      <c r="W71" s="199"/>
      <c r="X71" s="1111">
        <f>'Baseline data (from input)'!T59*'Baseline data (from input)'!U59</f>
        <v>50393.357165133653</v>
      </c>
      <c r="Y71" s="1105">
        <f>Parameters!S174</f>
        <v>0.71500000000000008</v>
      </c>
      <c r="Z71" s="1105">
        <f t="shared" si="8"/>
        <v>0.15</v>
      </c>
      <c r="AA71" s="1104">
        <f t="shared" si="9"/>
        <v>2702.3437779802925</v>
      </c>
      <c r="AB71" s="1104">
        <f t="shared" si="10"/>
        <v>2702.3437779802925</v>
      </c>
      <c r="AC71" s="1106">
        <f t="shared" si="11"/>
        <v>0</v>
      </c>
      <c r="AD71" s="1104">
        <f t="shared" si="12"/>
        <v>36626.447128697691</v>
      </c>
      <c r="AE71" s="1104">
        <f t="shared" si="13"/>
        <v>1739.3259723648316</v>
      </c>
      <c r="AF71" s="1117">
        <f t="shared" si="14"/>
        <v>1159.5506482432211</v>
      </c>
      <c r="AG71" s="99"/>
      <c r="AH71" s="1111">
        <f>'Baseline data (from input)'!T59*'Baseline data (from input)'!U59</f>
        <v>50393.357165133653</v>
      </c>
      <c r="AI71" s="1105">
        <f>Parameters!S174</f>
        <v>0.71500000000000008</v>
      </c>
      <c r="AJ71" s="1105">
        <f t="shared" si="15"/>
        <v>0.15</v>
      </c>
      <c r="AK71" s="1104">
        <f t="shared" si="16"/>
        <v>2702.3437779802925</v>
      </c>
      <c r="AL71" s="1104">
        <f t="shared" si="17"/>
        <v>2702.3437779802925</v>
      </c>
      <c r="AM71" s="1106">
        <f t="shared" si="18"/>
        <v>0</v>
      </c>
      <c r="AN71" s="1104">
        <f t="shared" si="19"/>
        <v>36626.447128697691</v>
      </c>
      <c r="AO71" s="1104">
        <f t="shared" si="20"/>
        <v>1739.3259723648316</v>
      </c>
      <c r="AP71" s="1117">
        <f t="shared" si="21"/>
        <v>1159.5506482432211</v>
      </c>
      <c r="AQ71" s="99"/>
      <c r="AR71" s="1111">
        <v>501</v>
      </c>
      <c r="AS71" s="1105">
        <v>1</v>
      </c>
      <c r="AT71" s="1105">
        <f t="shared" si="22"/>
        <v>0.05</v>
      </c>
      <c r="AU71" s="1104">
        <f t="shared" si="23"/>
        <v>12.525</v>
      </c>
      <c r="AV71" s="1104">
        <f t="shared" si="24"/>
        <v>12.525</v>
      </c>
      <c r="AW71" s="1106">
        <f t="shared" si="25"/>
        <v>0</v>
      </c>
      <c r="AX71" s="1104">
        <f t="shared" si="49"/>
        <v>45.891038650951295</v>
      </c>
      <c r="AY71" s="1104">
        <f t="shared" si="52"/>
        <v>2.0632406020738179</v>
      </c>
      <c r="AZ71" s="1117">
        <f t="shared" si="50"/>
        <v>1.3754937347158787</v>
      </c>
      <c r="BB71" s="323">
        <f t="shared" si="29"/>
        <v>377.380320424339</v>
      </c>
      <c r="BC71" s="324">
        <f t="shared" si="30"/>
        <v>1159.5506482432211</v>
      </c>
      <c r="BD71" s="1323">
        <f t="shared" si="51"/>
        <v>1.3754937347158787</v>
      </c>
      <c r="BE71" s="324">
        <f t="shared" si="32"/>
        <v>1538.3064624022761</v>
      </c>
      <c r="BF71" s="104">
        <v>0</v>
      </c>
      <c r="BG71" s="1314">
        <f t="shared" si="33"/>
        <v>1538.3064624022761</v>
      </c>
      <c r="BI71" s="323">
        <f t="shared" si="34"/>
        <v>377.380320424339</v>
      </c>
      <c r="BJ71" s="324">
        <f t="shared" si="35"/>
        <v>1159.5506482432211</v>
      </c>
      <c r="BK71" s="1323">
        <f t="shared" si="36"/>
        <v>1.3754937347158787</v>
      </c>
      <c r="BL71" s="324">
        <f t="shared" si="37"/>
        <v>1538.3064624022761</v>
      </c>
      <c r="BM71" s="104">
        <v>0</v>
      </c>
      <c r="BN71" s="1314">
        <f t="shared" si="38"/>
        <v>1538.3064624022761</v>
      </c>
    </row>
    <row r="72" spans="1:66">
      <c r="A72" s="1034">
        <f>'Input data'!A102</f>
        <v>2004</v>
      </c>
      <c r="B72" s="1083">
        <f>'Input data'!B102</f>
        <v>46.664999999999999</v>
      </c>
      <c r="C72" s="1256">
        <f>'Baseline data (from input)'!B60</f>
        <v>578.73</v>
      </c>
      <c r="D72" s="1084">
        <f>'Baseline data (from input)'!L60</f>
        <v>0.8</v>
      </c>
      <c r="E72" s="1085">
        <f t="shared" si="39"/>
        <v>0.24001298204245269</v>
      </c>
      <c r="F72" s="1085">
        <f t="shared" si="40"/>
        <v>0.30440139352934503</v>
      </c>
      <c r="G72" s="1085">
        <f t="shared" si="41"/>
        <v>5.8998240613430578E-2</v>
      </c>
      <c r="H72" s="1085">
        <f t="shared" si="42"/>
        <v>0</v>
      </c>
      <c r="I72" s="1085">
        <f t="shared" si="43"/>
        <v>0</v>
      </c>
      <c r="J72" s="1085">
        <f t="shared" si="44"/>
        <v>0</v>
      </c>
      <c r="K72" s="1085">
        <f t="shared" si="45"/>
        <v>0.39658738381477154</v>
      </c>
      <c r="L72" s="1093">
        <f t="shared" si="46"/>
        <v>0.99999999999999989</v>
      </c>
      <c r="M72" s="199"/>
      <c r="N72" s="1111">
        <f t="shared" si="48"/>
        <v>21605.148360000003</v>
      </c>
      <c r="O72" s="1105">
        <f>Parameters!R175</f>
        <v>0.73</v>
      </c>
      <c r="P72" s="1105">
        <f>E72*'MSW characteristics'!$B$28+'MSW characteristics'!$B$29*'4A SWD Case 1'!F72+'4A SWD Case 1'!G72*'MSW characteristics'!$B$30+'MSW characteristics'!$B$31*'4A SWD Case 1'!H72+'4A SWD Case 1'!I72*'MSW characteristics'!$B$32+'MSW characteristics'!$B$33*'4A SWD Case 1'!J72+'4A SWD Case 1'!K72*'MSW characteristics'!$B$35</f>
        <v>0.12048152225760915</v>
      </c>
      <c r="Q72" s="1104">
        <f t="shared" si="2"/>
        <v>950.10272450021512</v>
      </c>
      <c r="R72" s="1104">
        <f t="shared" si="3"/>
        <v>950.10272450021512</v>
      </c>
      <c r="S72" s="1106">
        <f t="shared" si="4"/>
        <v>0</v>
      </c>
      <c r="T72" s="1104">
        <f t="shared" si="5"/>
        <v>12345.50585869596</v>
      </c>
      <c r="U72" s="1104">
        <f t="shared" si="6"/>
        <v>584.25481233699634</v>
      </c>
      <c r="V72" s="1117">
        <f t="shared" si="7"/>
        <v>389.50320822466421</v>
      </c>
      <c r="W72" s="199"/>
      <c r="X72" s="1111">
        <f>'Baseline data (from input)'!T60*'Baseline data (from input)'!U60</f>
        <v>52688.549197195905</v>
      </c>
      <c r="Y72" s="1105">
        <f>Parameters!S175</f>
        <v>0.71500000000000008</v>
      </c>
      <c r="Z72" s="1105">
        <f t="shared" si="8"/>
        <v>0.15</v>
      </c>
      <c r="AA72" s="1104">
        <f t="shared" si="9"/>
        <v>2825.4234506996308</v>
      </c>
      <c r="AB72" s="1104">
        <f t="shared" si="10"/>
        <v>2825.4234506996308</v>
      </c>
      <c r="AC72" s="1106">
        <f t="shared" si="11"/>
        <v>0</v>
      </c>
      <c r="AD72" s="1104">
        <f t="shared" si="12"/>
        <v>37665.577674436565</v>
      </c>
      <c r="AE72" s="1104">
        <f t="shared" si="13"/>
        <v>1786.2929049607571</v>
      </c>
      <c r="AF72" s="1117">
        <f t="shared" si="14"/>
        <v>1190.8619366405048</v>
      </c>
      <c r="AG72" s="99"/>
      <c r="AH72" s="1111">
        <f>'Baseline data (from input)'!T60*'Baseline data (from input)'!U60</f>
        <v>52688.549197195905</v>
      </c>
      <c r="AI72" s="1105">
        <f>Parameters!S175</f>
        <v>0.71500000000000008</v>
      </c>
      <c r="AJ72" s="1105">
        <f t="shared" si="15"/>
        <v>0.15</v>
      </c>
      <c r="AK72" s="1104">
        <f t="shared" si="16"/>
        <v>2825.4234506996308</v>
      </c>
      <c r="AL72" s="1104">
        <f t="shared" si="17"/>
        <v>2825.4234506996308</v>
      </c>
      <c r="AM72" s="1106">
        <f t="shared" si="18"/>
        <v>0</v>
      </c>
      <c r="AN72" s="1104">
        <f t="shared" si="19"/>
        <v>37665.577674436565</v>
      </c>
      <c r="AO72" s="1104">
        <f t="shared" si="20"/>
        <v>1786.2929049607571</v>
      </c>
      <c r="AP72" s="1117">
        <f t="shared" si="21"/>
        <v>1190.8619366405048</v>
      </c>
      <c r="AQ72" s="99"/>
      <c r="AR72" s="1111">
        <v>501</v>
      </c>
      <c r="AS72" s="1105">
        <v>1</v>
      </c>
      <c r="AT72" s="1105">
        <f t="shared" si="22"/>
        <v>0.05</v>
      </c>
      <c r="AU72" s="1104">
        <f t="shared" si="23"/>
        <v>12.525</v>
      </c>
      <c r="AV72" s="1104">
        <f t="shared" si="24"/>
        <v>12.525</v>
      </c>
      <c r="AW72" s="1106">
        <f t="shared" si="25"/>
        <v>0</v>
      </c>
      <c r="AX72" s="1104">
        <f t="shared" si="49"/>
        <v>55.743552610809878</v>
      </c>
      <c r="AY72" s="1104">
        <f t="shared" si="52"/>
        <v>2.6724860401414179</v>
      </c>
      <c r="AZ72" s="1117">
        <f t="shared" si="50"/>
        <v>1.7816573600942787</v>
      </c>
      <c r="BB72" s="323">
        <f t="shared" si="29"/>
        <v>389.50320822466421</v>
      </c>
      <c r="BC72" s="324">
        <f t="shared" si="30"/>
        <v>1190.8619366405048</v>
      </c>
      <c r="BD72" s="1323">
        <f t="shared" si="51"/>
        <v>1.7816573600942787</v>
      </c>
      <c r="BE72" s="324">
        <f t="shared" si="32"/>
        <v>1582.1468022252632</v>
      </c>
      <c r="BF72" s="104">
        <v>0</v>
      </c>
      <c r="BG72" s="1314">
        <f t="shared" si="33"/>
        <v>1582.1468022252632</v>
      </c>
      <c r="BI72" s="323">
        <f t="shared" si="34"/>
        <v>389.50320822466421</v>
      </c>
      <c r="BJ72" s="324">
        <f t="shared" si="35"/>
        <v>1190.8619366405048</v>
      </c>
      <c r="BK72" s="1323">
        <f t="shared" si="36"/>
        <v>1.7816573600942787</v>
      </c>
      <c r="BL72" s="324">
        <f t="shared" si="37"/>
        <v>1582.1468022252632</v>
      </c>
      <c r="BM72" s="104">
        <v>0</v>
      </c>
      <c r="BN72" s="1314">
        <f t="shared" si="38"/>
        <v>1582.1468022252632</v>
      </c>
    </row>
    <row r="73" spans="1:66">
      <c r="A73" s="1034">
        <f>'Input data'!A103</f>
        <v>2005</v>
      </c>
      <c r="B73" s="1083">
        <f>'Input data'!B103</f>
        <v>47.198</v>
      </c>
      <c r="C73" s="1256">
        <f>'Baseline data (from input)'!B61</f>
        <v>578.73</v>
      </c>
      <c r="D73" s="1084">
        <f>'Baseline data (from input)'!L61</f>
        <v>0.8</v>
      </c>
      <c r="E73" s="1085">
        <f t="shared" si="39"/>
        <v>0.24001298204245269</v>
      </c>
      <c r="F73" s="1085">
        <f t="shared" si="40"/>
        <v>0.30440139352934503</v>
      </c>
      <c r="G73" s="1085">
        <f t="shared" si="41"/>
        <v>5.8998240613430578E-2</v>
      </c>
      <c r="H73" s="1085">
        <f t="shared" si="42"/>
        <v>0</v>
      </c>
      <c r="I73" s="1085">
        <f t="shared" si="43"/>
        <v>0</v>
      </c>
      <c r="J73" s="1085">
        <f t="shared" si="44"/>
        <v>0</v>
      </c>
      <c r="K73" s="1085">
        <f t="shared" si="45"/>
        <v>0.39658738381477154</v>
      </c>
      <c r="L73" s="1093">
        <f t="shared" si="46"/>
        <v>0.99999999999999989</v>
      </c>
      <c r="M73" s="199"/>
      <c r="N73" s="1111">
        <f t="shared" si="48"/>
        <v>21851.918832000003</v>
      </c>
      <c r="O73" s="1105">
        <f>Parameters!R176</f>
        <v>0.73</v>
      </c>
      <c r="P73" s="1105">
        <f>E73*'MSW characteristics'!$B$28+'MSW characteristics'!$B$29*'4A SWD Case 1'!F73+'4A SWD Case 1'!G73*'MSW characteristics'!$B$30+'MSW characteristics'!$B$31*'4A SWD Case 1'!H73+'4A SWD Case 1'!I73*'MSW characteristics'!$B$32+'MSW characteristics'!$B$33*'4A SWD Case 1'!J73+'4A SWD Case 1'!K73*'MSW characteristics'!$B$35</f>
        <v>0.12048152225760915</v>
      </c>
      <c r="Q73" s="1104">
        <f t="shared" si="2"/>
        <v>960.95464247211305</v>
      </c>
      <c r="R73" s="1104">
        <f t="shared" si="3"/>
        <v>960.95464247211305</v>
      </c>
      <c r="S73" s="1106">
        <f t="shared" si="4"/>
        <v>0</v>
      </c>
      <c r="T73" s="1104">
        <f t="shared" si="5"/>
        <v>12704.363075609665</v>
      </c>
      <c r="U73" s="1104">
        <f t="shared" si="6"/>
        <v>602.09742555840876</v>
      </c>
      <c r="V73" s="1117">
        <f t="shared" si="7"/>
        <v>401.39828370560582</v>
      </c>
      <c r="W73" s="199"/>
      <c r="X73" s="1111">
        <f>'Baseline data (from input)'!T61*'Baseline data (from input)'!U61</f>
        <v>55468.953608307747</v>
      </c>
      <c r="Y73" s="1105">
        <f>Parameters!S176</f>
        <v>0.71500000000000008</v>
      </c>
      <c r="Z73" s="1105">
        <f t="shared" si="8"/>
        <v>0.15</v>
      </c>
      <c r="AA73" s="1104">
        <f t="shared" si="9"/>
        <v>2974.5226372455031</v>
      </c>
      <c r="AB73" s="1104">
        <f t="shared" si="10"/>
        <v>2974.5226372455031</v>
      </c>
      <c r="AC73" s="1106">
        <f t="shared" si="11"/>
        <v>0</v>
      </c>
      <c r="AD73" s="1104">
        <f t="shared" si="12"/>
        <v>38803.128411986734</v>
      </c>
      <c r="AE73" s="1104">
        <f t="shared" si="13"/>
        <v>1836.9718996953291</v>
      </c>
      <c r="AF73" s="1117">
        <f t="shared" si="14"/>
        <v>1224.6479331302194</v>
      </c>
      <c r="AG73" s="99"/>
      <c r="AH73" s="1111">
        <f>'Baseline data (from input)'!T61*'Baseline data (from input)'!U61</f>
        <v>55468.953608307747</v>
      </c>
      <c r="AI73" s="1105">
        <f>Parameters!S176</f>
        <v>0.71500000000000008</v>
      </c>
      <c r="AJ73" s="1105">
        <f t="shared" si="15"/>
        <v>0.15</v>
      </c>
      <c r="AK73" s="1104">
        <f t="shared" si="16"/>
        <v>2974.5226372455031</v>
      </c>
      <c r="AL73" s="1104">
        <f t="shared" si="17"/>
        <v>2974.5226372455031</v>
      </c>
      <c r="AM73" s="1106">
        <f t="shared" si="18"/>
        <v>0</v>
      </c>
      <c r="AN73" s="1104">
        <f t="shared" si="19"/>
        <v>38803.128411986734</v>
      </c>
      <c r="AO73" s="1104">
        <f t="shared" si="20"/>
        <v>1836.9718996953291</v>
      </c>
      <c r="AP73" s="1117">
        <f t="shared" si="21"/>
        <v>1224.6479331302194</v>
      </c>
      <c r="AQ73" s="99"/>
      <c r="AR73" s="1111">
        <v>501</v>
      </c>
      <c r="AS73" s="1105">
        <v>1</v>
      </c>
      <c r="AT73" s="1105">
        <f t="shared" si="22"/>
        <v>0.05</v>
      </c>
      <c r="AU73" s="1104">
        <f t="shared" si="23"/>
        <v>12.525</v>
      </c>
      <c r="AV73" s="1104">
        <f t="shared" si="24"/>
        <v>12.525</v>
      </c>
      <c r="AW73" s="1106">
        <f t="shared" si="25"/>
        <v>0</v>
      </c>
      <c r="AX73" s="1104">
        <f t="shared" si="49"/>
        <v>65.022300824848401</v>
      </c>
      <c r="AY73" s="1104">
        <f t="shared" si="52"/>
        <v>3.2462517859614834</v>
      </c>
      <c r="AZ73" s="1117">
        <f t="shared" si="50"/>
        <v>2.1641678573076555</v>
      </c>
      <c r="BB73" s="323">
        <f t="shared" si="29"/>
        <v>401.39828370560582</v>
      </c>
      <c r="BC73" s="324">
        <f t="shared" si="30"/>
        <v>1224.6479331302194</v>
      </c>
      <c r="BD73" s="1323">
        <f t="shared" si="51"/>
        <v>2.1641678573076555</v>
      </c>
      <c r="BE73" s="324">
        <f t="shared" si="32"/>
        <v>1628.2103846931327</v>
      </c>
      <c r="BF73" s="104">
        <v>0</v>
      </c>
      <c r="BG73" s="1314">
        <f t="shared" si="33"/>
        <v>1628.2103846931327</v>
      </c>
      <c r="BI73" s="323">
        <f t="shared" si="34"/>
        <v>401.39828370560582</v>
      </c>
      <c r="BJ73" s="324">
        <f t="shared" si="35"/>
        <v>1224.6479331302194</v>
      </c>
      <c r="BK73" s="1323">
        <f t="shared" si="36"/>
        <v>2.1641678573076555</v>
      </c>
      <c r="BL73" s="324">
        <f t="shared" si="37"/>
        <v>1628.2103846931327</v>
      </c>
      <c r="BM73" s="104">
        <v>0</v>
      </c>
      <c r="BN73" s="1314">
        <f t="shared" si="38"/>
        <v>1628.2103846931327</v>
      </c>
    </row>
    <row r="74" spans="1:66">
      <c r="A74" s="1034">
        <f>'Input data'!A104</f>
        <v>2006</v>
      </c>
      <c r="B74" s="1083">
        <f>'Input data'!B104</f>
        <v>47.731000000000002</v>
      </c>
      <c r="C74" s="1256">
        <f>'Baseline data (from input)'!B62</f>
        <v>578.73</v>
      </c>
      <c r="D74" s="1084">
        <f>'Baseline data (from input)'!L62</f>
        <v>0.8</v>
      </c>
      <c r="E74" s="1085">
        <f t="shared" si="39"/>
        <v>0.24001298204245269</v>
      </c>
      <c r="F74" s="1085">
        <f t="shared" si="40"/>
        <v>0.30440139352934503</v>
      </c>
      <c r="G74" s="1085">
        <f t="shared" si="41"/>
        <v>5.8998240613430578E-2</v>
      </c>
      <c r="H74" s="1085">
        <f t="shared" si="42"/>
        <v>0</v>
      </c>
      <c r="I74" s="1085">
        <f t="shared" si="43"/>
        <v>0</v>
      </c>
      <c r="J74" s="1085">
        <f t="shared" si="44"/>
        <v>0</v>
      </c>
      <c r="K74" s="1085">
        <f t="shared" si="45"/>
        <v>0.39658738381477154</v>
      </c>
      <c r="L74" s="1093">
        <f t="shared" si="46"/>
        <v>0.99999999999999989</v>
      </c>
      <c r="M74" s="199"/>
      <c r="N74" s="1111">
        <f t="shared" si="48"/>
        <v>22098.689304000003</v>
      </c>
      <c r="O74" s="1105">
        <f>Parameters!R177</f>
        <v>0.73</v>
      </c>
      <c r="P74" s="1105">
        <f>E74*'MSW characteristics'!$B$28+'MSW characteristics'!$B$29*'4A SWD Case 1'!F74+'4A SWD Case 1'!G74*'MSW characteristics'!$B$30+'MSW characteristics'!$B$31*'4A SWD Case 1'!H74+'4A SWD Case 1'!I74*'MSW characteristics'!$B$32+'MSW characteristics'!$B$33*'4A SWD Case 1'!J74+'4A SWD Case 1'!K74*'MSW characteristics'!$B$35</f>
        <v>0.12048152225760915</v>
      </c>
      <c r="Q74" s="1104">
        <f t="shared" si="2"/>
        <v>971.80656044401098</v>
      </c>
      <c r="R74" s="1104">
        <f t="shared" si="3"/>
        <v>971.80656044401098</v>
      </c>
      <c r="S74" s="1106">
        <f t="shared" si="4"/>
        <v>0</v>
      </c>
      <c r="T74" s="1104">
        <f t="shared" si="5"/>
        <v>13056.570537504313</v>
      </c>
      <c r="U74" s="1104">
        <f t="shared" si="6"/>
        <v>619.59909854936222</v>
      </c>
      <c r="V74" s="1117">
        <f t="shared" si="7"/>
        <v>413.06606569957484</v>
      </c>
      <c r="W74" s="199"/>
      <c r="X74" s="1111">
        <f>'Baseline data (from input)'!T62*'Baseline data (from input)'!U62</f>
        <v>58577.321530972527</v>
      </c>
      <c r="Y74" s="1105">
        <f>Parameters!S177</f>
        <v>0.71500000000000008</v>
      </c>
      <c r="Z74" s="1105">
        <f t="shared" si="8"/>
        <v>0.15</v>
      </c>
      <c r="AA74" s="1104">
        <f t="shared" si="9"/>
        <v>3141.2088670984022</v>
      </c>
      <c r="AB74" s="1104">
        <f t="shared" si="10"/>
        <v>3141.2088670984022</v>
      </c>
      <c r="AC74" s="1106">
        <f t="shared" si="11"/>
        <v>0</v>
      </c>
      <c r="AD74" s="1104">
        <f t="shared" si="12"/>
        <v>40051.886375259848</v>
      </c>
      <c r="AE74" s="1104">
        <f t="shared" si="13"/>
        <v>1892.4509038252882</v>
      </c>
      <c r="AF74" s="1117">
        <f t="shared" si="14"/>
        <v>1261.6339358835255</v>
      </c>
      <c r="AG74" s="99"/>
      <c r="AH74" s="1111">
        <f>'Baseline data (from input)'!T62*'Baseline data (from input)'!U62</f>
        <v>58577.321530972527</v>
      </c>
      <c r="AI74" s="1105">
        <f>Parameters!S177</f>
        <v>0.71500000000000008</v>
      </c>
      <c r="AJ74" s="1105">
        <f t="shared" si="15"/>
        <v>0.15</v>
      </c>
      <c r="AK74" s="1104">
        <f t="shared" si="16"/>
        <v>3141.2088670984022</v>
      </c>
      <c r="AL74" s="1104">
        <f t="shared" si="17"/>
        <v>3141.2088670984022</v>
      </c>
      <c r="AM74" s="1106">
        <f t="shared" si="18"/>
        <v>0</v>
      </c>
      <c r="AN74" s="1104">
        <f t="shared" si="19"/>
        <v>40051.886375259848</v>
      </c>
      <c r="AO74" s="1104">
        <f t="shared" si="20"/>
        <v>1892.4509038252882</v>
      </c>
      <c r="AP74" s="1117">
        <f t="shared" si="21"/>
        <v>1261.6339358835255</v>
      </c>
      <c r="AQ74" s="99"/>
      <c r="AR74" s="1111">
        <v>501</v>
      </c>
      <c r="AS74" s="1105">
        <v>1</v>
      </c>
      <c r="AT74" s="1105">
        <f t="shared" si="22"/>
        <v>0.05</v>
      </c>
      <c r="AU74" s="1104">
        <f t="shared" si="23"/>
        <v>12.525</v>
      </c>
      <c r="AV74" s="1104">
        <f t="shared" si="24"/>
        <v>12.525</v>
      </c>
      <c r="AW74" s="1106">
        <f t="shared" si="25"/>
        <v>0</v>
      </c>
      <c r="AX74" s="1104">
        <f t="shared" si="49"/>
        <v>73.760696808888071</v>
      </c>
      <c r="AY74" s="1104">
        <f t="shared" si="52"/>
        <v>3.7866040159603358</v>
      </c>
      <c r="AZ74" s="1117">
        <f t="shared" si="50"/>
        <v>2.5244026773068904</v>
      </c>
      <c r="BB74" s="323">
        <f t="shared" si="29"/>
        <v>413.06606569957484</v>
      </c>
      <c r="BC74" s="324">
        <f t="shared" si="30"/>
        <v>1261.6339358835255</v>
      </c>
      <c r="BD74" s="1323">
        <f t="shared" si="51"/>
        <v>2.5244026773068904</v>
      </c>
      <c r="BE74" s="324">
        <f t="shared" si="32"/>
        <v>1677.2244042604073</v>
      </c>
      <c r="BF74" s="104">
        <v>0</v>
      </c>
      <c r="BG74" s="1314">
        <f t="shared" si="33"/>
        <v>1677.2244042604073</v>
      </c>
      <c r="BI74" s="323">
        <f t="shared" si="34"/>
        <v>413.06606569957484</v>
      </c>
      <c r="BJ74" s="324">
        <f t="shared" si="35"/>
        <v>1261.6339358835255</v>
      </c>
      <c r="BK74" s="1323">
        <f t="shared" si="36"/>
        <v>2.5244026773068904</v>
      </c>
      <c r="BL74" s="324">
        <f t="shared" si="37"/>
        <v>1677.2244042604073</v>
      </c>
      <c r="BM74" s="104">
        <v>0</v>
      </c>
      <c r="BN74" s="1314">
        <f t="shared" si="38"/>
        <v>1677.2244042604073</v>
      </c>
    </row>
    <row r="75" spans="1:66">
      <c r="A75" s="1034">
        <f>'Input data'!A105</f>
        <v>2007</v>
      </c>
      <c r="B75" s="1083">
        <f>'Input data'!B105</f>
        <v>48.256999999999998</v>
      </c>
      <c r="C75" s="1256">
        <f>'Baseline data (from input)'!B63</f>
        <v>578.73</v>
      </c>
      <c r="D75" s="1084">
        <f>'Baseline data (from input)'!L63</f>
        <v>0.8</v>
      </c>
      <c r="E75" s="1085">
        <f t="shared" si="39"/>
        <v>0.24001298204245269</v>
      </c>
      <c r="F75" s="1085">
        <f t="shared" si="40"/>
        <v>0.30440139352934503</v>
      </c>
      <c r="G75" s="1085">
        <f t="shared" si="41"/>
        <v>5.8998240613430578E-2</v>
      </c>
      <c r="H75" s="1085">
        <f t="shared" si="42"/>
        <v>0</v>
      </c>
      <c r="I75" s="1085">
        <f t="shared" si="43"/>
        <v>0</v>
      </c>
      <c r="J75" s="1085">
        <f t="shared" si="44"/>
        <v>0</v>
      </c>
      <c r="K75" s="1085">
        <f t="shared" si="45"/>
        <v>0.39658738381477154</v>
      </c>
      <c r="L75" s="1093">
        <f t="shared" si="46"/>
        <v>0.99999999999999989</v>
      </c>
      <c r="M75" s="199"/>
      <c r="N75" s="1111">
        <f t="shared" si="48"/>
        <v>22342.218888000003</v>
      </c>
      <c r="O75" s="1105">
        <f>Parameters!R178</f>
        <v>0.73</v>
      </c>
      <c r="P75" s="1105">
        <f>E75*'MSW characteristics'!$B$28+'MSW characteristics'!$B$29*'4A SWD Case 1'!F75+'4A SWD Case 1'!G75*'MSW characteristics'!$B$30+'MSW characteristics'!$B$31*'4A SWD Case 1'!H75+'4A SWD Case 1'!I75*'MSW characteristics'!$B$32+'MSW characteristics'!$B$33*'4A SWD Case 1'!J75+'4A SWD Case 1'!K75*'MSW characteristics'!$B$35</f>
        <v>0.12048152225760915</v>
      </c>
      <c r="Q75" s="1104">
        <f t="shared" si="2"/>
        <v>982.51595791721593</v>
      </c>
      <c r="R75" s="1104">
        <f t="shared" si="3"/>
        <v>982.51595791721593</v>
      </c>
      <c r="S75" s="1106">
        <f t="shared" si="4"/>
        <v>0</v>
      </c>
      <c r="T75" s="1104">
        <f t="shared" si="5"/>
        <v>13402.310036260422</v>
      </c>
      <c r="U75" s="1104">
        <f t="shared" si="6"/>
        <v>636.77645916110703</v>
      </c>
      <c r="V75" s="1117">
        <f t="shared" si="7"/>
        <v>424.51763944073804</v>
      </c>
      <c r="W75" s="199"/>
      <c r="X75" s="1111">
        <f>'Baseline data (from input)'!T63*'Baseline data (from input)'!U63</f>
        <v>61717.344729233853</v>
      </c>
      <c r="Y75" s="1105">
        <f>Parameters!S178</f>
        <v>0.71500000000000008</v>
      </c>
      <c r="Z75" s="1105">
        <f t="shared" si="8"/>
        <v>0.15</v>
      </c>
      <c r="AA75" s="1104">
        <f t="shared" si="9"/>
        <v>3309.5926111051654</v>
      </c>
      <c r="AB75" s="1104">
        <f t="shared" si="10"/>
        <v>3309.5926111051654</v>
      </c>
      <c r="AC75" s="1106">
        <f t="shared" si="11"/>
        <v>0</v>
      </c>
      <c r="AD75" s="1104">
        <f t="shared" si="12"/>
        <v>41408.125438011579</v>
      </c>
      <c r="AE75" s="1104">
        <f t="shared" si="13"/>
        <v>1953.353548353434</v>
      </c>
      <c r="AF75" s="1117">
        <f t="shared" si="14"/>
        <v>1302.2356989022894</v>
      </c>
      <c r="AG75" s="99"/>
      <c r="AH75" s="1111">
        <f>'Baseline data (from input)'!T63*'Baseline data (from input)'!U63</f>
        <v>61717.344729233853</v>
      </c>
      <c r="AI75" s="1105">
        <f>Parameters!S178</f>
        <v>0.71500000000000008</v>
      </c>
      <c r="AJ75" s="1105">
        <f t="shared" si="15"/>
        <v>0.15</v>
      </c>
      <c r="AK75" s="1104">
        <f t="shared" si="16"/>
        <v>3309.5926111051654</v>
      </c>
      <c r="AL75" s="1104">
        <f t="shared" si="17"/>
        <v>3309.5926111051654</v>
      </c>
      <c r="AM75" s="1106">
        <f t="shared" si="18"/>
        <v>0</v>
      </c>
      <c r="AN75" s="1104">
        <f t="shared" si="19"/>
        <v>41408.125438011579</v>
      </c>
      <c r="AO75" s="1104">
        <f t="shared" si="20"/>
        <v>1953.353548353434</v>
      </c>
      <c r="AP75" s="1117">
        <f t="shared" si="21"/>
        <v>1302.2356989022894</v>
      </c>
      <c r="AQ75" s="99"/>
      <c r="AR75" s="1111">
        <v>501</v>
      </c>
      <c r="AS75" s="1105">
        <v>1</v>
      </c>
      <c r="AT75" s="1105">
        <f t="shared" si="22"/>
        <v>0.05</v>
      </c>
      <c r="AU75" s="1104">
        <f t="shared" si="23"/>
        <v>12.525</v>
      </c>
      <c r="AV75" s="1104">
        <f t="shared" si="24"/>
        <v>12.525</v>
      </c>
      <c r="AW75" s="1106">
        <f t="shared" si="25"/>
        <v>0</v>
      </c>
      <c r="AX75" s="1104">
        <f t="shared" si="49"/>
        <v>81.990208227071662</v>
      </c>
      <c r="AY75" s="1104">
        <f t="shared" si="52"/>
        <v>4.2954885818164135</v>
      </c>
      <c r="AZ75" s="1117">
        <f t="shared" si="50"/>
        <v>2.8636590545442755</v>
      </c>
      <c r="BB75" s="323">
        <f t="shared" si="29"/>
        <v>424.51763944073804</v>
      </c>
      <c r="BC75" s="324">
        <f t="shared" si="30"/>
        <v>1302.2356989022894</v>
      </c>
      <c r="BD75" s="1323">
        <f t="shared" si="51"/>
        <v>2.8636590545442755</v>
      </c>
      <c r="BE75" s="324">
        <f t="shared" si="32"/>
        <v>1729.6169973975718</v>
      </c>
      <c r="BF75" s="104">
        <v>0</v>
      </c>
      <c r="BG75" s="1314">
        <f t="shared" si="33"/>
        <v>1729.6169973975718</v>
      </c>
      <c r="BI75" s="323">
        <f t="shared" si="34"/>
        <v>424.51763944073804</v>
      </c>
      <c r="BJ75" s="324">
        <f t="shared" si="35"/>
        <v>1302.2356989022894</v>
      </c>
      <c r="BK75" s="1323">
        <f t="shared" si="36"/>
        <v>2.8636590545442755</v>
      </c>
      <c r="BL75" s="324">
        <f t="shared" si="37"/>
        <v>1729.6169973975718</v>
      </c>
      <c r="BM75" s="104">
        <v>0</v>
      </c>
      <c r="BN75" s="1314">
        <f t="shared" si="38"/>
        <v>1729.6169973975718</v>
      </c>
    </row>
    <row r="76" spans="1:66">
      <c r="A76" s="1034">
        <f>'Input data'!A106</f>
        <v>2008</v>
      </c>
      <c r="B76" s="1083">
        <f>'Input data'!B106</f>
        <v>48.792999999999999</v>
      </c>
      <c r="C76" s="1256">
        <f>'Baseline data (from input)'!B64</f>
        <v>578.73</v>
      </c>
      <c r="D76" s="1084">
        <f>'Baseline data (from input)'!L64</f>
        <v>0.8</v>
      </c>
      <c r="E76" s="1085">
        <f t="shared" si="39"/>
        <v>0.24001298204245269</v>
      </c>
      <c r="F76" s="1085">
        <f t="shared" si="40"/>
        <v>0.30440139352934503</v>
      </c>
      <c r="G76" s="1085">
        <f t="shared" si="41"/>
        <v>5.8998240613430578E-2</v>
      </c>
      <c r="H76" s="1085">
        <f t="shared" si="42"/>
        <v>0</v>
      </c>
      <c r="I76" s="1085">
        <f t="shared" si="43"/>
        <v>0</v>
      </c>
      <c r="J76" s="1085">
        <f t="shared" si="44"/>
        <v>0</v>
      </c>
      <c r="K76" s="1085">
        <f t="shared" si="45"/>
        <v>0.39658738381477154</v>
      </c>
      <c r="L76" s="1093">
        <f t="shared" si="46"/>
        <v>0.99999999999999989</v>
      </c>
      <c r="M76" s="199"/>
      <c r="N76" s="1111">
        <f t="shared" si="48"/>
        <v>22590.378312000001</v>
      </c>
      <c r="O76" s="1105">
        <f>Parameters!R179</f>
        <v>0.73</v>
      </c>
      <c r="P76" s="1105">
        <f>E76*'MSW characteristics'!$B$28+'MSW characteristics'!$B$29*'4A SWD Case 1'!F76+'4A SWD Case 1'!G76*'MSW characteristics'!$B$30+'MSW characteristics'!$B$31*'4A SWD Case 1'!H76+'4A SWD Case 1'!I76*'MSW characteristics'!$B$32+'MSW characteristics'!$B$33*'4A SWD Case 1'!J76+'4A SWD Case 1'!K76*'MSW characteristics'!$B$35</f>
        <v>0.12048152225760915</v>
      </c>
      <c r="Q76" s="1104">
        <f t="shared" si="2"/>
        <v>993.42895610283927</v>
      </c>
      <c r="R76" s="1104">
        <f t="shared" si="3"/>
        <v>993.42895610283927</v>
      </c>
      <c r="S76" s="1106">
        <f t="shared" si="4"/>
        <v>0</v>
      </c>
      <c r="T76" s="1104">
        <f t="shared" si="5"/>
        <v>13742.100618874985</v>
      </c>
      <c r="U76" s="1104">
        <f t="shared" si="6"/>
        <v>653.63837348827713</v>
      </c>
      <c r="V76" s="1117">
        <f t="shared" si="7"/>
        <v>435.75891565885144</v>
      </c>
      <c r="W76" s="199"/>
      <c r="X76" s="1111">
        <f>'Baseline data (from input)'!T64*'Baseline data (from input)'!U64</f>
        <v>63686.774046847793</v>
      </c>
      <c r="Y76" s="1105">
        <f>Parameters!S179</f>
        <v>0.71500000000000008</v>
      </c>
      <c r="Z76" s="1105">
        <f t="shared" si="8"/>
        <v>0.15</v>
      </c>
      <c r="AA76" s="1104">
        <f t="shared" si="9"/>
        <v>3415.2032582622128</v>
      </c>
      <c r="AB76" s="1104">
        <f t="shared" si="10"/>
        <v>3415.2032582622128</v>
      </c>
      <c r="AC76" s="1106">
        <f t="shared" si="11"/>
        <v>0</v>
      </c>
      <c r="AD76" s="1104">
        <f t="shared" si="12"/>
        <v>42803.830588315344</v>
      </c>
      <c r="AE76" s="1104">
        <f t="shared" si="13"/>
        <v>2019.4981079584481</v>
      </c>
      <c r="AF76" s="1117">
        <f t="shared" si="14"/>
        <v>1346.3320719722988</v>
      </c>
      <c r="AG76" s="99"/>
      <c r="AH76" s="1111">
        <f>'Baseline data (from input)'!T64*'Baseline data (from input)'!U64</f>
        <v>63686.774046847793</v>
      </c>
      <c r="AI76" s="1105">
        <f>Parameters!S179</f>
        <v>0.71500000000000008</v>
      </c>
      <c r="AJ76" s="1105">
        <f t="shared" si="15"/>
        <v>0.15</v>
      </c>
      <c r="AK76" s="1104">
        <f t="shared" si="16"/>
        <v>3415.2032582622128</v>
      </c>
      <c r="AL76" s="1104">
        <f t="shared" si="17"/>
        <v>3415.2032582622128</v>
      </c>
      <c r="AM76" s="1106">
        <f t="shared" si="18"/>
        <v>0</v>
      </c>
      <c r="AN76" s="1104">
        <f t="shared" si="19"/>
        <v>42803.830588315344</v>
      </c>
      <c r="AO76" s="1104">
        <f t="shared" si="20"/>
        <v>2019.4981079584481</v>
      </c>
      <c r="AP76" s="1117">
        <f t="shared" si="21"/>
        <v>1346.3320719722988</v>
      </c>
      <c r="AQ76" s="99"/>
      <c r="AR76" s="1111">
        <v>501</v>
      </c>
      <c r="AS76" s="1105">
        <v>1</v>
      </c>
      <c r="AT76" s="1105">
        <f t="shared" si="22"/>
        <v>0.05</v>
      </c>
      <c r="AU76" s="1104">
        <f t="shared" si="23"/>
        <v>12.525</v>
      </c>
      <c r="AV76" s="1104">
        <f t="shared" si="24"/>
        <v>12.525</v>
      </c>
      <c r="AW76" s="1106">
        <f t="shared" si="25"/>
        <v>0</v>
      </c>
      <c r="AX76" s="1104">
        <f t="shared" si="49"/>
        <v>89.740470209443586</v>
      </c>
      <c r="AY76" s="1104">
        <f t="shared" si="52"/>
        <v>4.7747380176280858</v>
      </c>
      <c r="AZ76" s="1117">
        <f t="shared" si="50"/>
        <v>3.183158678418724</v>
      </c>
      <c r="BB76" s="323">
        <f t="shared" si="29"/>
        <v>435.75891565885144</v>
      </c>
      <c r="BC76" s="324">
        <f t="shared" si="30"/>
        <v>1346.3320719722988</v>
      </c>
      <c r="BD76" s="1323">
        <f t="shared" si="51"/>
        <v>3.183158678418724</v>
      </c>
      <c r="BE76" s="324">
        <f t="shared" si="32"/>
        <v>1785.274146309569</v>
      </c>
      <c r="BF76" s="104">
        <v>0</v>
      </c>
      <c r="BG76" s="1314">
        <f t="shared" si="33"/>
        <v>1785.274146309569</v>
      </c>
      <c r="BI76" s="323">
        <f t="shared" si="34"/>
        <v>435.75891565885144</v>
      </c>
      <c r="BJ76" s="324">
        <f t="shared" si="35"/>
        <v>1346.3320719722988</v>
      </c>
      <c r="BK76" s="1323">
        <f t="shared" si="36"/>
        <v>3.183158678418724</v>
      </c>
      <c r="BL76" s="324">
        <f t="shared" si="37"/>
        <v>1785.274146309569</v>
      </c>
      <c r="BM76" s="104">
        <v>0</v>
      </c>
      <c r="BN76" s="1314">
        <f t="shared" si="38"/>
        <v>1785.274146309569</v>
      </c>
    </row>
    <row r="77" spans="1:66">
      <c r="A77" s="1034">
        <f>'Input data'!A107</f>
        <v>2009</v>
      </c>
      <c r="B77" s="1083">
        <f>'Input data'!B107</f>
        <v>49.32</v>
      </c>
      <c r="C77" s="1256">
        <f>'Baseline data (from input)'!B65</f>
        <v>578.73</v>
      </c>
      <c r="D77" s="1084">
        <f>'Baseline data (from input)'!L65</f>
        <v>0.8</v>
      </c>
      <c r="E77" s="1085">
        <f t="shared" si="39"/>
        <v>0.24001298204245269</v>
      </c>
      <c r="F77" s="1085">
        <f t="shared" si="40"/>
        <v>0.30440139352934503</v>
      </c>
      <c r="G77" s="1085">
        <f t="shared" si="41"/>
        <v>5.8998240613430578E-2</v>
      </c>
      <c r="H77" s="1085">
        <f t="shared" si="42"/>
        <v>0</v>
      </c>
      <c r="I77" s="1085">
        <f t="shared" si="43"/>
        <v>0</v>
      </c>
      <c r="J77" s="1085">
        <f t="shared" si="44"/>
        <v>0</v>
      </c>
      <c r="K77" s="1085">
        <f t="shared" si="45"/>
        <v>0.39658738381477154</v>
      </c>
      <c r="L77" s="1093">
        <f t="shared" si="46"/>
        <v>0.99999999999999989</v>
      </c>
      <c r="M77" s="199"/>
      <c r="N77" s="1111">
        <f t="shared" si="48"/>
        <v>22834.370880000002</v>
      </c>
      <c r="O77" s="1105">
        <f>Parameters!R180</f>
        <v>0.73</v>
      </c>
      <c r="P77" s="1105">
        <f>E77*'MSW characteristics'!$B$28+'MSW characteristics'!$B$29*'4A SWD Case 1'!F77+'4A SWD Case 1'!G77*'MSW characteristics'!$B$30+'MSW characteristics'!$B$31*'4A SWD Case 1'!H77+'4A SWD Case 1'!I77*'MSW characteristics'!$B$32+'MSW characteristics'!$B$33*'4A SWD Case 1'!J77+'4A SWD Case 1'!K77*'MSW characteristics'!$B$35</f>
        <v>0.12048152225760915</v>
      </c>
      <c r="Q77" s="1104">
        <f t="shared" si="2"/>
        <v>1004.1587136472863</v>
      </c>
      <c r="R77" s="1104">
        <f t="shared" si="3"/>
        <v>1004.1587136472863</v>
      </c>
      <c r="S77" s="1106">
        <f t="shared" si="4"/>
        <v>0</v>
      </c>
      <c r="T77" s="1104">
        <f t="shared" si="5"/>
        <v>14076.049176770644</v>
      </c>
      <c r="U77" s="1104">
        <f t="shared" si="6"/>
        <v>670.2101557516271</v>
      </c>
      <c r="V77" s="1117">
        <f t="shared" si="7"/>
        <v>446.80677050108471</v>
      </c>
      <c r="W77" s="199"/>
      <c r="X77" s="1111">
        <f>'Baseline data (from input)'!T65*'Baseline data (from input)'!U65</f>
        <v>62707.214568064555</v>
      </c>
      <c r="Y77" s="1105">
        <f>Parameters!S180</f>
        <v>0.71500000000000008</v>
      </c>
      <c r="Z77" s="1105">
        <f t="shared" si="8"/>
        <v>0.15</v>
      </c>
      <c r="AA77" s="1104">
        <f t="shared" si="9"/>
        <v>3362.6743812124623</v>
      </c>
      <c r="AB77" s="1104">
        <f t="shared" si="10"/>
        <v>3362.6743812124623</v>
      </c>
      <c r="AC77" s="1106">
        <f t="shared" si="11"/>
        <v>0</v>
      </c>
      <c r="AD77" s="1104">
        <f t="shared" si="12"/>
        <v>44078.937518161729</v>
      </c>
      <c r="AE77" s="1104">
        <f t="shared" si="13"/>
        <v>2087.5674513660801</v>
      </c>
      <c r="AF77" s="1117">
        <f t="shared" si="14"/>
        <v>1391.7116342440534</v>
      </c>
      <c r="AG77" s="99"/>
      <c r="AH77" s="1111">
        <f>'Baseline data (from input)'!T65*'Baseline data (from input)'!U65</f>
        <v>62707.214568064555</v>
      </c>
      <c r="AI77" s="1105">
        <f>Parameters!S180</f>
        <v>0.71500000000000008</v>
      </c>
      <c r="AJ77" s="1105">
        <f t="shared" si="15"/>
        <v>0.15</v>
      </c>
      <c r="AK77" s="1104">
        <f t="shared" si="16"/>
        <v>3362.6743812124623</v>
      </c>
      <c r="AL77" s="1104">
        <f t="shared" si="17"/>
        <v>3362.6743812124623</v>
      </c>
      <c r="AM77" s="1106">
        <f t="shared" si="18"/>
        <v>0</v>
      </c>
      <c r="AN77" s="1104">
        <f t="shared" si="19"/>
        <v>44078.937518161729</v>
      </c>
      <c r="AO77" s="1104">
        <f t="shared" si="20"/>
        <v>2087.5674513660801</v>
      </c>
      <c r="AP77" s="1117">
        <f t="shared" si="21"/>
        <v>1391.7116342440534</v>
      </c>
      <c r="AQ77" s="99"/>
      <c r="AR77" s="1111">
        <v>501</v>
      </c>
      <c r="AS77" s="1105">
        <v>1</v>
      </c>
      <c r="AT77" s="1105">
        <f t="shared" si="22"/>
        <v>0.05</v>
      </c>
      <c r="AU77" s="1104">
        <f t="shared" si="23"/>
        <v>12.525</v>
      </c>
      <c r="AV77" s="1104">
        <f t="shared" si="24"/>
        <v>12.525</v>
      </c>
      <c r="AW77" s="1106">
        <f t="shared" si="25"/>
        <v>0</v>
      </c>
      <c r="AX77" s="1104">
        <f t="shared" si="49"/>
        <v>97.039392070427809</v>
      </c>
      <c r="AY77" s="1104">
        <f t="shared" si="52"/>
        <v>5.2260781390157804</v>
      </c>
      <c r="AZ77" s="1117">
        <f t="shared" si="50"/>
        <v>3.484052092677187</v>
      </c>
      <c r="BB77" s="323">
        <f t="shared" si="29"/>
        <v>446.80677050108471</v>
      </c>
      <c r="BC77" s="324">
        <f t="shared" si="30"/>
        <v>1391.7116342440534</v>
      </c>
      <c r="BD77" s="1323">
        <f t="shared" si="51"/>
        <v>3.484052092677187</v>
      </c>
      <c r="BE77" s="324">
        <f t="shared" si="32"/>
        <v>1842.0024568378151</v>
      </c>
      <c r="BF77" s="104">
        <v>0</v>
      </c>
      <c r="BG77" s="1314">
        <f t="shared" si="33"/>
        <v>1842.0024568378151</v>
      </c>
      <c r="BI77" s="323">
        <f t="shared" si="34"/>
        <v>446.80677050108471</v>
      </c>
      <c r="BJ77" s="324">
        <f t="shared" si="35"/>
        <v>1391.7116342440534</v>
      </c>
      <c r="BK77" s="1323">
        <f t="shared" si="36"/>
        <v>3.484052092677187</v>
      </c>
      <c r="BL77" s="324">
        <f t="shared" si="37"/>
        <v>1842.0024568378151</v>
      </c>
      <c r="BM77" s="104">
        <v>0</v>
      </c>
      <c r="BN77" s="1314">
        <f t="shared" si="38"/>
        <v>1842.0024568378151</v>
      </c>
    </row>
    <row r="78" spans="1:66">
      <c r="A78" s="1034">
        <f>'Input data'!A108</f>
        <v>2010</v>
      </c>
      <c r="B78" s="1083">
        <f>'Input data'!B108</f>
        <v>49.87</v>
      </c>
      <c r="C78" s="1083">
        <f>'Baseline data (from input)'!B66</f>
        <v>559.42164173673609</v>
      </c>
      <c r="D78" s="1084">
        <f>'Baseline data (from input)'!L66</f>
        <v>0.75808980601378384</v>
      </c>
      <c r="E78" s="1085">
        <f t="shared" si="39"/>
        <v>0.24001298204245269</v>
      </c>
      <c r="F78" s="1085">
        <f t="shared" si="40"/>
        <v>0.30440139352934503</v>
      </c>
      <c r="G78" s="1085">
        <f t="shared" si="41"/>
        <v>5.8998240613430578E-2</v>
      </c>
      <c r="H78" s="1085">
        <f t="shared" si="42"/>
        <v>0</v>
      </c>
      <c r="I78" s="1085">
        <f t="shared" si="43"/>
        <v>0</v>
      </c>
      <c r="J78" s="1085">
        <f t="shared" si="44"/>
        <v>0</v>
      </c>
      <c r="K78" s="1085">
        <f t="shared" si="45"/>
        <v>0.39658738381477154</v>
      </c>
      <c r="L78" s="1093">
        <f t="shared" si="46"/>
        <v>0.99999999999999989</v>
      </c>
      <c r="M78" s="199"/>
      <c r="N78" s="1111">
        <f t="shared" si="48"/>
        <v>21149.460253503403</v>
      </c>
      <c r="O78" s="1105">
        <f>Parameters!R181</f>
        <v>0.73</v>
      </c>
      <c r="P78" s="1105">
        <f>E78*'MSW characteristics'!$B$28+'MSW characteristics'!$B$29*'4A SWD Case 1'!F78+'4A SWD Case 1'!G78*'MSW characteristics'!$B$30+'MSW characteristics'!$B$31*'4A SWD Case 1'!H78+'4A SWD Case 1'!I78*'MSW characteristics'!$B$32+'MSW characteristics'!$B$33*'4A SWD Case 1'!J78+'4A SWD Case 1'!K78*'MSW characteristics'!$B$35</f>
        <v>0.12048152225760915</v>
      </c>
      <c r="Q78" s="1104">
        <f t="shared" si="2"/>
        <v>930.06349568814494</v>
      </c>
      <c r="R78" s="1104">
        <f t="shared" si="3"/>
        <v>930.06349568814494</v>
      </c>
      <c r="S78" s="1106">
        <f t="shared" si="4"/>
        <v>0</v>
      </c>
      <c r="T78" s="1104">
        <f t="shared" si="5"/>
        <v>14319.615653351433</v>
      </c>
      <c r="U78" s="1104">
        <f t="shared" si="6"/>
        <v>686.49701910735507</v>
      </c>
      <c r="V78" s="1117">
        <f t="shared" si="7"/>
        <v>457.66467940490338</v>
      </c>
      <c r="W78" s="199"/>
      <c r="X78" s="1111">
        <f>'Baseline data (from input)'!T66*'Baseline data (from input)'!U66</f>
        <v>64613.345091891104</v>
      </c>
      <c r="Y78" s="1105">
        <f>Parameters!S181</f>
        <v>0.71500000000000008</v>
      </c>
      <c r="Z78" s="1105">
        <f t="shared" si="8"/>
        <v>0.15</v>
      </c>
      <c r="AA78" s="1104">
        <f t="shared" si="9"/>
        <v>3464.8906305526602</v>
      </c>
      <c r="AB78" s="1104">
        <f t="shared" si="10"/>
        <v>3464.8906305526602</v>
      </c>
      <c r="AC78" s="1106">
        <f t="shared" si="11"/>
        <v>0</v>
      </c>
      <c r="AD78" s="1104">
        <f t="shared" si="12"/>
        <v>45394.072998556578</v>
      </c>
      <c r="AE78" s="1104">
        <f t="shared" si="13"/>
        <v>2149.7551501578159</v>
      </c>
      <c r="AF78" s="1117">
        <f t="shared" si="14"/>
        <v>1433.1701001052106</v>
      </c>
      <c r="AG78" s="99"/>
      <c r="AH78" s="1111">
        <f>'Baseline data (from input)'!T66*'Baseline data (from input)'!U66</f>
        <v>64613.345091891104</v>
      </c>
      <c r="AI78" s="1105">
        <f>Parameters!S181</f>
        <v>0.71500000000000008</v>
      </c>
      <c r="AJ78" s="1105">
        <f t="shared" si="15"/>
        <v>0.15</v>
      </c>
      <c r="AK78" s="1104">
        <f t="shared" si="16"/>
        <v>3464.8906305526602</v>
      </c>
      <c r="AL78" s="1104">
        <f t="shared" si="17"/>
        <v>3464.8906305526602</v>
      </c>
      <c r="AM78" s="1106">
        <f t="shared" si="18"/>
        <v>0</v>
      </c>
      <c r="AN78" s="1104">
        <f t="shared" si="19"/>
        <v>45394.072998556578</v>
      </c>
      <c r="AO78" s="1104">
        <f t="shared" si="20"/>
        <v>2149.7551501578159</v>
      </c>
      <c r="AP78" s="1117">
        <f t="shared" si="21"/>
        <v>1433.1701001052106</v>
      </c>
      <c r="AQ78" s="99"/>
      <c r="AR78" s="1111">
        <v>501</v>
      </c>
      <c r="AS78" s="1105">
        <v>1</v>
      </c>
      <c r="AT78" s="1105">
        <f t="shared" si="22"/>
        <v>0.05</v>
      </c>
      <c r="AU78" s="1104">
        <f t="shared" si="23"/>
        <v>12.525</v>
      </c>
      <c r="AV78" s="1104">
        <f t="shared" si="24"/>
        <v>12.525</v>
      </c>
      <c r="AW78" s="1106">
        <f t="shared" si="25"/>
        <v>0</v>
      </c>
      <c r="AX78" s="1104">
        <f t="shared" si="49"/>
        <v>103.91325781250549</v>
      </c>
      <c r="AY78" s="1104">
        <f t="shared" si="52"/>
        <v>5.6511342579223198</v>
      </c>
      <c r="AZ78" s="1117">
        <f t="shared" si="50"/>
        <v>3.76742283861488</v>
      </c>
      <c r="BB78" s="323">
        <f t="shared" si="29"/>
        <v>457.66467940490338</v>
      </c>
      <c r="BC78" s="324">
        <f t="shared" si="30"/>
        <v>1433.1701001052106</v>
      </c>
      <c r="BD78" s="1323">
        <f t="shared" si="51"/>
        <v>3.76742283861488</v>
      </c>
      <c r="BE78" s="324">
        <f t="shared" si="32"/>
        <v>1894.602202348729</v>
      </c>
      <c r="BF78" s="104">
        <v>0</v>
      </c>
      <c r="BG78" s="1314">
        <f t="shared" si="33"/>
        <v>1894.602202348729</v>
      </c>
      <c r="BI78" s="323">
        <f t="shared" si="34"/>
        <v>457.66467940490338</v>
      </c>
      <c r="BJ78" s="324">
        <f t="shared" si="35"/>
        <v>1433.1701001052106</v>
      </c>
      <c r="BK78" s="1323">
        <f t="shared" si="36"/>
        <v>3.76742283861488</v>
      </c>
      <c r="BL78" s="324">
        <f t="shared" si="37"/>
        <v>1894.602202348729</v>
      </c>
      <c r="BM78" s="104">
        <v>0</v>
      </c>
      <c r="BN78" s="1314">
        <f t="shared" si="38"/>
        <v>1894.602202348729</v>
      </c>
    </row>
    <row r="79" spans="1:66">
      <c r="A79" s="1034">
        <f>'Input data'!A109</f>
        <v>2011</v>
      </c>
      <c r="B79" s="1083">
        <f>'Input data'!B109</f>
        <v>51.771000000000001</v>
      </c>
      <c r="C79" s="1083">
        <f>'Baseline data (from input)'!B67</f>
        <v>540.11328347347217</v>
      </c>
      <c r="D79" s="1084">
        <f>'Baseline data (from input)'!L67</f>
        <v>0.71617961202756764</v>
      </c>
      <c r="E79" s="1085">
        <f t="shared" si="39"/>
        <v>0.24001298204245269</v>
      </c>
      <c r="F79" s="1085">
        <f t="shared" si="40"/>
        <v>0.30440139352934503</v>
      </c>
      <c r="G79" s="1085">
        <f t="shared" si="41"/>
        <v>5.8998240613430578E-2</v>
      </c>
      <c r="H79" s="1085">
        <f t="shared" si="42"/>
        <v>0</v>
      </c>
      <c r="I79" s="1085">
        <f t="shared" si="43"/>
        <v>0</v>
      </c>
      <c r="J79" s="1085">
        <f t="shared" si="44"/>
        <v>0</v>
      </c>
      <c r="K79" s="1085">
        <f t="shared" si="45"/>
        <v>0.39658738381477154</v>
      </c>
      <c r="L79" s="1093">
        <f t="shared" si="46"/>
        <v>0.99999999999999989</v>
      </c>
      <c r="M79" s="199"/>
      <c r="N79" s="1111">
        <f t="shared" si="48"/>
        <v>20025.960984172027</v>
      </c>
      <c r="O79" s="1105">
        <f>Parameters!R182</f>
        <v>0.73</v>
      </c>
      <c r="P79" s="1105">
        <f>E79*'MSW characteristics'!$B$28+'MSW characteristics'!$B$29*'4A SWD Case 1'!F79+'4A SWD Case 1'!G79*'MSW characteristics'!$B$30+'MSW characteristics'!$B$31*'4A SWD Case 1'!H79+'4A SWD Case 1'!I79*'MSW characteristics'!$B$32+'MSW characteristics'!$B$33*'4A SWD Case 1'!J79+'4A SWD Case 1'!K79*'MSW characteristics'!$B$35</f>
        <v>0.12048152225760915</v>
      </c>
      <c r="Q79" s="1104">
        <f t="shared" si="2"/>
        <v>880.65676637625506</v>
      </c>
      <c r="R79" s="1104">
        <f t="shared" si="3"/>
        <v>880.65676637625506</v>
      </c>
      <c r="S79" s="1106">
        <f t="shared" si="4"/>
        <v>0</v>
      </c>
      <c r="T79" s="1104">
        <f t="shared" si="5"/>
        <v>14501.896523385154</v>
      </c>
      <c r="U79" s="1104">
        <f t="shared" si="6"/>
        <v>698.37589634253345</v>
      </c>
      <c r="V79" s="1117">
        <f t="shared" si="7"/>
        <v>465.58393089502232</v>
      </c>
      <c r="W79" s="199"/>
      <c r="X79" s="1111">
        <f>'Baseline data (from input)'!T67*'Baseline data (from input)'!U67</f>
        <v>66735.355986879513</v>
      </c>
      <c r="Y79" s="1105">
        <f>Parameters!S182</f>
        <v>0.71500000000000008</v>
      </c>
      <c r="Z79" s="1105">
        <f t="shared" si="8"/>
        <v>0.15</v>
      </c>
      <c r="AA79" s="1104">
        <f t="shared" si="9"/>
        <v>3578.6834647964142</v>
      </c>
      <c r="AB79" s="1104">
        <f t="shared" si="10"/>
        <v>3578.6834647964142</v>
      </c>
      <c r="AC79" s="1106">
        <f t="shared" si="11"/>
        <v>0</v>
      </c>
      <c r="AD79" s="1104">
        <f t="shared" si="12"/>
        <v>46758.861398956789</v>
      </c>
      <c r="AE79" s="1104">
        <f t="shared" si="13"/>
        <v>2213.895064396203</v>
      </c>
      <c r="AF79" s="1117">
        <f t="shared" si="14"/>
        <v>1475.9300429308021</v>
      </c>
      <c r="AG79" s="99"/>
      <c r="AH79" s="1111">
        <f>'Baseline data (from input)'!T67*'Baseline data (from input)'!U67</f>
        <v>66735.355986879513</v>
      </c>
      <c r="AI79" s="1105">
        <f>Parameters!S182</f>
        <v>0.71500000000000008</v>
      </c>
      <c r="AJ79" s="1105">
        <f t="shared" si="15"/>
        <v>0.15</v>
      </c>
      <c r="AK79" s="1104">
        <f t="shared" si="16"/>
        <v>3578.6834647964142</v>
      </c>
      <c r="AL79" s="1104">
        <f t="shared" si="17"/>
        <v>3578.6834647964142</v>
      </c>
      <c r="AM79" s="1106">
        <f t="shared" si="18"/>
        <v>0</v>
      </c>
      <c r="AN79" s="1104">
        <f t="shared" si="19"/>
        <v>46758.861398956789</v>
      </c>
      <c r="AO79" s="1104">
        <f t="shared" si="20"/>
        <v>2213.895064396203</v>
      </c>
      <c r="AP79" s="1117">
        <f t="shared" si="21"/>
        <v>1475.9300429308021</v>
      </c>
      <c r="AQ79" s="99"/>
      <c r="AR79" s="1111">
        <v>501</v>
      </c>
      <c r="AS79" s="1105">
        <v>1</v>
      </c>
      <c r="AT79" s="1105">
        <f t="shared" si="22"/>
        <v>0.05</v>
      </c>
      <c r="AU79" s="1104">
        <f t="shared" si="23"/>
        <v>12.525</v>
      </c>
      <c r="AV79" s="1104">
        <f t="shared" si="24"/>
        <v>12.525</v>
      </c>
      <c r="AW79" s="1106">
        <f t="shared" si="25"/>
        <v>0</v>
      </c>
      <c r="AX79" s="1104">
        <f t="shared" si="49"/>
        <v>110.38682077701402</v>
      </c>
      <c r="AY79" s="1104">
        <f t="shared" si="52"/>
        <v>6.0514370354914675</v>
      </c>
      <c r="AZ79" s="1117">
        <f t="shared" si="50"/>
        <v>4.034291356994312</v>
      </c>
      <c r="BB79" s="323">
        <f t="shared" si="29"/>
        <v>465.58393089502232</v>
      </c>
      <c r="BC79" s="324">
        <f t="shared" si="30"/>
        <v>1475.9300429308021</v>
      </c>
      <c r="BD79" s="1323">
        <f t="shared" si="51"/>
        <v>4.034291356994312</v>
      </c>
      <c r="BE79" s="324">
        <f t="shared" si="32"/>
        <v>1945.5482651828188</v>
      </c>
      <c r="BF79" s="104">
        <v>0</v>
      </c>
      <c r="BG79" s="1314">
        <f t="shared" si="33"/>
        <v>1945.5482651828188</v>
      </c>
      <c r="BI79" s="323">
        <f t="shared" si="34"/>
        <v>465.58393089502232</v>
      </c>
      <c r="BJ79" s="324">
        <f t="shared" si="35"/>
        <v>1475.9300429308021</v>
      </c>
      <c r="BK79" s="1323">
        <f t="shared" si="36"/>
        <v>4.034291356994312</v>
      </c>
      <c r="BL79" s="324">
        <f t="shared" si="37"/>
        <v>1945.5482651828188</v>
      </c>
      <c r="BM79" s="104">
        <v>0</v>
      </c>
      <c r="BN79" s="1314">
        <f t="shared" si="38"/>
        <v>1945.5482651828188</v>
      </c>
    </row>
    <row r="80" spans="1:66">
      <c r="A80" s="1034">
        <f>'Input data'!A110</f>
        <v>2012</v>
      </c>
      <c r="B80" s="1083">
        <f>'Input data'!B110</f>
        <v>52.325000000000003</v>
      </c>
      <c r="C80" s="1083">
        <f>'Baseline data (from input)'!B68</f>
        <v>520.80492521020824</v>
      </c>
      <c r="D80" s="1084">
        <f>'Baseline data (from input)'!L68</f>
        <v>0.67426941804135143</v>
      </c>
      <c r="E80" s="1085">
        <f t="shared" si="39"/>
        <v>0.24001298204245269</v>
      </c>
      <c r="F80" s="1085">
        <f t="shared" si="40"/>
        <v>0.30440139352934503</v>
      </c>
      <c r="G80" s="1085">
        <f t="shared" si="41"/>
        <v>5.8998240613430578E-2</v>
      </c>
      <c r="H80" s="1085">
        <f t="shared" si="42"/>
        <v>0</v>
      </c>
      <c r="I80" s="1085">
        <f t="shared" si="43"/>
        <v>0</v>
      </c>
      <c r="J80" s="1085">
        <f t="shared" si="44"/>
        <v>0</v>
      </c>
      <c r="K80" s="1085">
        <f t="shared" si="45"/>
        <v>0.39658738381477154</v>
      </c>
      <c r="L80" s="1093">
        <f t="shared" si="46"/>
        <v>0.99999999999999989</v>
      </c>
      <c r="M80" s="199"/>
      <c r="N80" s="1111">
        <f t="shared" si="48"/>
        <v>18374.59528039318</v>
      </c>
      <c r="O80" s="1105">
        <f>Parameters!R183</f>
        <v>0.73</v>
      </c>
      <c r="P80" s="1105">
        <f>E80*'MSW characteristics'!$B$28+'MSW characteristics'!$B$29*'4A SWD Case 1'!F80+'4A SWD Case 1'!G80*'MSW characteristics'!$B$30+'MSW characteristics'!$B$31*'4A SWD Case 1'!H80+'4A SWD Case 1'!I80*'MSW characteristics'!$B$32+'MSW characteristics'!$B$33*'4A SWD Case 1'!J80+'4A SWD Case 1'!K80*'MSW characteristics'!$B$35</f>
        <v>0.12048152225760915</v>
      </c>
      <c r="Q80" s="1104">
        <f t="shared" si="2"/>
        <v>808.03671174097656</v>
      </c>
      <c r="R80" s="1104">
        <f t="shared" si="3"/>
        <v>808.03671174097656</v>
      </c>
      <c r="S80" s="1106">
        <f t="shared" si="4"/>
        <v>0</v>
      </c>
      <c r="T80" s="1104">
        <f t="shared" si="5"/>
        <v>14602.667395849543</v>
      </c>
      <c r="U80" s="1104">
        <f t="shared" si="6"/>
        <v>707.26583927658862</v>
      </c>
      <c r="V80" s="1117">
        <f t="shared" si="7"/>
        <v>471.51055951772577</v>
      </c>
      <c r="W80" s="199"/>
      <c r="X80" s="1111">
        <f>'Baseline data (from input)'!T68*'Baseline data (from input)'!U68</f>
        <v>68212.799804891765</v>
      </c>
      <c r="Y80" s="1105">
        <f>Parameters!S183</f>
        <v>0.71500000000000008</v>
      </c>
      <c r="Z80" s="1105">
        <f t="shared" si="8"/>
        <v>0.15</v>
      </c>
      <c r="AA80" s="1104">
        <f t="shared" si="9"/>
        <v>3657.9113895373212</v>
      </c>
      <c r="AB80" s="1104">
        <f t="shared" si="10"/>
        <v>3657.9113895373212</v>
      </c>
      <c r="AC80" s="1106">
        <f t="shared" si="11"/>
        <v>0</v>
      </c>
      <c r="AD80" s="1104">
        <f t="shared" si="12"/>
        <v>48136.31620837564</v>
      </c>
      <c r="AE80" s="1104">
        <f t="shared" si="13"/>
        <v>2280.4565801184713</v>
      </c>
      <c r="AF80" s="1117">
        <f t="shared" si="14"/>
        <v>1520.3043867456474</v>
      </c>
      <c r="AG80" s="99"/>
      <c r="AH80" s="1111">
        <f>'Baseline data (from input)'!T68*'Baseline data (from input)'!U68</f>
        <v>68212.799804891765</v>
      </c>
      <c r="AI80" s="1105">
        <f>Parameters!S183</f>
        <v>0.71500000000000008</v>
      </c>
      <c r="AJ80" s="1105">
        <f t="shared" si="15"/>
        <v>0.15</v>
      </c>
      <c r="AK80" s="1104">
        <f t="shared" si="16"/>
        <v>3657.9113895373212</v>
      </c>
      <c r="AL80" s="1104">
        <f t="shared" si="17"/>
        <v>3657.9113895373212</v>
      </c>
      <c r="AM80" s="1106">
        <f t="shared" si="18"/>
        <v>0</v>
      </c>
      <c r="AN80" s="1104">
        <f t="shared" si="19"/>
        <v>48136.31620837564</v>
      </c>
      <c r="AO80" s="1104">
        <f t="shared" si="20"/>
        <v>2280.4565801184713</v>
      </c>
      <c r="AP80" s="1117">
        <f t="shared" si="21"/>
        <v>1520.3043867456474</v>
      </c>
      <c r="AQ80" s="99"/>
      <c r="AR80" s="1111">
        <v>501</v>
      </c>
      <c r="AS80" s="1105">
        <v>1</v>
      </c>
      <c r="AT80" s="1105">
        <f t="shared" si="22"/>
        <v>0.05</v>
      </c>
      <c r="AU80" s="1104">
        <f t="shared" si="23"/>
        <v>12.525</v>
      </c>
      <c r="AV80" s="1104">
        <f t="shared" si="24"/>
        <v>12.525</v>
      </c>
      <c r="AW80" s="1106">
        <f t="shared" si="25"/>
        <v>0</v>
      </c>
      <c r="AX80" s="1104">
        <f t="shared" si="49"/>
        <v>116.48339278291267</v>
      </c>
      <c r="AY80" s="1104">
        <f t="shared" si="52"/>
        <v>6.428427994101356</v>
      </c>
      <c r="AZ80" s="1117">
        <f t="shared" si="50"/>
        <v>4.2856186627342376</v>
      </c>
      <c r="BB80" s="323">
        <f t="shared" si="29"/>
        <v>471.51055951772577</v>
      </c>
      <c r="BC80" s="324">
        <f t="shared" si="30"/>
        <v>1520.3043867456474</v>
      </c>
      <c r="BD80" s="1323">
        <f t="shared" si="51"/>
        <v>4.2856186627342376</v>
      </c>
      <c r="BE80" s="324">
        <f t="shared" si="32"/>
        <v>1996.1005649261076</v>
      </c>
      <c r="BF80" s="104">
        <v>0</v>
      </c>
      <c r="BG80" s="1314">
        <f t="shared" si="33"/>
        <v>1996.1005649261076</v>
      </c>
      <c r="BI80" s="323">
        <f t="shared" si="34"/>
        <v>471.51055951772577</v>
      </c>
      <c r="BJ80" s="324">
        <f t="shared" si="35"/>
        <v>1520.3043867456474</v>
      </c>
      <c r="BK80" s="1323">
        <f t="shared" si="36"/>
        <v>4.2856186627342376</v>
      </c>
      <c r="BL80" s="324">
        <f t="shared" si="37"/>
        <v>1996.1005649261076</v>
      </c>
      <c r="BM80" s="104">
        <v>0</v>
      </c>
      <c r="BN80" s="1314">
        <f t="shared" si="38"/>
        <v>1996.1005649261076</v>
      </c>
    </row>
    <row r="81" spans="1:66">
      <c r="A81" s="1034">
        <f>'Input data'!A111</f>
        <v>2013</v>
      </c>
      <c r="B81" s="1083">
        <f>'Input data'!B111</f>
        <v>53.103999999999999</v>
      </c>
      <c r="C81" s="1083">
        <f>'Baseline data (from input)'!B69</f>
        <v>501.49656694694431</v>
      </c>
      <c r="D81" s="1084">
        <f>'Baseline data (from input)'!L69</f>
        <v>0.63235922405513523</v>
      </c>
      <c r="E81" s="1085">
        <f t="shared" si="39"/>
        <v>0.24001298204245269</v>
      </c>
      <c r="F81" s="1085">
        <f t="shared" si="40"/>
        <v>0.30440139352934503</v>
      </c>
      <c r="G81" s="1085">
        <f t="shared" si="41"/>
        <v>5.8998240613430578E-2</v>
      </c>
      <c r="H81" s="1085">
        <f t="shared" si="42"/>
        <v>0</v>
      </c>
      <c r="I81" s="1085">
        <f t="shared" si="43"/>
        <v>0</v>
      </c>
      <c r="J81" s="1085">
        <f t="shared" si="44"/>
        <v>0</v>
      </c>
      <c r="K81" s="1085">
        <f t="shared" si="45"/>
        <v>0.39658738381477154</v>
      </c>
      <c r="L81" s="1093">
        <f t="shared" si="46"/>
        <v>0.99999999999999989</v>
      </c>
      <c r="M81" s="199"/>
      <c r="N81" s="1111">
        <f t="shared" si="48"/>
        <v>16840.658038780697</v>
      </c>
      <c r="O81" s="1105">
        <f>Parameters!R184</f>
        <v>0.73</v>
      </c>
      <c r="P81" s="1105">
        <f>E81*'MSW characteristics'!$B$28+'MSW characteristics'!$B$29*'4A SWD Case 1'!F81+'4A SWD Case 1'!G81*'MSW characteristics'!$B$30+'MSW characteristics'!$B$31*'4A SWD Case 1'!H81+'4A SWD Case 1'!I81*'MSW characteristics'!$B$32+'MSW characteristics'!$B$33*'4A SWD Case 1'!J81+'4A SWD Case 1'!K81*'MSW characteristics'!$B$35</f>
        <v>0.12048152225760915</v>
      </c>
      <c r="Q81" s="1104">
        <f t="shared" si="2"/>
        <v>740.58066246123144</v>
      </c>
      <c r="R81" s="1104">
        <f t="shared" si="3"/>
        <v>740.58066246123144</v>
      </c>
      <c r="S81" s="1106">
        <f t="shared" si="4"/>
        <v>0</v>
      </c>
      <c r="T81" s="1104">
        <f t="shared" si="5"/>
        <v>14631.067565590532</v>
      </c>
      <c r="U81" s="1104">
        <f t="shared" si="6"/>
        <v>712.180492720242</v>
      </c>
      <c r="V81" s="1117">
        <f t="shared" si="7"/>
        <v>474.78699514682802</v>
      </c>
      <c r="W81" s="199"/>
      <c r="X81" s="1111">
        <f>'Baseline data (from input)'!T69*'Baseline data (from input)'!U69</f>
        <v>69902.808589170294</v>
      </c>
      <c r="Y81" s="1105">
        <f>Parameters!S184</f>
        <v>0.71500000000000008</v>
      </c>
      <c r="Z81" s="1105">
        <f t="shared" si="8"/>
        <v>0.15</v>
      </c>
      <c r="AA81" s="1104">
        <f t="shared" si="9"/>
        <v>3748.5381105942574</v>
      </c>
      <c r="AB81" s="1104">
        <f t="shared" si="10"/>
        <v>3748.5381105942574</v>
      </c>
      <c r="AC81" s="1106">
        <f t="shared" si="11"/>
        <v>0</v>
      </c>
      <c r="AD81" s="1104">
        <f t="shared" si="12"/>
        <v>49537.218475071808</v>
      </c>
      <c r="AE81" s="1104">
        <f t="shared" si="13"/>
        <v>2347.6358438980878</v>
      </c>
      <c r="AF81" s="1117">
        <f t="shared" si="14"/>
        <v>1565.0905625987252</v>
      </c>
      <c r="AG81" s="99"/>
      <c r="AH81" s="1111">
        <f>'Baseline data (from input)'!T69*'Baseline data (from input)'!U69</f>
        <v>69902.808589170294</v>
      </c>
      <c r="AI81" s="1105">
        <f>Parameters!S184</f>
        <v>0.71500000000000008</v>
      </c>
      <c r="AJ81" s="1105">
        <f t="shared" si="15"/>
        <v>0.15</v>
      </c>
      <c r="AK81" s="1104">
        <f t="shared" si="16"/>
        <v>3748.5381105942574</v>
      </c>
      <c r="AL81" s="1104">
        <f t="shared" si="17"/>
        <v>3748.5381105942574</v>
      </c>
      <c r="AM81" s="1106">
        <f t="shared" si="18"/>
        <v>0</v>
      </c>
      <c r="AN81" s="1104">
        <f t="shared" si="19"/>
        <v>49537.218475071808</v>
      </c>
      <c r="AO81" s="1104">
        <f t="shared" si="20"/>
        <v>2347.6358438980878</v>
      </c>
      <c r="AP81" s="1117">
        <f t="shared" si="21"/>
        <v>1565.0905625987252</v>
      </c>
      <c r="AQ81" s="99"/>
      <c r="AR81" s="1111">
        <v>501</v>
      </c>
      <c r="AS81" s="1105">
        <v>1</v>
      </c>
      <c r="AT81" s="1105">
        <f t="shared" si="22"/>
        <v>0.05</v>
      </c>
      <c r="AU81" s="1104">
        <f t="shared" si="23"/>
        <v>12.525</v>
      </c>
      <c r="AV81" s="1104">
        <f t="shared" si="24"/>
        <v>12.525</v>
      </c>
      <c r="AW81" s="1106">
        <f t="shared" si="25"/>
        <v>0</v>
      </c>
      <c r="AX81" s="1104">
        <f t="shared" si="49"/>
        <v>122.2249280745106</v>
      </c>
      <c r="AY81" s="1104">
        <f t="shared" si="52"/>
        <v>6.783464708402076</v>
      </c>
      <c r="AZ81" s="1117">
        <f t="shared" si="50"/>
        <v>4.5223098056013837</v>
      </c>
      <c r="BB81" s="323">
        <f t="shared" si="29"/>
        <v>474.78699514682802</v>
      </c>
      <c r="BC81" s="324">
        <f t="shared" si="30"/>
        <v>1565.0905625987252</v>
      </c>
      <c r="BD81" s="1323">
        <f t="shared" si="51"/>
        <v>4.5223098056013837</v>
      </c>
      <c r="BE81" s="324">
        <f t="shared" si="32"/>
        <v>2044.3998675511548</v>
      </c>
      <c r="BF81" s="104">
        <v>0</v>
      </c>
      <c r="BG81" s="1314">
        <f t="shared" si="33"/>
        <v>2044.3998675511548</v>
      </c>
      <c r="BI81" s="323">
        <f t="shared" si="34"/>
        <v>474.78699514682802</v>
      </c>
      <c r="BJ81" s="324">
        <f t="shared" si="35"/>
        <v>1565.0905625987252</v>
      </c>
      <c r="BK81" s="1323">
        <f t="shared" si="36"/>
        <v>4.5223098056013837</v>
      </c>
      <c r="BL81" s="324">
        <f t="shared" si="37"/>
        <v>2044.3998675511548</v>
      </c>
      <c r="BM81" s="104">
        <v>0</v>
      </c>
      <c r="BN81" s="1314">
        <f t="shared" si="38"/>
        <v>2044.3998675511548</v>
      </c>
    </row>
    <row r="82" spans="1:66">
      <c r="A82" s="1034">
        <f>'Input data'!A112</f>
        <v>2014</v>
      </c>
      <c r="B82" s="1083">
        <f>'Input data'!B112</f>
        <v>53.911999999999999</v>
      </c>
      <c r="C82" s="1083">
        <f>'Baseline data (from input)'!B70</f>
        <v>482.18820868368039</v>
      </c>
      <c r="D82" s="1084">
        <f>'Baseline data (from input)'!L70</f>
        <v>0.59044903006891902</v>
      </c>
      <c r="E82" s="1085">
        <f t="shared" si="39"/>
        <v>0.24001298204245269</v>
      </c>
      <c r="F82" s="1085">
        <f t="shared" si="40"/>
        <v>0.30440139352934503</v>
      </c>
      <c r="G82" s="1085">
        <f t="shared" si="41"/>
        <v>5.8998240613430578E-2</v>
      </c>
      <c r="H82" s="1085">
        <f t="shared" si="42"/>
        <v>0</v>
      </c>
      <c r="I82" s="1085">
        <f t="shared" si="43"/>
        <v>0</v>
      </c>
      <c r="J82" s="1085">
        <f t="shared" si="44"/>
        <v>0</v>
      </c>
      <c r="K82" s="1085">
        <f t="shared" si="45"/>
        <v>0.39658738381477154</v>
      </c>
      <c r="L82" s="1093">
        <f t="shared" si="46"/>
        <v>0.99999999999999989</v>
      </c>
      <c r="M82" s="199"/>
      <c r="N82" s="1111">
        <f t="shared" ref="N82:N118" si="53">B82*C82*D82</f>
        <v>15349.153981617965</v>
      </c>
      <c r="O82" s="1105">
        <f>Parameters!R185</f>
        <v>0.73</v>
      </c>
      <c r="P82" s="1105">
        <f>E82*'MSW characteristics'!$B$28+'MSW characteristics'!$B$29*'4A SWD Case 1'!F82+'4A SWD Case 1'!G82*'MSW characteristics'!$B$30+'MSW characteristics'!$B$31*'4A SWD Case 1'!H82+'4A SWD Case 1'!I82*'MSW characteristics'!$B$32+'MSW characteristics'!$B$33*'4A SWD Case 1'!J82+'4A SWD Case 1'!K82*'MSW characteristics'!$B$35</f>
        <v>0.12048152225760915</v>
      </c>
      <c r="Q82" s="1104">
        <f t="shared" si="2"/>
        <v>674.99064453119786</v>
      </c>
      <c r="R82" s="1104">
        <f t="shared" si="3"/>
        <v>674.99064453119786</v>
      </c>
      <c r="S82" s="1106">
        <f t="shared" si="4"/>
        <v>0</v>
      </c>
      <c r="T82" s="1104">
        <f t="shared" si="5"/>
        <v>14592.492624778943</v>
      </c>
      <c r="U82" s="1104">
        <f t="shared" si="6"/>
        <v>713.56558534278747</v>
      </c>
      <c r="V82" s="1117">
        <f t="shared" si="7"/>
        <v>475.710390228525</v>
      </c>
      <c r="W82" s="199"/>
      <c r="X82" s="1111">
        <f>'Baseline data (from input)'!T70*'Baseline data (from input)'!U70</f>
        <v>71215.63588999986</v>
      </c>
      <c r="Y82" s="1105">
        <f>Parameters!S185</f>
        <v>0.71500000000000008</v>
      </c>
      <c r="Z82" s="1105">
        <f t="shared" si="8"/>
        <v>0.15</v>
      </c>
      <c r="AA82" s="1104">
        <f t="shared" si="9"/>
        <v>3818.9384746012424</v>
      </c>
      <c r="AB82" s="1104">
        <f t="shared" si="10"/>
        <v>3818.9384746012424</v>
      </c>
      <c r="AC82" s="1106">
        <f t="shared" si="11"/>
        <v>0</v>
      </c>
      <c r="AD82" s="1104">
        <f t="shared" si="12"/>
        <v>50940.198296009934</v>
      </c>
      <c r="AE82" s="1104">
        <f t="shared" si="13"/>
        <v>2415.9586536631141</v>
      </c>
      <c r="AF82" s="1117">
        <f t="shared" si="14"/>
        <v>1610.6391024420761</v>
      </c>
      <c r="AG82" s="99"/>
      <c r="AH82" s="1111">
        <f>'Baseline data (from input)'!T70*'Baseline data (from input)'!U70</f>
        <v>71215.63588999986</v>
      </c>
      <c r="AI82" s="1105">
        <f>Parameters!S185</f>
        <v>0.71500000000000008</v>
      </c>
      <c r="AJ82" s="1105">
        <f t="shared" si="15"/>
        <v>0.15</v>
      </c>
      <c r="AK82" s="1104">
        <f t="shared" si="16"/>
        <v>3818.9384746012424</v>
      </c>
      <c r="AL82" s="1104">
        <f t="shared" si="17"/>
        <v>3818.9384746012424</v>
      </c>
      <c r="AM82" s="1106">
        <f t="shared" si="18"/>
        <v>0</v>
      </c>
      <c r="AN82" s="1104">
        <f t="shared" si="19"/>
        <v>50940.198296009934</v>
      </c>
      <c r="AO82" s="1104">
        <f t="shared" si="20"/>
        <v>2415.9586536631141</v>
      </c>
      <c r="AP82" s="1117">
        <f t="shared" si="21"/>
        <v>1610.6391024420761</v>
      </c>
      <c r="AQ82" s="99"/>
      <c r="AR82" s="1111">
        <v>501</v>
      </c>
      <c r="AS82" s="1105">
        <v>1</v>
      </c>
      <c r="AT82" s="1105">
        <f t="shared" si="22"/>
        <v>0.05</v>
      </c>
      <c r="AU82" s="1104">
        <f t="shared" si="23"/>
        <v>12.525</v>
      </c>
      <c r="AV82" s="1104">
        <f t="shared" si="24"/>
        <v>12.525</v>
      </c>
      <c r="AW82" s="1106">
        <f t="shared" si="25"/>
        <v>0</v>
      </c>
      <c r="AX82" s="1104">
        <f t="shared" si="49"/>
        <v>127.63210238045983</v>
      </c>
      <c r="AY82" s="1104">
        <f t="shared" si="52"/>
        <v>7.1178256940507776</v>
      </c>
      <c r="AZ82" s="1117">
        <f t="shared" si="50"/>
        <v>4.7452171293671848</v>
      </c>
      <c r="BB82" s="323">
        <f t="shared" si="29"/>
        <v>475.710390228525</v>
      </c>
      <c r="BC82" s="324">
        <f t="shared" si="30"/>
        <v>1610.6391024420761</v>
      </c>
      <c r="BD82" s="1323">
        <f t="shared" si="51"/>
        <v>4.7452171293671848</v>
      </c>
      <c r="BE82" s="324">
        <f t="shared" ref="BE82:BE118" si="54">SUM(BB82:BD82)</f>
        <v>2091.0947097999683</v>
      </c>
      <c r="BF82" s="104">
        <v>0</v>
      </c>
      <c r="BG82" s="1314">
        <f t="shared" si="33"/>
        <v>2091.0947097999683</v>
      </c>
      <c r="BI82" s="323">
        <f t="shared" si="34"/>
        <v>475.710390228525</v>
      </c>
      <c r="BJ82" s="324">
        <f t="shared" si="35"/>
        <v>1610.6391024420761</v>
      </c>
      <c r="BK82" s="1323">
        <f t="shared" si="36"/>
        <v>4.7452171293671848</v>
      </c>
      <c r="BL82" s="324">
        <f t="shared" ref="BL82:BL118" si="55">SUM(BI82:BK82)</f>
        <v>2091.0947097999683</v>
      </c>
      <c r="BM82" s="104">
        <v>0</v>
      </c>
      <c r="BN82" s="1314">
        <f t="shared" si="38"/>
        <v>2091.0947097999683</v>
      </c>
    </row>
    <row r="83" spans="1:66">
      <c r="A83" s="1034">
        <f>'Input data'!A113</f>
        <v>2015</v>
      </c>
      <c r="B83" s="1083">
        <f>'Input data'!B113</f>
        <v>54.75</v>
      </c>
      <c r="C83" s="1083">
        <f>'Baseline data (from input)'!B71</f>
        <v>462.87985042041646</v>
      </c>
      <c r="D83" s="1084">
        <f>'Baseline data (from input)'!L71</f>
        <v>0.54853883608270282</v>
      </c>
      <c r="E83" s="1085">
        <f t="shared" si="39"/>
        <v>0.24001298204245269</v>
      </c>
      <c r="F83" s="1085">
        <f t="shared" si="40"/>
        <v>0.30440139352934503</v>
      </c>
      <c r="G83" s="1085">
        <f t="shared" si="41"/>
        <v>5.8998240613430578E-2</v>
      </c>
      <c r="H83" s="1085">
        <f t="shared" si="42"/>
        <v>0</v>
      </c>
      <c r="I83" s="1085">
        <f t="shared" si="43"/>
        <v>0</v>
      </c>
      <c r="J83" s="1085">
        <f t="shared" si="44"/>
        <v>0</v>
      </c>
      <c r="K83" s="1085">
        <f t="shared" si="45"/>
        <v>0.39658738381477154</v>
      </c>
      <c r="L83" s="1093">
        <f t="shared" si="46"/>
        <v>0.99999999999999989</v>
      </c>
      <c r="M83" s="199"/>
      <c r="N83" s="1111">
        <f t="shared" si="53"/>
        <v>13901.439698167358</v>
      </c>
      <c r="O83" s="1105">
        <f>Parameters!R186</f>
        <v>0.73</v>
      </c>
      <c r="P83" s="1105">
        <f>E83*'MSW characteristics'!$B$28+'MSW characteristics'!$B$29*'4A SWD Case 1'!F83+'4A SWD Case 1'!G83*'MSW characteristics'!$B$30+'MSW characteristics'!$B$31*'4A SWD Case 1'!H83+'4A SWD Case 1'!I83*'MSW characteristics'!$B$32+'MSW characteristics'!$B$33*'4A SWD Case 1'!J83+'4A SWD Case 1'!K83*'MSW characteristics'!$B$35</f>
        <v>0.12048152225760915</v>
      </c>
      <c r="Q83" s="1104">
        <f t="shared" ref="Q83:Q118" si="56">N83*P83*O83*$C$4</f>
        <v>611.32631498876003</v>
      </c>
      <c r="R83" s="1104">
        <f t="shared" ref="R83:R118" si="57">Q83*$C$10</f>
        <v>611.32631498876003</v>
      </c>
      <c r="S83" s="1106">
        <f t="shared" ref="S83:S118" si="58">Q83*(1-$C$10)</f>
        <v>0</v>
      </c>
      <c r="T83" s="1104">
        <f t="shared" ref="T83:T113" si="59">R83+(T82*$C$8)</f>
        <v>14492.134676488147</v>
      </c>
      <c r="U83" s="1104">
        <f t="shared" ref="U83:U118" si="60">S83+T82*(1-$C$8)</f>
        <v>711.68426327955535</v>
      </c>
      <c r="V83" s="1117">
        <f t="shared" ref="V83:V118" si="61">U83*16/12*$C$11</f>
        <v>474.45617551970355</v>
      </c>
      <c r="W83" s="199"/>
      <c r="X83" s="1111">
        <f>'Baseline data (from input)'!T71*'Baseline data (from input)'!U71</f>
        <v>72122.993096121791</v>
      </c>
      <c r="Y83" s="1105">
        <f>Parameters!S186</f>
        <v>0.71500000000000008</v>
      </c>
      <c r="Z83" s="1105">
        <f t="shared" ref="Z83:Z118" si="62">$D$3</f>
        <v>0.15</v>
      </c>
      <c r="AA83" s="1104">
        <f t="shared" ref="AA83:AA118" si="63">X83*Z83*Y83*$D$4</f>
        <v>3867.5955047795314</v>
      </c>
      <c r="AB83" s="1104">
        <f t="shared" ref="AB83:AB118" si="64">AA83*$D$10</f>
        <v>3867.5955047795314</v>
      </c>
      <c r="AC83" s="1106">
        <f t="shared" ref="AC83:AC118" si="65">AA83*(1-$D$10)</f>
        <v>0</v>
      </c>
      <c r="AD83" s="1104">
        <f t="shared" ref="AD83:AD118" si="66">AB83+(AD82*$D$8)</f>
        <v>52323.411013845311</v>
      </c>
      <c r="AE83" s="1104">
        <f t="shared" ref="AE83:AE118" si="67">AC83+AD82*(1-$D$8)</f>
        <v>2484.3827869441516</v>
      </c>
      <c r="AF83" s="1117">
        <f t="shared" ref="AF83:AF118" si="68">AE83*16/12*$D$11</f>
        <v>1656.255191296101</v>
      </c>
      <c r="AG83" s="99"/>
      <c r="AH83" s="1111">
        <f>'Baseline data (from input)'!T71*'Baseline data (from input)'!U71</f>
        <v>72122.993096121791</v>
      </c>
      <c r="AI83" s="1105">
        <f>Parameters!S186</f>
        <v>0.71500000000000008</v>
      </c>
      <c r="AJ83" s="1105">
        <f t="shared" ref="AJ83:AJ118" si="69">$D$3</f>
        <v>0.15</v>
      </c>
      <c r="AK83" s="1104">
        <f t="shared" ref="AK83:AK118" si="70">AH83*AJ83*AI83*$D$4</f>
        <v>3867.5955047795314</v>
      </c>
      <c r="AL83" s="1104">
        <f t="shared" ref="AL83:AL118" si="71">AK83*$D$10</f>
        <v>3867.5955047795314</v>
      </c>
      <c r="AM83" s="1106">
        <f t="shared" ref="AM83:AM118" si="72">AK83*(1-$D$10)</f>
        <v>0</v>
      </c>
      <c r="AN83" s="1104">
        <f t="shared" ref="AN83:AN118" si="73">AL83+(AN82*$D$8)</f>
        <v>52323.411013845311</v>
      </c>
      <c r="AO83" s="1104">
        <f t="shared" ref="AO83:AO118" si="74">AM83+AN82*(1-$D$8)</f>
        <v>2484.3827869441516</v>
      </c>
      <c r="AP83" s="1117">
        <f t="shared" ref="AP83:AP118" si="75">AO83*16/12*$D$11</f>
        <v>1656.255191296101</v>
      </c>
      <c r="AQ83" s="99"/>
      <c r="AR83" s="1111">
        <v>501</v>
      </c>
      <c r="AS83" s="1105">
        <v>1</v>
      </c>
      <c r="AT83" s="1105">
        <f t="shared" ref="AT83:AT118" si="76">$E$3</f>
        <v>0.05</v>
      </c>
      <c r="AU83" s="1104">
        <f t="shared" ref="AU83:AU118" si="77">AR83*AT83*AS83*$E$4</f>
        <v>12.525</v>
      </c>
      <c r="AV83" s="1104">
        <f t="shared" ref="AV83:AV118" si="78">AU83*$E$10</f>
        <v>12.525</v>
      </c>
      <c r="AW83" s="1106">
        <f t="shared" ref="AW83:AW118" si="79">AU83*(1-$C$10)</f>
        <v>0</v>
      </c>
      <c r="AX83" s="1104">
        <f t="shared" si="49"/>
        <v>132.72438736871084</v>
      </c>
      <c r="AY83" s="1104">
        <f t="shared" si="52"/>
        <v>7.4327150117489973</v>
      </c>
      <c r="AZ83" s="1117">
        <f t="shared" si="50"/>
        <v>4.9551433411659982</v>
      </c>
      <c r="BB83" s="323">
        <f t="shared" ref="BB83:BB118" si="80">V83</f>
        <v>474.45617551970355</v>
      </c>
      <c r="BC83" s="324">
        <f t="shared" ref="BC83:BC118" si="81">AF83</f>
        <v>1656.255191296101</v>
      </c>
      <c r="BD83" s="1323">
        <f t="shared" si="51"/>
        <v>4.9551433411659982</v>
      </c>
      <c r="BE83" s="324">
        <f t="shared" si="54"/>
        <v>2135.6665101569706</v>
      </c>
      <c r="BF83" s="104">
        <v>0</v>
      </c>
      <c r="BG83" s="1314">
        <f t="shared" ref="BG83:BG118" si="82">BE83-BF83</f>
        <v>2135.6665101569706</v>
      </c>
      <c r="BI83" s="323">
        <f t="shared" ref="BI83:BI118" si="83">V83</f>
        <v>474.45617551970355</v>
      </c>
      <c r="BJ83" s="324">
        <f t="shared" ref="BJ83:BJ118" si="84">AP83</f>
        <v>1656.255191296101</v>
      </c>
      <c r="BK83" s="1323">
        <f t="shared" ref="BK83:BK118" si="85">AZ83</f>
        <v>4.9551433411659982</v>
      </c>
      <c r="BL83" s="324">
        <f t="shared" si="55"/>
        <v>2135.6665101569706</v>
      </c>
      <c r="BM83" s="104">
        <v>0</v>
      </c>
      <c r="BN83" s="1314">
        <f t="shared" ref="BN83:BN118" si="86">BL83-BM83</f>
        <v>2135.6665101569706</v>
      </c>
    </row>
    <row r="84" spans="1:66">
      <c r="A84" s="1034">
        <f>'Input data'!A114</f>
        <v>2016</v>
      </c>
      <c r="B84" s="1083">
        <f>'Input data'!B114</f>
        <v>55.62</v>
      </c>
      <c r="C84" s="1083">
        <f>'Baseline data (from input)'!B72</f>
        <v>443.57149215715253</v>
      </c>
      <c r="D84" s="1084">
        <f>'Baseline data (from input)'!L72</f>
        <v>0.50662864209648661</v>
      </c>
      <c r="E84" s="1085">
        <f t="shared" ref="E84:E85" si="87">E83</f>
        <v>0.24001298204245269</v>
      </c>
      <c r="F84" s="1085">
        <f t="shared" ref="F84:F85" si="88">F83</f>
        <v>0.30440139352934503</v>
      </c>
      <c r="G84" s="1085">
        <f t="shared" ref="G84:G85" si="89">G83</f>
        <v>5.8998240613430578E-2</v>
      </c>
      <c r="H84" s="1085">
        <f t="shared" ref="H84:H85" si="90">H83</f>
        <v>0</v>
      </c>
      <c r="I84" s="1085">
        <f t="shared" ref="I84:I85" si="91">I83</f>
        <v>0</v>
      </c>
      <c r="J84" s="1085">
        <f t="shared" ref="J84:J85" si="92">J83</f>
        <v>0</v>
      </c>
      <c r="K84" s="1085">
        <f t="shared" ref="K84:K85" si="93">K83</f>
        <v>0.39658738381477154</v>
      </c>
      <c r="L84" s="1093">
        <f t="shared" ref="L84:L118" si="94">SUM(E84:K84)</f>
        <v>0.99999999999999989</v>
      </c>
      <c r="M84" s="199"/>
      <c r="N84" s="1111">
        <f t="shared" si="53"/>
        <v>12499.261385037438</v>
      </c>
      <c r="O84" s="1105">
        <f>Parameters!R187</f>
        <v>0.73</v>
      </c>
      <c r="P84" s="1105">
        <f>E84*'MSW characteristics'!$B$28+'MSW characteristics'!$B$29*'4A SWD Case 1'!F84+'4A SWD Case 1'!G84*'MSW characteristics'!$B$30+'MSW characteristics'!$B$31*'4A SWD Case 1'!H84+'4A SWD Case 1'!I84*'MSW characteristics'!$B$32+'MSW characteristics'!$B$33*'4A SWD Case 1'!J84+'4A SWD Case 1'!K84*'MSW characteristics'!$B$35</f>
        <v>0.12048152225760915</v>
      </c>
      <c r="Q84" s="1104">
        <f t="shared" si="56"/>
        <v>549.66446414924781</v>
      </c>
      <c r="R84" s="1104">
        <f t="shared" si="57"/>
        <v>549.66446414924781</v>
      </c>
      <c r="S84" s="1106">
        <f t="shared" si="58"/>
        <v>0</v>
      </c>
      <c r="T84" s="1104">
        <f t="shared" si="59"/>
        <v>14335.00939225191</v>
      </c>
      <c r="U84" s="1104">
        <f t="shared" si="60"/>
        <v>706.78974838548561</v>
      </c>
      <c r="V84" s="1117">
        <f t="shared" si="61"/>
        <v>471.19316559032376</v>
      </c>
      <c r="W84" s="199"/>
      <c r="X84" s="1111">
        <f>'Baseline data (from input)'!T72*'Baseline data (from input)'!U72</f>
        <v>72699.845027371557</v>
      </c>
      <c r="Y84" s="1105">
        <f>Parameters!S187</f>
        <v>0.71500000000000008</v>
      </c>
      <c r="Z84" s="1105">
        <f t="shared" si="62"/>
        <v>0.15</v>
      </c>
      <c r="AA84" s="1104">
        <f t="shared" si="63"/>
        <v>3898.5291895928003</v>
      </c>
      <c r="AB84" s="1104">
        <f t="shared" si="64"/>
        <v>3898.5291895928003</v>
      </c>
      <c r="AC84" s="1106">
        <f t="shared" si="65"/>
        <v>0</v>
      </c>
      <c r="AD84" s="1104">
        <f t="shared" si="66"/>
        <v>53670.097336207196</v>
      </c>
      <c r="AE84" s="1104">
        <f t="shared" si="67"/>
        <v>2551.8428672309146</v>
      </c>
      <c r="AF84" s="1117">
        <f t="shared" si="68"/>
        <v>1701.2285781539431</v>
      </c>
      <c r="AG84" s="99"/>
      <c r="AH84" s="1111">
        <f>'Baseline data (from input)'!T72*'Baseline data (from input)'!U72</f>
        <v>72699.845027371557</v>
      </c>
      <c r="AI84" s="1105">
        <f>Parameters!S187</f>
        <v>0.71500000000000008</v>
      </c>
      <c r="AJ84" s="1105">
        <f t="shared" si="69"/>
        <v>0.15</v>
      </c>
      <c r="AK84" s="1104">
        <f t="shared" si="70"/>
        <v>3898.5291895928003</v>
      </c>
      <c r="AL84" s="1104">
        <f t="shared" si="71"/>
        <v>3898.5291895928003</v>
      </c>
      <c r="AM84" s="1106">
        <f t="shared" si="72"/>
        <v>0</v>
      </c>
      <c r="AN84" s="1104">
        <f t="shared" si="73"/>
        <v>53670.097336207196</v>
      </c>
      <c r="AO84" s="1104">
        <f t="shared" si="74"/>
        <v>2551.8428672309146</v>
      </c>
      <c r="AP84" s="1117">
        <f t="shared" si="75"/>
        <v>1701.2285781539431</v>
      </c>
      <c r="AQ84" s="99"/>
      <c r="AR84" s="1111">
        <v>501</v>
      </c>
      <c r="AS84" s="1105">
        <v>1</v>
      </c>
      <c r="AT84" s="1105">
        <f t="shared" si="76"/>
        <v>0.05</v>
      </c>
      <c r="AU84" s="1104">
        <f t="shared" si="77"/>
        <v>12.525</v>
      </c>
      <c r="AV84" s="1104">
        <f t="shared" si="78"/>
        <v>12.525</v>
      </c>
      <c r="AW84" s="1106">
        <f t="shared" si="79"/>
        <v>0</v>
      </c>
      <c r="AX84" s="1104">
        <f t="shared" si="49"/>
        <v>137.52012076554911</v>
      </c>
      <c r="AY84" s="1104">
        <f t="shared" si="52"/>
        <v>7.7292666031617232</v>
      </c>
      <c r="AZ84" s="1117">
        <f t="shared" si="50"/>
        <v>5.1528444021078155</v>
      </c>
      <c r="BB84" s="323">
        <f t="shared" si="80"/>
        <v>471.19316559032376</v>
      </c>
      <c r="BC84" s="324">
        <f t="shared" si="81"/>
        <v>1701.2285781539431</v>
      </c>
      <c r="BD84" s="1323">
        <f t="shared" si="51"/>
        <v>5.1528444021078155</v>
      </c>
      <c r="BE84" s="324">
        <f t="shared" si="54"/>
        <v>2177.5745881463745</v>
      </c>
      <c r="BF84" s="104">
        <v>0</v>
      </c>
      <c r="BG84" s="1314">
        <f t="shared" si="82"/>
        <v>2177.5745881463745</v>
      </c>
      <c r="BI84" s="323">
        <f t="shared" si="83"/>
        <v>471.19316559032376</v>
      </c>
      <c r="BJ84" s="324">
        <f t="shared" si="84"/>
        <v>1701.2285781539431</v>
      </c>
      <c r="BK84" s="1323">
        <f t="shared" si="85"/>
        <v>5.1528444021078155</v>
      </c>
      <c r="BL84" s="324">
        <f t="shared" si="55"/>
        <v>2177.5745881463745</v>
      </c>
      <c r="BM84" s="104">
        <v>0</v>
      </c>
      <c r="BN84" s="1314">
        <f t="shared" si="86"/>
        <v>2177.5745881463745</v>
      </c>
    </row>
    <row r="85" spans="1:66" ht="13.15" customHeight="1" thickBot="1">
      <c r="A85" s="1094">
        <f>'Input data'!A115</f>
        <v>2017</v>
      </c>
      <c r="B85" s="1095">
        <f>'Input data'!B115</f>
        <v>56.521999999999998</v>
      </c>
      <c r="C85" s="1095">
        <f>'Baseline data (from input)'!B73</f>
        <v>424.26313389388866</v>
      </c>
      <c r="D85" s="1096">
        <f>'Baseline data (from input)'!L73</f>
        <v>0.46471844811027063</v>
      </c>
      <c r="E85" s="1097">
        <f t="shared" si="87"/>
        <v>0.24001298204245269</v>
      </c>
      <c r="F85" s="1097">
        <f t="shared" si="88"/>
        <v>0.30440139352934503</v>
      </c>
      <c r="G85" s="1097">
        <f t="shared" si="89"/>
        <v>5.8998240613430578E-2</v>
      </c>
      <c r="H85" s="1097">
        <f t="shared" si="90"/>
        <v>0</v>
      </c>
      <c r="I85" s="1097">
        <f t="shared" si="91"/>
        <v>0</v>
      </c>
      <c r="J85" s="1097">
        <f t="shared" si="92"/>
        <v>0</v>
      </c>
      <c r="K85" s="1097">
        <f t="shared" si="93"/>
        <v>0.39658738381477154</v>
      </c>
      <c r="L85" s="1098">
        <f t="shared" si="94"/>
        <v>0.99999999999999989</v>
      </c>
      <c r="M85" s="199"/>
      <c r="N85" s="1112">
        <f t="shared" si="53"/>
        <v>11144.041726220405</v>
      </c>
      <c r="O85" s="1113">
        <f>Parameters!R188</f>
        <v>0.73</v>
      </c>
      <c r="P85" s="1113">
        <f>E85*'MSW characteristics'!$B$28+'MSW characteristics'!$B$29*'4A SWD Case 1'!F85+'4A SWD Case 1'!G85*'MSW characteristics'!$B$30+'MSW characteristics'!$B$31*'4A SWD Case 1'!H85+'4A SWD Case 1'!I85*'MSW characteristics'!$B$32+'MSW characteristics'!$B$33*'4A SWD Case 1'!J85+'4A SWD Case 1'!K85*'MSW characteristics'!$B$35</f>
        <v>0.12048152225760915</v>
      </c>
      <c r="Q85" s="1114">
        <f t="shared" si="56"/>
        <v>490.06765561623229</v>
      </c>
      <c r="R85" s="1114">
        <f t="shared" si="57"/>
        <v>490.06765561623229</v>
      </c>
      <c r="S85" s="1115">
        <f t="shared" si="58"/>
        <v>0</v>
      </c>
      <c r="T85" s="1114">
        <f t="shared" si="59"/>
        <v>14125.950390020347</v>
      </c>
      <c r="U85" s="1114">
        <f t="shared" si="60"/>
        <v>699.12665784779551</v>
      </c>
      <c r="V85" s="1118">
        <f t="shared" si="61"/>
        <v>466.08443856519699</v>
      </c>
      <c r="W85" s="199"/>
      <c r="X85" s="1111">
        <f>'Baseline data (from input)'!T73*'Baseline data (from input)'!U73</f>
        <v>73563.119147615391</v>
      </c>
      <c r="Y85" s="1105">
        <f>Parameters!S188</f>
        <v>0.71500000000000008</v>
      </c>
      <c r="Z85" s="1105">
        <f t="shared" si="62"/>
        <v>0.15</v>
      </c>
      <c r="AA85" s="1104">
        <f t="shared" si="63"/>
        <v>3944.8222642908754</v>
      </c>
      <c r="AB85" s="1104">
        <f t="shared" si="64"/>
        <v>3944.8222642908754</v>
      </c>
      <c r="AC85" s="1106">
        <f t="shared" si="65"/>
        <v>0</v>
      </c>
      <c r="AD85" s="1104">
        <f t="shared" si="66"/>
        <v>54997.398066308546</v>
      </c>
      <c r="AE85" s="1104">
        <f t="shared" si="67"/>
        <v>2617.5215341895205</v>
      </c>
      <c r="AF85" s="1117">
        <f t="shared" si="68"/>
        <v>1745.0143561263469</v>
      </c>
      <c r="AG85" s="99"/>
      <c r="AH85" s="1111">
        <f>'Baseline data (from input)'!T73*'Baseline data (from input)'!U73</f>
        <v>73563.119147615391</v>
      </c>
      <c r="AI85" s="1113">
        <f>Parameters!S188</f>
        <v>0.71500000000000008</v>
      </c>
      <c r="AJ85" s="1113">
        <f t="shared" si="69"/>
        <v>0.15</v>
      </c>
      <c r="AK85" s="1114">
        <f t="shared" si="70"/>
        <v>3944.8222642908754</v>
      </c>
      <c r="AL85" s="1114">
        <f t="shared" si="71"/>
        <v>3944.8222642908754</v>
      </c>
      <c r="AM85" s="1115">
        <f t="shared" si="72"/>
        <v>0</v>
      </c>
      <c r="AN85" s="1114">
        <f t="shared" si="73"/>
        <v>54997.398066308546</v>
      </c>
      <c r="AO85" s="1114">
        <f t="shared" si="74"/>
        <v>2617.5215341895205</v>
      </c>
      <c r="AP85" s="1118">
        <f t="shared" si="75"/>
        <v>1745.0143561263469</v>
      </c>
      <c r="AQ85" s="99"/>
      <c r="AR85" s="1111">
        <v>501</v>
      </c>
      <c r="AS85" s="1105">
        <v>1</v>
      </c>
      <c r="AT85" s="1105">
        <f t="shared" si="76"/>
        <v>0.05</v>
      </c>
      <c r="AU85" s="1104">
        <f t="shared" si="77"/>
        <v>12.525</v>
      </c>
      <c r="AV85" s="1104">
        <f t="shared" si="78"/>
        <v>12.525</v>
      </c>
      <c r="AW85" s="1106">
        <f t="shared" si="79"/>
        <v>0</v>
      </c>
      <c r="AX85" s="1104">
        <f t="shared" si="49"/>
        <v>142.03657239121691</v>
      </c>
      <c r="AY85" s="1104">
        <f t="shared" si="52"/>
        <v>8.0085483743321948</v>
      </c>
      <c r="AZ85" s="1117">
        <f t="shared" si="50"/>
        <v>5.3390322495547968</v>
      </c>
      <c r="BB85" s="1145">
        <f t="shared" si="80"/>
        <v>466.08443856519699</v>
      </c>
      <c r="BC85" s="326">
        <f t="shared" si="81"/>
        <v>1745.0143561263469</v>
      </c>
      <c r="BD85" s="1325">
        <f t="shared" si="51"/>
        <v>5.3390322495547968</v>
      </c>
      <c r="BE85" s="326">
        <f t="shared" si="54"/>
        <v>2216.4378269410986</v>
      </c>
      <c r="BF85" s="163">
        <v>0</v>
      </c>
      <c r="BG85" s="1315">
        <f t="shared" si="82"/>
        <v>2216.4378269410986</v>
      </c>
      <c r="BI85" s="1145">
        <f t="shared" si="83"/>
        <v>466.08443856519699</v>
      </c>
      <c r="BJ85" s="326">
        <f t="shared" si="84"/>
        <v>1745.0143561263469</v>
      </c>
      <c r="BK85" s="1325">
        <f t="shared" si="85"/>
        <v>5.3390322495547968</v>
      </c>
      <c r="BL85" s="326">
        <f t="shared" si="55"/>
        <v>2216.4378269410986</v>
      </c>
      <c r="BM85" s="163">
        <v>0</v>
      </c>
      <c r="BN85" s="1315">
        <f t="shared" si="86"/>
        <v>2216.4378269410986</v>
      </c>
    </row>
    <row r="86" spans="1:66">
      <c r="A86" s="1155">
        <f>'Input data'!A116</f>
        <v>2018</v>
      </c>
      <c r="B86" s="1035">
        <f>'Input data'!B116</f>
        <v>57.436</v>
      </c>
      <c r="C86" s="1035">
        <f>'Recycling - Case 1'!AF96</f>
        <v>413.48982772620775</v>
      </c>
      <c r="D86" s="1036">
        <f>'Recycling - Case 1'!AM96</f>
        <v>0.45206847792303823</v>
      </c>
      <c r="E86" s="1037">
        <f>'Recycling - Case 1'!BE96</f>
        <v>0.23273791601409247</v>
      </c>
      <c r="F86" s="1037">
        <f>'Recycling - Case 1'!BF96</f>
        <v>0.29892807109844727</v>
      </c>
      <c r="G86" s="1037">
        <f>'Recycling - Case 1'!BG96</f>
        <v>6.0649154183622316E-2</v>
      </c>
      <c r="H86" s="1037">
        <f>'Recycling - Case 1'!BH96</f>
        <v>0</v>
      </c>
      <c r="I86" s="1037">
        <f>'Recycling - Case 1'!BI96</f>
        <v>0</v>
      </c>
      <c r="J86" s="1037">
        <f>'Recycling - Case 1'!BJ96</f>
        <v>0</v>
      </c>
      <c r="K86" s="1037">
        <f>'Recycling - Case 1'!BK96</f>
        <v>0.40768485870383786</v>
      </c>
      <c r="L86" s="1038">
        <f t="shared" si="94"/>
        <v>0.99999999999999989</v>
      </c>
      <c r="M86" s="99"/>
      <c r="N86" s="1250">
        <f t="shared" si="53"/>
        <v>10736.265484877009</v>
      </c>
      <c r="O86" s="1251">
        <f>Parameters!R189</f>
        <v>0.74038461538461531</v>
      </c>
      <c r="P86" s="1252">
        <f>E86*'MSW characteristics'!$B$28+'MSW characteristics'!$B$29*'4A SWD Case 1'!F86+'4A SWD Case 1'!G86*'MSW characteristics'!$B$30+'MSW characteristics'!$B$31*'4A SWD Case 1'!H86+'4A SWD Case 1'!I86*'MSW characteristics'!$B$32+'MSW characteristics'!$B$33*'4A SWD Case 1'!J86+'4A SWD Case 1'!K86*'MSW characteristics'!$B$35</f>
        <v>0.11895596329525224</v>
      </c>
      <c r="Q86" s="1051">
        <f t="shared" si="56"/>
        <v>472.78844147561387</v>
      </c>
      <c r="R86" s="1051">
        <f t="shared" si="57"/>
        <v>472.78844147561387</v>
      </c>
      <c r="S86" s="1052">
        <f t="shared" si="58"/>
        <v>0</v>
      </c>
      <c r="T86" s="1051">
        <f t="shared" si="59"/>
        <v>13909.808101500304</v>
      </c>
      <c r="U86" s="1051">
        <f t="shared" si="60"/>
        <v>688.93072999565561</v>
      </c>
      <c r="V86" s="1253">
        <f t="shared" si="61"/>
        <v>459.28715333043709</v>
      </c>
      <c r="W86" s="99"/>
      <c r="X86" s="1258">
        <f>'Recycling - Case 1'!AC136*'Recycling - Case 1'!AE136*'Recycling - Case 1'!C136</f>
        <v>70452.028766012067</v>
      </c>
      <c r="Y86" s="1259">
        <f>Parameters!S189</f>
        <v>0.71500000000000008</v>
      </c>
      <c r="Z86" s="1260">
        <f t="shared" si="62"/>
        <v>0.15</v>
      </c>
      <c r="AA86" s="1261">
        <f t="shared" si="63"/>
        <v>3777.9900425773976</v>
      </c>
      <c r="AB86" s="1261">
        <f t="shared" si="64"/>
        <v>3777.9900425773976</v>
      </c>
      <c r="AC86" s="1262">
        <f t="shared" si="65"/>
        <v>0</v>
      </c>
      <c r="AD86" s="1261">
        <f t="shared" si="66"/>
        <v>56093.133354228754</v>
      </c>
      <c r="AE86" s="1261">
        <f t="shared" si="67"/>
        <v>2682.2547546571859</v>
      </c>
      <c r="AF86" s="1263">
        <f t="shared" si="68"/>
        <v>1788.1698364381239</v>
      </c>
      <c r="AG86" s="99"/>
      <c r="AH86" s="1258">
        <f>'Recycling - Case 1'!AC176*'Recycling - Case 1'!AE176*'Recycling - Case 1'!C176</f>
        <v>70452.028766012067</v>
      </c>
      <c r="AI86" s="1259">
        <f>Parameters!S189</f>
        <v>0.71500000000000008</v>
      </c>
      <c r="AJ86" s="1260">
        <f t="shared" si="69"/>
        <v>0.15</v>
      </c>
      <c r="AK86" s="1261">
        <f t="shared" si="70"/>
        <v>3777.9900425773976</v>
      </c>
      <c r="AL86" s="1261">
        <f t="shared" si="71"/>
        <v>3777.9900425773976</v>
      </c>
      <c r="AM86" s="1262">
        <f t="shared" si="72"/>
        <v>0</v>
      </c>
      <c r="AN86" s="1261">
        <f t="shared" si="73"/>
        <v>56093.133354228754</v>
      </c>
      <c r="AO86" s="1261">
        <f t="shared" si="74"/>
        <v>2682.2547546571859</v>
      </c>
      <c r="AP86" s="1263">
        <f t="shared" si="75"/>
        <v>1788.1698364381239</v>
      </c>
      <c r="AQ86" s="99"/>
      <c r="AR86" s="1299">
        <f>'Recycling - Case 1'!G96</f>
        <v>513.23802109781525</v>
      </c>
      <c r="AS86" s="1300">
        <v>1</v>
      </c>
      <c r="AT86" s="1301">
        <f t="shared" si="76"/>
        <v>0.05</v>
      </c>
      <c r="AU86" s="1278">
        <f t="shared" si="77"/>
        <v>12.830950527445381</v>
      </c>
      <c r="AV86" s="1278">
        <f t="shared" si="78"/>
        <v>12.830950527445381</v>
      </c>
      <c r="AW86" s="1279">
        <f t="shared" si="79"/>
        <v>0</v>
      </c>
      <c r="AX86" s="1278">
        <f t="shared" si="49"/>
        <v>146.59595687736515</v>
      </c>
      <c r="AY86" s="1278">
        <f t="shared" si="52"/>
        <v>8.2715660412971381</v>
      </c>
      <c r="AZ86" s="1302">
        <f t="shared" si="50"/>
        <v>5.514377360864759</v>
      </c>
      <c r="BB86" s="1291">
        <f t="shared" si="80"/>
        <v>459.28715333043709</v>
      </c>
      <c r="BC86" s="1292">
        <f t="shared" si="81"/>
        <v>1788.1698364381239</v>
      </c>
      <c r="BD86" s="1326">
        <f>AZ86</f>
        <v>5.514377360864759</v>
      </c>
      <c r="BE86" s="1292">
        <f t="shared" si="54"/>
        <v>2252.9713671294257</v>
      </c>
      <c r="BF86" s="1293">
        <v>0</v>
      </c>
      <c r="BG86" s="1316">
        <f t="shared" si="82"/>
        <v>2252.9713671294257</v>
      </c>
      <c r="BI86" s="1291">
        <f t="shared" si="83"/>
        <v>459.28715333043709</v>
      </c>
      <c r="BJ86" s="1292">
        <f t="shared" si="84"/>
        <v>1788.1698364381239</v>
      </c>
      <c r="BK86" s="1326">
        <f t="shared" si="85"/>
        <v>5.514377360864759</v>
      </c>
      <c r="BL86" s="1292">
        <f t="shared" si="55"/>
        <v>2252.9713671294257</v>
      </c>
      <c r="BM86" s="1293">
        <v>0</v>
      </c>
      <c r="BN86" s="1316">
        <f t="shared" si="86"/>
        <v>2252.9713671294257</v>
      </c>
    </row>
    <row r="87" spans="1:66">
      <c r="A87" s="1156">
        <f>'Input data'!A117</f>
        <v>2019</v>
      </c>
      <c r="B87" s="1039">
        <f>'Input data'!B117</f>
        <v>58.365000000000002</v>
      </c>
      <c r="C87" s="1039">
        <f>'Recycling - Case 1'!AF97</f>
        <v>403.30588282793241</v>
      </c>
      <c r="D87" s="1040">
        <f>'Recycling - Case 1'!AM97</f>
        <v>0.43941850773580582</v>
      </c>
      <c r="E87" s="1041">
        <f>'Recycling - Case 1'!BE97</f>
        <v>0.22504398110902918</v>
      </c>
      <c r="F87" s="1041">
        <f>'Recycling - Case 1'!BF97</f>
        <v>0.29313961689973789</v>
      </c>
      <c r="G87" s="1041">
        <f>'Recycling - Case 1'!BG97</f>
        <v>6.23951206797922E-2</v>
      </c>
      <c r="H87" s="1041">
        <f>'Recycling - Case 1'!BH97</f>
        <v>0</v>
      </c>
      <c r="I87" s="1041">
        <f>'Recycling - Case 1'!BI97</f>
        <v>0</v>
      </c>
      <c r="J87" s="1041">
        <f>'Recycling - Case 1'!BJ97</f>
        <v>0</v>
      </c>
      <c r="K87" s="1041">
        <f>'Recycling - Case 1'!BK97</f>
        <v>0.41942128131144069</v>
      </c>
      <c r="L87" s="1042">
        <f t="shared" si="94"/>
        <v>1</v>
      </c>
      <c r="M87" s="99"/>
      <c r="N87" s="1053">
        <f t="shared" si="53"/>
        <v>10343.449338468228</v>
      </c>
      <c r="O87" s="1048">
        <f>Parameters!R190</f>
        <v>0.75076923076923063</v>
      </c>
      <c r="P87" s="1049">
        <f>E87*'MSW characteristics'!$B$28+'MSW characteristics'!$B$29*'4A SWD Case 1'!F87+'4A SWD Case 1'!G87*'MSW characteristics'!$B$30+'MSW characteristics'!$B$31*'4A SWD Case 1'!H87+'4A SWD Case 1'!I87*'MSW characteristics'!$B$32+'MSW characteristics'!$B$33*'4A SWD Case 1'!J87+'4A SWD Case 1'!K87*'MSW characteristics'!$B$35</f>
        <v>0.11734256881821883</v>
      </c>
      <c r="Q87" s="1047">
        <f t="shared" si="56"/>
        <v>455.61441147590796</v>
      </c>
      <c r="R87" s="1047">
        <f t="shared" si="57"/>
        <v>455.61441147590796</v>
      </c>
      <c r="S87" s="1050">
        <f t="shared" si="58"/>
        <v>0</v>
      </c>
      <c r="T87" s="1047">
        <f t="shared" si="59"/>
        <v>13687.033166781412</v>
      </c>
      <c r="U87" s="1047">
        <f t="shared" si="60"/>
        <v>678.3893461948004</v>
      </c>
      <c r="V87" s="1054">
        <f t="shared" si="61"/>
        <v>452.25956412986693</v>
      </c>
      <c r="W87" s="104"/>
      <c r="X87" s="1264">
        <f>'Recycling - Case 1'!AC137*'Recycling - Case 1'!AE137*'Recycling - Case 1'!C137</f>
        <v>67367.156810810542</v>
      </c>
      <c r="Y87" s="1265">
        <f>Parameters!S190</f>
        <v>0.71500000000000008</v>
      </c>
      <c r="Z87" s="1266">
        <f t="shared" si="62"/>
        <v>0.15</v>
      </c>
      <c r="AA87" s="1267">
        <f t="shared" si="63"/>
        <v>3612.5637839797159</v>
      </c>
      <c r="AB87" s="1267">
        <f t="shared" si="64"/>
        <v>3612.5637839797159</v>
      </c>
      <c r="AC87" s="1268">
        <f t="shared" si="65"/>
        <v>0</v>
      </c>
      <c r="AD87" s="1267">
        <f t="shared" si="66"/>
        <v>56970.002742964534</v>
      </c>
      <c r="AE87" s="1267">
        <f t="shared" si="67"/>
        <v>2735.6943952439301</v>
      </c>
      <c r="AF87" s="1269">
        <f t="shared" si="68"/>
        <v>1823.7962634959533</v>
      </c>
      <c r="AG87" s="99"/>
      <c r="AH87" s="1264">
        <f>'Recycling - Case 1'!AC177*'Recycling - Case 1'!AE177*'Recycling - Case 1'!C177</f>
        <v>67367.156810810542</v>
      </c>
      <c r="AI87" s="1265">
        <f>Parameters!S190</f>
        <v>0.71500000000000008</v>
      </c>
      <c r="AJ87" s="1266">
        <f t="shared" si="69"/>
        <v>0.15</v>
      </c>
      <c r="AK87" s="1267">
        <f t="shared" si="70"/>
        <v>3612.5637839797159</v>
      </c>
      <c r="AL87" s="1267">
        <f t="shared" si="71"/>
        <v>3612.5637839797159</v>
      </c>
      <c r="AM87" s="1268">
        <f t="shared" si="72"/>
        <v>0</v>
      </c>
      <c r="AN87" s="1267">
        <f t="shared" si="73"/>
        <v>56970.002742964534</v>
      </c>
      <c r="AO87" s="1267">
        <f t="shared" si="74"/>
        <v>2735.6943952439301</v>
      </c>
      <c r="AP87" s="1269">
        <f t="shared" si="75"/>
        <v>1823.7962634959533</v>
      </c>
      <c r="AQ87" s="99"/>
      <c r="AR87" s="1303">
        <f>'Recycling - Case 1'!G97</f>
        <v>525.7428112174747</v>
      </c>
      <c r="AS87" s="1304">
        <v>1</v>
      </c>
      <c r="AT87" s="1305">
        <f t="shared" si="76"/>
        <v>0.05</v>
      </c>
      <c r="AU87" s="1283">
        <f t="shared" si="77"/>
        <v>13.143570280436869</v>
      </c>
      <c r="AV87" s="1283">
        <f t="shared" si="78"/>
        <v>13.143570280436869</v>
      </c>
      <c r="AW87" s="1284">
        <f t="shared" si="79"/>
        <v>0</v>
      </c>
      <c r="AX87" s="1283">
        <f t="shared" si="49"/>
        <v>151.2024432343853</v>
      </c>
      <c r="AY87" s="1283">
        <f t="shared" si="52"/>
        <v>8.5370839234167217</v>
      </c>
      <c r="AZ87" s="1306">
        <f t="shared" si="50"/>
        <v>5.6913892822778145</v>
      </c>
      <c r="BB87" s="1294">
        <f t="shared" si="80"/>
        <v>452.25956412986693</v>
      </c>
      <c r="BC87" s="1295">
        <f t="shared" si="81"/>
        <v>1823.7962634959533</v>
      </c>
      <c r="BD87" s="1327">
        <f t="shared" ref="BD87:BD118" si="95">AZ87</f>
        <v>5.6913892822778145</v>
      </c>
      <c r="BE87" s="1295">
        <f t="shared" si="54"/>
        <v>2281.7472169080979</v>
      </c>
      <c r="BF87" s="167">
        <v>0</v>
      </c>
      <c r="BG87" s="1317">
        <f t="shared" si="82"/>
        <v>2281.7472169080979</v>
      </c>
      <c r="BI87" s="1294">
        <f t="shared" si="83"/>
        <v>452.25956412986693</v>
      </c>
      <c r="BJ87" s="1295">
        <f t="shared" si="84"/>
        <v>1823.7962634959533</v>
      </c>
      <c r="BK87" s="1327">
        <f t="shared" si="85"/>
        <v>5.6913892822778145</v>
      </c>
      <c r="BL87" s="1295">
        <f t="shared" si="55"/>
        <v>2281.7472169080979</v>
      </c>
      <c r="BM87" s="167">
        <v>0</v>
      </c>
      <c r="BN87" s="1317">
        <f t="shared" si="86"/>
        <v>2281.7472169080979</v>
      </c>
    </row>
    <row r="88" spans="1:66">
      <c r="A88" s="1156">
        <f>'Input data'!A118</f>
        <v>2020</v>
      </c>
      <c r="B88" s="1039">
        <f>'Input data'!B118</f>
        <v>59.308999999999997</v>
      </c>
      <c r="C88" s="1039">
        <f>'Recycling - Case 1'!AF98</f>
        <v>393.69903802408868</v>
      </c>
      <c r="D88" s="1040">
        <f>'Recycling - Case 1'!AM98</f>
        <v>0.42676853754857341</v>
      </c>
      <c r="E88" s="1041">
        <f>'Recycling - Case 1'!BE98</f>
        <v>0.2168939298851266</v>
      </c>
      <c r="F88" s="1041">
        <f>'Recycling - Case 1'!BF98</f>
        <v>0.28700800819641364</v>
      </c>
      <c r="G88" s="1041">
        <f>'Recycling - Case 1'!BG98</f>
        <v>6.4244592576108622E-2</v>
      </c>
      <c r="H88" s="1041">
        <f>'Recycling - Case 1'!BH98</f>
        <v>0</v>
      </c>
      <c r="I88" s="1041">
        <f>'Recycling - Case 1'!BI98</f>
        <v>0</v>
      </c>
      <c r="J88" s="1041">
        <f>'Recycling - Case 1'!BJ98</f>
        <v>0</v>
      </c>
      <c r="K88" s="1041">
        <f>'Recycling - Case 1'!BK98</f>
        <v>0.43185346934235136</v>
      </c>
      <c r="L88" s="1042">
        <f t="shared" si="94"/>
        <v>1.0000000000000002</v>
      </c>
      <c r="M88" s="99"/>
      <c r="N88" s="1053">
        <f t="shared" si="53"/>
        <v>9965.001072889183</v>
      </c>
      <c r="O88" s="1048">
        <f>Parameters!R191</f>
        <v>0.76115384615384596</v>
      </c>
      <c r="P88" s="1049">
        <f>E88*'MSW characteristics'!$B$28+'MSW characteristics'!$B$29*'4A SWD Case 1'!F88+'4A SWD Case 1'!G88*'MSW characteristics'!$B$30+'MSW characteristics'!$B$31*'4A SWD Case 1'!H88+'4A SWD Case 1'!I88*'MSW characteristics'!$B$32+'MSW characteristics'!$B$33*'4A SWD Case 1'!J88+'4A SWD Case 1'!K88*'MSW characteristics'!$B$35</f>
        <v>0.11563352815249517</v>
      </c>
      <c r="Q88" s="1047">
        <f t="shared" si="56"/>
        <v>438.53430987096505</v>
      </c>
      <c r="R88" s="1047">
        <f t="shared" si="57"/>
        <v>438.53430987096505</v>
      </c>
      <c r="S88" s="1050">
        <f t="shared" si="58"/>
        <v>0</v>
      </c>
      <c r="T88" s="1047">
        <f t="shared" si="59"/>
        <v>13458.042992230632</v>
      </c>
      <c r="U88" s="1047">
        <f t="shared" si="60"/>
        <v>667.52448442174421</v>
      </c>
      <c r="V88" s="1054">
        <f t="shared" si="61"/>
        <v>445.01632294782945</v>
      </c>
      <c r="W88" s="104"/>
      <c r="X88" s="1264">
        <f>'Recycling - Case 1'!AC138*'Recycling - Case 1'!AE138*'Recycling - Case 1'!C138</f>
        <v>59241.345260578077</v>
      </c>
      <c r="Y88" s="1265">
        <f>Parameters!S191</f>
        <v>0.71500000000000008</v>
      </c>
      <c r="Z88" s="1266">
        <f t="shared" si="62"/>
        <v>0.15</v>
      </c>
      <c r="AA88" s="1267">
        <f t="shared" si="63"/>
        <v>3176.8171395985</v>
      </c>
      <c r="AB88" s="1267">
        <f t="shared" si="64"/>
        <v>3176.8171395985</v>
      </c>
      <c r="AC88" s="1268">
        <f t="shared" si="65"/>
        <v>0</v>
      </c>
      <c r="AD88" s="1267">
        <f t="shared" si="66"/>
        <v>57368.36006259275</v>
      </c>
      <c r="AE88" s="1267">
        <f t="shared" si="67"/>
        <v>2778.4598199702814</v>
      </c>
      <c r="AF88" s="1269">
        <f t="shared" si="68"/>
        <v>1852.3065466468543</v>
      </c>
      <c r="AG88" s="104"/>
      <c r="AH88" s="1264">
        <f>'Recycling - Case 1'!AC178*'Recycling - Case 1'!AE178*'Recycling - Case 1'!C178</f>
        <v>59241.345260578077</v>
      </c>
      <c r="AI88" s="1265">
        <f>Parameters!S191</f>
        <v>0.71500000000000008</v>
      </c>
      <c r="AJ88" s="1266">
        <f t="shared" si="69"/>
        <v>0.15</v>
      </c>
      <c r="AK88" s="1267">
        <f t="shared" si="70"/>
        <v>3176.8171395985</v>
      </c>
      <c r="AL88" s="1267">
        <f t="shared" si="71"/>
        <v>3176.8171395985</v>
      </c>
      <c r="AM88" s="1268">
        <f t="shared" si="72"/>
        <v>0</v>
      </c>
      <c r="AN88" s="1267">
        <f t="shared" si="73"/>
        <v>57368.36006259275</v>
      </c>
      <c r="AO88" s="1267">
        <f t="shared" si="74"/>
        <v>2778.4598199702814</v>
      </c>
      <c r="AP88" s="1269">
        <f t="shared" si="75"/>
        <v>1852.3065466468543</v>
      </c>
      <c r="AQ88" s="104"/>
      <c r="AR88" s="1303">
        <f>'Recycling - Case 1'!G98</f>
        <v>538.51761122950779</v>
      </c>
      <c r="AS88" s="1304">
        <v>1</v>
      </c>
      <c r="AT88" s="1305">
        <f t="shared" si="76"/>
        <v>0.05</v>
      </c>
      <c r="AU88" s="1283">
        <f t="shared" si="77"/>
        <v>13.462940280737696</v>
      </c>
      <c r="AV88" s="1283">
        <f t="shared" si="78"/>
        <v>13.462940280737696</v>
      </c>
      <c r="AW88" s="1284">
        <f t="shared" si="79"/>
        <v>0</v>
      </c>
      <c r="AX88" s="1283">
        <f t="shared" si="49"/>
        <v>155.8600387101674</v>
      </c>
      <c r="AY88" s="1283">
        <f t="shared" si="52"/>
        <v>8.8053448049555847</v>
      </c>
      <c r="AZ88" s="1306">
        <f t="shared" si="50"/>
        <v>5.8702298699703901</v>
      </c>
      <c r="BB88" s="1294">
        <f t="shared" si="80"/>
        <v>445.01632294782945</v>
      </c>
      <c r="BC88" s="1295">
        <f t="shared" si="81"/>
        <v>1852.3065466468543</v>
      </c>
      <c r="BD88" s="1327">
        <f t="shared" si="95"/>
        <v>5.8702298699703901</v>
      </c>
      <c r="BE88" s="1295">
        <f t="shared" si="54"/>
        <v>2303.1930994646541</v>
      </c>
      <c r="BF88" s="167">
        <v>0</v>
      </c>
      <c r="BG88" s="1317">
        <f t="shared" si="82"/>
        <v>2303.1930994646541</v>
      </c>
      <c r="BI88" s="1294">
        <f t="shared" si="83"/>
        <v>445.01632294782945</v>
      </c>
      <c r="BJ88" s="1295">
        <f t="shared" si="84"/>
        <v>1852.3065466468543</v>
      </c>
      <c r="BK88" s="1327">
        <f t="shared" si="85"/>
        <v>5.8702298699703901</v>
      </c>
      <c r="BL88" s="1295">
        <f t="shared" si="55"/>
        <v>2303.1930994646541</v>
      </c>
      <c r="BM88" s="167">
        <v>0</v>
      </c>
      <c r="BN88" s="1317">
        <f t="shared" si="86"/>
        <v>2303.1930994646541</v>
      </c>
    </row>
    <row r="89" spans="1:66">
      <c r="A89" s="1156">
        <f>'Input data'!A119</f>
        <v>2021</v>
      </c>
      <c r="B89" s="1039">
        <f>'Input data'!B119</f>
        <v>59.991999999999997</v>
      </c>
      <c r="C89" s="1039">
        <f>'Recycling - Case 1'!AF99</f>
        <v>384.65899435319329</v>
      </c>
      <c r="D89" s="1040">
        <f>'Recycling - Case 1'!AM99</f>
        <v>0.41411856736134106</v>
      </c>
      <c r="E89" s="1041">
        <f>'Recycling - Case 1'!BE99</f>
        <v>0.20824596374925214</v>
      </c>
      <c r="F89" s="1041">
        <f>'Recycling - Case 1'!BF99</f>
        <v>0.28050179823919702</v>
      </c>
      <c r="G89" s="1041">
        <f>'Recycling - Case 1'!BG99</f>
        <v>6.6207055128698136E-2</v>
      </c>
      <c r="H89" s="1041">
        <f>'Recycling - Case 1'!BH99</f>
        <v>0</v>
      </c>
      <c r="I89" s="1041">
        <f>'Recycling - Case 1'!BI99</f>
        <v>0</v>
      </c>
      <c r="J89" s="1041">
        <f>'Recycling - Case 1'!BJ99</f>
        <v>0</v>
      </c>
      <c r="K89" s="1041">
        <f>'Recycling - Case 1'!BK99</f>
        <v>0.44504518288285239</v>
      </c>
      <c r="L89" s="1042">
        <f t="shared" si="94"/>
        <v>0.99999999999999978</v>
      </c>
      <c r="M89" s="104"/>
      <c r="N89" s="1053">
        <f t="shared" si="53"/>
        <v>9556.3915443986007</v>
      </c>
      <c r="O89" s="1048">
        <f>Parameters!R192</f>
        <v>0.7715384615384614</v>
      </c>
      <c r="P89" s="1049">
        <f>E89*'MSW characteristics'!$B$28+'MSW characteristics'!$B$29*'4A SWD Case 1'!F89+'4A SWD Case 1'!G89*'MSW characteristics'!$B$30+'MSW characteristics'!$B$31*'4A SWD Case 1'!H89+'4A SWD Case 1'!I89*'MSW characteristics'!$B$32+'MSW characteristics'!$B$33*'4A SWD Case 1'!J89+'4A SWD Case 1'!K89*'MSW characteristics'!$B$35</f>
        <v>0.11382007626170648</v>
      </c>
      <c r="Q89" s="1047">
        <f t="shared" si="56"/>
        <v>419.60474692818696</v>
      </c>
      <c r="R89" s="1047">
        <f t="shared" si="57"/>
        <v>419.60474692818696</v>
      </c>
      <c r="S89" s="1050">
        <f t="shared" si="58"/>
        <v>0</v>
      </c>
      <c r="T89" s="1047">
        <f t="shared" si="59"/>
        <v>13221.291237333598</v>
      </c>
      <c r="U89" s="1047">
        <f t="shared" si="60"/>
        <v>656.35650182522068</v>
      </c>
      <c r="V89" s="1054">
        <f t="shared" si="61"/>
        <v>437.57100121681378</v>
      </c>
      <c r="W89" s="104"/>
      <c r="X89" s="1264">
        <f>'Recycling - Case 1'!AC139*'Recycling - Case 1'!AE139*'Recycling - Case 1'!C139</f>
        <v>57412.144226537283</v>
      </c>
      <c r="Y89" s="1265">
        <f>Parameters!S192</f>
        <v>0.71500000000000008</v>
      </c>
      <c r="Z89" s="1266">
        <f t="shared" si="62"/>
        <v>0.15</v>
      </c>
      <c r="AA89" s="1267">
        <f t="shared" si="63"/>
        <v>3078.7262341480618</v>
      </c>
      <c r="AB89" s="1267">
        <f t="shared" si="64"/>
        <v>3078.7262341480618</v>
      </c>
      <c r="AC89" s="1268">
        <f t="shared" si="65"/>
        <v>0</v>
      </c>
      <c r="AD89" s="1267">
        <f t="shared" si="66"/>
        <v>57649.19836103791</v>
      </c>
      <c r="AE89" s="1267">
        <f t="shared" si="67"/>
        <v>2797.8879357029027</v>
      </c>
      <c r="AF89" s="1269">
        <f t="shared" si="68"/>
        <v>1865.2586238019351</v>
      </c>
      <c r="AG89" s="104"/>
      <c r="AH89" s="1264">
        <f>'Recycling - Case 1'!AC179*'Recycling - Case 1'!AE179*'Recycling - Case 1'!C179</f>
        <v>57412.144226537283</v>
      </c>
      <c r="AI89" s="1265">
        <f>Parameters!S192</f>
        <v>0.71500000000000008</v>
      </c>
      <c r="AJ89" s="1266">
        <f t="shared" si="69"/>
        <v>0.15</v>
      </c>
      <c r="AK89" s="1267">
        <f t="shared" si="70"/>
        <v>3078.7262341480618</v>
      </c>
      <c r="AL89" s="1267">
        <f t="shared" si="71"/>
        <v>3078.7262341480618</v>
      </c>
      <c r="AM89" s="1268">
        <f t="shared" si="72"/>
        <v>0</v>
      </c>
      <c r="AN89" s="1267">
        <f t="shared" si="73"/>
        <v>57649.19836103791</v>
      </c>
      <c r="AO89" s="1267">
        <f t="shared" si="74"/>
        <v>2797.8879357029027</v>
      </c>
      <c r="AP89" s="1269">
        <f t="shared" si="75"/>
        <v>1865.2586238019351</v>
      </c>
      <c r="AQ89" s="104"/>
      <c r="AR89" s="1303">
        <f>'Recycling - Case 1'!G99</f>
        <v>549.03974240012258</v>
      </c>
      <c r="AS89" s="1304">
        <v>1</v>
      </c>
      <c r="AT89" s="1305">
        <f t="shared" si="76"/>
        <v>0.05</v>
      </c>
      <c r="AU89" s="1283">
        <f t="shared" si="77"/>
        <v>13.725993560003065</v>
      </c>
      <c r="AV89" s="1283">
        <f t="shared" si="78"/>
        <v>13.725993560003065</v>
      </c>
      <c r="AW89" s="1284">
        <f t="shared" si="79"/>
        <v>0</v>
      </c>
      <c r="AX89" s="1283">
        <f t="shared" si="49"/>
        <v>160.50945022030683</v>
      </c>
      <c r="AY89" s="1283">
        <f t="shared" si="52"/>
        <v>9.0765820498636476</v>
      </c>
      <c r="AZ89" s="1306">
        <f t="shared" si="50"/>
        <v>6.0510546999090984</v>
      </c>
      <c r="BB89" s="1294">
        <f t="shared" si="80"/>
        <v>437.57100121681378</v>
      </c>
      <c r="BC89" s="1295">
        <f t="shared" si="81"/>
        <v>1865.2586238019351</v>
      </c>
      <c r="BD89" s="1327">
        <f t="shared" si="95"/>
        <v>6.0510546999090984</v>
      </c>
      <c r="BE89" s="1295">
        <f t="shared" si="54"/>
        <v>2308.8806797186576</v>
      </c>
      <c r="BF89" s="167">
        <v>0</v>
      </c>
      <c r="BG89" s="1317">
        <f t="shared" si="82"/>
        <v>2308.8806797186576</v>
      </c>
      <c r="BI89" s="1294">
        <f t="shared" si="83"/>
        <v>437.57100121681378</v>
      </c>
      <c r="BJ89" s="1295">
        <f t="shared" si="84"/>
        <v>1865.2586238019351</v>
      </c>
      <c r="BK89" s="1327">
        <f t="shared" si="85"/>
        <v>6.0510546999090984</v>
      </c>
      <c r="BL89" s="1295">
        <f t="shared" si="55"/>
        <v>2308.8806797186576</v>
      </c>
      <c r="BM89" s="167">
        <v>0</v>
      </c>
      <c r="BN89" s="1317">
        <f t="shared" si="86"/>
        <v>2308.8806797186576</v>
      </c>
    </row>
    <row r="90" spans="1:66">
      <c r="A90" s="1156">
        <f>'Input data'!A120</f>
        <v>2022</v>
      </c>
      <c r="B90" s="1039">
        <f>'Input data'!B120</f>
        <v>60.682000000000002</v>
      </c>
      <c r="C90" s="1039">
        <f>'Recycling - Case 1'!AF100</f>
        <v>376.17753887427614</v>
      </c>
      <c r="D90" s="1040">
        <f>'Recycling - Case 1'!AM100</f>
        <v>0.40146859717410865</v>
      </c>
      <c r="E90" s="1041">
        <f>'Recycling - Case 1'!BE100</f>
        <v>0.19905301594074379</v>
      </c>
      <c r="F90" s="1041">
        <f>'Recycling - Case 1'!BF100</f>
        <v>0.2735855768261905</v>
      </c>
      <c r="G90" s="1041">
        <f>'Recycling - Case 1'!BG100</f>
        <v>6.8293189086516201E-2</v>
      </c>
      <c r="H90" s="1041">
        <f>'Recycling - Case 1'!BH100</f>
        <v>0</v>
      </c>
      <c r="I90" s="1041">
        <f>'Recycling - Case 1'!BI100</f>
        <v>0</v>
      </c>
      <c r="J90" s="1041">
        <f>'Recycling - Case 1'!BJ100</f>
        <v>0</v>
      </c>
      <c r="K90" s="1041">
        <f>'Recycling - Case 1'!BK100</f>
        <v>0.45906821814654947</v>
      </c>
      <c r="L90" s="1042">
        <f t="shared" si="94"/>
        <v>1</v>
      </c>
      <c r="M90" s="104"/>
      <c r="N90" s="1053">
        <f t="shared" si="53"/>
        <v>9164.4061349512831</v>
      </c>
      <c r="O90" s="1048">
        <f>Parameters!R193</f>
        <v>0.78192307692307683</v>
      </c>
      <c r="P90" s="1049">
        <f>E90*'MSW characteristics'!$B$28+'MSW characteristics'!$B$29*'4A SWD Case 1'!F90+'4A SWD Case 1'!G90*'MSW characteristics'!$B$30+'MSW characteristics'!$B$31*'4A SWD Case 1'!H90+'4A SWD Case 1'!I90*'MSW characteristics'!$B$32+'MSW characteristics'!$B$33*'4A SWD Case 1'!J90+'4A SWD Case 1'!K90*'MSW characteristics'!$B$35</f>
        <v>0.11189234339095615</v>
      </c>
      <c r="Q90" s="1047">
        <f t="shared" si="56"/>
        <v>400.90246989110989</v>
      </c>
      <c r="R90" s="1047">
        <f t="shared" si="57"/>
        <v>400.90246989110989</v>
      </c>
      <c r="S90" s="1050">
        <f t="shared" si="58"/>
        <v>0</v>
      </c>
      <c r="T90" s="1047">
        <f t="shared" si="59"/>
        <v>12977.383724736283</v>
      </c>
      <c r="U90" s="1047">
        <f t="shared" si="60"/>
        <v>644.8099824884265</v>
      </c>
      <c r="V90" s="1054">
        <f t="shared" si="61"/>
        <v>429.873321658951</v>
      </c>
      <c r="W90" s="104"/>
      <c r="X90" s="1264">
        <f>'Recycling - Case 1'!AC140*'Recycling - Case 1'!AE140*'Recycling - Case 1'!C140</f>
        <v>55565.514220652774</v>
      </c>
      <c r="Y90" s="1265">
        <f>Parameters!S193</f>
        <v>0.71500000000000008</v>
      </c>
      <c r="Z90" s="1266">
        <f t="shared" si="62"/>
        <v>0.15</v>
      </c>
      <c r="AA90" s="1267">
        <f t="shared" si="63"/>
        <v>2979.7007000825051</v>
      </c>
      <c r="AB90" s="1267">
        <f t="shared" si="64"/>
        <v>2979.7007000825051</v>
      </c>
      <c r="AC90" s="1268">
        <f t="shared" si="65"/>
        <v>0</v>
      </c>
      <c r="AD90" s="1267">
        <f t="shared" si="66"/>
        <v>57817.314479980101</v>
      </c>
      <c r="AE90" s="1267">
        <f t="shared" si="67"/>
        <v>2811.5845811403133</v>
      </c>
      <c r="AF90" s="1269">
        <f t="shared" si="68"/>
        <v>1874.3897207602088</v>
      </c>
      <c r="AG90" s="104"/>
      <c r="AH90" s="1264">
        <f>'Recycling - Case 1'!AC180*'Recycling - Case 1'!AE180*'Recycling - Case 1'!C180</f>
        <v>55565.514220652774</v>
      </c>
      <c r="AI90" s="1265">
        <f>Parameters!S193</f>
        <v>0.71500000000000008</v>
      </c>
      <c r="AJ90" s="1266">
        <f t="shared" si="69"/>
        <v>0.15</v>
      </c>
      <c r="AK90" s="1267">
        <f t="shared" si="70"/>
        <v>2979.7007000825051</v>
      </c>
      <c r="AL90" s="1267">
        <f t="shared" si="71"/>
        <v>2979.7007000825051</v>
      </c>
      <c r="AM90" s="1268">
        <f t="shared" si="72"/>
        <v>0</v>
      </c>
      <c r="AN90" s="1267">
        <f t="shared" si="73"/>
        <v>57817.314479980101</v>
      </c>
      <c r="AO90" s="1267">
        <f t="shared" si="74"/>
        <v>2811.5845811403133</v>
      </c>
      <c r="AP90" s="1269">
        <f t="shared" si="75"/>
        <v>1874.3897207602088</v>
      </c>
      <c r="AQ90" s="104"/>
      <c r="AR90" s="1303">
        <f>'Recycling - Case 1'!G100</f>
        <v>559.72481930992205</v>
      </c>
      <c r="AS90" s="1304">
        <v>1</v>
      </c>
      <c r="AT90" s="1305">
        <f t="shared" si="76"/>
        <v>0.05</v>
      </c>
      <c r="AU90" s="1283">
        <f t="shared" si="77"/>
        <v>13.993120482748052</v>
      </c>
      <c r="AV90" s="1283">
        <f t="shared" si="78"/>
        <v>13.993120482748052</v>
      </c>
      <c r="AW90" s="1284">
        <f t="shared" si="79"/>
        <v>0</v>
      </c>
      <c r="AX90" s="1283">
        <f t="shared" si="49"/>
        <v>165.1552280053395</v>
      </c>
      <c r="AY90" s="1283">
        <f t="shared" si="52"/>
        <v>9.34734269771538</v>
      </c>
      <c r="AZ90" s="1306">
        <f t="shared" si="50"/>
        <v>6.2315617984769203</v>
      </c>
      <c r="BB90" s="1294">
        <f t="shared" si="80"/>
        <v>429.873321658951</v>
      </c>
      <c r="BC90" s="1295">
        <f t="shared" si="81"/>
        <v>1874.3897207602088</v>
      </c>
      <c r="BD90" s="1327">
        <f t="shared" si="95"/>
        <v>6.2315617984769203</v>
      </c>
      <c r="BE90" s="1295">
        <f t="shared" si="54"/>
        <v>2310.4946042176366</v>
      </c>
      <c r="BF90" s="167">
        <v>0</v>
      </c>
      <c r="BG90" s="1317">
        <f t="shared" si="82"/>
        <v>2310.4946042176366</v>
      </c>
      <c r="BI90" s="1294">
        <f t="shared" si="83"/>
        <v>429.873321658951</v>
      </c>
      <c r="BJ90" s="1295">
        <f t="shared" si="84"/>
        <v>1874.3897207602088</v>
      </c>
      <c r="BK90" s="1327">
        <f t="shared" si="85"/>
        <v>6.2315617984769203</v>
      </c>
      <c r="BL90" s="1295">
        <f t="shared" si="55"/>
        <v>2310.4946042176366</v>
      </c>
      <c r="BM90" s="167">
        <v>0</v>
      </c>
      <c r="BN90" s="1317">
        <f t="shared" si="86"/>
        <v>2310.4946042176366</v>
      </c>
    </row>
    <row r="91" spans="1:66">
      <c r="A91" s="1156">
        <f>'Input data'!A121</f>
        <v>2023</v>
      </c>
      <c r="B91" s="1039">
        <f>'Input data'!B121</f>
        <v>61.381</v>
      </c>
      <c r="C91" s="1039">
        <f>'Recycling - Case 1'!AF101</f>
        <v>368.24870257779185</v>
      </c>
      <c r="D91" s="1040">
        <f>'Recycling - Case 1'!AM101</f>
        <v>0.38881862698687625</v>
      </c>
      <c r="E91" s="1041">
        <f>'Recycling - Case 1'!BE101</f>
        <v>0.18926189454877512</v>
      </c>
      <c r="F91" s="1041">
        <f>'Recycling - Case 1'!BF101</f>
        <v>0.26621932556064926</v>
      </c>
      <c r="G91" s="1041">
        <f>'Recycling - Case 1'!BG101</f>
        <v>7.0515065164394083E-2</v>
      </c>
      <c r="H91" s="1041">
        <f>'Recycling - Case 1'!BH101</f>
        <v>0</v>
      </c>
      <c r="I91" s="1041">
        <f>'Recycling - Case 1'!BI101</f>
        <v>0</v>
      </c>
      <c r="J91" s="1041">
        <f>'Recycling - Case 1'!BJ101</f>
        <v>0</v>
      </c>
      <c r="K91" s="1041">
        <f>'Recycling - Case 1'!BK101</f>
        <v>0.47400371472618164</v>
      </c>
      <c r="L91" s="1042">
        <f t="shared" si="94"/>
        <v>1</v>
      </c>
      <c r="M91" s="104"/>
      <c r="N91" s="1053">
        <f t="shared" si="53"/>
        <v>8788.651575312535</v>
      </c>
      <c r="O91" s="1048">
        <f>Parameters!R194</f>
        <v>0.79230769230769216</v>
      </c>
      <c r="P91" s="1049">
        <f>E91*'MSW characteristics'!$B$28+'MSW characteristics'!$B$29*'4A SWD Case 1'!F91+'4A SWD Case 1'!G91*'MSW characteristics'!$B$30+'MSW characteristics'!$B$31*'4A SWD Case 1'!H91+'4A SWD Case 1'!I91*'MSW characteristics'!$B$32+'MSW characteristics'!$B$33*'4A SWD Case 1'!J91+'4A SWD Case 1'!K91*'MSW characteristics'!$B$35</f>
        <v>0.10983917536020375</v>
      </c>
      <c r="Q91" s="1047">
        <f t="shared" si="56"/>
        <v>382.42245723357644</v>
      </c>
      <c r="R91" s="1047">
        <f t="shared" si="57"/>
        <v>382.42245723357644</v>
      </c>
      <c r="S91" s="1050">
        <f t="shared" si="58"/>
        <v>0</v>
      </c>
      <c r="T91" s="1047">
        <f t="shared" si="59"/>
        <v>12726.891709239404</v>
      </c>
      <c r="U91" s="1047">
        <f t="shared" si="60"/>
        <v>632.91447273045605</v>
      </c>
      <c r="V91" s="1054">
        <f t="shared" si="61"/>
        <v>421.94298182030406</v>
      </c>
      <c r="W91" s="104"/>
      <c r="X91" s="1264">
        <f>'Recycling - Case 1'!AC141*'Recycling - Case 1'!AE141*'Recycling - Case 1'!C141</f>
        <v>53765.968059773018</v>
      </c>
      <c r="Y91" s="1265">
        <f>Parameters!S194</f>
        <v>0.71500000000000008</v>
      </c>
      <c r="Z91" s="1266">
        <f t="shared" si="62"/>
        <v>0.15</v>
      </c>
      <c r="AA91" s="1267">
        <f t="shared" si="63"/>
        <v>2883.2000372053285</v>
      </c>
      <c r="AB91" s="1267">
        <f t="shared" si="64"/>
        <v>2883.2000372053285</v>
      </c>
      <c r="AC91" s="1268">
        <f t="shared" si="65"/>
        <v>0</v>
      </c>
      <c r="AD91" s="1267">
        <f t="shared" si="66"/>
        <v>57880.7308161736</v>
      </c>
      <c r="AE91" s="1267">
        <f t="shared" si="67"/>
        <v>2819.7837010118301</v>
      </c>
      <c r="AF91" s="1269">
        <f t="shared" si="68"/>
        <v>1879.8558006745534</v>
      </c>
      <c r="AG91" s="104"/>
      <c r="AH91" s="1264">
        <f>'Recycling - Case 1'!AC181*'Recycling - Case 1'!AE181*'Recycling - Case 1'!C181</f>
        <v>53765.968059773018</v>
      </c>
      <c r="AI91" s="1265">
        <f>Parameters!S194</f>
        <v>0.71500000000000008</v>
      </c>
      <c r="AJ91" s="1266">
        <f t="shared" si="69"/>
        <v>0.15</v>
      </c>
      <c r="AK91" s="1267">
        <f t="shared" si="70"/>
        <v>2883.2000372053285</v>
      </c>
      <c r="AL91" s="1267">
        <f t="shared" si="71"/>
        <v>2883.2000372053285</v>
      </c>
      <c r="AM91" s="1268">
        <f t="shared" si="72"/>
        <v>0</v>
      </c>
      <c r="AN91" s="1267">
        <f t="shared" si="73"/>
        <v>57880.7308161736</v>
      </c>
      <c r="AO91" s="1267">
        <f t="shared" si="74"/>
        <v>2819.7837010118301</v>
      </c>
      <c r="AP91" s="1269">
        <f t="shared" si="75"/>
        <v>1879.8558006745534</v>
      </c>
      <c r="AQ91" s="104"/>
      <c r="AR91" s="1303">
        <f>'Recycling - Case 1'!G101</f>
        <v>570.59294620778201</v>
      </c>
      <c r="AS91" s="1304">
        <v>1</v>
      </c>
      <c r="AT91" s="1305">
        <f t="shared" si="76"/>
        <v>0.05</v>
      </c>
      <c r="AU91" s="1283">
        <f t="shared" si="77"/>
        <v>14.264823655194551</v>
      </c>
      <c r="AV91" s="1283">
        <f t="shared" si="78"/>
        <v>14.264823655194551</v>
      </c>
      <c r="AW91" s="1284">
        <f t="shared" si="79"/>
        <v>0</v>
      </c>
      <c r="AX91" s="1283">
        <f t="shared" si="49"/>
        <v>169.80215992664336</v>
      </c>
      <c r="AY91" s="1283">
        <f t="shared" si="52"/>
        <v>9.6178917338906942</v>
      </c>
      <c r="AZ91" s="1306">
        <f t="shared" si="50"/>
        <v>6.4119278225937961</v>
      </c>
      <c r="BB91" s="1294">
        <f t="shared" si="80"/>
        <v>421.94298182030406</v>
      </c>
      <c r="BC91" s="1295">
        <f t="shared" si="81"/>
        <v>1879.8558006745534</v>
      </c>
      <c r="BD91" s="1327">
        <f t="shared" si="95"/>
        <v>6.4119278225937961</v>
      </c>
      <c r="BE91" s="1295">
        <f t="shared" si="54"/>
        <v>2308.2107103174512</v>
      </c>
      <c r="BF91" s="167">
        <v>0</v>
      </c>
      <c r="BG91" s="1317">
        <f t="shared" si="82"/>
        <v>2308.2107103174512</v>
      </c>
      <c r="BI91" s="1294">
        <f t="shared" si="83"/>
        <v>421.94298182030406</v>
      </c>
      <c r="BJ91" s="1295">
        <f t="shared" si="84"/>
        <v>1879.8558006745534</v>
      </c>
      <c r="BK91" s="1327">
        <f t="shared" si="85"/>
        <v>6.4119278225937961</v>
      </c>
      <c r="BL91" s="1295">
        <f t="shared" si="55"/>
        <v>2308.2107103174512</v>
      </c>
      <c r="BM91" s="167">
        <v>0</v>
      </c>
      <c r="BN91" s="1317">
        <f t="shared" si="86"/>
        <v>2308.2107103174512</v>
      </c>
    </row>
    <row r="92" spans="1:66">
      <c r="A92" s="1156">
        <f>'Input data'!A122</f>
        <v>2024</v>
      </c>
      <c r="B92" s="1039">
        <f>'Input data'!B122</f>
        <v>62.088000000000001</v>
      </c>
      <c r="C92" s="1039">
        <f>'Recycling - Case 1'!AF102</f>
        <v>360.86895989519803</v>
      </c>
      <c r="D92" s="1040">
        <f>'Recycling - Case 1'!AM102</f>
        <v>0.3761686567996439</v>
      </c>
      <c r="E92" s="1041">
        <f>'Recycling - Case 1'!BE102</f>
        <v>0.17881225261571868</v>
      </c>
      <c r="F92" s="1041">
        <f>'Recycling - Case 1'!BF102</f>
        <v>0.25835764301865044</v>
      </c>
      <c r="G92" s="1041">
        <f>'Recycling - Case 1'!BG102</f>
        <v>7.2886377755053203E-2</v>
      </c>
      <c r="H92" s="1041">
        <f>'Recycling - Case 1'!BH102</f>
        <v>0</v>
      </c>
      <c r="I92" s="1041">
        <f>'Recycling - Case 1'!BI102</f>
        <v>0</v>
      </c>
      <c r="J92" s="1041">
        <f>'Recycling - Case 1'!BJ102</f>
        <v>0</v>
      </c>
      <c r="K92" s="1041">
        <f>'Recycling - Case 1'!BK102</f>
        <v>0.48994372661057761</v>
      </c>
      <c r="L92" s="1042">
        <f t="shared" si="94"/>
        <v>1</v>
      </c>
      <c r="M92" s="104"/>
      <c r="N92" s="1053">
        <f t="shared" si="53"/>
        <v>8428.2964874059471</v>
      </c>
      <c r="O92" s="1048">
        <f>Parameters!R195</f>
        <v>0.80269230769230759</v>
      </c>
      <c r="P92" s="1049">
        <f>E92*'MSW characteristics'!$B$28+'MSW characteristics'!$B$29*'4A SWD Case 1'!F92+'4A SWD Case 1'!G92*'MSW characteristics'!$B$30+'MSW characteristics'!$B$31*'4A SWD Case 1'!H92+'4A SWD Case 1'!I92*'MSW characteristics'!$B$32+'MSW characteristics'!$B$33*'4A SWD Case 1'!J92+'4A SWD Case 1'!K92*'MSW characteristics'!$B$35</f>
        <v>0.10764791759810917</v>
      </c>
      <c r="Q92" s="1047">
        <f t="shared" si="56"/>
        <v>364.13677629986427</v>
      </c>
      <c r="R92" s="1047">
        <f t="shared" si="57"/>
        <v>364.13677629986427</v>
      </c>
      <c r="S92" s="1050">
        <f t="shared" si="58"/>
        <v>0</v>
      </c>
      <c r="T92" s="1047">
        <f t="shared" si="59"/>
        <v>12470.33065256257</v>
      </c>
      <c r="U92" s="1047">
        <f t="shared" si="60"/>
        <v>620.69783297669721</v>
      </c>
      <c r="V92" s="1054">
        <f t="shared" si="61"/>
        <v>413.79855531779816</v>
      </c>
      <c r="W92" s="104"/>
      <c r="X92" s="1264">
        <f>'Recycling - Case 1'!AC142*'Recycling - Case 1'!AE142*'Recycling - Case 1'!C142</f>
        <v>51966.975095205482</v>
      </c>
      <c r="Y92" s="1265">
        <f>Parameters!S195</f>
        <v>0.71500000000000008</v>
      </c>
      <c r="Z92" s="1266">
        <f t="shared" si="62"/>
        <v>0.15</v>
      </c>
      <c r="AA92" s="1267">
        <f t="shared" si="63"/>
        <v>2786.729039480394</v>
      </c>
      <c r="AB92" s="1267">
        <f t="shared" si="64"/>
        <v>2786.729039480394</v>
      </c>
      <c r="AC92" s="1268">
        <f t="shared" si="65"/>
        <v>0</v>
      </c>
      <c r="AD92" s="1267">
        <f t="shared" si="66"/>
        <v>57844.58330342995</v>
      </c>
      <c r="AE92" s="1267">
        <f t="shared" si="67"/>
        <v>2822.8765522240433</v>
      </c>
      <c r="AF92" s="1269">
        <f t="shared" si="68"/>
        <v>1881.9177014826955</v>
      </c>
      <c r="AG92" s="104"/>
      <c r="AH92" s="1264">
        <f>'Recycling - Case 1'!AC182*'Recycling - Case 1'!AE182*'Recycling - Case 1'!C182</f>
        <v>51966.975095205482</v>
      </c>
      <c r="AI92" s="1265">
        <f>Parameters!S195</f>
        <v>0.71500000000000008</v>
      </c>
      <c r="AJ92" s="1266">
        <f t="shared" si="69"/>
        <v>0.15</v>
      </c>
      <c r="AK92" s="1267">
        <f t="shared" si="70"/>
        <v>2786.729039480394</v>
      </c>
      <c r="AL92" s="1267">
        <f t="shared" si="71"/>
        <v>2786.729039480394</v>
      </c>
      <c r="AM92" s="1268">
        <f t="shared" si="72"/>
        <v>0</v>
      </c>
      <c r="AN92" s="1267">
        <f t="shared" si="73"/>
        <v>57844.58330342995</v>
      </c>
      <c r="AO92" s="1267">
        <f t="shared" si="74"/>
        <v>2822.8765522240433</v>
      </c>
      <c r="AP92" s="1269">
        <f t="shared" si="75"/>
        <v>1881.9177014826955</v>
      </c>
      <c r="AQ92" s="104"/>
      <c r="AR92" s="1303">
        <f>'Recycling - Case 1'!G102</f>
        <v>581.63669967536055</v>
      </c>
      <c r="AS92" s="1304">
        <v>1</v>
      </c>
      <c r="AT92" s="1305">
        <f t="shared" si="76"/>
        <v>0.05</v>
      </c>
      <c r="AU92" s="1283">
        <f t="shared" si="77"/>
        <v>14.540917491884015</v>
      </c>
      <c r="AV92" s="1283">
        <f t="shared" si="78"/>
        <v>14.540917491884015</v>
      </c>
      <c r="AW92" s="1284">
        <f t="shared" si="79"/>
        <v>0</v>
      </c>
      <c r="AX92" s="1283">
        <f t="shared" si="49"/>
        <v>174.4545694367973</v>
      </c>
      <c r="AY92" s="1283">
        <f t="shared" si="52"/>
        <v>9.8885079817300667</v>
      </c>
      <c r="AZ92" s="1306">
        <f t="shared" si="50"/>
        <v>6.5923386544867109</v>
      </c>
      <c r="BB92" s="1294">
        <f t="shared" si="80"/>
        <v>413.79855531779816</v>
      </c>
      <c r="BC92" s="1295">
        <f t="shared" si="81"/>
        <v>1881.9177014826955</v>
      </c>
      <c r="BD92" s="1327">
        <f t="shared" si="95"/>
        <v>6.5923386544867109</v>
      </c>
      <c r="BE92" s="1295">
        <f t="shared" si="54"/>
        <v>2302.3085954549806</v>
      </c>
      <c r="BF92" s="167">
        <v>0</v>
      </c>
      <c r="BG92" s="1317">
        <f t="shared" si="82"/>
        <v>2302.3085954549806</v>
      </c>
      <c r="BI92" s="1294">
        <f t="shared" si="83"/>
        <v>413.79855531779816</v>
      </c>
      <c r="BJ92" s="1295">
        <f t="shared" si="84"/>
        <v>1881.9177014826955</v>
      </c>
      <c r="BK92" s="1327">
        <f t="shared" si="85"/>
        <v>6.5923386544867109</v>
      </c>
      <c r="BL92" s="1295">
        <f t="shared" si="55"/>
        <v>2302.3085954549806</v>
      </c>
      <c r="BM92" s="167">
        <v>0</v>
      </c>
      <c r="BN92" s="1317">
        <f t="shared" si="86"/>
        <v>2302.3085954549806</v>
      </c>
    </row>
    <row r="93" spans="1:66">
      <c r="A93" s="1156">
        <f>'Input data'!A123</f>
        <v>2025</v>
      </c>
      <c r="B93" s="1039">
        <f>'Input data'!B123</f>
        <v>62.802999999999997</v>
      </c>
      <c r="C93" s="1039">
        <f>'Recycling - Case 1'!AF103</f>
        <v>354.03747941709588</v>
      </c>
      <c r="D93" s="1040">
        <f>'Recycling - Case 1'!AM103</f>
        <v>0.36351868661241149</v>
      </c>
      <c r="E93" s="1041">
        <f>'Recycling - Case 1'!BE103</f>
        <v>0.16763534320625123</v>
      </c>
      <c r="F93" s="1041">
        <f>'Recycling - Case 1'!BF103</f>
        <v>0.24994880813791209</v>
      </c>
      <c r="G93" s="1041">
        <f>'Recycling - Case 1'!BG103</f>
        <v>7.5422727438336029E-2</v>
      </c>
      <c r="H93" s="1041">
        <f>'Recycling - Case 1'!BH103</f>
        <v>0</v>
      </c>
      <c r="I93" s="1041">
        <f>'Recycling - Case 1'!BI103</f>
        <v>0</v>
      </c>
      <c r="J93" s="1041">
        <f>'Recycling - Case 1'!BJ103</f>
        <v>0</v>
      </c>
      <c r="K93" s="1041">
        <f>'Recycling - Case 1'!BK103</f>
        <v>0.50699312121750051</v>
      </c>
      <c r="L93" s="1042">
        <f t="shared" si="94"/>
        <v>0.99999999999999989</v>
      </c>
      <c r="M93" s="104"/>
      <c r="N93" s="1053">
        <f t="shared" si="53"/>
        <v>8082.6983401568286</v>
      </c>
      <c r="O93" s="1048">
        <f>Parameters!R196</f>
        <v>0.81307692307692303</v>
      </c>
      <c r="P93" s="1049">
        <f>E93*'MSW characteristics'!$B$28+'MSW characteristics'!$B$29*'4A SWD Case 1'!F93+'4A SWD Case 1'!G93*'MSW characteristics'!$B$30+'MSW characteristics'!$B$31*'4A SWD Case 1'!H93+'4A SWD Case 1'!I93*'MSW characteristics'!$B$32+'MSW characteristics'!$B$33*'4A SWD Case 1'!J93+'4A SWD Case 1'!K93*'MSW characteristics'!$B$35</f>
        <v>0.10530415408385452</v>
      </c>
      <c r="Q93" s="1047">
        <f t="shared" si="56"/>
        <v>346.02184191400983</v>
      </c>
      <c r="R93" s="1047">
        <f t="shared" si="57"/>
        <v>346.02184191400983</v>
      </c>
      <c r="S93" s="1050">
        <f t="shared" si="58"/>
        <v>0</v>
      </c>
      <c r="T93" s="1047">
        <f t="shared" si="59"/>
        <v>12208.167291884716</v>
      </c>
      <c r="U93" s="1047">
        <f t="shared" si="60"/>
        <v>608.18520259186312</v>
      </c>
      <c r="V93" s="1054">
        <f t="shared" si="61"/>
        <v>405.45680172790873</v>
      </c>
      <c r="W93" s="104"/>
      <c r="X93" s="1264">
        <f>'Recycling - Case 1'!AC143*'Recycling - Case 1'!AE143*'Recycling - Case 1'!C143</f>
        <v>50250.011021938481</v>
      </c>
      <c r="Y93" s="1265">
        <f>Parameters!S196</f>
        <v>0.71500000000000008</v>
      </c>
      <c r="Z93" s="1266">
        <f t="shared" si="62"/>
        <v>0.15</v>
      </c>
      <c r="AA93" s="1267">
        <f t="shared" si="63"/>
        <v>2694.6568410514515</v>
      </c>
      <c r="AB93" s="1267">
        <f t="shared" si="64"/>
        <v>2694.6568410514515</v>
      </c>
      <c r="AC93" s="1268">
        <f t="shared" si="65"/>
        <v>0</v>
      </c>
      <c r="AD93" s="1267">
        <f t="shared" si="66"/>
        <v>57718.126527256733</v>
      </c>
      <c r="AE93" s="1267">
        <f t="shared" si="67"/>
        <v>2821.1136172246679</v>
      </c>
      <c r="AF93" s="1269">
        <f t="shared" si="68"/>
        <v>1880.7424114831119</v>
      </c>
      <c r="AG93" s="104"/>
      <c r="AH93" s="1264">
        <f>'Recycling - Case 1'!AC183*'Recycling - Case 1'!AE183*'Recycling - Case 1'!C183</f>
        <v>50250.011021938481</v>
      </c>
      <c r="AI93" s="1265">
        <f>Parameters!S196</f>
        <v>0.71500000000000008</v>
      </c>
      <c r="AJ93" s="1266">
        <f t="shared" si="69"/>
        <v>0.15</v>
      </c>
      <c r="AK93" s="1267">
        <f t="shared" si="70"/>
        <v>2694.6568410514515</v>
      </c>
      <c r="AL93" s="1267">
        <f t="shared" si="71"/>
        <v>2694.6568410514515</v>
      </c>
      <c r="AM93" s="1268">
        <f t="shared" si="72"/>
        <v>0</v>
      </c>
      <c r="AN93" s="1267">
        <f t="shared" si="73"/>
        <v>57718.126527256733</v>
      </c>
      <c r="AO93" s="1267">
        <f t="shared" si="74"/>
        <v>2821.1136172246679</v>
      </c>
      <c r="AP93" s="1269">
        <f t="shared" si="75"/>
        <v>1880.7424114831119</v>
      </c>
      <c r="AQ93" s="104"/>
      <c r="AR93" s="1303">
        <f>'Recycling - Case 1'!G103</f>
        <v>592.85780817693978</v>
      </c>
      <c r="AS93" s="1304">
        <v>1</v>
      </c>
      <c r="AT93" s="1305">
        <f t="shared" si="76"/>
        <v>0.05</v>
      </c>
      <c r="AU93" s="1283">
        <f t="shared" si="77"/>
        <v>14.821445204423496</v>
      </c>
      <c r="AV93" s="1283">
        <f t="shared" si="78"/>
        <v>14.821445204423496</v>
      </c>
      <c r="AW93" s="1284">
        <f t="shared" si="79"/>
        <v>0</v>
      </c>
      <c r="AX93" s="1283">
        <f t="shared" si="49"/>
        <v>179.11657142170984</v>
      </c>
      <c r="AY93" s="1283">
        <f t="shared" si="52"/>
        <v>10.159443219510958</v>
      </c>
      <c r="AZ93" s="1306">
        <f t="shared" si="50"/>
        <v>6.7729621463406389</v>
      </c>
      <c r="BB93" s="1294">
        <f t="shared" si="80"/>
        <v>405.45680172790873</v>
      </c>
      <c r="BC93" s="1295">
        <f t="shared" si="81"/>
        <v>1880.7424114831119</v>
      </c>
      <c r="BD93" s="1327">
        <f t="shared" si="95"/>
        <v>6.7729621463406389</v>
      </c>
      <c r="BE93" s="1295">
        <f t="shared" si="54"/>
        <v>2292.9721753573613</v>
      </c>
      <c r="BF93" s="167">
        <v>0</v>
      </c>
      <c r="BG93" s="1317">
        <f t="shared" si="82"/>
        <v>2292.9721753573613</v>
      </c>
      <c r="BI93" s="1294">
        <f t="shared" si="83"/>
        <v>405.45680172790873</v>
      </c>
      <c r="BJ93" s="1295">
        <f t="shared" si="84"/>
        <v>1880.7424114831119</v>
      </c>
      <c r="BK93" s="1327">
        <f t="shared" si="85"/>
        <v>6.7729621463406389</v>
      </c>
      <c r="BL93" s="1295">
        <f t="shared" si="55"/>
        <v>2292.9721753573613</v>
      </c>
      <c r="BM93" s="167">
        <v>0</v>
      </c>
      <c r="BN93" s="1317">
        <f t="shared" si="86"/>
        <v>2292.9721753573613</v>
      </c>
    </row>
    <row r="94" spans="1:66">
      <c r="A94" s="1156">
        <f>'Input data'!A124</f>
        <v>2026</v>
      </c>
      <c r="B94" s="1039">
        <f>'Input data'!B124</f>
        <v>63.420999999999999</v>
      </c>
      <c r="C94" s="1039">
        <f>'Recycling - Case 1'!AF104</f>
        <v>347.7564382297179</v>
      </c>
      <c r="D94" s="1040">
        <f>'Recycling - Case 1'!AM104</f>
        <v>0.35086871642517908</v>
      </c>
      <c r="E94" s="1041">
        <f>'Recycling - Case 1'!BE104</f>
        <v>0.15565250517336213</v>
      </c>
      <c r="F94" s="1041">
        <f>'Recycling - Case 1'!BF104</f>
        <v>0.24093364099914596</v>
      </c>
      <c r="G94" s="1041">
        <f>'Recycling - Case 1'!BG104</f>
        <v>7.8141964602753231E-2</v>
      </c>
      <c r="H94" s="1041">
        <f>'Recycling - Case 1'!BH104</f>
        <v>0</v>
      </c>
      <c r="I94" s="1041">
        <f>'Recycling - Case 1'!BI104</f>
        <v>0</v>
      </c>
      <c r="J94" s="1041">
        <f>'Recycling - Case 1'!BJ104</f>
        <v>0</v>
      </c>
      <c r="K94" s="1041">
        <f>'Recycling - Case 1'!BK104</f>
        <v>0.52527188922473855</v>
      </c>
      <c r="L94" s="1042">
        <f t="shared" si="94"/>
        <v>0.99999999999999989</v>
      </c>
      <c r="M94" s="104"/>
      <c r="N94" s="1053">
        <f t="shared" si="53"/>
        <v>7738.4309679473672</v>
      </c>
      <c r="O94" s="1048">
        <f>Parameters!R197</f>
        <v>0.82346153846153847</v>
      </c>
      <c r="P94" s="1049">
        <f>E94*'MSW characteristics'!$B$28+'MSW characteristics'!$B$29*'4A SWD Case 1'!F94+'4A SWD Case 1'!G94*'MSW characteristics'!$B$30+'MSW characteristics'!$B$31*'4A SWD Case 1'!H94+'4A SWD Case 1'!I94*'MSW characteristics'!$B$32+'MSW characteristics'!$B$33*'4A SWD Case 1'!J94+'4A SWD Case 1'!K94*'MSW characteristics'!$B$35</f>
        <v>0.10279138981693481</v>
      </c>
      <c r="Q94" s="1047">
        <f t="shared" si="56"/>
        <v>327.50880054948351</v>
      </c>
      <c r="R94" s="1047">
        <f t="shared" si="57"/>
        <v>327.50880054948351</v>
      </c>
      <c r="S94" s="1050">
        <f t="shared" si="58"/>
        <v>0</v>
      </c>
      <c r="T94" s="1047">
        <f t="shared" si="59"/>
        <v>11940.276747817423</v>
      </c>
      <c r="U94" s="1047">
        <f t="shared" si="60"/>
        <v>595.39934461677728</v>
      </c>
      <c r="V94" s="1054">
        <f t="shared" si="61"/>
        <v>396.93289641118486</v>
      </c>
      <c r="W94" s="104"/>
      <c r="X94" s="1264">
        <f>'Recycling - Case 1'!AC144*'Recycling - Case 1'!AE144*'Recycling - Case 1'!C144</f>
        <v>48745.875071213493</v>
      </c>
      <c r="Y94" s="1265">
        <f>Parameters!S197</f>
        <v>0.71500000000000008</v>
      </c>
      <c r="Z94" s="1266">
        <f t="shared" si="62"/>
        <v>0.15</v>
      </c>
      <c r="AA94" s="1267">
        <f t="shared" si="63"/>
        <v>2613.997550693824</v>
      </c>
      <c r="AB94" s="1267">
        <f t="shared" si="64"/>
        <v>2613.997550693824</v>
      </c>
      <c r="AC94" s="1268">
        <f t="shared" si="65"/>
        <v>0</v>
      </c>
      <c r="AD94" s="1267">
        <f t="shared" si="66"/>
        <v>57517.177830475637</v>
      </c>
      <c r="AE94" s="1267">
        <f t="shared" si="67"/>
        <v>2814.9462474749157</v>
      </c>
      <c r="AF94" s="1269">
        <f t="shared" si="68"/>
        <v>1876.6308316499437</v>
      </c>
      <c r="AG94" s="104"/>
      <c r="AH94" s="1264">
        <f>'Recycling - Case 1'!AC184*'Recycling - Case 1'!AE184*'Recycling - Case 1'!C184</f>
        <v>48745.875071213493</v>
      </c>
      <c r="AI94" s="1265">
        <f>Parameters!S197</f>
        <v>0.71500000000000008</v>
      </c>
      <c r="AJ94" s="1266">
        <f t="shared" si="69"/>
        <v>0.15</v>
      </c>
      <c r="AK94" s="1267">
        <f t="shared" si="70"/>
        <v>2613.997550693824</v>
      </c>
      <c r="AL94" s="1267">
        <f t="shared" si="71"/>
        <v>2613.997550693824</v>
      </c>
      <c r="AM94" s="1268">
        <f t="shared" si="72"/>
        <v>0</v>
      </c>
      <c r="AN94" s="1267">
        <f t="shared" si="73"/>
        <v>57517.177830475637</v>
      </c>
      <c r="AO94" s="1267">
        <f t="shared" si="74"/>
        <v>2814.9462474749157</v>
      </c>
      <c r="AP94" s="1269">
        <f t="shared" si="75"/>
        <v>1876.6308316499437</v>
      </c>
      <c r="AQ94" s="104"/>
      <c r="AR94" s="1303">
        <f>'Recycling - Case 1'!G104</f>
        <v>603.2592423450709</v>
      </c>
      <c r="AS94" s="1304">
        <v>1</v>
      </c>
      <c r="AT94" s="1305">
        <f t="shared" si="76"/>
        <v>0.05</v>
      </c>
      <c r="AU94" s="1283">
        <f t="shared" si="77"/>
        <v>15.081481058626773</v>
      </c>
      <c r="AV94" s="1283">
        <f t="shared" si="78"/>
        <v>15.081481058626773</v>
      </c>
      <c r="AW94" s="1284">
        <f t="shared" si="79"/>
        <v>0</v>
      </c>
      <c r="AX94" s="1283">
        <f t="shared" si="49"/>
        <v>183.76711540080311</v>
      </c>
      <c r="AY94" s="1283">
        <f t="shared" si="52"/>
        <v>10.430937079533498</v>
      </c>
      <c r="AZ94" s="1306">
        <f t="shared" si="50"/>
        <v>6.9539580530223324</v>
      </c>
      <c r="BB94" s="1294">
        <f t="shared" si="80"/>
        <v>396.93289641118486</v>
      </c>
      <c r="BC94" s="1295">
        <f t="shared" si="81"/>
        <v>1876.6308316499437</v>
      </c>
      <c r="BD94" s="1327">
        <f t="shared" si="95"/>
        <v>6.9539580530223324</v>
      </c>
      <c r="BE94" s="1295">
        <f t="shared" si="54"/>
        <v>2280.5176861141508</v>
      </c>
      <c r="BF94" s="167">
        <v>0</v>
      </c>
      <c r="BG94" s="1317">
        <f t="shared" si="82"/>
        <v>2280.5176861141508</v>
      </c>
      <c r="BI94" s="1294">
        <f t="shared" si="83"/>
        <v>396.93289641118486</v>
      </c>
      <c r="BJ94" s="1295">
        <f t="shared" si="84"/>
        <v>1876.6308316499437</v>
      </c>
      <c r="BK94" s="1327">
        <f t="shared" si="85"/>
        <v>6.9539580530223324</v>
      </c>
      <c r="BL94" s="1295">
        <f t="shared" si="55"/>
        <v>2280.5176861141508</v>
      </c>
      <c r="BM94" s="167">
        <v>0</v>
      </c>
      <c r="BN94" s="1317">
        <f t="shared" si="86"/>
        <v>2280.5176861141508</v>
      </c>
    </row>
    <row r="95" spans="1:66">
      <c r="A95" s="1156">
        <f>'Input data'!A125</f>
        <v>2027</v>
      </c>
      <c r="B95" s="1039">
        <f>'Input data'!B125</f>
        <v>64.046000000000006</v>
      </c>
      <c r="C95" s="1039">
        <f>'Recycling - Case 1'!AF105</f>
        <v>342.03141602040722</v>
      </c>
      <c r="D95" s="1040">
        <f>'Recycling - Case 1'!AM105</f>
        <v>0.33821874623794673</v>
      </c>
      <c r="E95" s="1041">
        <f>'Recycling - Case 1'!BE105</f>
        <v>0.14277330911442879</v>
      </c>
      <c r="F95" s="1041">
        <f>'Recycling - Case 1'!BF105</f>
        <v>0.23124410795484199</v>
      </c>
      <c r="G95" s="1041">
        <f>'Recycling - Case 1'!BG105</f>
        <v>8.1064610179297267E-2</v>
      </c>
      <c r="H95" s="1041">
        <f>'Recycling - Case 1'!BH105</f>
        <v>0</v>
      </c>
      <c r="I95" s="1041">
        <f>'Recycling - Case 1'!BI105</f>
        <v>0</v>
      </c>
      <c r="J95" s="1041">
        <f>'Recycling - Case 1'!BJ105</f>
        <v>0</v>
      </c>
      <c r="K95" s="1041">
        <f>'Recycling - Case 1'!BK105</f>
        <v>0.54491797275143206</v>
      </c>
      <c r="L95" s="1042">
        <f t="shared" si="94"/>
        <v>1</v>
      </c>
      <c r="M95" s="104"/>
      <c r="N95" s="1053">
        <f t="shared" si="53"/>
        <v>7408.9332949145692</v>
      </c>
      <c r="O95" s="1048">
        <f>Parameters!R198</f>
        <v>0.8338461538461539</v>
      </c>
      <c r="P95" s="1049">
        <f>E95*'MSW characteristics'!$B$28+'MSW characteristics'!$B$29*'4A SWD Case 1'!F95+'4A SWD Case 1'!G95*'MSW characteristics'!$B$30+'MSW characteristics'!$B$31*'4A SWD Case 1'!H95+'4A SWD Case 1'!I95*'MSW characteristics'!$B$32+'MSW characteristics'!$B$33*'4A SWD Case 1'!J95+'4A SWD Case 1'!K95*'MSW characteristics'!$B$35</f>
        <v>0.10009066202985162</v>
      </c>
      <c r="Q95" s="1047">
        <f t="shared" si="56"/>
        <v>309.17557755790074</v>
      </c>
      <c r="R95" s="1047">
        <f t="shared" si="57"/>
        <v>309.17557755790074</v>
      </c>
      <c r="S95" s="1050">
        <f t="shared" si="58"/>
        <v>0</v>
      </c>
      <c r="T95" s="1047">
        <f t="shared" si="59"/>
        <v>11667.118156763525</v>
      </c>
      <c r="U95" s="1047">
        <f t="shared" si="60"/>
        <v>582.33416861179853</v>
      </c>
      <c r="V95" s="1054">
        <f t="shared" si="61"/>
        <v>388.22277907453235</v>
      </c>
      <c r="W95" s="104"/>
      <c r="X95" s="1264">
        <f>'Recycling - Case 1'!AC145*'Recycling - Case 1'!AE145*'Recycling - Case 1'!C145</f>
        <v>47252.229533694306</v>
      </c>
      <c r="Y95" s="1265">
        <f>Parameters!S198</f>
        <v>0.71500000000000008</v>
      </c>
      <c r="Z95" s="1266">
        <f t="shared" si="62"/>
        <v>0.15</v>
      </c>
      <c r="AA95" s="1267">
        <f t="shared" si="63"/>
        <v>2533.9008087443572</v>
      </c>
      <c r="AB95" s="1267">
        <f t="shared" si="64"/>
        <v>2533.9008087443572</v>
      </c>
      <c r="AC95" s="1268">
        <f t="shared" si="65"/>
        <v>0</v>
      </c>
      <c r="AD95" s="1267">
        <f t="shared" si="66"/>
        <v>57245.932775332927</v>
      </c>
      <c r="AE95" s="1267">
        <f t="shared" si="67"/>
        <v>2805.1458638870699</v>
      </c>
      <c r="AF95" s="1269">
        <f t="shared" si="68"/>
        <v>1870.0972425913799</v>
      </c>
      <c r="AG95" s="104"/>
      <c r="AH95" s="1264">
        <f>'Recycling - Case 1'!AC185*'Recycling - Case 1'!AE185*'Recycling - Case 1'!C185</f>
        <v>47252.229533694306</v>
      </c>
      <c r="AI95" s="1265">
        <f>Parameters!S198</f>
        <v>0.71500000000000008</v>
      </c>
      <c r="AJ95" s="1266">
        <f t="shared" si="69"/>
        <v>0.15</v>
      </c>
      <c r="AK95" s="1267">
        <f t="shared" si="70"/>
        <v>2533.9008087443572</v>
      </c>
      <c r="AL95" s="1267">
        <f t="shared" si="71"/>
        <v>2533.9008087443572</v>
      </c>
      <c r="AM95" s="1268">
        <f t="shared" si="72"/>
        <v>0</v>
      </c>
      <c r="AN95" s="1267">
        <f t="shared" si="73"/>
        <v>57245.932775332927</v>
      </c>
      <c r="AO95" s="1267">
        <f t="shared" si="74"/>
        <v>2805.1458638870699</v>
      </c>
      <c r="AP95" s="1269">
        <f t="shared" si="75"/>
        <v>1870.0972425913799</v>
      </c>
      <c r="AQ95" s="104"/>
      <c r="AR95" s="1303">
        <f>'Recycling - Case 1'!G105</f>
        <v>613.81678041460282</v>
      </c>
      <c r="AS95" s="1304">
        <v>1</v>
      </c>
      <c r="AT95" s="1305">
        <f t="shared" si="76"/>
        <v>0.05</v>
      </c>
      <c r="AU95" s="1283">
        <f t="shared" si="77"/>
        <v>15.345419510365071</v>
      </c>
      <c r="AV95" s="1283">
        <f t="shared" si="78"/>
        <v>15.345419510365071</v>
      </c>
      <c r="AW95" s="1284">
        <f t="shared" si="79"/>
        <v>0</v>
      </c>
      <c r="AX95" s="1283">
        <f t="shared" si="49"/>
        <v>188.41077123392523</v>
      </c>
      <c r="AY95" s="1283">
        <f t="shared" si="52"/>
        <v>10.70176367724296</v>
      </c>
      <c r="AZ95" s="1306">
        <f t="shared" si="50"/>
        <v>7.1345091181619731</v>
      </c>
      <c r="BB95" s="1294">
        <f t="shared" si="80"/>
        <v>388.22277907453235</v>
      </c>
      <c r="BC95" s="1295">
        <f t="shared" si="81"/>
        <v>1870.0972425913799</v>
      </c>
      <c r="BD95" s="1327">
        <f t="shared" si="95"/>
        <v>7.1345091181619731</v>
      </c>
      <c r="BE95" s="1295">
        <f t="shared" si="54"/>
        <v>2265.4545307840744</v>
      </c>
      <c r="BF95" s="167">
        <v>0</v>
      </c>
      <c r="BG95" s="1317">
        <f t="shared" si="82"/>
        <v>2265.4545307840744</v>
      </c>
      <c r="BI95" s="1294">
        <f t="shared" si="83"/>
        <v>388.22277907453235</v>
      </c>
      <c r="BJ95" s="1295">
        <f t="shared" si="84"/>
        <v>1870.0972425913799</v>
      </c>
      <c r="BK95" s="1327">
        <f t="shared" si="85"/>
        <v>7.1345091181619731</v>
      </c>
      <c r="BL95" s="1295">
        <f t="shared" si="55"/>
        <v>2265.4545307840744</v>
      </c>
      <c r="BM95" s="167">
        <v>0</v>
      </c>
      <c r="BN95" s="1317">
        <f t="shared" si="86"/>
        <v>2265.4545307840744</v>
      </c>
    </row>
    <row r="96" spans="1:66">
      <c r="A96" s="1156">
        <f>'Input data'!A126</f>
        <v>2028</v>
      </c>
      <c r="B96" s="1039">
        <f>'Input data'!B126</f>
        <v>64.676000000000002</v>
      </c>
      <c r="C96" s="1039">
        <f>'Recycling - Case 1'!AF106</f>
        <v>324.27229472653471</v>
      </c>
      <c r="D96" s="1040">
        <f>'Recycling - Case 1'!AM106</f>
        <v>0.33821874623794668</v>
      </c>
      <c r="E96" s="1041">
        <f>'Recycling - Case 1'!BE106</f>
        <v>0.14277330911442876</v>
      </c>
      <c r="F96" s="1041">
        <f>'Recycling - Case 1'!BF106</f>
        <v>0.23124410795484193</v>
      </c>
      <c r="G96" s="1041">
        <f>'Recycling - Case 1'!BG106</f>
        <v>8.1064610179297253E-2</v>
      </c>
      <c r="H96" s="1041">
        <f>'Recycling - Case 1'!BH106</f>
        <v>0</v>
      </c>
      <c r="I96" s="1041">
        <f>'Recycling - Case 1'!BI106</f>
        <v>0</v>
      </c>
      <c r="J96" s="1041">
        <f>'Recycling - Case 1'!BJ106</f>
        <v>0</v>
      </c>
      <c r="K96" s="1041">
        <f>'Recycling - Case 1'!BK106</f>
        <v>0.54491797275143194</v>
      </c>
      <c r="L96" s="1042">
        <f t="shared" si="94"/>
        <v>0.99999999999999989</v>
      </c>
      <c r="M96" s="104"/>
      <c r="N96" s="1053">
        <f t="shared" si="53"/>
        <v>7093.3382925934584</v>
      </c>
      <c r="O96" s="1048">
        <f>Parameters!R199</f>
        <v>0.84423076923076934</v>
      </c>
      <c r="P96" s="1049">
        <f>E96*'MSW characteristics'!$B$28+'MSW characteristics'!$B$29*'4A SWD Case 1'!F96+'4A SWD Case 1'!G96*'MSW characteristics'!$B$30+'MSW characteristics'!$B$31*'4A SWD Case 1'!H96+'4A SWD Case 1'!I96*'MSW characteristics'!$B$32+'MSW characteristics'!$B$33*'4A SWD Case 1'!J96+'4A SWD Case 1'!K96*'MSW characteristics'!$B$35</f>
        <v>0.1000906620298516</v>
      </c>
      <c r="Q96" s="1047">
        <f t="shared" si="56"/>
        <v>299.69218306301764</v>
      </c>
      <c r="R96" s="1047">
        <f t="shared" si="57"/>
        <v>299.69218306301764</v>
      </c>
      <c r="S96" s="1050">
        <f t="shared" si="58"/>
        <v>0</v>
      </c>
      <c r="T96" s="1047">
        <f t="shared" si="59"/>
        <v>11397.798272903017</v>
      </c>
      <c r="U96" s="1047">
        <f t="shared" si="60"/>
        <v>569.01206692352582</v>
      </c>
      <c r="V96" s="1054">
        <f t="shared" si="61"/>
        <v>379.34137794901721</v>
      </c>
      <c r="W96" s="104"/>
      <c r="X96" s="1264">
        <f>'Recycling - Case 1'!AC146*'Recycling - Case 1'!AE146*'Recycling - Case 1'!C146</f>
        <v>45829.483355209726</v>
      </c>
      <c r="Y96" s="1265">
        <f>Parameters!S199</f>
        <v>0.71500000000000008</v>
      </c>
      <c r="Z96" s="1266">
        <f t="shared" si="62"/>
        <v>0.15</v>
      </c>
      <c r="AA96" s="1267">
        <f t="shared" si="63"/>
        <v>2457.6060449231218</v>
      </c>
      <c r="AB96" s="1267">
        <f t="shared" si="64"/>
        <v>2457.6060449231218</v>
      </c>
      <c r="AC96" s="1268">
        <f t="shared" si="65"/>
        <v>0</v>
      </c>
      <c r="AD96" s="1267">
        <f t="shared" si="66"/>
        <v>56911.621733809625</v>
      </c>
      <c r="AE96" s="1267">
        <f t="shared" si="67"/>
        <v>2791.9170864464245</v>
      </c>
      <c r="AF96" s="1269">
        <f t="shared" si="68"/>
        <v>1861.2780576309497</v>
      </c>
      <c r="AG96" s="104"/>
      <c r="AH96" s="1264">
        <f>'Recycling - Case 1'!AC186*'Recycling - Case 1'!AE186*'Recycling - Case 1'!C186</f>
        <v>45829.483355209726</v>
      </c>
      <c r="AI96" s="1265">
        <f>Parameters!S199</f>
        <v>0.71500000000000008</v>
      </c>
      <c r="AJ96" s="1266">
        <f t="shared" si="69"/>
        <v>0.15</v>
      </c>
      <c r="AK96" s="1267">
        <f t="shared" si="70"/>
        <v>2457.6060449231218</v>
      </c>
      <c r="AL96" s="1267">
        <f t="shared" si="71"/>
        <v>2457.6060449231218</v>
      </c>
      <c r="AM96" s="1268">
        <f t="shared" si="72"/>
        <v>0</v>
      </c>
      <c r="AN96" s="1267">
        <f t="shared" si="73"/>
        <v>56911.621733809625</v>
      </c>
      <c r="AO96" s="1267">
        <f t="shared" si="74"/>
        <v>2791.9170864464245</v>
      </c>
      <c r="AP96" s="1269">
        <f t="shared" si="75"/>
        <v>1861.2780576309497</v>
      </c>
      <c r="AQ96" s="104"/>
      <c r="AR96" s="1303">
        <f>'Recycling - Case 1'!G106</f>
        <v>624.51262275570207</v>
      </c>
      <c r="AS96" s="1304">
        <v>1</v>
      </c>
      <c r="AT96" s="1305">
        <f t="shared" si="76"/>
        <v>0.05</v>
      </c>
      <c r="AU96" s="1283">
        <f t="shared" si="77"/>
        <v>15.612815568892552</v>
      </c>
      <c r="AV96" s="1283">
        <f t="shared" si="78"/>
        <v>15.612815568892552</v>
      </c>
      <c r="AW96" s="1284">
        <f t="shared" si="79"/>
        <v>0</v>
      </c>
      <c r="AX96" s="1283">
        <f t="shared" si="49"/>
        <v>193.05139766225875</v>
      </c>
      <c r="AY96" s="1283">
        <f t="shared" si="52"/>
        <v>10.972189140559051</v>
      </c>
      <c r="AZ96" s="1306">
        <f t="shared" si="50"/>
        <v>7.3147927603727005</v>
      </c>
      <c r="BB96" s="1294">
        <f t="shared" si="80"/>
        <v>379.34137794901721</v>
      </c>
      <c r="BC96" s="1295">
        <f t="shared" si="81"/>
        <v>1861.2780576309497</v>
      </c>
      <c r="BD96" s="1327">
        <f t="shared" si="95"/>
        <v>7.3147927603727005</v>
      </c>
      <c r="BE96" s="1295">
        <f t="shared" si="54"/>
        <v>2247.9342283403398</v>
      </c>
      <c r="BF96" s="167">
        <v>0</v>
      </c>
      <c r="BG96" s="1317">
        <f t="shared" si="82"/>
        <v>2247.9342283403398</v>
      </c>
      <c r="BI96" s="1294">
        <f t="shared" si="83"/>
        <v>379.34137794901721</v>
      </c>
      <c r="BJ96" s="1295">
        <f t="shared" si="84"/>
        <v>1861.2780576309497</v>
      </c>
      <c r="BK96" s="1327">
        <f t="shared" si="85"/>
        <v>7.3147927603727005</v>
      </c>
      <c r="BL96" s="1295">
        <f t="shared" si="55"/>
        <v>2247.9342283403398</v>
      </c>
      <c r="BM96" s="167">
        <v>0</v>
      </c>
      <c r="BN96" s="1317">
        <f t="shared" si="86"/>
        <v>2247.9342283403398</v>
      </c>
    </row>
    <row r="97" spans="1:66">
      <c r="A97" s="1156">
        <f>'Input data'!A127</f>
        <v>2029</v>
      </c>
      <c r="B97" s="1039">
        <f>'Input data'!B127</f>
        <v>65.313000000000002</v>
      </c>
      <c r="C97" s="1039">
        <f>'Recycling - Case 1'!AF107</f>
        <v>307.43527115339225</v>
      </c>
      <c r="D97" s="1040">
        <f>'Recycling - Case 1'!AM107</f>
        <v>0.33821874623794673</v>
      </c>
      <c r="E97" s="1041">
        <f>'Recycling - Case 1'!BE107</f>
        <v>0.14277330911442879</v>
      </c>
      <c r="F97" s="1041">
        <f>'Recycling - Case 1'!BF107</f>
        <v>0.23124410795484193</v>
      </c>
      <c r="G97" s="1041">
        <f>'Recycling - Case 1'!BG107</f>
        <v>8.1064610179297267E-2</v>
      </c>
      <c r="H97" s="1041">
        <f>'Recycling - Case 1'!BH107</f>
        <v>0</v>
      </c>
      <c r="I97" s="1041">
        <f>'Recycling - Case 1'!BI107</f>
        <v>0</v>
      </c>
      <c r="J97" s="1041">
        <f>'Recycling - Case 1'!BJ107</f>
        <v>0</v>
      </c>
      <c r="K97" s="1041">
        <f>'Recycling - Case 1'!BK107</f>
        <v>0.54491797275143206</v>
      </c>
      <c r="L97" s="1042">
        <f t="shared" si="94"/>
        <v>1</v>
      </c>
      <c r="M97" s="104"/>
      <c r="N97" s="1053">
        <f t="shared" si="53"/>
        <v>6791.2700337466413</v>
      </c>
      <c r="O97" s="1048">
        <f>Parameters!R200</f>
        <v>0.85461538461538478</v>
      </c>
      <c r="P97" s="1049">
        <f>E97*'MSW characteristics'!$B$28+'MSW characteristics'!$B$29*'4A SWD Case 1'!F97+'4A SWD Case 1'!G97*'MSW characteristics'!$B$30+'MSW characteristics'!$B$31*'4A SWD Case 1'!H97+'4A SWD Case 1'!I97*'MSW characteristics'!$B$32+'MSW characteristics'!$B$33*'4A SWD Case 1'!J97+'4A SWD Case 1'!K97*'MSW characteristics'!$B$35</f>
        <v>0.10009066202985162</v>
      </c>
      <c r="Q97" s="1047">
        <f t="shared" si="56"/>
        <v>290.45929035462564</v>
      </c>
      <c r="R97" s="1047">
        <f t="shared" si="57"/>
        <v>290.45929035462564</v>
      </c>
      <c r="S97" s="1050">
        <f t="shared" si="58"/>
        <v>0</v>
      </c>
      <c r="T97" s="1047">
        <f t="shared" si="59"/>
        <v>11132.380382063395</v>
      </c>
      <c r="U97" s="1047">
        <f t="shared" si="60"/>
        <v>555.87718119424801</v>
      </c>
      <c r="V97" s="1054">
        <f t="shared" si="61"/>
        <v>370.58478746283203</v>
      </c>
      <c r="W97" s="104"/>
      <c r="X97" s="1264">
        <f>'Recycling - Case 1'!AC147*'Recycling - Case 1'!AE147*'Recycling - Case 1'!C147</f>
        <v>44459.417180156364</v>
      </c>
      <c r="Y97" s="1265">
        <f>Parameters!S200</f>
        <v>0.71500000000000008</v>
      </c>
      <c r="Z97" s="1266">
        <f t="shared" si="62"/>
        <v>0.15</v>
      </c>
      <c r="AA97" s="1267">
        <f t="shared" si="63"/>
        <v>2384.1362462858851</v>
      </c>
      <c r="AB97" s="1267">
        <f t="shared" si="64"/>
        <v>2384.1362462858851</v>
      </c>
      <c r="AC97" s="1268">
        <f t="shared" si="65"/>
        <v>0</v>
      </c>
      <c r="AD97" s="1267">
        <f t="shared" si="66"/>
        <v>56520.145435539947</v>
      </c>
      <c r="AE97" s="1267">
        <f t="shared" si="67"/>
        <v>2775.6125445555672</v>
      </c>
      <c r="AF97" s="1269">
        <f t="shared" si="68"/>
        <v>1850.4083630370449</v>
      </c>
      <c r="AG97" s="104"/>
      <c r="AH97" s="1264">
        <f>'Recycling - Case 1'!AC187*'Recycling - Case 1'!AE187*'Recycling - Case 1'!C187</f>
        <v>44459.417180156364</v>
      </c>
      <c r="AI97" s="1265">
        <f>Parameters!S200</f>
        <v>0.71500000000000008</v>
      </c>
      <c r="AJ97" s="1266">
        <f t="shared" si="69"/>
        <v>0.15</v>
      </c>
      <c r="AK97" s="1267">
        <f t="shared" si="70"/>
        <v>2384.1362462858851</v>
      </c>
      <c r="AL97" s="1267">
        <f t="shared" si="71"/>
        <v>2384.1362462858851</v>
      </c>
      <c r="AM97" s="1268">
        <f t="shared" si="72"/>
        <v>0</v>
      </c>
      <c r="AN97" s="1267">
        <f t="shared" si="73"/>
        <v>56520.145435539947</v>
      </c>
      <c r="AO97" s="1267">
        <f t="shared" si="74"/>
        <v>2775.6125445555672</v>
      </c>
      <c r="AP97" s="1269">
        <f t="shared" si="75"/>
        <v>1850.4083630370449</v>
      </c>
      <c r="AQ97" s="104"/>
      <c r="AR97" s="1303">
        <f>'Recycling - Case 1'!G107</f>
        <v>635.36730573331556</v>
      </c>
      <c r="AS97" s="1304">
        <v>1</v>
      </c>
      <c r="AT97" s="1305">
        <f t="shared" si="76"/>
        <v>0.05</v>
      </c>
      <c r="AU97" s="1283">
        <f t="shared" si="77"/>
        <v>15.88418264333289</v>
      </c>
      <c r="AV97" s="1283">
        <f t="shared" si="78"/>
        <v>15.88418264333289</v>
      </c>
      <c r="AW97" s="1284">
        <f t="shared" si="79"/>
        <v>0</v>
      </c>
      <c r="AX97" s="1283">
        <f t="shared" si="49"/>
        <v>197.69314212051731</v>
      </c>
      <c r="AY97" s="1283">
        <f t="shared" si="52"/>
        <v>11.242438185074315</v>
      </c>
      <c r="AZ97" s="1306">
        <f t="shared" si="50"/>
        <v>7.4949587900495436</v>
      </c>
      <c r="BB97" s="1294">
        <f t="shared" si="80"/>
        <v>370.58478746283203</v>
      </c>
      <c r="BC97" s="1295">
        <f t="shared" si="81"/>
        <v>1850.4083630370449</v>
      </c>
      <c r="BD97" s="1327">
        <f t="shared" si="95"/>
        <v>7.4949587900495436</v>
      </c>
      <c r="BE97" s="1295">
        <f t="shared" si="54"/>
        <v>2228.4881092899263</v>
      </c>
      <c r="BF97" s="167">
        <v>0</v>
      </c>
      <c r="BG97" s="1317">
        <f t="shared" si="82"/>
        <v>2228.4881092899263</v>
      </c>
      <c r="BI97" s="1294">
        <f t="shared" si="83"/>
        <v>370.58478746283203</v>
      </c>
      <c r="BJ97" s="1295">
        <f t="shared" si="84"/>
        <v>1850.4083630370449</v>
      </c>
      <c r="BK97" s="1327">
        <f t="shared" si="85"/>
        <v>7.4949587900495436</v>
      </c>
      <c r="BL97" s="1295">
        <f t="shared" si="55"/>
        <v>2228.4881092899263</v>
      </c>
      <c r="BM97" s="167">
        <v>0</v>
      </c>
      <c r="BN97" s="1317">
        <f t="shared" si="86"/>
        <v>2228.4881092899263</v>
      </c>
    </row>
    <row r="98" spans="1:66">
      <c r="A98" s="1156">
        <f>'Input data'!A128</f>
        <v>2030</v>
      </c>
      <c r="B98" s="1039">
        <f>'Input data'!B128</f>
        <v>65.956000000000003</v>
      </c>
      <c r="C98" s="1039">
        <f>'Recycling - Case 1'!AF108</f>
        <v>291.47246769529755</v>
      </c>
      <c r="D98" s="1040">
        <f>'Recycling - Case 1'!AM108</f>
        <v>0.33821874623794673</v>
      </c>
      <c r="E98" s="1041">
        <f>'Recycling - Case 1'!BE108</f>
        <v>0.14277330911442876</v>
      </c>
      <c r="F98" s="1041">
        <f>'Recycling - Case 1'!BF108</f>
        <v>0.23124410795484193</v>
      </c>
      <c r="G98" s="1041">
        <f>'Recycling - Case 1'!BG108</f>
        <v>8.1064610179297267E-2</v>
      </c>
      <c r="H98" s="1041">
        <f>'Recycling - Case 1'!BH108</f>
        <v>0</v>
      </c>
      <c r="I98" s="1041">
        <f>'Recycling - Case 1'!BI108</f>
        <v>0</v>
      </c>
      <c r="J98" s="1041">
        <f>'Recycling - Case 1'!BJ108</f>
        <v>0</v>
      </c>
      <c r="K98" s="1041">
        <f>'Recycling - Case 1'!BK108</f>
        <v>0.54491797275143206</v>
      </c>
      <c r="L98" s="1042">
        <f t="shared" si="94"/>
        <v>1</v>
      </c>
      <c r="M98" s="104"/>
      <c r="N98" s="1053">
        <f t="shared" si="53"/>
        <v>6502.0382868139232</v>
      </c>
      <c r="O98" s="1048">
        <f>Parameters!R201</f>
        <v>0.86499999999999988</v>
      </c>
      <c r="P98" s="1049">
        <f>E98*'MSW characteristics'!$B$28+'MSW characteristics'!$B$29*'4A SWD Case 1'!F98+'4A SWD Case 1'!G98*'MSW characteristics'!$B$30+'MSW characteristics'!$B$31*'4A SWD Case 1'!H98+'4A SWD Case 1'!I98*'MSW characteristics'!$B$32+'MSW characteristics'!$B$33*'4A SWD Case 1'!J98+'4A SWD Case 1'!K98*'MSW characteristics'!$B$35</f>
        <v>0.10009066202985162</v>
      </c>
      <c r="Q98" s="1047">
        <f t="shared" si="56"/>
        <v>281.46810946005513</v>
      </c>
      <c r="R98" s="1047">
        <f t="shared" si="57"/>
        <v>281.46810946005513</v>
      </c>
      <c r="S98" s="1050">
        <f t="shared" si="58"/>
        <v>0</v>
      </c>
      <c r="T98" s="1047">
        <f t="shared" si="59"/>
        <v>10870.915893613257</v>
      </c>
      <c r="U98" s="1047">
        <f t="shared" si="60"/>
        <v>542.93259791019295</v>
      </c>
      <c r="V98" s="1054">
        <f t="shared" si="61"/>
        <v>361.95506527346197</v>
      </c>
      <c r="W98" s="104"/>
      <c r="X98" s="1264">
        <f>'Recycling - Case 1'!AC148*'Recycling - Case 1'!AE148*'Recycling - Case 1'!C148</f>
        <v>43141.546600038782</v>
      </c>
      <c r="Y98" s="1265">
        <f>Parameters!S201</f>
        <v>0.71500000000000008</v>
      </c>
      <c r="Z98" s="1266">
        <f t="shared" si="62"/>
        <v>0.15</v>
      </c>
      <c r="AA98" s="1267">
        <f t="shared" si="63"/>
        <v>2313.46543642708</v>
      </c>
      <c r="AB98" s="1267">
        <f t="shared" si="64"/>
        <v>2313.46543642708</v>
      </c>
      <c r="AC98" s="1268">
        <f t="shared" si="65"/>
        <v>0</v>
      </c>
      <c r="AD98" s="1267">
        <f t="shared" si="66"/>
        <v>56077.090851772402</v>
      </c>
      <c r="AE98" s="1267">
        <f t="shared" si="67"/>
        <v>2756.520020194625</v>
      </c>
      <c r="AF98" s="1269">
        <f t="shared" si="68"/>
        <v>1837.6800134630832</v>
      </c>
      <c r="AG98" s="104"/>
      <c r="AH98" s="1264">
        <f>'Recycling - Case 1'!AC188*'Recycling - Case 1'!AE188*'Recycling - Case 1'!C188</f>
        <v>43141.546600038782</v>
      </c>
      <c r="AI98" s="1265">
        <f>Parameters!S201</f>
        <v>0.71500000000000008</v>
      </c>
      <c r="AJ98" s="1266">
        <f t="shared" si="69"/>
        <v>0.15</v>
      </c>
      <c r="AK98" s="1267">
        <f t="shared" si="70"/>
        <v>2313.46543642708</v>
      </c>
      <c r="AL98" s="1267">
        <f t="shared" si="71"/>
        <v>2313.46543642708</v>
      </c>
      <c r="AM98" s="1268">
        <f t="shared" si="72"/>
        <v>0</v>
      </c>
      <c r="AN98" s="1267">
        <f t="shared" si="73"/>
        <v>56077.090851772402</v>
      </c>
      <c r="AO98" s="1267">
        <f t="shared" si="74"/>
        <v>2756.520020194625</v>
      </c>
      <c r="AP98" s="1269">
        <f t="shared" si="75"/>
        <v>1837.6800134630832</v>
      </c>
      <c r="AQ98" s="104"/>
      <c r="AR98" s="1303">
        <f>'Recycling - Case 1'!G108</f>
        <v>646.37254169696007</v>
      </c>
      <c r="AS98" s="1304">
        <v>1</v>
      </c>
      <c r="AT98" s="1305">
        <f t="shared" si="76"/>
        <v>0.05</v>
      </c>
      <c r="AU98" s="1283">
        <f t="shared" si="77"/>
        <v>16.159313542424002</v>
      </c>
      <c r="AV98" s="1283">
        <f t="shared" si="78"/>
        <v>16.159313542424002</v>
      </c>
      <c r="AW98" s="1284">
        <f t="shared" si="79"/>
        <v>0</v>
      </c>
      <c r="AX98" s="1283">
        <f t="shared" si="49"/>
        <v>202.33970332435757</v>
      </c>
      <c r="AY98" s="1283">
        <f t="shared" si="52"/>
        <v>11.512752338583731</v>
      </c>
      <c r="AZ98" s="1306">
        <f t="shared" si="50"/>
        <v>7.6751682257224871</v>
      </c>
      <c r="BB98" s="1294">
        <f t="shared" si="80"/>
        <v>361.95506527346197</v>
      </c>
      <c r="BC98" s="1295">
        <f t="shared" si="81"/>
        <v>1837.6800134630832</v>
      </c>
      <c r="BD98" s="1327">
        <f t="shared" si="95"/>
        <v>7.6751682257224871</v>
      </c>
      <c r="BE98" s="1295">
        <f t="shared" si="54"/>
        <v>2207.3102469622681</v>
      </c>
      <c r="BF98" s="167">
        <v>0</v>
      </c>
      <c r="BG98" s="1317">
        <f t="shared" si="82"/>
        <v>2207.3102469622681</v>
      </c>
      <c r="BI98" s="1294">
        <f t="shared" si="83"/>
        <v>361.95506527346197</v>
      </c>
      <c r="BJ98" s="1295">
        <f t="shared" si="84"/>
        <v>1837.6800134630832</v>
      </c>
      <c r="BK98" s="1327">
        <f t="shared" si="85"/>
        <v>7.6751682257224871</v>
      </c>
      <c r="BL98" s="1295">
        <f t="shared" si="55"/>
        <v>2207.3102469622681</v>
      </c>
      <c r="BM98" s="167">
        <v>0</v>
      </c>
      <c r="BN98" s="1317">
        <f t="shared" si="86"/>
        <v>2207.3102469622681</v>
      </c>
    </row>
    <row r="99" spans="1:66">
      <c r="A99" s="1156">
        <f>'Input data'!A129</f>
        <v>2031</v>
      </c>
      <c r="B99" s="1039">
        <f>'Input data'!B129</f>
        <v>66.519000000000005</v>
      </c>
      <c r="C99" s="1039">
        <f>'Recycling - Case 1'!AF109</f>
        <v>277.67239883192764</v>
      </c>
      <c r="D99" s="1040">
        <f>'Recycling - Case 1'!AM109</f>
        <v>0.33821874623794668</v>
      </c>
      <c r="E99" s="1041">
        <f>'Recycling - Case 1'!BE109</f>
        <v>0.14277330911442879</v>
      </c>
      <c r="F99" s="1041">
        <f>'Recycling - Case 1'!BF109</f>
        <v>0.23124410795484199</v>
      </c>
      <c r="G99" s="1041">
        <f>'Recycling - Case 1'!BG109</f>
        <v>8.1064610179297267E-2</v>
      </c>
      <c r="H99" s="1041">
        <f>'Recycling - Case 1'!BH109</f>
        <v>0</v>
      </c>
      <c r="I99" s="1041">
        <f>'Recycling - Case 1'!BI109</f>
        <v>0</v>
      </c>
      <c r="J99" s="1041">
        <f>'Recycling - Case 1'!BJ109</f>
        <v>0</v>
      </c>
      <c r="K99" s="1041">
        <f>'Recycling - Case 1'!BK109</f>
        <v>0.54491797275143217</v>
      </c>
      <c r="L99" s="1042">
        <f t="shared" si="94"/>
        <v>1.0000000000000002</v>
      </c>
      <c r="M99" s="104"/>
      <c r="N99" s="1053">
        <f t="shared" si="53"/>
        <v>6247.0660709562335</v>
      </c>
      <c r="O99" s="1048">
        <f>Parameters!R202</f>
        <v>0.87175000000000002</v>
      </c>
      <c r="P99" s="1049">
        <f>E99*'MSW characteristics'!$B$28+'MSW characteristics'!$B$29*'4A SWD Case 1'!F99+'4A SWD Case 1'!G99*'MSW characteristics'!$B$30+'MSW characteristics'!$B$31*'4A SWD Case 1'!H99+'4A SWD Case 1'!I99*'MSW characteristics'!$B$32+'MSW characteristics'!$B$33*'4A SWD Case 1'!J99+'4A SWD Case 1'!K99*'MSW characteristics'!$B$35</f>
        <v>0.10009066202985162</v>
      </c>
      <c r="Q99" s="1047">
        <f t="shared" si="56"/>
        <v>272.54085962844954</v>
      </c>
      <c r="R99" s="1047">
        <f t="shared" si="57"/>
        <v>272.54085962844954</v>
      </c>
      <c r="S99" s="1050">
        <f t="shared" si="58"/>
        <v>0</v>
      </c>
      <c r="T99" s="1047">
        <f t="shared" si="59"/>
        <v>10613.275928905852</v>
      </c>
      <c r="U99" s="1047">
        <f t="shared" si="60"/>
        <v>530.18082433585334</v>
      </c>
      <c r="V99" s="1054">
        <f t="shared" si="61"/>
        <v>353.45388289056888</v>
      </c>
      <c r="W99" s="104"/>
      <c r="X99" s="1264">
        <f>'Recycling - Case 1'!AC149*'Recycling - Case 1'!AE149*'Recycling - Case 1'!C149</f>
        <v>42777.656374178317</v>
      </c>
      <c r="Y99" s="1265">
        <f>Parameters!S202</f>
        <v>0.71500000000000008</v>
      </c>
      <c r="Z99" s="1266">
        <f t="shared" si="62"/>
        <v>0.15</v>
      </c>
      <c r="AA99" s="1267">
        <f t="shared" si="63"/>
        <v>2293.9518230653125</v>
      </c>
      <c r="AB99" s="1267">
        <f t="shared" si="64"/>
        <v>2293.9518230653125</v>
      </c>
      <c r="AC99" s="1268">
        <f t="shared" si="65"/>
        <v>0</v>
      </c>
      <c r="AD99" s="1267">
        <f t="shared" si="66"/>
        <v>55636.130681671028</v>
      </c>
      <c r="AE99" s="1267">
        <f t="shared" si="67"/>
        <v>2734.9119931666851</v>
      </c>
      <c r="AF99" s="1269">
        <f t="shared" si="68"/>
        <v>1823.2746621111235</v>
      </c>
      <c r="AG99" s="104"/>
      <c r="AH99" s="1264">
        <f>'Recycling - Case 1'!AC189*'Recycling - Case 1'!AE189*'Recycling - Case 1'!C189</f>
        <v>43188.147296135372</v>
      </c>
      <c r="AI99" s="1265">
        <f>Parameters!S202</f>
        <v>0.71500000000000008</v>
      </c>
      <c r="AJ99" s="1266">
        <f t="shared" si="69"/>
        <v>0.15</v>
      </c>
      <c r="AK99" s="1267">
        <f t="shared" si="70"/>
        <v>2315.9643987552595</v>
      </c>
      <c r="AL99" s="1267">
        <f t="shared" si="71"/>
        <v>2315.9643987552595</v>
      </c>
      <c r="AM99" s="1268">
        <f t="shared" si="72"/>
        <v>0</v>
      </c>
      <c r="AN99" s="1267">
        <f t="shared" si="73"/>
        <v>55658.143257360978</v>
      </c>
      <c r="AO99" s="1267">
        <f t="shared" si="74"/>
        <v>2734.9119931666851</v>
      </c>
      <c r="AP99" s="1269">
        <f t="shared" si="75"/>
        <v>1823.2746621111235</v>
      </c>
      <c r="AQ99" s="104"/>
      <c r="AR99" s="1303">
        <f>'Recycling - Case 1'!G109</f>
        <v>656.68062845237228</v>
      </c>
      <c r="AS99" s="1304">
        <v>1</v>
      </c>
      <c r="AT99" s="1305">
        <f t="shared" si="76"/>
        <v>0.05</v>
      </c>
      <c r="AU99" s="1283">
        <f t="shared" si="77"/>
        <v>16.417015711309308</v>
      </c>
      <c r="AV99" s="1283">
        <f t="shared" si="78"/>
        <v>16.417015711309308</v>
      </c>
      <c r="AW99" s="1284">
        <f t="shared" si="79"/>
        <v>0</v>
      </c>
      <c r="AX99" s="1283">
        <f t="shared" si="49"/>
        <v>206.9733720381482</v>
      </c>
      <c r="AY99" s="1283">
        <f t="shared" si="52"/>
        <v>11.783346997518702</v>
      </c>
      <c r="AZ99" s="1306">
        <f t="shared" si="50"/>
        <v>7.8555646650124684</v>
      </c>
      <c r="BB99" s="1294">
        <f t="shared" si="80"/>
        <v>353.45388289056888</v>
      </c>
      <c r="BC99" s="1295">
        <f t="shared" si="81"/>
        <v>1823.2746621111235</v>
      </c>
      <c r="BD99" s="1327">
        <f t="shared" si="95"/>
        <v>7.8555646650124684</v>
      </c>
      <c r="BE99" s="1295">
        <f t="shared" si="54"/>
        <v>2184.584109666705</v>
      </c>
      <c r="BF99" s="167">
        <v>0</v>
      </c>
      <c r="BG99" s="1317">
        <f t="shared" si="82"/>
        <v>2184.584109666705</v>
      </c>
      <c r="BI99" s="1294">
        <f t="shared" si="83"/>
        <v>353.45388289056888</v>
      </c>
      <c r="BJ99" s="1295">
        <f t="shared" si="84"/>
        <v>1823.2746621111235</v>
      </c>
      <c r="BK99" s="1327">
        <f t="shared" si="85"/>
        <v>7.8555646650124684</v>
      </c>
      <c r="BL99" s="1295">
        <f t="shared" si="55"/>
        <v>2184.584109666705</v>
      </c>
      <c r="BM99" s="167">
        <v>0</v>
      </c>
      <c r="BN99" s="1317">
        <f t="shared" si="86"/>
        <v>2184.584109666705</v>
      </c>
    </row>
    <row r="100" spans="1:66">
      <c r="A100" s="1156">
        <f>'Input data'!A130</f>
        <v>2032</v>
      </c>
      <c r="B100" s="1039">
        <f>'Input data'!B130</f>
        <v>67.087000000000003</v>
      </c>
      <c r="C100" s="1039">
        <f>'Recycling - Case 1'!AF110</f>
        <v>263.87232996855778</v>
      </c>
      <c r="D100" s="1040">
        <f>'Recycling - Case 1'!AM110</f>
        <v>0.33821874623794673</v>
      </c>
      <c r="E100" s="1041">
        <f>'Recycling - Case 1'!BE110</f>
        <v>0.14277330911442879</v>
      </c>
      <c r="F100" s="1041">
        <f>'Recycling - Case 1'!BF110</f>
        <v>0.23124410795484199</v>
      </c>
      <c r="G100" s="1041">
        <f>'Recycling - Case 1'!BG110</f>
        <v>8.1064610179297267E-2</v>
      </c>
      <c r="H100" s="1041">
        <f>'Recycling - Case 1'!BH110</f>
        <v>0</v>
      </c>
      <c r="I100" s="1041">
        <f>'Recycling - Case 1'!BI110</f>
        <v>0</v>
      </c>
      <c r="J100" s="1041">
        <f>'Recycling - Case 1'!BJ110</f>
        <v>0</v>
      </c>
      <c r="K100" s="1041">
        <f>'Recycling - Case 1'!BK110</f>
        <v>0.54491797275143194</v>
      </c>
      <c r="L100" s="1042">
        <f t="shared" si="94"/>
        <v>1</v>
      </c>
      <c r="M100" s="104"/>
      <c r="N100" s="1053">
        <f t="shared" si="53"/>
        <v>5987.2845482620132</v>
      </c>
      <c r="O100" s="1048">
        <f>Parameters!R203</f>
        <v>0.87849999999999995</v>
      </c>
      <c r="P100" s="1049">
        <f>E100*'MSW characteristics'!$B$28+'MSW characteristics'!$B$29*'4A SWD Case 1'!F100+'4A SWD Case 1'!G100*'MSW characteristics'!$B$30+'MSW characteristics'!$B$31*'4A SWD Case 1'!H100+'4A SWD Case 1'!I100*'MSW characteristics'!$B$32+'MSW characteristics'!$B$33*'4A SWD Case 1'!J100+'4A SWD Case 1'!K100*'MSW characteristics'!$B$35</f>
        <v>0.10009066202985162</v>
      </c>
      <c r="Q100" s="1047">
        <f t="shared" si="56"/>
        <v>263.22990719087676</v>
      </c>
      <c r="R100" s="1047">
        <f t="shared" si="57"/>
        <v>263.22990719087676</v>
      </c>
      <c r="S100" s="1050">
        <f t="shared" si="58"/>
        <v>0</v>
      </c>
      <c r="T100" s="1047">
        <f t="shared" si="59"/>
        <v>10358.890261111272</v>
      </c>
      <c r="U100" s="1047">
        <f t="shared" si="60"/>
        <v>517.61557498545744</v>
      </c>
      <c r="V100" s="1054">
        <f t="shared" si="61"/>
        <v>345.07704999030494</v>
      </c>
      <c r="W100" s="104"/>
      <c r="X100" s="1264">
        <f>'Recycling - Case 1'!AC150*'Recycling - Case 1'!AE150*'Recycling - Case 1'!C150</f>
        <v>42334.277476792573</v>
      </c>
      <c r="Y100" s="1265">
        <f>Parameters!S203</f>
        <v>0.71500000000000008</v>
      </c>
      <c r="Z100" s="1266">
        <f t="shared" si="62"/>
        <v>0.15</v>
      </c>
      <c r="AA100" s="1267">
        <f t="shared" si="63"/>
        <v>2270.1756296930021</v>
      </c>
      <c r="AB100" s="1267">
        <f t="shared" si="64"/>
        <v>2270.1756296930021</v>
      </c>
      <c r="AC100" s="1268">
        <f t="shared" si="65"/>
        <v>0</v>
      </c>
      <c r="AD100" s="1267">
        <f t="shared" si="66"/>
        <v>55192.900199465454</v>
      </c>
      <c r="AE100" s="1267">
        <f t="shared" si="67"/>
        <v>2713.4061118985783</v>
      </c>
      <c r="AF100" s="1269">
        <f t="shared" si="68"/>
        <v>1808.9374079323854</v>
      </c>
      <c r="AG100" s="104"/>
      <c r="AH100" s="1264">
        <f>'Recycling - Case 1'!AC190*'Recycling - Case 1'!AE190*'Recycling - Case 1'!C190</f>
        <v>43296.373675320407</v>
      </c>
      <c r="AI100" s="1265">
        <f>Parameters!S203</f>
        <v>0.71500000000000008</v>
      </c>
      <c r="AJ100" s="1266">
        <f t="shared" si="69"/>
        <v>0.15</v>
      </c>
      <c r="AK100" s="1267">
        <f t="shared" si="70"/>
        <v>2321.7680383390571</v>
      </c>
      <c r="AL100" s="1267">
        <f t="shared" si="71"/>
        <v>2321.7680383390571</v>
      </c>
      <c r="AM100" s="1268">
        <f t="shared" si="72"/>
        <v>0</v>
      </c>
      <c r="AN100" s="1267">
        <f t="shared" si="73"/>
        <v>55265.431617816837</v>
      </c>
      <c r="AO100" s="1267">
        <f t="shared" si="74"/>
        <v>2714.4796778831987</v>
      </c>
      <c r="AP100" s="1269">
        <f t="shared" si="75"/>
        <v>1809.6531185887991</v>
      </c>
      <c r="AQ100" s="104"/>
      <c r="AR100" s="1303">
        <f>'Recycling - Case 1'!G110</f>
        <v>667.11952946746214</v>
      </c>
      <c r="AS100" s="1304">
        <v>1</v>
      </c>
      <c r="AT100" s="1305">
        <f t="shared" si="76"/>
        <v>0.05</v>
      </c>
      <c r="AU100" s="1283">
        <f t="shared" si="77"/>
        <v>16.677988236686556</v>
      </c>
      <c r="AV100" s="1283">
        <f t="shared" si="78"/>
        <v>16.677988236686556</v>
      </c>
      <c r="AW100" s="1284">
        <f t="shared" si="79"/>
        <v>0</v>
      </c>
      <c r="AX100" s="1283">
        <f t="shared" si="49"/>
        <v>211.59816941855237</v>
      </c>
      <c r="AY100" s="1283">
        <f t="shared" si="52"/>
        <v>12.053190856282374</v>
      </c>
      <c r="AZ100" s="1306">
        <f t="shared" si="50"/>
        <v>8.0354605708549158</v>
      </c>
      <c r="BB100" s="1294">
        <f t="shared" si="80"/>
        <v>345.07704999030494</v>
      </c>
      <c r="BC100" s="1295">
        <f t="shared" si="81"/>
        <v>1808.9374079323854</v>
      </c>
      <c r="BD100" s="1327">
        <f t="shared" si="95"/>
        <v>8.0354605708549158</v>
      </c>
      <c r="BE100" s="1295">
        <f t="shared" si="54"/>
        <v>2162.0499184935452</v>
      </c>
      <c r="BF100" s="167">
        <v>0</v>
      </c>
      <c r="BG100" s="1317">
        <f t="shared" si="82"/>
        <v>2162.0499184935452</v>
      </c>
      <c r="BI100" s="1294">
        <f t="shared" si="83"/>
        <v>345.07704999030494</v>
      </c>
      <c r="BJ100" s="1295">
        <f t="shared" si="84"/>
        <v>1809.6531185887991</v>
      </c>
      <c r="BK100" s="1327">
        <f t="shared" si="85"/>
        <v>8.0354605708549158</v>
      </c>
      <c r="BL100" s="1295">
        <f t="shared" si="55"/>
        <v>2162.7656291499588</v>
      </c>
      <c r="BM100" s="167">
        <v>0</v>
      </c>
      <c r="BN100" s="1317">
        <f t="shared" si="86"/>
        <v>2162.7656291499588</v>
      </c>
    </row>
    <row r="101" spans="1:66">
      <c r="A101" s="1156">
        <f>'Input data'!A131</f>
        <v>2033</v>
      </c>
      <c r="B101" s="1039">
        <f>'Input data'!B131</f>
        <v>67.659000000000006</v>
      </c>
      <c r="C101" s="1039">
        <f>'Recycling - Case 1'!AF111</f>
        <v>250.07226110518789</v>
      </c>
      <c r="D101" s="1040">
        <f>'Recycling - Case 1'!AM111</f>
        <v>0.33821874623794668</v>
      </c>
      <c r="E101" s="1041">
        <f>'Recycling - Case 1'!BE111</f>
        <v>0.14277330911442879</v>
      </c>
      <c r="F101" s="1041">
        <f>'Recycling - Case 1'!BF111</f>
        <v>0.23124410795484199</v>
      </c>
      <c r="G101" s="1041">
        <f>'Recycling - Case 1'!BG111</f>
        <v>8.1064610179297281E-2</v>
      </c>
      <c r="H101" s="1041">
        <f>'Recycling - Case 1'!BH111</f>
        <v>0</v>
      </c>
      <c r="I101" s="1041">
        <f>'Recycling - Case 1'!BI111</f>
        <v>0</v>
      </c>
      <c r="J101" s="1041">
        <f>'Recycling - Case 1'!BJ111</f>
        <v>0</v>
      </c>
      <c r="K101" s="1041">
        <f>'Recycling - Case 1'!BK111</f>
        <v>0.54491797275143217</v>
      </c>
      <c r="L101" s="1042">
        <f t="shared" si="94"/>
        <v>1.0000000000000002</v>
      </c>
      <c r="M101" s="104"/>
      <c r="N101" s="1053">
        <f t="shared" si="53"/>
        <v>5722.5391279748046</v>
      </c>
      <c r="O101" s="1048">
        <f>Parameters!R204</f>
        <v>0.88524999999999998</v>
      </c>
      <c r="P101" s="1049">
        <f>E101*'MSW characteristics'!$B$28+'MSW characteristics'!$B$29*'4A SWD Case 1'!F101+'4A SWD Case 1'!G101*'MSW characteristics'!$B$30+'MSW characteristics'!$B$31*'4A SWD Case 1'!H101+'4A SWD Case 1'!I101*'MSW characteristics'!$B$32+'MSW characteristics'!$B$33*'4A SWD Case 1'!J101+'4A SWD Case 1'!K101*'MSW characteristics'!$B$35</f>
        <v>0.10009066202985162</v>
      </c>
      <c r="Q101" s="1047">
        <f t="shared" si="56"/>
        <v>253.52352953247345</v>
      </c>
      <c r="R101" s="1047">
        <f t="shared" si="57"/>
        <v>253.52352953247345</v>
      </c>
      <c r="S101" s="1050">
        <f t="shared" si="58"/>
        <v>0</v>
      </c>
      <c r="T101" s="1047">
        <f t="shared" si="59"/>
        <v>10107.204751075398</v>
      </c>
      <c r="U101" s="1047">
        <f t="shared" si="60"/>
        <v>505.20903956834559</v>
      </c>
      <c r="V101" s="1054">
        <f t="shared" si="61"/>
        <v>336.80602637889706</v>
      </c>
      <c r="W101" s="104"/>
      <c r="X101" s="1264">
        <f>'Recycling - Case 1'!AC151*'Recycling - Case 1'!AE151*'Recycling - Case 1'!C151</f>
        <v>41982.136789010547</v>
      </c>
      <c r="Y101" s="1265">
        <f>Parameters!S204</f>
        <v>0.71500000000000008</v>
      </c>
      <c r="Z101" s="1266">
        <f t="shared" si="62"/>
        <v>0.15</v>
      </c>
      <c r="AA101" s="1267">
        <f t="shared" si="63"/>
        <v>2251.2920853106907</v>
      </c>
      <c r="AB101" s="1267">
        <f t="shared" si="64"/>
        <v>2251.2920853106907</v>
      </c>
      <c r="AC101" s="1268">
        <f t="shared" si="65"/>
        <v>0</v>
      </c>
      <c r="AD101" s="1267">
        <f t="shared" si="66"/>
        <v>54752.40277857356</v>
      </c>
      <c r="AE101" s="1267">
        <f t="shared" si="67"/>
        <v>2691.7895062025864</v>
      </c>
      <c r="AF101" s="1269">
        <f t="shared" si="68"/>
        <v>1794.5263374683909</v>
      </c>
      <c r="AG101" s="104"/>
      <c r="AH101" s="1264">
        <f>'Recycling - Case 1'!AC191*'Recycling - Case 1'!AE191*'Recycling - Case 1'!C191</f>
        <v>43416.573941107607</v>
      </c>
      <c r="AI101" s="1265">
        <f>Parameters!S204</f>
        <v>0.71500000000000008</v>
      </c>
      <c r="AJ101" s="1266">
        <f t="shared" si="69"/>
        <v>0.15</v>
      </c>
      <c r="AK101" s="1267">
        <f t="shared" si="70"/>
        <v>2328.2137775918955</v>
      </c>
      <c r="AL101" s="1267">
        <f t="shared" si="71"/>
        <v>2328.2137775918955</v>
      </c>
      <c r="AM101" s="1268">
        <f t="shared" si="72"/>
        <v>0</v>
      </c>
      <c r="AN101" s="1267">
        <f t="shared" si="73"/>
        <v>54898.31849019137</v>
      </c>
      <c r="AO101" s="1267">
        <f t="shared" si="74"/>
        <v>2695.3269052173628</v>
      </c>
      <c r="AP101" s="1269">
        <f t="shared" si="75"/>
        <v>1796.8846034782418</v>
      </c>
      <c r="AQ101" s="104"/>
      <c r="AR101" s="1303">
        <f>'Recycling - Case 1'!G111</f>
        <v>677.6803089176409</v>
      </c>
      <c r="AS101" s="1304">
        <v>1</v>
      </c>
      <c r="AT101" s="1305">
        <f t="shared" si="76"/>
        <v>0.05</v>
      </c>
      <c r="AU101" s="1283">
        <f t="shared" si="77"/>
        <v>16.942007722941025</v>
      </c>
      <c r="AV101" s="1283">
        <f t="shared" si="78"/>
        <v>16.942007722941025</v>
      </c>
      <c r="AW101" s="1284">
        <f t="shared" si="79"/>
        <v>0</v>
      </c>
      <c r="AX101" s="1283">
        <f t="shared" si="49"/>
        <v>216.21765905268484</v>
      </c>
      <c r="AY101" s="1283">
        <f t="shared" si="52"/>
        <v>12.322518088808556</v>
      </c>
      <c r="AZ101" s="1306">
        <f t="shared" si="50"/>
        <v>8.2150120592057032</v>
      </c>
      <c r="BB101" s="1294">
        <f t="shared" si="80"/>
        <v>336.80602637889706</v>
      </c>
      <c r="BC101" s="1295">
        <f t="shared" si="81"/>
        <v>1794.5263374683909</v>
      </c>
      <c r="BD101" s="1327">
        <f t="shared" si="95"/>
        <v>8.2150120592057032</v>
      </c>
      <c r="BE101" s="1295">
        <f t="shared" si="54"/>
        <v>2139.5473759064935</v>
      </c>
      <c r="BF101" s="167">
        <v>0</v>
      </c>
      <c r="BG101" s="1317">
        <f t="shared" si="82"/>
        <v>2139.5473759064935</v>
      </c>
      <c r="BI101" s="1294">
        <f t="shared" si="83"/>
        <v>336.80602637889706</v>
      </c>
      <c r="BJ101" s="1295">
        <f t="shared" si="84"/>
        <v>1796.8846034782418</v>
      </c>
      <c r="BK101" s="1327">
        <f t="shared" si="85"/>
        <v>8.2150120592057032</v>
      </c>
      <c r="BL101" s="1295">
        <f t="shared" si="55"/>
        <v>2141.9056419163444</v>
      </c>
      <c r="BM101" s="167">
        <v>0</v>
      </c>
      <c r="BN101" s="1317">
        <f t="shared" si="86"/>
        <v>2141.9056419163444</v>
      </c>
    </row>
    <row r="102" spans="1:66">
      <c r="A102" s="1156">
        <f>'Input data'!A132</f>
        <v>2034</v>
      </c>
      <c r="B102" s="1039">
        <f>'Input data'!B132</f>
        <v>68.236999999999995</v>
      </c>
      <c r="C102" s="1039">
        <f>'Recycling - Case 1'!AF112</f>
        <v>236.27219224181798</v>
      </c>
      <c r="D102" s="1040">
        <f>'Recycling - Case 1'!AM112</f>
        <v>0.33821874623794673</v>
      </c>
      <c r="E102" s="1041">
        <f>'Recycling - Case 1'!BE112</f>
        <v>0.14277330911442876</v>
      </c>
      <c r="F102" s="1041">
        <f>'Recycling - Case 1'!BF112</f>
        <v>0.23124410795484199</v>
      </c>
      <c r="G102" s="1041">
        <f>'Recycling - Case 1'!BG112</f>
        <v>8.1064610179297267E-2</v>
      </c>
      <c r="H102" s="1041">
        <f>'Recycling - Case 1'!BH112</f>
        <v>0</v>
      </c>
      <c r="I102" s="1041">
        <f>'Recycling - Case 1'!BI112</f>
        <v>0</v>
      </c>
      <c r="J102" s="1041">
        <f>'Recycling - Case 1'!BJ112</f>
        <v>0</v>
      </c>
      <c r="K102" s="1041">
        <f>'Recycling - Case 1'!BK112</f>
        <v>0.54491797275143206</v>
      </c>
      <c r="L102" s="1042">
        <f t="shared" si="94"/>
        <v>1</v>
      </c>
      <c r="M102" s="104"/>
      <c r="N102" s="1053">
        <f t="shared" si="53"/>
        <v>5452.9336241600058</v>
      </c>
      <c r="O102" s="1048">
        <f>Parameters!R205</f>
        <v>0.8919999999999999</v>
      </c>
      <c r="P102" s="1049">
        <f>E102*'MSW characteristics'!$B$28+'MSW characteristics'!$B$29*'4A SWD Case 1'!F102+'4A SWD Case 1'!G102*'MSW characteristics'!$B$30+'MSW characteristics'!$B$31*'4A SWD Case 1'!H102+'4A SWD Case 1'!I102*'MSW characteristics'!$B$32+'MSW characteristics'!$B$33*'4A SWD Case 1'!J102+'4A SWD Case 1'!K102*'MSW characteristics'!$B$35</f>
        <v>0.10009066202985162</v>
      </c>
      <c r="Q102" s="1047">
        <f t="shared" si="56"/>
        <v>243.42133045536784</v>
      </c>
      <c r="R102" s="1047">
        <f t="shared" si="57"/>
        <v>243.42133045536784</v>
      </c>
      <c r="S102" s="1050">
        <f t="shared" si="58"/>
        <v>0</v>
      </c>
      <c r="T102" s="1047">
        <f t="shared" si="59"/>
        <v>9857.6918891317018</v>
      </c>
      <c r="U102" s="1047">
        <f t="shared" si="60"/>
        <v>492.93419239906473</v>
      </c>
      <c r="V102" s="1054">
        <f t="shared" si="61"/>
        <v>328.62279493270984</v>
      </c>
      <c r="W102" s="104"/>
      <c r="X102" s="1264">
        <f>'Recycling - Case 1'!AC152*'Recycling - Case 1'!AE152*'Recycling - Case 1'!C152</f>
        <v>41678.324537984321</v>
      </c>
      <c r="Y102" s="1265">
        <f>Parameters!S205</f>
        <v>0.71500000000000008</v>
      </c>
      <c r="Z102" s="1266">
        <f t="shared" si="62"/>
        <v>0.15</v>
      </c>
      <c r="AA102" s="1267">
        <f t="shared" si="63"/>
        <v>2235.0001533494092</v>
      </c>
      <c r="AB102" s="1267">
        <f t="shared" si="64"/>
        <v>2235.0001533494092</v>
      </c>
      <c r="AC102" s="1268">
        <f t="shared" si="65"/>
        <v>0</v>
      </c>
      <c r="AD102" s="1267">
        <f t="shared" si="66"/>
        <v>54317.09673844323</v>
      </c>
      <c r="AE102" s="1267">
        <f t="shared" si="67"/>
        <v>2670.3061934797374</v>
      </c>
      <c r="AF102" s="1269">
        <f t="shared" si="68"/>
        <v>1780.2041289864917</v>
      </c>
      <c r="AG102" s="104"/>
      <c r="AH102" s="1264">
        <f>'Recycling - Case 1'!AC192*'Recycling - Case 1'!AE192*'Recycling - Case 1'!C192</f>
        <v>43545.101909982761</v>
      </c>
      <c r="AI102" s="1265">
        <f>Parameters!S205</f>
        <v>0.71500000000000008</v>
      </c>
      <c r="AJ102" s="1266">
        <f t="shared" si="69"/>
        <v>0.15</v>
      </c>
      <c r="AK102" s="1267">
        <f t="shared" si="70"/>
        <v>2335.106089922826</v>
      </c>
      <c r="AL102" s="1267">
        <f t="shared" si="71"/>
        <v>2335.106089922826</v>
      </c>
      <c r="AM102" s="1268">
        <f t="shared" si="72"/>
        <v>0</v>
      </c>
      <c r="AN102" s="1267">
        <f t="shared" si="73"/>
        <v>54556.001993404469</v>
      </c>
      <c r="AO102" s="1267">
        <f t="shared" si="74"/>
        <v>2677.4225867097261</v>
      </c>
      <c r="AP102" s="1269">
        <f t="shared" si="75"/>
        <v>1784.9483911398174</v>
      </c>
      <c r="AQ102" s="104"/>
      <c r="AR102" s="1303">
        <f>'Recycling - Case 1'!G112</f>
        <v>688.38400730327044</v>
      </c>
      <c r="AS102" s="1304">
        <v>1</v>
      </c>
      <c r="AT102" s="1305">
        <f t="shared" si="76"/>
        <v>0.05</v>
      </c>
      <c r="AU102" s="1283">
        <f t="shared" si="77"/>
        <v>17.209600182581763</v>
      </c>
      <c r="AV102" s="1283">
        <f t="shared" si="78"/>
        <v>17.209600182581763</v>
      </c>
      <c r="AW102" s="1284">
        <f t="shared" si="79"/>
        <v>0</v>
      </c>
      <c r="AX102" s="1283">
        <f t="shared" si="49"/>
        <v>220.8357230130116</v>
      </c>
      <c r="AY102" s="1283">
        <f t="shared" si="52"/>
        <v>12.591536222254989</v>
      </c>
      <c r="AZ102" s="1306">
        <f t="shared" si="50"/>
        <v>8.3943574815033255</v>
      </c>
      <c r="BB102" s="1294">
        <f t="shared" si="80"/>
        <v>328.62279493270984</v>
      </c>
      <c r="BC102" s="1295">
        <f t="shared" si="81"/>
        <v>1780.2041289864917</v>
      </c>
      <c r="BD102" s="1327">
        <f t="shared" si="95"/>
        <v>8.3943574815033255</v>
      </c>
      <c r="BE102" s="1295">
        <f t="shared" si="54"/>
        <v>2117.2212814007048</v>
      </c>
      <c r="BF102" s="167">
        <v>0</v>
      </c>
      <c r="BG102" s="1317">
        <f t="shared" si="82"/>
        <v>2117.2212814007048</v>
      </c>
      <c r="BI102" s="1294">
        <f t="shared" si="83"/>
        <v>328.62279493270984</v>
      </c>
      <c r="BJ102" s="1295">
        <f t="shared" si="84"/>
        <v>1784.9483911398174</v>
      </c>
      <c r="BK102" s="1327">
        <f t="shared" si="85"/>
        <v>8.3943574815033255</v>
      </c>
      <c r="BL102" s="1295">
        <f t="shared" si="55"/>
        <v>2121.9655435540308</v>
      </c>
      <c r="BM102" s="167">
        <v>0</v>
      </c>
      <c r="BN102" s="1317">
        <f t="shared" si="86"/>
        <v>2121.9655435540308</v>
      </c>
    </row>
    <row r="103" spans="1:66">
      <c r="A103" s="1156">
        <f>'Input data'!A133</f>
        <v>2035</v>
      </c>
      <c r="B103" s="1039">
        <f>'Input data'!B133</f>
        <v>68.819000000000003</v>
      </c>
      <c r="C103" s="1039">
        <f>'Recycling - Case 1'!AF113</f>
        <v>222.47212337844812</v>
      </c>
      <c r="D103" s="1040">
        <f>'Recycling - Case 1'!AM113</f>
        <v>0.33821874623794673</v>
      </c>
      <c r="E103" s="1041">
        <f>'Recycling - Case 1'!BE113</f>
        <v>0.14277330911442881</v>
      </c>
      <c r="F103" s="1041">
        <f>'Recycling - Case 1'!BF113</f>
        <v>0.23124410795484199</v>
      </c>
      <c r="G103" s="1041">
        <f>'Recycling - Case 1'!BG113</f>
        <v>8.1064610179297281E-2</v>
      </c>
      <c r="H103" s="1041">
        <f>'Recycling - Case 1'!BH113</f>
        <v>0</v>
      </c>
      <c r="I103" s="1041">
        <f>'Recycling - Case 1'!BI113</f>
        <v>0</v>
      </c>
      <c r="J103" s="1041">
        <f>'Recycling - Case 1'!BJ113</f>
        <v>0</v>
      </c>
      <c r="K103" s="1041">
        <f>'Recycling - Case 1'!BK113</f>
        <v>0.54491797275143217</v>
      </c>
      <c r="L103" s="1042">
        <f t="shared" si="94"/>
        <v>1.0000000000000002</v>
      </c>
      <c r="M103" s="104"/>
      <c r="N103" s="1053">
        <f t="shared" si="53"/>
        <v>5178.2335343765308</v>
      </c>
      <c r="O103" s="1048">
        <f>Parameters!R206</f>
        <v>0.89875000000000005</v>
      </c>
      <c r="P103" s="1049">
        <f>E103*'MSW characteristics'!$B$28+'MSW characteristics'!$B$29*'4A SWD Case 1'!F103+'4A SWD Case 1'!G103*'MSW characteristics'!$B$30+'MSW characteristics'!$B$31*'4A SWD Case 1'!H103+'4A SWD Case 1'!I103*'MSW characteristics'!$B$32+'MSW characteristics'!$B$33*'4A SWD Case 1'!J103+'4A SWD Case 1'!K103*'MSW characteristics'!$B$35</f>
        <v>0.10009066202985165</v>
      </c>
      <c r="Q103" s="1047">
        <f t="shared" si="56"/>
        <v>232.90783715629092</v>
      </c>
      <c r="R103" s="1047">
        <f t="shared" si="57"/>
        <v>232.90783715629092</v>
      </c>
      <c r="S103" s="1050">
        <f t="shared" si="58"/>
        <v>0</v>
      </c>
      <c r="T103" s="1047">
        <f t="shared" si="59"/>
        <v>9609.8344197603947</v>
      </c>
      <c r="U103" s="1047">
        <f t="shared" si="60"/>
        <v>480.76530652759675</v>
      </c>
      <c r="V103" s="1054">
        <f t="shared" si="61"/>
        <v>320.51020435173115</v>
      </c>
      <c r="W103" s="104"/>
      <c r="X103" s="1264">
        <f>'Recycling - Case 1'!AC153*'Recycling - Case 1'!AE153*'Recycling - Case 1'!C153</f>
        <v>41421.772808334594</v>
      </c>
      <c r="Y103" s="1265">
        <f>Parameters!S206</f>
        <v>0.71500000000000008</v>
      </c>
      <c r="Z103" s="1266">
        <f t="shared" si="62"/>
        <v>0.15</v>
      </c>
      <c r="AA103" s="1267">
        <f t="shared" si="63"/>
        <v>2221.2425668469427</v>
      </c>
      <c r="AB103" s="1267">
        <f t="shared" si="64"/>
        <v>2221.2425668469427</v>
      </c>
      <c r="AC103" s="1268">
        <f t="shared" si="65"/>
        <v>0</v>
      </c>
      <c r="AD103" s="1267">
        <f t="shared" si="66"/>
        <v>53889.263237905907</v>
      </c>
      <c r="AE103" s="1267">
        <f t="shared" si="67"/>
        <v>2649.076067384266</v>
      </c>
      <c r="AF103" s="1269">
        <f t="shared" si="68"/>
        <v>1766.0507115895107</v>
      </c>
      <c r="AG103" s="104"/>
      <c r="AH103" s="1264">
        <f>'Recycling - Case 1'!AC193*'Recycling - Case 1'!AE193*'Recycling - Case 1'!C193</f>
        <v>43682.475249975672</v>
      </c>
      <c r="AI103" s="1265">
        <f>Parameters!S206</f>
        <v>0.71500000000000008</v>
      </c>
      <c r="AJ103" s="1266">
        <f t="shared" si="69"/>
        <v>0.15</v>
      </c>
      <c r="AK103" s="1267">
        <f t="shared" si="70"/>
        <v>2342.4727352799455</v>
      </c>
      <c r="AL103" s="1267">
        <f t="shared" si="71"/>
        <v>2342.4727352799455</v>
      </c>
      <c r="AM103" s="1268">
        <f t="shared" si="72"/>
        <v>0</v>
      </c>
      <c r="AN103" s="1267">
        <f t="shared" si="73"/>
        <v>54237.747114525882</v>
      </c>
      <c r="AO103" s="1267">
        <f t="shared" si="74"/>
        <v>2660.7276141585294</v>
      </c>
      <c r="AP103" s="1269">
        <f t="shared" si="75"/>
        <v>1773.8184094390197</v>
      </c>
      <c r="AQ103" s="104"/>
      <c r="AR103" s="1303">
        <f>'Recycling - Case 1'!G113</f>
        <v>699.21160066565164</v>
      </c>
      <c r="AS103" s="1304">
        <v>1</v>
      </c>
      <c r="AT103" s="1305">
        <f t="shared" si="76"/>
        <v>0.05</v>
      </c>
      <c r="AU103" s="1283">
        <f t="shared" si="77"/>
        <v>17.480290016641291</v>
      </c>
      <c r="AV103" s="1283">
        <f t="shared" si="78"/>
        <v>17.480290016641291</v>
      </c>
      <c r="AW103" s="1284">
        <f t="shared" si="79"/>
        <v>0</v>
      </c>
      <c r="AX103" s="1283">
        <f t="shared" si="49"/>
        <v>225.45554169873049</v>
      </c>
      <c r="AY103" s="1283">
        <f t="shared" si="52"/>
        <v>12.860471330922389</v>
      </c>
      <c r="AZ103" s="1306">
        <f t="shared" si="50"/>
        <v>8.5736475539482591</v>
      </c>
      <c r="BB103" s="1294">
        <f t="shared" si="80"/>
        <v>320.51020435173115</v>
      </c>
      <c r="BC103" s="1295">
        <f t="shared" si="81"/>
        <v>1766.0507115895107</v>
      </c>
      <c r="BD103" s="1327">
        <f t="shared" si="95"/>
        <v>8.5736475539482591</v>
      </c>
      <c r="BE103" s="1295">
        <f t="shared" si="54"/>
        <v>2095.1345634951904</v>
      </c>
      <c r="BF103" s="167">
        <v>0</v>
      </c>
      <c r="BG103" s="1317">
        <f t="shared" si="82"/>
        <v>2095.1345634951904</v>
      </c>
      <c r="BI103" s="1294">
        <f t="shared" si="83"/>
        <v>320.51020435173115</v>
      </c>
      <c r="BJ103" s="1295">
        <f t="shared" si="84"/>
        <v>1773.8184094390197</v>
      </c>
      <c r="BK103" s="1327">
        <f t="shared" si="85"/>
        <v>8.5736475539482591</v>
      </c>
      <c r="BL103" s="1295">
        <f t="shared" si="55"/>
        <v>2102.9022613446991</v>
      </c>
      <c r="BM103" s="167">
        <v>0</v>
      </c>
      <c r="BN103" s="1317">
        <f t="shared" si="86"/>
        <v>2102.9022613446991</v>
      </c>
    </row>
    <row r="104" spans="1:66">
      <c r="A104" s="1156">
        <f>'Input data'!A134</f>
        <v>2036</v>
      </c>
      <c r="B104" s="1039">
        <f>'Input data'!B134</f>
        <v>69.322999999999993</v>
      </c>
      <c r="C104" s="1039">
        <f>'Recycling - Case 1'!AF114</f>
        <v>208.67205451507823</v>
      </c>
      <c r="D104" s="1040">
        <f>'Recycling - Case 1'!AM114</f>
        <v>0.33821874623794668</v>
      </c>
      <c r="E104" s="1041">
        <f>'Recycling - Case 1'!BE114</f>
        <v>0.14277330911442879</v>
      </c>
      <c r="F104" s="1041">
        <f>'Recycling - Case 1'!BF114</f>
        <v>0.23124410795484196</v>
      </c>
      <c r="G104" s="1041">
        <f>'Recycling - Case 1'!BG114</f>
        <v>8.1064610179297253E-2</v>
      </c>
      <c r="H104" s="1041">
        <f>'Recycling - Case 1'!BH114</f>
        <v>0</v>
      </c>
      <c r="I104" s="1041">
        <f>'Recycling - Case 1'!BI114</f>
        <v>0</v>
      </c>
      <c r="J104" s="1041">
        <f>'Recycling - Case 1'!BJ114</f>
        <v>0</v>
      </c>
      <c r="K104" s="1041">
        <f>'Recycling - Case 1'!BK114</f>
        <v>0.54491797275143194</v>
      </c>
      <c r="L104" s="1042">
        <f t="shared" si="94"/>
        <v>0.99999999999999989</v>
      </c>
      <c r="M104" s="104"/>
      <c r="N104" s="1053">
        <f t="shared" si="53"/>
        <v>4892.5955516669637</v>
      </c>
      <c r="O104" s="1048">
        <f>Parameters!R207</f>
        <v>0.90549999999999997</v>
      </c>
      <c r="P104" s="1049">
        <f>E104*'MSW characteristics'!$B$28+'MSW characteristics'!$B$29*'4A SWD Case 1'!F104+'4A SWD Case 1'!G104*'MSW characteristics'!$B$30+'MSW characteristics'!$B$31*'4A SWD Case 1'!H104+'4A SWD Case 1'!I104*'MSW characteristics'!$B$32+'MSW characteristics'!$B$33*'4A SWD Case 1'!J104+'4A SWD Case 1'!K104*'MSW characteristics'!$B$35</f>
        <v>0.10009066202985162</v>
      </c>
      <c r="Q104" s="1047">
        <f t="shared" si="56"/>
        <v>221.71309111627335</v>
      </c>
      <c r="R104" s="1047">
        <f t="shared" si="57"/>
        <v>221.71309111627335</v>
      </c>
      <c r="S104" s="1050">
        <f t="shared" si="58"/>
        <v>0</v>
      </c>
      <c r="T104" s="1047">
        <f t="shared" si="59"/>
        <v>9362.8703557721055</v>
      </c>
      <c r="U104" s="1047">
        <f t="shared" si="60"/>
        <v>468.67715510456145</v>
      </c>
      <c r="V104" s="1054">
        <f t="shared" si="61"/>
        <v>312.45143673637432</v>
      </c>
      <c r="W104" s="104"/>
      <c r="X104" s="1264">
        <f>'Recycling - Case 1'!AC154*'Recycling - Case 1'!AE154*'Recycling - Case 1'!C154</f>
        <v>41166.38328486048</v>
      </c>
      <c r="Y104" s="1265">
        <f>Parameters!S207</f>
        <v>0.71500000000000008</v>
      </c>
      <c r="Z104" s="1266">
        <f t="shared" si="62"/>
        <v>0.15</v>
      </c>
      <c r="AA104" s="1267">
        <f t="shared" si="63"/>
        <v>2207.5473036506432</v>
      </c>
      <c r="AB104" s="1267">
        <f t="shared" si="64"/>
        <v>2207.5473036506432</v>
      </c>
      <c r="AC104" s="1268">
        <f t="shared" si="65"/>
        <v>0</v>
      </c>
      <c r="AD104" s="1267">
        <f t="shared" si="66"/>
        <v>53468.600160211368</v>
      </c>
      <c r="AE104" s="1267">
        <f t="shared" si="67"/>
        <v>2628.2103813451868</v>
      </c>
      <c r="AF104" s="1269">
        <f t="shared" si="68"/>
        <v>1752.1402542301246</v>
      </c>
      <c r="AG104" s="104"/>
      <c r="AH104" s="1264">
        <f>'Recycling - Case 1'!AC194*'Recycling - Case 1'!AE194*'Recycling - Case 1'!C194</f>
        <v>43823.911158637173</v>
      </c>
      <c r="AI104" s="1265">
        <f>Parameters!S207</f>
        <v>0.71500000000000008</v>
      </c>
      <c r="AJ104" s="1266">
        <f t="shared" si="69"/>
        <v>0.15</v>
      </c>
      <c r="AK104" s="1267">
        <f t="shared" si="70"/>
        <v>2350.0572358819186</v>
      </c>
      <c r="AL104" s="1267">
        <f t="shared" si="71"/>
        <v>2350.0572358819186</v>
      </c>
      <c r="AM104" s="1268">
        <f t="shared" si="72"/>
        <v>0</v>
      </c>
      <c r="AN104" s="1267">
        <f t="shared" si="73"/>
        <v>53942.598209847638</v>
      </c>
      <c r="AO104" s="1267">
        <f t="shared" si="74"/>
        <v>2645.2061405601653</v>
      </c>
      <c r="AP104" s="1269">
        <f t="shared" si="75"/>
        <v>1763.4707603734435</v>
      </c>
      <c r="AQ104" s="104"/>
      <c r="AR104" s="1303">
        <f>'Recycling - Case 1'!G114</f>
        <v>709.32491506726262</v>
      </c>
      <c r="AS104" s="1304">
        <v>1</v>
      </c>
      <c r="AT104" s="1305">
        <f t="shared" si="76"/>
        <v>0.05</v>
      </c>
      <c r="AU104" s="1283">
        <f t="shared" si="77"/>
        <v>17.733122876681566</v>
      </c>
      <c r="AV104" s="1283">
        <f t="shared" si="78"/>
        <v>17.733122876681566</v>
      </c>
      <c r="AW104" s="1284">
        <f t="shared" si="79"/>
        <v>0</v>
      </c>
      <c r="AX104" s="1283">
        <f t="shared" si="49"/>
        <v>230.05915594857061</v>
      </c>
      <c r="AY104" s="1283">
        <f t="shared" si="52"/>
        <v>13.129508626841432</v>
      </c>
      <c r="AZ104" s="1306">
        <f t="shared" si="50"/>
        <v>8.7530057512276205</v>
      </c>
      <c r="BB104" s="1294">
        <f t="shared" si="80"/>
        <v>312.45143673637432</v>
      </c>
      <c r="BC104" s="1295">
        <f t="shared" si="81"/>
        <v>1752.1402542301246</v>
      </c>
      <c r="BD104" s="1327">
        <f t="shared" si="95"/>
        <v>8.7530057512276205</v>
      </c>
      <c r="BE104" s="1295">
        <f t="shared" si="54"/>
        <v>2073.3446967177265</v>
      </c>
      <c r="BF104" s="167">
        <v>0</v>
      </c>
      <c r="BG104" s="1317">
        <f t="shared" si="82"/>
        <v>2073.3446967177265</v>
      </c>
      <c r="BI104" s="1294">
        <f t="shared" si="83"/>
        <v>312.45143673637432</v>
      </c>
      <c r="BJ104" s="1295">
        <f t="shared" si="84"/>
        <v>1763.4707603734435</v>
      </c>
      <c r="BK104" s="1327">
        <f t="shared" si="85"/>
        <v>8.7530057512276205</v>
      </c>
      <c r="BL104" s="1295">
        <f t="shared" si="55"/>
        <v>2084.6752028610454</v>
      </c>
      <c r="BM104" s="167">
        <v>0</v>
      </c>
      <c r="BN104" s="1317">
        <f t="shared" si="86"/>
        <v>2084.6752028610454</v>
      </c>
    </row>
    <row r="105" spans="1:66">
      <c r="A105" s="1156">
        <f>'Input data'!A135</f>
        <v>2037</v>
      </c>
      <c r="B105" s="1039">
        <f>'Input data'!B135</f>
        <v>69.83</v>
      </c>
      <c r="C105" s="1039">
        <f>'Recycling - Case 1'!AF115</f>
        <v>204.03072738670821</v>
      </c>
      <c r="D105" s="1040">
        <f>'Recycling - Case 1'!AM115</f>
        <v>0.33821874623794668</v>
      </c>
      <c r="E105" s="1041">
        <f>'Recycling - Case 1'!BE115</f>
        <v>0.14277330911442879</v>
      </c>
      <c r="F105" s="1041">
        <f>'Recycling - Case 1'!BF115</f>
        <v>0.23124410795484196</v>
      </c>
      <c r="G105" s="1041">
        <f>'Recycling - Case 1'!BG115</f>
        <v>8.1064610179297267E-2</v>
      </c>
      <c r="H105" s="1041">
        <f>'Recycling - Case 1'!BH115</f>
        <v>0</v>
      </c>
      <c r="I105" s="1041">
        <f>'Recycling - Case 1'!BI115</f>
        <v>0</v>
      </c>
      <c r="J105" s="1041">
        <f>'Recycling - Case 1'!BJ115</f>
        <v>0</v>
      </c>
      <c r="K105" s="1041">
        <f>'Recycling - Case 1'!BK115</f>
        <v>0.54491797275143194</v>
      </c>
      <c r="L105" s="1042">
        <f t="shared" si="94"/>
        <v>1</v>
      </c>
      <c r="M105" s="104"/>
      <c r="N105" s="1053">
        <f t="shared" si="53"/>
        <v>4818.7599838945844</v>
      </c>
      <c r="O105" s="1048">
        <f>Parameters!R208</f>
        <v>0.91225000000000001</v>
      </c>
      <c r="P105" s="1049">
        <f>E105*'MSW characteristics'!$B$28+'MSW characteristics'!$B$29*'4A SWD Case 1'!F105+'4A SWD Case 1'!G105*'MSW characteristics'!$B$30+'MSW characteristics'!$B$31*'4A SWD Case 1'!H105+'4A SWD Case 1'!I105*'MSW characteristics'!$B$32+'MSW characteristics'!$B$33*'4A SWD Case 1'!J105+'4A SWD Case 1'!K105*'MSW characteristics'!$B$35</f>
        <v>0.10009066202985162</v>
      </c>
      <c r="Q105" s="1047">
        <f t="shared" si="56"/>
        <v>219.9949609992594</v>
      </c>
      <c r="R105" s="1047">
        <f t="shared" si="57"/>
        <v>219.9949609992594</v>
      </c>
      <c r="S105" s="1050">
        <f t="shared" si="58"/>
        <v>0</v>
      </c>
      <c r="T105" s="1047">
        <f t="shared" si="59"/>
        <v>9126.2327411951555</v>
      </c>
      <c r="U105" s="1047">
        <f t="shared" si="60"/>
        <v>456.63257557621012</v>
      </c>
      <c r="V105" s="1054">
        <f t="shared" si="61"/>
        <v>304.42171705080676</v>
      </c>
      <c r="W105" s="104"/>
      <c r="X105" s="1264">
        <f>'Recycling - Case 1'!AC155*'Recycling - Case 1'!AE155*'Recycling - Case 1'!C155</f>
        <v>40927.163648455229</v>
      </c>
      <c r="Y105" s="1265">
        <f>Parameters!S208</f>
        <v>0.71500000000000008</v>
      </c>
      <c r="Z105" s="1266">
        <f t="shared" si="62"/>
        <v>0.15</v>
      </c>
      <c r="AA105" s="1267">
        <f t="shared" si="63"/>
        <v>2194.7191506484119</v>
      </c>
      <c r="AB105" s="1267">
        <f t="shared" si="64"/>
        <v>2194.7191506484119</v>
      </c>
      <c r="AC105" s="1268">
        <f t="shared" si="65"/>
        <v>0</v>
      </c>
      <c r="AD105" s="1267">
        <f t="shared" si="66"/>
        <v>53055.624909905055</v>
      </c>
      <c r="AE105" s="1267">
        <f t="shared" si="67"/>
        <v>2607.6944009547233</v>
      </c>
      <c r="AF105" s="1269">
        <f t="shared" si="68"/>
        <v>1738.4629339698156</v>
      </c>
      <c r="AG105" s="104"/>
      <c r="AH105" s="1264">
        <f>'Recycling - Case 1'!AC195*'Recycling - Case 1'!AE195*'Recycling - Case 1'!C195</f>
        <v>43971.367771558209</v>
      </c>
      <c r="AI105" s="1265">
        <f>Parameters!S208</f>
        <v>0.71500000000000008</v>
      </c>
      <c r="AJ105" s="1266">
        <f t="shared" si="69"/>
        <v>0.15</v>
      </c>
      <c r="AK105" s="1267">
        <f t="shared" si="70"/>
        <v>2357.9645967498091</v>
      </c>
      <c r="AL105" s="1267">
        <f t="shared" si="71"/>
        <v>2357.9645967498091</v>
      </c>
      <c r="AM105" s="1268">
        <f t="shared" si="72"/>
        <v>0</v>
      </c>
      <c r="AN105" s="1267">
        <f t="shared" si="73"/>
        <v>53669.751247976419</v>
      </c>
      <c r="AO105" s="1267">
        <f t="shared" si="74"/>
        <v>2630.8115586210233</v>
      </c>
      <c r="AP105" s="1269">
        <f t="shared" si="75"/>
        <v>1753.8743724140156</v>
      </c>
      <c r="AQ105" s="104"/>
      <c r="AR105" s="1303">
        <f>'Recycling - Case 1'!G115</f>
        <v>719.54173754516603</v>
      </c>
      <c r="AS105" s="1304">
        <v>1</v>
      </c>
      <c r="AT105" s="1305">
        <f t="shared" si="76"/>
        <v>0.05</v>
      </c>
      <c r="AU105" s="1283">
        <f t="shared" si="77"/>
        <v>17.988543438629151</v>
      </c>
      <c r="AV105" s="1283">
        <f t="shared" si="78"/>
        <v>17.988543438629151</v>
      </c>
      <c r="AW105" s="1284">
        <f t="shared" si="79"/>
        <v>0</v>
      </c>
      <c r="AX105" s="1283">
        <f t="shared" si="49"/>
        <v>234.6500971373207</v>
      </c>
      <c r="AY105" s="1283">
        <f t="shared" si="52"/>
        <v>13.397602249879069</v>
      </c>
      <c r="AZ105" s="1306">
        <f t="shared" si="50"/>
        <v>8.9317348332527136</v>
      </c>
      <c r="BB105" s="1294">
        <f t="shared" si="80"/>
        <v>304.42171705080676</v>
      </c>
      <c r="BC105" s="1295">
        <f t="shared" si="81"/>
        <v>1738.4629339698156</v>
      </c>
      <c r="BD105" s="1327">
        <f t="shared" si="95"/>
        <v>8.9317348332527136</v>
      </c>
      <c r="BE105" s="1295">
        <f t="shared" si="54"/>
        <v>2051.8163858538751</v>
      </c>
      <c r="BF105" s="167">
        <v>0</v>
      </c>
      <c r="BG105" s="1317">
        <f t="shared" si="82"/>
        <v>2051.8163858538751</v>
      </c>
      <c r="BI105" s="1294">
        <f t="shared" si="83"/>
        <v>304.42171705080676</v>
      </c>
      <c r="BJ105" s="1295">
        <f t="shared" si="84"/>
        <v>1753.8743724140156</v>
      </c>
      <c r="BK105" s="1327">
        <f t="shared" si="85"/>
        <v>8.9317348332527136</v>
      </c>
      <c r="BL105" s="1295">
        <f t="shared" si="55"/>
        <v>2067.2278242980751</v>
      </c>
      <c r="BM105" s="167">
        <v>0</v>
      </c>
      <c r="BN105" s="1317">
        <f t="shared" si="86"/>
        <v>2067.2278242980751</v>
      </c>
    </row>
    <row r="106" spans="1:66">
      <c r="A106" s="1156">
        <f>'Input data'!A136</f>
        <v>2038</v>
      </c>
      <c r="B106" s="1039">
        <f>'Input data'!B136</f>
        <v>70.341999999999999</v>
      </c>
      <c r="C106" s="1039">
        <f>'Recycling - Case 1'!AF116</f>
        <v>195.28655335584935</v>
      </c>
      <c r="D106" s="1040">
        <f>'Recycling - Case 1'!AM116</f>
        <v>0.33821874623794668</v>
      </c>
      <c r="E106" s="1041">
        <f>'Recycling - Case 1'!BE116</f>
        <v>0.14277330911442876</v>
      </c>
      <c r="F106" s="1041">
        <f>'Recycling - Case 1'!BF116</f>
        <v>0.2312441079548419</v>
      </c>
      <c r="G106" s="1041">
        <f>'Recycling - Case 1'!BG116</f>
        <v>8.1064610179297253E-2</v>
      </c>
      <c r="H106" s="1041">
        <f>'Recycling - Case 1'!BH116</f>
        <v>0</v>
      </c>
      <c r="I106" s="1041">
        <f>'Recycling - Case 1'!BI116</f>
        <v>0</v>
      </c>
      <c r="J106" s="1041">
        <f>'Recycling - Case 1'!BJ116</f>
        <v>0</v>
      </c>
      <c r="K106" s="1041">
        <f>'Recycling - Case 1'!BK116</f>
        <v>0.54491797275143183</v>
      </c>
      <c r="L106" s="1042">
        <f t="shared" si="94"/>
        <v>0.99999999999999978</v>
      </c>
      <c r="M106" s="104"/>
      <c r="N106" s="1053">
        <f t="shared" si="53"/>
        <v>4646.0590803659024</v>
      </c>
      <c r="O106" s="1048">
        <f>Parameters!R209</f>
        <v>0.91899999999999993</v>
      </c>
      <c r="P106" s="1049">
        <f>E106*'MSW characteristics'!$B$28+'MSW characteristics'!$B$29*'4A SWD Case 1'!F106+'4A SWD Case 1'!G106*'MSW characteristics'!$B$30+'MSW characteristics'!$B$31*'4A SWD Case 1'!H106+'4A SWD Case 1'!I106*'MSW characteristics'!$B$32+'MSW characteristics'!$B$33*'4A SWD Case 1'!J106+'4A SWD Case 1'!K106*'MSW characteristics'!$B$35</f>
        <v>0.1000906620298516</v>
      </c>
      <c r="Q106" s="1047">
        <f t="shared" si="56"/>
        <v>213.67996585987646</v>
      </c>
      <c r="R106" s="1047">
        <f t="shared" si="57"/>
        <v>213.67996585987646</v>
      </c>
      <c r="S106" s="1050">
        <f t="shared" si="58"/>
        <v>0</v>
      </c>
      <c r="T106" s="1047">
        <f t="shared" si="59"/>
        <v>8894.8210841265172</v>
      </c>
      <c r="U106" s="1047">
        <f t="shared" si="60"/>
        <v>445.09162292851403</v>
      </c>
      <c r="V106" s="1054">
        <f t="shared" si="61"/>
        <v>296.72774861900933</v>
      </c>
      <c r="W106" s="104"/>
      <c r="X106" s="1264">
        <f>'Recycling - Case 1'!AC156*'Recycling - Case 1'!AE156*'Recycling - Case 1'!C156</f>
        <v>40671.888848359464</v>
      </c>
      <c r="Y106" s="1265">
        <f>Parameters!S209</f>
        <v>0.71500000000000008</v>
      </c>
      <c r="Z106" s="1266">
        <f t="shared" si="62"/>
        <v>0.15</v>
      </c>
      <c r="AA106" s="1267">
        <f t="shared" si="63"/>
        <v>2181.0300394932765</v>
      </c>
      <c r="AB106" s="1267">
        <f t="shared" si="64"/>
        <v>2181.0300394932765</v>
      </c>
      <c r="AC106" s="1268">
        <f t="shared" si="65"/>
        <v>0</v>
      </c>
      <c r="AD106" s="1267">
        <f t="shared" si="66"/>
        <v>52649.101589068014</v>
      </c>
      <c r="AE106" s="1267">
        <f t="shared" si="67"/>
        <v>2587.5533603303224</v>
      </c>
      <c r="AF106" s="1269">
        <f t="shared" si="68"/>
        <v>1725.0355735535484</v>
      </c>
      <c r="AG106" s="104"/>
      <c r="AH106" s="1264">
        <f>'Recycling - Case 1'!AC196*'Recycling - Case 1'!AE196*'Recycling - Case 1'!C196</f>
        <v>44121.075115043568</v>
      </c>
      <c r="AI106" s="1265">
        <f>Parameters!S209</f>
        <v>0.71500000000000008</v>
      </c>
      <c r="AJ106" s="1266">
        <f t="shared" si="69"/>
        <v>0.15</v>
      </c>
      <c r="AK106" s="1267">
        <f t="shared" si="70"/>
        <v>2365.9926530442117</v>
      </c>
      <c r="AL106" s="1267">
        <f t="shared" si="71"/>
        <v>2365.9926530442117</v>
      </c>
      <c r="AM106" s="1268">
        <f t="shared" si="72"/>
        <v>0</v>
      </c>
      <c r="AN106" s="1267">
        <f t="shared" si="73"/>
        <v>53418.239245753299</v>
      </c>
      <c r="AO106" s="1267">
        <f t="shared" si="74"/>
        <v>2617.5046552673321</v>
      </c>
      <c r="AP106" s="1269">
        <f t="shared" si="75"/>
        <v>1745.0031035115546</v>
      </c>
      <c r="AQ106" s="104"/>
      <c r="AR106" s="1303">
        <f>'Recycling - Case 1'!G116</f>
        <v>729.88346869644954</v>
      </c>
      <c r="AS106" s="1304">
        <v>1</v>
      </c>
      <c r="AT106" s="1305">
        <f t="shared" si="76"/>
        <v>0.05</v>
      </c>
      <c r="AU106" s="1283">
        <f t="shared" si="77"/>
        <v>18.247086717411239</v>
      </c>
      <c r="AV106" s="1283">
        <f t="shared" si="78"/>
        <v>18.247086717411239</v>
      </c>
      <c r="AW106" s="1284">
        <f t="shared" si="79"/>
        <v>0</v>
      </c>
      <c r="AX106" s="1283">
        <f t="shared" si="49"/>
        <v>239.23222600343871</v>
      </c>
      <c r="AY106" s="1283">
        <f t="shared" si="52"/>
        <v>13.664957851293215</v>
      </c>
      <c r="AZ106" s="1306">
        <f t="shared" si="50"/>
        <v>9.1099719008621438</v>
      </c>
      <c r="BB106" s="1294">
        <f t="shared" si="80"/>
        <v>296.72774861900933</v>
      </c>
      <c r="BC106" s="1295">
        <f t="shared" si="81"/>
        <v>1725.0355735535484</v>
      </c>
      <c r="BD106" s="1327">
        <f t="shared" si="95"/>
        <v>9.1099719008621438</v>
      </c>
      <c r="BE106" s="1295">
        <f t="shared" si="54"/>
        <v>2030.8732940734199</v>
      </c>
      <c r="BF106" s="167">
        <v>0</v>
      </c>
      <c r="BG106" s="1317">
        <f t="shared" si="82"/>
        <v>2030.8732940734199</v>
      </c>
      <c r="BI106" s="1294">
        <f t="shared" si="83"/>
        <v>296.72774861900933</v>
      </c>
      <c r="BJ106" s="1295">
        <f t="shared" si="84"/>
        <v>1745.0031035115546</v>
      </c>
      <c r="BK106" s="1327">
        <f t="shared" si="85"/>
        <v>9.1099719008621438</v>
      </c>
      <c r="BL106" s="1295">
        <f t="shared" si="55"/>
        <v>2050.8408240314261</v>
      </c>
      <c r="BM106" s="167">
        <v>0</v>
      </c>
      <c r="BN106" s="1317">
        <f t="shared" si="86"/>
        <v>2050.8408240314261</v>
      </c>
    </row>
    <row r="107" spans="1:66">
      <c r="A107" s="1156">
        <f>'Input data'!A137</f>
        <v>2039</v>
      </c>
      <c r="B107" s="1039">
        <f>'Input data'!B137</f>
        <v>70.856999999999999</v>
      </c>
      <c r="C107" s="1039">
        <f>'Recycling - Case 1'!AF117</f>
        <v>186.54237932499038</v>
      </c>
      <c r="D107" s="1040">
        <f>'Recycling - Case 1'!AM117</f>
        <v>0.33821874623794668</v>
      </c>
      <c r="E107" s="1041">
        <f>'Recycling - Case 1'!BE117</f>
        <v>0.14277330911442879</v>
      </c>
      <c r="F107" s="1041">
        <f>'Recycling - Case 1'!BF117</f>
        <v>0.23124410795484196</v>
      </c>
      <c r="G107" s="1041">
        <f>'Recycling - Case 1'!BG117</f>
        <v>8.1064610179297253E-2</v>
      </c>
      <c r="H107" s="1041">
        <f>'Recycling - Case 1'!BH117</f>
        <v>0</v>
      </c>
      <c r="I107" s="1041">
        <f>'Recycling - Case 1'!BI117</f>
        <v>0</v>
      </c>
      <c r="J107" s="1041">
        <f>'Recycling - Case 1'!BJ117</f>
        <v>0</v>
      </c>
      <c r="K107" s="1041">
        <f>'Recycling - Case 1'!BK117</f>
        <v>0.54491797275143206</v>
      </c>
      <c r="L107" s="1042">
        <f t="shared" si="94"/>
        <v>1</v>
      </c>
      <c r="M107" s="104"/>
      <c r="N107" s="1053">
        <f t="shared" si="53"/>
        <v>4470.5190310027183</v>
      </c>
      <c r="O107" s="1048">
        <f>Parameters!R210</f>
        <v>0.92575000000000007</v>
      </c>
      <c r="P107" s="1049">
        <f>E107*'MSW characteristics'!$B$28+'MSW characteristics'!$B$29*'4A SWD Case 1'!F107+'4A SWD Case 1'!G107*'MSW characteristics'!$B$30+'MSW characteristics'!$B$31*'4A SWD Case 1'!H107+'4A SWD Case 1'!I107*'MSW characteristics'!$B$32+'MSW characteristics'!$B$33*'4A SWD Case 1'!J107+'4A SWD Case 1'!K107*'MSW characteristics'!$B$35</f>
        <v>0.10009066202985162</v>
      </c>
      <c r="Q107" s="1047">
        <f t="shared" si="56"/>
        <v>207.11675581496348</v>
      </c>
      <c r="R107" s="1047">
        <f t="shared" si="57"/>
        <v>207.11675581496348</v>
      </c>
      <c r="S107" s="1050">
        <f t="shared" si="58"/>
        <v>0</v>
      </c>
      <c r="T107" s="1047">
        <f t="shared" si="59"/>
        <v>8668.1322967054475</v>
      </c>
      <c r="U107" s="1047">
        <f t="shared" si="60"/>
        <v>433.80554323603315</v>
      </c>
      <c r="V107" s="1054">
        <f t="shared" si="61"/>
        <v>289.20369549068874</v>
      </c>
      <c r="W107" s="104"/>
      <c r="X107" s="1264">
        <f>'Recycling - Case 1'!AC157*'Recycling - Case 1'!AE157*'Recycling - Case 1'!C157</f>
        <v>40431.026774907485</v>
      </c>
      <c r="Y107" s="1265">
        <f>Parameters!S210</f>
        <v>0.71500000000000008</v>
      </c>
      <c r="Z107" s="1266">
        <f t="shared" si="62"/>
        <v>0.15</v>
      </c>
      <c r="AA107" s="1267">
        <f t="shared" si="63"/>
        <v>2168.1138108044142</v>
      </c>
      <c r="AB107" s="1267">
        <f t="shared" si="64"/>
        <v>2168.1138108044142</v>
      </c>
      <c r="AC107" s="1268">
        <f t="shared" si="65"/>
        <v>0</v>
      </c>
      <c r="AD107" s="1267">
        <f t="shared" si="66"/>
        <v>52249.488415853208</v>
      </c>
      <c r="AE107" s="1267">
        <f t="shared" si="67"/>
        <v>2567.7269840192193</v>
      </c>
      <c r="AF107" s="1269">
        <f t="shared" si="68"/>
        <v>1711.8179893461463</v>
      </c>
      <c r="AG107" s="104"/>
      <c r="AH107" s="1264">
        <f>'Recycling - Case 1'!AC197*'Recycling - Case 1'!AE197*'Recycling - Case 1'!C197</f>
        <v>44276.938206622319</v>
      </c>
      <c r="AI107" s="1265">
        <f>Parameters!S210</f>
        <v>0.71500000000000008</v>
      </c>
      <c r="AJ107" s="1266">
        <f t="shared" si="69"/>
        <v>0.15</v>
      </c>
      <c r="AK107" s="1267">
        <f t="shared" si="70"/>
        <v>2374.3508113301223</v>
      </c>
      <c r="AL107" s="1267">
        <f t="shared" si="71"/>
        <v>2374.3508113301223</v>
      </c>
      <c r="AM107" s="1268">
        <f t="shared" si="72"/>
        <v>0</v>
      </c>
      <c r="AN107" s="1267">
        <f t="shared" si="73"/>
        <v>53187.351786909487</v>
      </c>
      <c r="AO107" s="1267">
        <f t="shared" si="74"/>
        <v>2605.238270173933</v>
      </c>
      <c r="AP107" s="1269">
        <f t="shared" si="75"/>
        <v>1736.8255134492886</v>
      </c>
      <c r="AQ107" s="104"/>
      <c r="AR107" s="1303">
        <f>'Recycling - Case 1'!G117</f>
        <v>740.33029234961748</v>
      </c>
      <c r="AS107" s="1304">
        <v>1</v>
      </c>
      <c r="AT107" s="1305">
        <f t="shared" si="76"/>
        <v>0.05</v>
      </c>
      <c r="AU107" s="1283">
        <f t="shared" si="77"/>
        <v>18.508257308740436</v>
      </c>
      <c r="AV107" s="1283">
        <f t="shared" si="78"/>
        <v>18.508257308740436</v>
      </c>
      <c r="AW107" s="1284">
        <f t="shared" si="79"/>
        <v>0</v>
      </c>
      <c r="AX107" s="1283">
        <f t="shared" si="49"/>
        <v>243.80868304919048</v>
      </c>
      <c r="AY107" s="1283">
        <f t="shared" si="52"/>
        <v>13.931800262988675</v>
      </c>
      <c r="AZ107" s="1306">
        <f t="shared" si="50"/>
        <v>9.2878668419924502</v>
      </c>
      <c r="BB107" s="1294">
        <f t="shared" si="80"/>
        <v>289.20369549068874</v>
      </c>
      <c r="BC107" s="1295">
        <f t="shared" si="81"/>
        <v>1711.8179893461463</v>
      </c>
      <c r="BD107" s="1327">
        <f t="shared" si="95"/>
        <v>9.2878668419924502</v>
      </c>
      <c r="BE107" s="1295">
        <f t="shared" si="54"/>
        <v>2010.3095516788273</v>
      </c>
      <c r="BF107" s="167">
        <v>0</v>
      </c>
      <c r="BG107" s="1317">
        <f t="shared" si="82"/>
        <v>2010.3095516788273</v>
      </c>
      <c r="BI107" s="1294">
        <f t="shared" si="83"/>
        <v>289.20369549068874</v>
      </c>
      <c r="BJ107" s="1295">
        <f t="shared" si="84"/>
        <v>1736.8255134492886</v>
      </c>
      <c r="BK107" s="1327">
        <f t="shared" si="85"/>
        <v>9.2878668419924502</v>
      </c>
      <c r="BL107" s="1295">
        <f t="shared" si="55"/>
        <v>2035.3170757819696</v>
      </c>
      <c r="BM107" s="167">
        <v>0</v>
      </c>
      <c r="BN107" s="1317">
        <f t="shared" si="86"/>
        <v>2035.3170757819696</v>
      </c>
    </row>
    <row r="108" spans="1:66">
      <c r="A108" s="1156">
        <f>'Input data'!A138</f>
        <v>2040</v>
      </c>
      <c r="B108" s="1039">
        <f>'Input data'!B138</f>
        <v>71.375</v>
      </c>
      <c r="C108" s="1039">
        <f>'Recycling - Case 1'!AF118</f>
        <v>177.79820529413146</v>
      </c>
      <c r="D108" s="1040">
        <f>'Recycling - Case 1'!AM118</f>
        <v>0.33821874623794668</v>
      </c>
      <c r="E108" s="1041">
        <f>'Recycling - Case 1'!BE118</f>
        <v>0.14277330911442876</v>
      </c>
      <c r="F108" s="1041">
        <f>'Recycling - Case 1'!BF118</f>
        <v>0.23124410795484193</v>
      </c>
      <c r="G108" s="1041">
        <f>'Recycling - Case 1'!BG118</f>
        <v>8.1064610179297253E-2</v>
      </c>
      <c r="H108" s="1041">
        <f>'Recycling - Case 1'!BH118</f>
        <v>0</v>
      </c>
      <c r="I108" s="1041">
        <f>'Recycling - Case 1'!BI118</f>
        <v>0</v>
      </c>
      <c r="J108" s="1041">
        <f>'Recycling - Case 1'!BJ118</f>
        <v>0</v>
      </c>
      <c r="K108" s="1041">
        <f>'Recycling - Case 1'!BK118</f>
        <v>0.54491797275143194</v>
      </c>
      <c r="L108" s="1042">
        <f t="shared" si="94"/>
        <v>0.99999999999999989</v>
      </c>
      <c r="M108" s="104"/>
      <c r="N108" s="1053">
        <f t="shared" si="53"/>
        <v>4292.1132188128395</v>
      </c>
      <c r="O108" s="1048">
        <f>Parameters!R211</f>
        <v>0.9325</v>
      </c>
      <c r="P108" s="1049">
        <f>E108*'MSW characteristics'!$B$28+'MSW characteristics'!$B$29*'4A SWD Case 1'!F108+'4A SWD Case 1'!G108*'MSW characteristics'!$B$30+'MSW characteristics'!$B$31*'4A SWD Case 1'!H108+'4A SWD Case 1'!I108*'MSW characteristics'!$B$32+'MSW characteristics'!$B$33*'4A SWD Case 1'!J108+'4A SWD Case 1'!K108*'MSW characteristics'!$B$35</f>
        <v>0.1000906620298516</v>
      </c>
      <c r="Q108" s="1047">
        <f t="shared" si="56"/>
        <v>200.30121148076788</v>
      </c>
      <c r="R108" s="1047">
        <f t="shared" si="57"/>
        <v>200.30121148076788</v>
      </c>
      <c r="S108" s="1050">
        <f t="shared" si="58"/>
        <v>0</v>
      </c>
      <c r="T108" s="1047">
        <f t="shared" si="59"/>
        <v>8445.6837075719432</v>
      </c>
      <c r="U108" s="1047">
        <f t="shared" si="60"/>
        <v>422.74980061427226</v>
      </c>
      <c r="V108" s="1054">
        <f t="shared" si="61"/>
        <v>281.83320040951486</v>
      </c>
      <c r="W108" s="104"/>
      <c r="X108" s="1264">
        <f>'Recycling - Case 1'!AC158*'Recycling - Case 1'!AE158*'Recycling - Case 1'!C158</f>
        <v>40227.077064349956</v>
      </c>
      <c r="Y108" s="1265">
        <f>Parameters!S211</f>
        <v>0.71500000000000008</v>
      </c>
      <c r="Z108" s="1266">
        <f t="shared" si="62"/>
        <v>0.15</v>
      </c>
      <c r="AA108" s="1267">
        <f t="shared" si="63"/>
        <v>2157.1770075757663</v>
      </c>
      <c r="AB108" s="1267">
        <f t="shared" si="64"/>
        <v>2157.1770075757663</v>
      </c>
      <c r="AC108" s="1268">
        <f t="shared" si="65"/>
        <v>0</v>
      </c>
      <c r="AD108" s="1267">
        <f t="shared" si="66"/>
        <v>51858.427803844534</v>
      </c>
      <c r="AE108" s="1267">
        <f t="shared" si="67"/>
        <v>2548.2376195844372</v>
      </c>
      <c r="AF108" s="1269">
        <f t="shared" si="68"/>
        <v>1698.8250797229582</v>
      </c>
      <c r="AG108" s="104"/>
      <c r="AH108" s="1264">
        <f>'Recycling - Case 1'!AC198*'Recycling - Case 1'!AE198*'Recycling - Case 1'!C198</f>
        <v>44442.344395793756</v>
      </c>
      <c r="AI108" s="1265">
        <f>Parameters!S211</f>
        <v>0.71500000000000008</v>
      </c>
      <c r="AJ108" s="1266">
        <f t="shared" si="69"/>
        <v>0.15</v>
      </c>
      <c r="AK108" s="1267">
        <f t="shared" si="70"/>
        <v>2383.2207182244401</v>
      </c>
      <c r="AL108" s="1267">
        <f t="shared" si="71"/>
        <v>2383.2207182244401</v>
      </c>
      <c r="AM108" s="1268">
        <f t="shared" si="72"/>
        <v>0</v>
      </c>
      <c r="AN108" s="1267">
        <f t="shared" si="73"/>
        <v>52976.594749203374</v>
      </c>
      <c r="AO108" s="1267">
        <f t="shared" si="74"/>
        <v>2593.9777559305526</v>
      </c>
      <c r="AP108" s="1269">
        <f t="shared" si="75"/>
        <v>1729.3185039537018</v>
      </c>
      <c r="AQ108" s="104"/>
      <c r="AR108" s="1303">
        <f>'Recycling - Case 1'!G118</f>
        <v>750.88285667877574</v>
      </c>
      <c r="AS108" s="1304">
        <v>1</v>
      </c>
      <c r="AT108" s="1305">
        <f t="shared" si="76"/>
        <v>0.05</v>
      </c>
      <c r="AU108" s="1283">
        <f t="shared" si="77"/>
        <v>18.772071416969393</v>
      </c>
      <c r="AV108" s="1283">
        <f t="shared" si="78"/>
        <v>18.772071416969393</v>
      </c>
      <c r="AW108" s="1284">
        <f t="shared" si="79"/>
        <v>0</v>
      </c>
      <c r="AX108" s="1283">
        <f t="shared" si="49"/>
        <v>248.38244209258019</v>
      </c>
      <c r="AY108" s="1283">
        <f t="shared" si="52"/>
        <v>14.198312373579681</v>
      </c>
      <c r="AZ108" s="1306">
        <f t="shared" si="50"/>
        <v>9.4655415823864537</v>
      </c>
      <c r="BB108" s="1294">
        <f t="shared" si="80"/>
        <v>281.83320040951486</v>
      </c>
      <c r="BC108" s="1295">
        <f t="shared" si="81"/>
        <v>1698.8250797229582</v>
      </c>
      <c r="BD108" s="1327">
        <f t="shared" si="95"/>
        <v>9.4655415823864537</v>
      </c>
      <c r="BE108" s="1295">
        <f t="shared" si="54"/>
        <v>1990.1238217148596</v>
      </c>
      <c r="BF108" s="167">
        <v>0</v>
      </c>
      <c r="BG108" s="1317">
        <f t="shared" si="82"/>
        <v>1990.1238217148596</v>
      </c>
      <c r="BI108" s="1294">
        <f t="shared" si="83"/>
        <v>281.83320040951486</v>
      </c>
      <c r="BJ108" s="1295">
        <f t="shared" si="84"/>
        <v>1729.3185039537018</v>
      </c>
      <c r="BK108" s="1327">
        <f t="shared" si="85"/>
        <v>9.4655415823864537</v>
      </c>
      <c r="BL108" s="1295">
        <f t="shared" si="55"/>
        <v>2020.6172459456031</v>
      </c>
      <c r="BM108" s="167">
        <v>0</v>
      </c>
      <c r="BN108" s="1317">
        <f t="shared" si="86"/>
        <v>2020.6172459456031</v>
      </c>
    </row>
    <row r="109" spans="1:66">
      <c r="A109" s="1156">
        <f>'Input data'!A139</f>
        <v>2041</v>
      </c>
      <c r="B109" s="1039">
        <f>'Input data'!B139</f>
        <v>71.819000000000003</v>
      </c>
      <c r="C109" s="1039">
        <f>'Recycling - Case 1'!AF119</f>
        <v>169.05403126327258</v>
      </c>
      <c r="D109" s="1040">
        <f>'Recycling - Case 1'!AM119</f>
        <v>0.33821874623794673</v>
      </c>
      <c r="E109" s="1041">
        <f>'Recycling - Case 1'!BE119</f>
        <v>0.14277330911442879</v>
      </c>
      <c r="F109" s="1041">
        <f>'Recycling - Case 1'!BF119</f>
        <v>0.23124410795484199</v>
      </c>
      <c r="G109" s="1041">
        <f>'Recycling - Case 1'!BG119</f>
        <v>8.1064610179297267E-2</v>
      </c>
      <c r="H109" s="1041">
        <f>'Recycling - Case 1'!BH119</f>
        <v>0</v>
      </c>
      <c r="I109" s="1041">
        <f>'Recycling - Case 1'!BI119</f>
        <v>0</v>
      </c>
      <c r="J109" s="1041">
        <f>'Recycling - Case 1'!BJ119</f>
        <v>0</v>
      </c>
      <c r="K109" s="1041">
        <f>'Recycling - Case 1'!BK119</f>
        <v>0.54491797275143217</v>
      </c>
      <c r="L109" s="1042">
        <f t="shared" si="94"/>
        <v>1.0000000000000002</v>
      </c>
      <c r="M109" s="104"/>
      <c r="N109" s="1053">
        <f t="shared" si="53"/>
        <v>4106.4123791315378</v>
      </c>
      <c r="O109" s="1048">
        <f>Parameters!R212</f>
        <v>0.93925000000000003</v>
      </c>
      <c r="P109" s="1049">
        <f>E109*'MSW characteristics'!$B$28+'MSW characteristics'!$B$29*'4A SWD Case 1'!F109+'4A SWD Case 1'!G109*'MSW characteristics'!$B$30+'MSW characteristics'!$B$31*'4A SWD Case 1'!H109+'4A SWD Case 1'!I109*'MSW characteristics'!$B$32+'MSW characteristics'!$B$33*'4A SWD Case 1'!J109+'4A SWD Case 1'!K109*'MSW characteristics'!$B$35</f>
        <v>0.10009066202985162</v>
      </c>
      <c r="Q109" s="1047">
        <f t="shared" si="56"/>
        <v>193.02223071448316</v>
      </c>
      <c r="R109" s="1047">
        <f t="shared" si="57"/>
        <v>193.02223071448316</v>
      </c>
      <c r="S109" s="1050">
        <f t="shared" si="58"/>
        <v>0</v>
      </c>
      <c r="T109" s="1047">
        <f t="shared" si="59"/>
        <v>8226.8050833831985</v>
      </c>
      <c r="U109" s="1047">
        <f t="shared" si="60"/>
        <v>411.90085490322701</v>
      </c>
      <c r="V109" s="1054">
        <f t="shared" si="61"/>
        <v>274.60056993548466</v>
      </c>
      <c r="W109" s="104"/>
      <c r="X109" s="1264">
        <f>'Recycling - Case 1'!AC159*'Recycling - Case 1'!AE159*'Recycling - Case 1'!C159</f>
        <v>39231.646041077918</v>
      </c>
      <c r="Y109" s="1265">
        <f>Parameters!S212</f>
        <v>0.71500000000000008</v>
      </c>
      <c r="Z109" s="1266">
        <f t="shared" si="62"/>
        <v>0.15</v>
      </c>
      <c r="AA109" s="1267">
        <f t="shared" si="63"/>
        <v>2103.7970189528037</v>
      </c>
      <c r="AB109" s="1267">
        <f t="shared" si="64"/>
        <v>2103.7970189528037</v>
      </c>
      <c r="AC109" s="1268">
        <f t="shared" si="65"/>
        <v>0</v>
      </c>
      <c r="AD109" s="1267">
        <f t="shared" si="66"/>
        <v>51433.059454315669</v>
      </c>
      <c r="AE109" s="1267">
        <f t="shared" si="67"/>
        <v>2529.1653684816711</v>
      </c>
      <c r="AF109" s="1269">
        <f t="shared" si="68"/>
        <v>1686.1102456544475</v>
      </c>
      <c r="AG109" s="104"/>
      <c r="AH109" s="1264">
        <f>'Recycling - Case 1'!AC199*'Recycling - Case 1'!AE199*'Recycling - Case 1'!C199</f>
        <v>44614.559044922251</v>
      </c>
      <c r="AI109" s="1265">
        <f>Parameters!S212</f>
        <v>0.71500000000000008</v>
      </c>
      <c r="AJ109" s="1266">
        <f t="shared" si="69"/>
        <v>0.15</v>
      </c>
      <c r="AK109" s="1267">
        <f t="shared" si="70"/>
        <v>2392.4557287839557</v>
      </c>
      <c r="AL109" s="1267">
        <f t="shared" si="71"/>
        <v>2392.4557287839557</v>
      </c>
      <c r="AM109" s="1268">
        <f t="shared" si="72"/>
        <v>0</v>
      </c>
      <c r="AN109" s="1267">
        <f t="shared" si="73"/>
        <v>52785.35146407623</v>
      </c>
      <c r="AO109" s="1267">
        <f t="shared" si="74"/>
        <v>2583.6990139111008</v>
      </c>
      <c r="AP109" s="1269">
        <f t="shared" si="75"/>
        <v>1722.4660092740671</v>
      </c>
      <c r="AQ109" s="104"/>
      <c r="AR109" s="1303">
        <f>'Recycling - Case 1'!G119</f>
        <v>760.7262051045102</v>
      </c>
      <c r="AS109" s="1304">
        <v>1</v>
      </c>
      <c r="AT109" s="1305">
        <f t="shared" si="76"/>
        <v>0.05</v>
      </c>
      <c r="AU109" s="1283">
        <f t="shared" si="77"/>
        <v>19.018155127612754</v>
      </c>
      <c r="AV109" s="1283">
        <f t="shared" si="78"/>
        <v>19.018155127612754</v>
      </c>
      <c r="AW109" s="1284">
        <f t="shared" si="79"/>
        <v>0</v>
      </c>
      <c r="AX109" s="1283">
        <f t="shared" si="49"/>
        <v>252.93592985544819</v>
      </c>
      <c r="AY109" s="1283">
        <f t="shared" si="52"/>
        <v>14.464667364744741</v>
      </c>
      <c r="AZ109" s="1306">
        <f t="shared" si="50"/>
        <v>9.6431115764964943</v>
      </c>
      <c r="BB109" s="1294">
        <f t="shared" si="80"/>
        <v>274.60056993548466</v>
      </c>
      <c r="BC109" s="1295">
        <f t="shared" si="81"/>
        <v>1686.1102456544475</v>
      </c>
      <c r="BD109" s="1327">
        <f t="shared" si="95"/>
        <v>9.6431115764964943</v>
      </c>
      <c r="BE109" s="1295">
        <f t="shared" si="54"/>
        <v>1970.3539271664285</v>
      </c>
      <c r="BF109" s="167">
        <v>0</v>
      </c>
      <c r="BG109" s="1317">
        <f t="shared" si="82"/>
        <v>1970.3539271664285</v>
      </c>
      <c r="BI109" s="1294">
        <f t="shared" si="83"/>
        <v>274.60056993548466</v>
      </c>
      <c r="BJ109" s="1295">
        <f t="shared" si="84"/>
        <v>1722.4660092740671</v>
      </c>
      <c r="BK109" s="1327">
        <f t="shared" si="85"/>
        <v>9.6431115764964943</v>
      </c>
      <c r="BL109" s="1295">
        <f t="shared" si="55"/>
        <v>2006.7096907860482</v>
      </c>
      <c r="BM109" s="167">
        <v>0</v>
      </c>
      <c r="BN109" s="1317">
        <f t="shared" si="86"/>
        <v>2006.7096907860482</v>
      </c>
    </row>
    <row r="110" spans="1:66">
      <c r="A110" s="1156">
        <f>'Input data'!A140</f>
        <v>2042</v>
      </c>
      <c r="B110" s="1039">
        <f>'Input data'!B140</f>
        <v>72.265000000000001</v>
      </c>
      <c r="C110" s="1039">
        <f>'Recycling - Case 1'!AF120</f>
        <v>160.30985723241363</v>
      </c>
      <c r="D110" s="1040">
        <f>'Recycling - Case 1'!AM120</f>
        <v>0.33821874623794662</v>
      </c>
      <c r="E110" s="1041">
        <f>'Recycling - Case 1'!BE120</f>
        <v>0.14277330911442879</v>
      </c>
      <c r="F110" s="1041">
        <f>'Recycling - Case 1'!BF120</f>
        <v>0.23124410795484196</v>
      </c>
      <c r="G110" s="1041">
        <f>'Recycling - Case 1'!BG120</f>
        <v>8.1064610179297281E-2</v>
      </c>
      <c r="H110" s="1041">
        <f>'Recycling - Case 1'!BH120</f>
        <v>0</v>
      </c>
      <c r="I110" s="1041">
        <f>'Recycling - Case 1'!BI120</f>
        <v>0</v>
      </c>
      <c r="J110" s="1041">
        <f>'Recycling - Case 1'!BJ120</f>
        <v>0</v>
      </c>
      <c r="K110" s="1041">
        <f>'Recycling - Case 1'!BK120</f>
        <v>0.54491797275143206</v>
      </c>
      <c r="L110" s="1042">
        <f t="shared" si="94"/>
        <v>1</v>
      </c>
      <c r="M110" s="104"/>
      <c r="N110" s="1053">
        <f t="shared" si="53"/>
        <v>3918.1937691511671</v>
      </c>
      <c r="O110" s="1048">
        <f>Parameters!R213</f>
        <v>0.94599999999999995</v>
      </c>
      <c r="P110" s="1049">
        <f>E110*'MSW characteristics'!$B$28+'MSW characteristics'!$B$29*'4A SWD Case 1'!F110+'4A SWD Case 1'!G110*'MSW characteristics'!$B$30+'MSW characteristics'!$B$31*'4A SWD Case 1'!H110+'4A SWD Case 1'!I110*'MSW characteristics'!$B$32+'MSW characteristics'!$B$33*'4A SWD Case 1'!J110+'4A SWD Case 1'!K110*'MSW characteristics'!$B$35</f>
        <v>0.10009066202985162</v>
      </c>
      <c r="Q110" s="1047">
        <f t="shared" si="56"/>
        <v>185.49858973326928</v>
      </c>
      <c r="R110" s="1047">
        <f t="shared" si="57"/>
        <v>185.49858973326928</v>
      </c>
      <c r="S110" s="1050">
        <f t="shared" si="58"/>
        <v>0</v>
      </c>
      <c r="T110" s="1047">
        <f t="shared" si="59"/>
        <v>8011.0776546794177</v>
      </c>
      <c r="U110" s="1047">
        <f t="shared" si="60"/>
        <v>401.22601843705002</v>
      </c>
      <c r="V110" s="1054">
        <f t="shared" si="61"/>
        <v>267.4840122913667</v>
      </c>
      <c r="W110" s="104"/>
      <c r="X110" s="1264">
        <f>'Recycling - Case 1'!AC160*'Recycling - Case 1'!AE160*'Recycling - Case 1'!C160</f>
        <v>38273.585984043479</v>
      </c>
      <c r="Y110" s="1265">
        <f>Parameters!S213</f>
        <v>0.71500000000000008</v>
      </c>
      <c r="Z110" s="1266">
        <f t="shared" si="62"/>
        <v>0.15</v>
      </c>
      <c r="AA110" s="1267">
        <f t="shared" si="63"/>
        <v>2052.4210483943316</v>
      </c>
      <c r="AB110" s="1267">
        <f t="shared" si="64"/>
        <v>2052.4210483943316</v>
      </c>
      <c r="AC110" s="1268">
        <f t="shared" si="65"/>
        <v>0</v>
      </c>
      <c r="AD110" s="1267">
        <f t="shared" si="66"/>
        <v>50977.060593434035</v>
      </c>
      <c r="AE110" s="1267">
        <f t="shared" si="67"/>
        <v>2508.4199092759673</v>
      </c>
      <c r="AF110" s="1269">
        <f t="shared" si="68"/>
        <v>1672.2799395173115</v>
      </c>
      <c r="AG110" s="104"/>
      <c r="AH110" s="1264">
        <f>'Recycling - Case 1'!AC200*'Recycling - Case 1'!AE200*'Recycling - Case 1'!C200</f>
        <v>44794.122329343234</v>
      </c>
      <c r="AI110" s="1265">
        <f>Parameters!S213</f>
        <v>0.71500000000000008</v>
      </c>
      <c r="AJ110" s="1266">
        <f t="shared" si="69"/>
        <v>0.15</v>
      </c>
      <c r="AK110" s="1267">
        <f t="shared" si="70"/>
        <v>2402.0848099110312</v>
      </c>
      <c r="AL110" s="1267">
        <f t="shared" si="71"/>
        <v>2402.0848099110312</v>
      </c>
      <c r="AM110" s="1268">
        <f t="shared" si="72"/>
        <v>0</v>
      </c>
      <c r="AN110" s="1267">
        <f t="shared" si="73"/>
        <v>52613.064305152184</v>
      </c>
      <c r="AO110" s="1267">
        <f t="shared" si="74"/>
        <v>2574.3719688350757</v>
      </c>
      <c r="AP110" s="1269">
        <f t="shared" si="75"/>
        <v>1716.2479792233837</v>
      </c>
      <c r="AQ110" s="104"/>
      <c r="AR110" s="1303">
        <f>'Recycling - Case 1'!G120</f>
        <v>770.65483528643074</v>
      </c>
      <c r="AS110" s="1304">
        <v>1</v>
      </c>
      <c r="AT110" s="1305">
        <f t="shared" si="76"/>
        <v>0.05</v>
      </c>
      <c r="AU110" s="1283">
        <f t="shared" si="77"/>
        <v>19.266370882160771</v>
      </c>
      <c r="AV110" s="1283">
        <f t="shared" si="78"/>
        <v>19.266370882160771</v>
      </c>
      <c r="AW110" s="1284">
        <f t="shared" si="79"/>
        <v>0</v>
      </c>
      <c r="AX110" s="1283">
        <f t="shared" si="49"/>
        <v>257.47245888917519</v>
      </c>
      <c r="AY110" s="1283">
        <f t="shared" si="52"/>
        <v>14.729841848433775</v>
      </c>
      <c r="AZ110" s="1306">
        <f t="shared" si="50"/>
        <v>9.8198945656225174</v>
      </c>
      <c r="BB110" s="1294">
        <f t="shared" si="80"/>
        <v>267.4840122913667</v>
      </c>
      <c r="BC110" s="1295">
        <f t="shared" si="81"/>
        <v>1672.2799395173115</v>
      </c>
      <c r="BD110" s="1327">
        <f t="shared" si="95"/>
        <v>9.8198945656225174</v>
      </c>
      <c r="BE110" s="1295">
        <f t="shared" si="54"/>
        <v>1949.5838463743007</v>
      </c>
      <c r="BF110" s="167">
        <v>0</v>
      </c>
      <c r="BG110" s="1317">
        <f t="shared" si="82"/>
        <v>1949.5838463743007</v>
      </c>
      <c r="BI110" s="1294">
        <f t="shared" si="83"/>
        <v>267.4840122913667</v>
      </c>
      <c r="BJ110" s="1295">
        <f t="shared" si="84"/>
        <v>1716.2479792233837</v>
      </c>
      <c r="BK110" s="1327">
        <f t="shared" si="85"/>
        <v>9.8198945656225174</v>
      </c>
      <c r="BL110" s="1295">
        <f t="shared" si="55"/>
        <v>1993.5518860803729</v>
      </c>
      <c r="BM110" s="167">
        <v>0</v>
      </c>
      <c r="BN110" s="1317">
        <f t="shared" si="86"/>
        <v>1993.5518860803729</v>
      </c>
    </row>
    <row r="111" spans="1:66">
      <c r="A111" s="1156">
        <f>'Input data'!A141</f>
        <v>2043</v>
      </c>
      <c r="B111" s="1039">
        <f>'Input data'!B141</f>
        <v>72.713999999999999</v>
      </c>
      <c r="C111" s="1039">
        <f>'Recycling - Case 1'!AF121</f>
        <v>151.56568320155466</v>
      </c>
      <c r="D111" s="1040">
        <f>'Recycling - Case 1'!AM121</f>
        <v>0.33821874623794668</v>
      </c>
      <c r="E111" s="1041">
        <f>'Recycling - Case 1'!BE121</f>
        <v>0.14277330911442876</v>
      </c>
      <c r="F111" s="1041">
        <f>'Recycling - Case 1'!BF121</f>
        <v>0.23124410795484193</v>
      </c>
      <c r="G111" s="1041">
        <f>'Recycling - Case 1'!BG121</f>
        <v>8.1064610179297253E-2</v>
      </c>
      <c r="H111" s="1041">
        <f>'Recycling - Case 1'!BH121</f>
        <v>0</v>
      </c>
      <c r="I111" s="1041">
        <f>'Recycling - Case 1'!BI121</f>
        <v>0</v>
      </c>
      <c r="J111" s="1041">
        <f>'Recycling - Case 1'!BJ121</f>
        <v>0</v>
      </c>
      <c r="K111" s="1041">
        <f>'Recycling - Case 1'!BK121</f>
        <v>0.54491797275143206</v>
      </c>
      <c r="L111" s="1042">
        <f t="shared" si="94"/>
        <v>1</v>
      </c>
      <c r="M111" s="104"/>
      <c r="N111" s="1053">
        <f t="shared" si="53"/>
        <v>3727.4909065656107</v>
      </c>
      <c r="O111" s="1048">
        <f>Parameters!R214</f>
        <v>0.9527500000000001</v>
      </c>
      <c r="P111" s="1049">
        <f>E111*'MSW characteristics'!$B$28+'MSW characteristics'!$B$29*'4A SWD Case 1'!F111+'4A SWD Case 1'!G111*'MSW characteristics'!$B$30+'MSW characteristics'!$B$31*'4A SWD Case 1'!H111+'4A SWD Case 1'!I111*'MSW characteristics'!$B$32+'MSW characteristics'!$B$33*'4A SWD Case 1'!J111+'4A SWD Case 1'!K111*'MSW characteristics'!$B$35</f>
        <v>0.1000906620298516</v>
      </c>
      <c r="Q111" s="1047">
        <f t="shared" si="56"/>
        <v>177.72933513024586</v>
      </c>
      <c r="R111" s="1047">
        <f t="shared" si="57"/>
        <v>177.72933513024586</v>
      </c>
      <c r="S111" s="1050">
        <f t="shared" si="58"/>
        <v>0</v>
      </c>
      <c r="T111" s="1047">
        <f t="shared" si="59"/>
        <v>7798.1021222214786</v>
      </c>
      <c r="U111" s="1047">
        <f t="shared" si="60"/>
        <v>390.70486758818544</v>
      </c>
      <c r="V111" s="1054">
        <f t="shared" si="61"/>
        <v>260.46991172545694</v>
      </c>
      <c r="W111" s="104"/>
      <c r="X111" s="1264">
        <f>'Recycling - Case 1'!AC161*'Recycling - Case 1'!AE161*'Recycling - Case 1'!C161</f>
        <v>37346.365524967317</v>
      </c>
      <c r="Y111" s="1265">
        <f>Parameters!S214</f>
        <v>0.71500000000000008</v>
      </c>
      <c r="Z111" s="1266">
        <f t="shared" si="62"/>
        <v>0.15</v>
      </c>
      <c r="AA111" s="1267">
        <f t="shared" si="63"/>
        <v>2002.6988512763724</v>
      </c>
      <c r="AB111" s="1267">
        <f t="shared" si="64"/>
        <v>2002.6988512763724</v>
      </c>
      <c r="AC111" s="1268">
        <f t="shared" si="65"/>
        <v>0</v>
      </c>
      <c r="AD111" s="1267">
        <f t="shared" si="66"/>
        <v>50493.578862306655</v>
      </c>
      <c r="AE111" s="1267">
        <f t="shared" si="67"/>
        <v>2486.180582403751</v>
      </c>
      <c r="AF111" s="1269">
        <f t="shared" si="68"/>
        <v>1657.4537216025008</v>
      </c>
      <c r="AG111" s="104"/>
      <c r="AH111" s="1264">
        <f>'Recycling - Case 1'!AC201*'Recycling - Case 1'!AE201*'Recycling - Case 1'!C201</f>
        <v>44980.584102943831</v>
      </c>
      <c r="AI111" s="1265">
        <f>Parameters!S214</f>
        <v>0.71500000000000008</v>
      </c>
      <c r="AJ111" s="1266">
        <f t="shared" si="69"/>
        <v>0.15</v>
      </c>
      <c r="AK111" s="1267">
        <f t="shared" si="70"/>
        <v>2412.0838225203634</v>
      </c>
      <c r="AL111" s="1267">
        <f t="shared" si="71"/>
        <v>2412.0838225203634</v>
      </c>
      <c r="AM111" s="1268">
        <f t="shared" si="72"/>
        <v>0</v>
      </c>
      <c r="AN111" s="1267">
        <f t="shared" si="73"/>
        <v>52459.178702729332</v>
      </c>
      <c r="AO111" s="1267">
        <f t="shared" si="74"/>
        <v>2565.9694249432132</v>
      </c>
      <c r="AP111" s="1269">
        <f t="shared" si="75"/>
        <v>1710.6462832954755</v>
      </c>
      <c r="AQ111" s="104"/>
      <c r="AR111" s="1303">
        <f>'Recycling - Case 1'!G121</f>
        <v>780.67991564882448</v>
      </c>
      <c r="AS111" s="1304">
        <v>1</v>
      </c>
      <c r="AT111" s="1305">
        <f t="shared" si="76"/>
        <v>0.05</v>
      </c>
      <c r="AU111" s="1283">
        <f t="shared" si="77"/>
        <v>19.516997891220612</v>
      </c>
      <c r="AV111" s="1283">
        <f t="shared" si="78"/>
        <v>19.516997891220612</v>
      </c>
      <c r="AW111" s="1284">
        <f t="shared" si="79"/>
        <v>0</v>
      </c>
      <c r="AX111" s="1283">
        <f t="shared" si="49"/>
        <v>261.99542804777434</v>
      </c>
      <c r="AY111" s="1283">
        <f t="shared" si="52"/>
        <v>14.994028732621464</v>
      </c>
      <c r="AZ111" s="1306">
        <f t="shared" si="50"/>
        <v>9.996019155080976</v>
      </c>
      <c r="BB111" s="1294">
        <f t="shared" si="80"/>
        <v>260.46991172545694</v>
      </c>
      <c r="BC111" s="1295">
        <f t="shared" si="81"/>
        <v>1657.4537216025008</v>
      </c>
      <c r="BD111" s="1327">
        <f t="shared" si="95"/>
        <v>9.996019155080976</v>
      </c>
      <c r="BE111" s="1295">
        <f t="shared" si="54"/>
        <v>1927.9196524830388</v>
      </c>
      <c r="BF111" s="167">
        <v>0</v>
      </c>
      <c r="BG111" s="1317">
        <f t="shared" si="82"/>
        <v>1927.9196524830388</v>
      </c>
      <c r="BI111" s="1294">
        <f t="shared" si="83"/>
        <v>260.46991172545694</v>
      </c>
      <c r="BJ111" s="1295">
        <f t="shared" si="84"/>
        <v>1710.6462832954755</v>
      </c>
      <c r="BK111" s="1327">
        <f t="shared" si="85"/>
        <v>9.996019155080976</v>
      </c>
      <c r="BL111" s="1295">
        <f t="shared" si="55"/>
        <v>1981.1122141760136</v>
      </c>
      <c r="BM111" s="167">
        <v>0</v>
      </c>
      <c r="BN111" s="1317">
        <f t="shared" si="86"/>
        <v>1981.1122141760136</v>
      </c>
    </row>
    <row r="112" spans="1:66">
      <c r="A112" s="1156">
        <f>'Input data'!A142</f>
        <v>2044</v>
      </c>
      <c r="B112" s="1039">
        <f>'Input data'!B142</f>
        <v>73.165000000000006</v>
      </c>
      <c r="C112" s="1039">
        <f>'Recycling - Case 1'!AF122</f>
        <v>142.82150917069578</v>
      </c>
      <c r="D112" s="1040">
        <f>'Recycling - Case 1'!AM122</f>
        <v>0.33821874623794673</v>
      </c>
      <c r="E112" s="1041">
        <f>'Recycling - Case 1'!BE122</f>
        <v>0.14277330911442876</v>
      </c>
      <c r="F112" s="1041">
        <f>'Recycling - Case 1'!BF122</f>
        <v>0.23124410795484193</v>
      </c>
      <c r="G112" s="1041">
        <f>'Recycling - Case 1'!BG122</f>
        <v>8.1064610179297253E-2</v>
      </c>
      <c r="H112" s="1041">
        <f>'Recycling - Case 1'!BH122</f>
        <v>0</v>
      </c>
      <c r="I112" s="1041">
        <f>'Recycling - Case 1'!BI122</f>
        <v>0</v>
      </c>
      <c r="J112" s="1041">
        <f>'Recycling - Case 1'!BJ122</f>
        <v>0</v>
      </c>
      <c r="K112" s="1041">
        <f>'Recycling - Case 1'!BK122</f>
        <v>0.54491797275143194</v>
      </c>
      <c r="L112" s="1042">
        <f t="shared" si="94"/>
        <v>0.99999999999999989</v>
      </c>
      <c r="M112" s="104"/>
      <c r="N112" s="1053">
        <f t="shared" si="53"/>
        <v>3534.2288694709036</v>
      </c>
      <c r="O112" s="1048">
        <f>Parameters!R215</f>
        <v>0.95950000000000002</v>
      </c>
      <c r="P112" s="1049">
        <f>E112*'MSW characteristics'!$B$28+'MSW characteristics'!$B$29*'4A SWD Case 1'!F112+'4A SWD Case 1'!G112*'MSW characteristics'!$B$30+'MSW characteristics'!$B$31*'4A SWD Case 1'!H112+'4A SWD Case 1'!I112*'MSW characteristics'!$B$32+'MSW characteristics'!$B$33*'4A SWD Case 1'!J112+'4A SWD Case 1'!K112*'MSW characteristics'!$B$35</f>
        <v>0.1000906620298516</v>
      </c>
      <c r="Q112" s="1047">
        <f t="shared" si="56"/>
        <v>169.70835168214364</v>
      </c>
      <c r="R112" s="1047">
        <f t="shared" si="57"/>
        <v>169.70835168214364</v>
      </c>
      <c r="S112" s="1050">
        <f t="shared" si="58"/>
        <v>0</v>
      </c>
      <c r="T112" s="1047">
        <f t="shared" si="59"/>
        <v>7587.4925456006777</v>
      </c>
      <c r="U112" s="1047">
        <f t="shared" si="60"/>
        <v>380.31792830294489</v>
      </c>
      <c r="V112" s="1054">
        <f t="shared" si="61"/>
        <v>253.54528553529659</v>
      </c>
      <c r="W112" s="104"/>
      <c r="X112" s="1264">
        <f>'Recycling - Case 1'!AC162*'Recycling - Case 1'!AE162*'Recycling - Case 1'!C162</f>
        <v>36453.008833956315</v>
      </c>
      <c r="Y112" s="1265">
        <f>Parameters!S215</f>
        <v>0.71500000000000008</v>
      </c>
      <c r="Z112" s="1266">
        <f t="shared" si="62"/>
        <v>0.15</v>
      </c>
      <c r="AA112" s="1267">
        <f t="shared" si="63"/>
        <v>1954.7925987209076</v>
      </c>
      <c r="AB112" s="1267">
        <f t="shared" si="64"/>
        <v>1954.7925987209076</v>
      </c>
      <c r="AC112" s="1268">
        <f t="shared" si="65"/>
        <v>0</v>
      </c>
      <c r="AD112" s="1267">
        <f t="shared" si="66"/>
        <v>49985.770560894285</v>
      </c>
      <c r="AE112" s="1267">
        <f t="shared" si="67"/>
        <v>2462.6009001332777</v>
      </c>
      <c r="AF112" s="1269">
        <f t="shared" si="68"/>
        <v>1641.7339334221851</v>
      </c>
      <c r="AG112" s="104"/>
      <c r="AH112" s="1264">
        <f>'Recycling - Case 1'!AC202*'Recycling - Case 1'!AE202*'Recycling - Case 1'!C202</f>
        <v>45174.945940825179</v>
      </c>
      <c r="AI112" s="1265">
        <f>Parameters!S215</f>
        <v>0.71500000000000008</v>
      </c>
      <c r="AJ112" s="1266">
        <f t="shared" si="69"/>
        <v>0.15</v>
      </c>
      <c r="AK112" s="1267">
        <f t="shared" si="70"/>
        <v>2422.5064760767505</v>
      </c>
      <c r="AL112" s="1267">
        <f t="shared" si="71"/>
        <v>2422.5064760767505</v>
      </c>
      <c r="AM112" s="1268">
        <f t="shared" si="72"/>
        <v>0</v>
      </c>
      <c r="AN112" s="1267">
        <f t="shared" si="73"/>
        <v>52323.220843254087</v>
      </c>
      <c r="AO112" s="1267">
        <f t="shared" si="74"/>
        <v>2558.4643355519961</v>
      </c>
      <c r="AP112" s="1269">
        <f t="shared" si="75"/>
        <v>1705.6428903679973</v>
      </c>
      <c r="AQ112" s="104"/>
      <c r="AR112" s="1303">
        <f>'Recycling - Case 1'!G122</f>
        <v>790.79128603823585</v>
      </c>
      <c r="AS112" s="1304">
        <v>1</v>
      </c>
      <c r="AT112" s="1305">
        <f t="shared" si="76"/>
        <v>0.05</v>
      </c>
      <c r="AU112" s="1283">
        <f t="shared" si="77"/>
        <v>19.769782150955898</v>
      </c>
      <c r="AV112" s="1283">
        <f t="shared" si="78"/>
        <v>19.769782150955898</v>
      </c>
      <c r="AW112" s="1284">
        <f t="shared" si="79"/>
        <v>0</v>
      </c>
      <c r="AX112" s="1283">
        <f t="shared" si="49"/>
        <v>266.50778424757368</v>
      </c>
      <c r="AY112" s="1283">
        <f t="shared" si="52"/>
        <v>15.257425951156543</v>
      </c>
      <c r="AZ112" s="1306">
        <f t="shared" si="50"/>
        <v>10.171617300771029</v>
      </c>
      <c r="BB112" s="1294">
        <f t="shared" si="80"/>
        <v>253.54528553529659</v>
      </c>
      <c r="BC112" s="1295">
        <f t="shared" si="81"/>
        <v>1641.7339334221851</v>
      </c>
      <c r="BD112" s="1327">
        <f t="shared" si="95"/>
        <v>10.171617300771029</v>
      </c>
      <c r="BE112" s="1295">
        <f t="shared" si="54"/>
        <v>1905.4508362582528</v>
      </c>
      <c r="BF112" s="167">
        <v>0</v>
      </c>
      <c r="BG112" s="1317">
        <f t="shared" si="82"/>
        <v>1905.4508362582528</v>
      </c>
      <c r="BI112" s="1294">
        <f t="shared" si="83"/>
        <v>253.54528553529659</v>
      </c>
      <c r="BJ112" s="1295">
        <f t="shared" si="84"/>
        <v>1705.6428903679973</v>
      </c>
      <c r="BK112" s="1327">
        <f t="shared" si="85"/>
        <v>10.171617300771029</v>
      </c>
      <c r="BL112" s="1295">
        <f t="shared" si="55"/>
        <v>1969.359793204065</v>
      </c>
      <c r="BM112" s="167">
        <v>0</v>
      </c>
      <c r="BN112" s="1317">
        <f t="shared" si="86"/>
        <v>1969.359793204065</v>
      </c>
    </row>
    <row r="113" spans="1:66">
      <c r="A113" s="1156">
        <f>'Input data'!A143</f>
        <v>2045</v>
      </c>
      <c r="B113" s="1039">
        <f>'Input data'!B143</f>
        <v>73.62</v>
      </c>
      <c r="C113" s="1039">
        <f>'Recycling - Case 1'!AF123</f>
        <v>134.07733513983686</v>
      </c>
      <c r="D113" s="1040">
        <f>'Recycling - Case 1'!AM123</f>
        <v>0.33821874623794662</v>
      </c>
      <c r="E113" s="1041">
        <f>'Recycling - Case 1'!BE123</f>
        <v>0.14277330911442879</v>
      </c>
      <c r="F113" s="1041">
        <f>'Recycling - Case 1'!BF123</f>
        <v>0.23124410795484193</v>
      </c>
      <c r="G113" s="1041">
        <f>'Recycling - Case 1'!BG123</f>
        <v>8.1064610179297267E-2</v>
      </c>
      <c r="H113" s="1041">
        <f>'Recycling - Case 1'!BH123</f>
        <v>0</v>
      </c>
      <c r="I113" s="1041">
        <f>'Recycling - Case 1'!BI123</f>
        <v>0</v>
      </c>
      <c r="J113" s="1041">
        <f>'Recycling - Case 1'!BJ123</f>
        <v>0</v>
      </c>
      <c r="K113" s="1041">
        <f>'Recycling - Case 1'!BK123</f>
        <v>0.54491797275143206</v>
      </c>
      <c r="L113" s="1042">
        <f t="shared" si="94"/>
        <v>1</v>
      </c>
      <c r="M113" s="104"/>
      <c r="N113" s="1053">
        <f t="shared" si="53"/>
        <v>3338.4806081419556</v>
      </c>
      <c r="O113" s="1048">
        <f>Parameters!R216</f>
        <v>0.96625000000000005</v>
      </c>
      <c r="P113" s="1049">
        <f>E113*'MSW characteristics'!$B$28+'MSW characteristics'!$B$29*'4A SWD Case 1'!F113+'4A SWD Case 1'!G113*'MSW characteristics'!$B$30+'MSW characteristics'!$B$31*'4A SWD Case 1'!H113+'4A SWD Case 1'!I113*'MSW characteristics'!$B$32+'MSW characteristics'!$B$33*'4A SWD Case 1'!J113+'4A SWD Case 1'!K113*'MSW characteristics'!$B$35</f>
        <v>0.10009066202985162</v>
      </c>
      <c r="Q113" s="1047">
        <f t="shared" si="56"/>
        <v>161.4365734810286</v>
      </c>
      <c r="R113" s="1047">
        <f t="shared" si="57"/>
        <v>161.4365734810286</v>
      </c>
      <c r="S113" s="1050">
        <f t="shared" si="58"/>
        <v>0</v>
      </c>
      <c r="T113" s="1047">
        <f t="shared" si="59"/>
        <v>7378.8827410362192</v>
      </c>
      <c r="U113" s="1047">
        <f t="shared" si="60"/>
        <v>370.04637804548747</v>
      </c>
      <c r="V113" s="1054">
        <f t="shared" si="61"/>
        <v>246.69758536365831</v>
      </c>
      <c r="W113" s="104"/>
      <c r="X113" s="1264">
        <f>'Recycling - Case 1'!AC163*'Recycling - Case 1'!AE163*'Recycling - Case 1'!C163</f>
        <v>35613.133336363775</v>
      </c>
      <c r="Y113" s="1265">
        <f>Parameters!S216</f>
        <v>0.71500000000000008</v>
      </c>
      <c r="Z113" s="1266">
        <f t="shared" si="62"/>
        <v>0.15</v>
      </c>
      <c r="AA113" s="1267">
        <f t="shared" si="63"/>
        <v>1909.7542751625074</v>
      </c>
      <c r="AB113" s="1267">
        <f t="shared" si="64"/>
        <v>1909.7542751625074</v>
      </c>
      <c r="AC113" s="1268">
        <f t="shared" si="65"/>
        <v>0</v>
      </c>
      <c r="AD113" s="1267">
        <f t="shared" si="66"/>
        <v>49457.690039026711</v>
      </c>
      <c r="AE113" s="1267">
        <f t="shared" si="67"/>
        <v>2437.8347970300815</v>
      </c>
      <c r="AF113" s="1269">
        <f t="shared" si="68"/>
        <v>1625.2231980200543</v>
      </c>
      <c r="AG113" s="104"/>
      <c r="AH113" s="1264">
        <f>'Recycling - Case 1'!AC203*'Recycling - Case 1'!AE203*'Recycling - Case 1'!C203</f>
        <v>45381.371694531241</v>
      </c>
      <c r="AI113" s="1265">
        <f>Parameters!S216</f>
        <v>0.71500000000000008</v>
      </c>
      <c r="AJ113" s="1266">
        <f t="shared" si="69"/>
        <v>0.15</v>
      </c>
      <c r="AK113" s="1267">
        <f t="shared" si="70"/>
        <v>2433.5760571192377</v>
      </c>
      <c r="AL113" s="1267">
        <f t="shared" si="71"/>
        <v>2433.5760571192377</v>
      </c>
      <c r="AM113" s="1268">
        <f t="shared" si="72"/>
        <v>0</v>
      </c>
      <c r="AN113" s="1267">
        <f t="shared" si="73"/>
        <v>52204.963307871585</v>
      </c>
      <c r="AO113" s="1267">
        <f t="shared" si="74"/>
        <v>2551.8335925017373</v>
      </c>
      <c r="AP113" s="1269">
        <f t="shared" si="75"/>
        <v>1701.2223950011582</v>
      </c>
      <c r="AQ113" s="104"/>
      <c r="AR113" s="1303">
        <f>'Recycling - Case 1'!G123</f>
        <v>801.01113926454832</v>
      </c>
      <c r="AS113" s="1304">
        <v>1</v>
      </c>
      <c r="AT113" s="1305">
        <f t="shared" si="76"/>
        <v>0.05</v>
      </c>
      <c r="AU113" s="1283">
        <f t="shared" si="77"/>
        <v>20.025278481613711</v>
      </c>
      <c r="AV113" s="1283">
        <f t="shared" si="78"/>
        <v>20.025278481613711</v>
      </c>
      <c r="AW113" s="1284">
        <f t="shared" si="79"/>
        <v>0</v>
      </c>
      <c r="AX113" s="1283">
        <f t="shared" si="49"/>
        <v>271.01285761010155</v>
      </c>
      <c r="AY113" s="1283">
        <f t="shared" si="52"/>
        <v>15.520205119085865</v>
      </c>
      <c r="AZ113" s="1306">
        <f t="shared" si="50"/>
        <v>10.34680341272391</v>
      </c>
      <c r="BB113" s="1294">
        <f t="shared" si="80"/>
        <v>246.69758536365831</v>
      </c>
      <c r="BC113" s="1295">
        <f t="shared" si="81"/>
        <v>1625.2231980200543</v>
      </c>
      <c r="BD113" s="1327">
        <f t="shared" si="95"/>
        <v>10.34680341272391</v>
      </c>
      <c r="BE113" s="1295">
        <f t="shared" si="54"/>
        <v>1882.2675867964365</v>
      </c>
      <c r="BF113" s="167">
        <v>0</v>
      </c>
      <c r="BG113" s="1317">
        <f t="shared" si="82"/>
        <v>1882.2675867964365</v>
      </c>
      <c r="BI113" s="1294">
        <f t="shared" si="83"/>
        <v>246.69758536365831</v>
      </c>
      <c r="BJ113" s="1295">
        <f t="shared" si="84"/>
        <v>1701.2223950011582</v>
      </c>
      <c r="BK113" s="1327">
        <f t="shared" si="85"/>
        <v>10.34680341272391</v>
      </c>
      <c r="BL113" s="1295">
        <f t="shared" si="55"/>
        <v>1958.2667837775405</v>
      </c>
      <c r="BM113" s="167">
        <v>0</v>
      </c>
      <c r="BN113" s="1317">
        <f t="shared" si="86"/>
        <v>1958.2667837775405</v>
      </c>
    </row>
    <row r="114" spans="1:66">
      <c r="A114" s="1156">
        <f>'Input data'!A144</f>
        <v>2046</v>
      </c>
      <c r="B114" s="1039">
        <f>'Input data'!B144</f>
        <v>73.995000000000005</v>
      </c>
      <c r="C114" s="1039">
        <f>'Recycling - Case 1'!AF124</f>
        <v>125.3331611089779</v>
      </c>
      <c r="D114" s="1040">
        <f>'Recycling - Case 1'!AM124</f>
        <v>0.33821874623794668</v>
      </c>
      <c r="E114" s="1041">
        <f>'Recycling - Case 1'!BE124</f>
        <v>0.14277330911442879</v>
      </c>
      <c r="F114" s="1041">
        <f>'Recycling - Case 1'!BF124</f>
        <v>0.23124410795484196</v>
      </c>
      <c r="G114" s="1041">
        <f>'Recycling - Case 1'!BG124</f>
        <v>8.1064610179297281E-2</v>
      </c>
      <c r="H114" s="1041">
        <f>'Recycling - Case 1'!BH124</f>
        <v>0</v>
      </c>
      <c r="I114" s="1041">
        <f>'Recycling - Case 1'!BI124</f>
        <v>0</v>
      </c>
      <c r="J114" s="1041">
        <f>'Recycling - Case 1'!BJ124</f>
        <v>0</v>
      </c>
      <c r="K114" s="1041">
        <f>'Recycling - Case 1'!BK124</f>
        <v>0.54491797275143217</v>
      </c>
      <c r="L114" s="1042">
        <f t="shared" si="94"/>
        <v>1.0000000000000002</v>
      </c>
      <c r="M114" s="104"/>
      <c r="N114" s="1053">
        <f t="shared" si="53"/>
        <v>3136.6498711884028</v>
      </c>
      <c r="O114" s="1048">
        <f>Parameters!R217</f>
        <v>0.97300000000000009</v>
      </c>
      <c r="P114" s="1049">
        <f>E114*'MSW characteristics'!$B$28+'MSW characteristics'!$B$29*'4A SWD Case 1'!F114+'4A SWD Case 1'!G114*'MSW characteristics'!$B$30+'MSW characteristics'!$B$31*'4A SWD Case 1'!H114+'4A SWD Case 1'!I114*'MSW characteristics'!$B$32+'MSW characteristics'!$B$33*'4A SWD Case 1'!J114+'4A SWD Case 1'!K114*'MSW characteristics'!$B$35</f>
        <v>0.10009066202985162</v>
      </c>
      <c r="Q114" s="1047">
        <f t="shared" si="56"/>
        <v>152.73636469234626</v>
      </c>
      <c r="R114" s="1047">
        <f t="shared" si="57"/>
        <v>152.73636469234626</v>
      </c>
      <c r="S114" s="1050">
        <f t="shared" si="58"/>
        <v>0</v>
      </c>
      <c r="T114" s="1047">
        <f>R114+(T113*$C$8)</f>
        <v>7171.7467479064799</v>
      </c>
      <c r="U114" s="1047">
        <f t="shared" si="60"/>
        <v>359.87235782208523</v>
      </c>
      <c r="V114" s="1054">
        <f t="shared" si="61"/>
        <v>239.91490521472349</v>
      </c>
      <c r="W114" s="104"/>
      <c r="X114" s="1264">
        <f>'Recycling - Case 1'!AC164*'Recycling - Case 1'!AE164*'Recycling - Case 1'!C164</f>
        <v>34810.193867145033</v>
      </c>
      <c r="Y114" s="1265">
        <f>Parameters!S217</f>
        <v>0.71500000000000008</v>
      </c>
      <c r="Z114" s="1266">
        <f t="shared" si="62"/>
        <v>0.15</v>
      </c>
      <c r="AA114" s="1267">
        <f t="shared" si="63"/>
        <v>1866.6966461256525</v>
      </c>
      <c r="AB114" s="1267">
        <f t="shared" si="64"/>
        <v>1866.6966461256525</v>
      </c>
      <c r="AC114" s="1268">
        <f t="shared" si="65"/>
        <v>0</v>
      </c>
      <c r="AD114" s="1267">
        <f t="shared" si="66"/>
        <v>48912.306679083726</v>
      </c>
      <c r="AE114" s="1267">
        <f t="shared" si="67"/>
        <v>2412.0800060686365</v>
      </c>
      <c r="AF114" s="1269">
        <f t="shared" si="68"/>
        <v>1608.0533373790911</v>
      </c>
      <c r="AG114" s="104"/>
      <c r="AH114" s="1264">
        <f>'Recycling - Case 1'!AC204*'Recycling - Case 1'!AE204*'Recycling - Case 1'!C204</f>
        <v>45598.00451134648</v>
      </c>
      <c r="AI114" s="1265">
        <f>Parameters!S217</f>
        <v>0.71500000000000008</v>
      </c>
      <c r="AJ114" s="1266">
        <f t="shared" si="69"/>
        <v>0.15</v>
      </c>
      <c r="AK114" s="1267">
        <f t="shared" si="70"/>
        <v>2445.1929919209551</v>
      </c>
      <c r="AL114" s="1267">
        <f t="shared" si="71"/>
        <v>2445.1929919209551</v>
      </c>
      <c r="AM114" s="1268">
        <f t="shared" si="72"/>
        <v>0</v>
      </c>
      <c r="AN114" s="1267">
        <f t="shared" si="73"/>
        <v>52104.090195348537</v>
      </c>
      <c r="AO114" s="1267">
        <f t="shared" si="74"/>
        <v>2546.0661044440058</v>
      </c>
      <c r="AP114" s="1269">
        <f t="shared" si="75"/>
        <v>1697.3774029626704</v>
      </c>
      <c r="AQ114" s="104"/>
      <c r="AR114" s="1303">
        <f>'Recycling - Case 1'!G124</f>
        <v>810.42034079476002</v>
      </c>
      <c r="AS114" s="1304">
        <v>1</v>
      </c>
      <c r="AT114" s="1305">
        <f t="shared" si="76"/>
        <v>0.05</v>
      </c>
      <c r="AU114" s="1283">
        <f t="shared" si="77"/>
        <v>20.260508519869003</v>
      </c>
      <c r="AV114" s="1283">
        <f t="shared" si="78"/>
        <v>20.260508519869003</v>
      </c>
      <c r="AW114" s="1284">
        <f t="shared" si="79"/>
        <v>0</v>
      </c>
      <c r="AX114" s="1283">
        <f t="shared" si="49"/>
        <v>275.4908059623807</v>
      </c>
      <c r="AY114" s="1283">
        <f t="shared" si="52"/>
        <v>15.782560167589853</v>
      </c>
      <c r="AZ114" s="1306">
        <f t="shared" si="50"/>
        <v>10.521706778393236</v>
      </c>
      <c r="BB114" s="1294">
        <f t="shared" si="80"/>
        <v>239.91490521472349</v>
      </c>
      <c r="BC114" s="1295">
        <f t="shared" si="81"/>
        <v>1608.0533373790911</v>
      </c>
      <c r="BD114" s="1327">
        <f t="shared" si="95"/>
        <v>10.521706778393236</v>
      </c>
      <c r="BE114" s="1295">
        <f t="shared" si="54"/>
        <v>1858.4899493722078</v>
      </c>
      <c r="BF114" s="167">
        <v>0</v>
      </c>
      <c r="BG114" s="1317">
        <f t="shared" si="82"/>
        <v>1858.4899493722078</v>
      </c>
      <c r="BI114" s="1294">
        <f t="shared" si="83"/>
        <v>239.91490521472349</v>
      </c>
      <c r="BJ114" s="1295">
        <f t="shared" si="84"/>
        <v>1697.3774029626704</v>
      </c>
      <c r="BK114" s="1327">
        <f t="shared" si="85"/>
        <v>10.521706778393236</v>
      </c>
      <c r="BL114" s="1295">
        <f t="shared" si="55"/>
        <v>1947.8140149557871</v>
      </c>
      <c r="BM114" s="167">
        <v>0</v>
      </c>
      <c r="BN114" s="1317">
        <f t="shared" si="86"/>
        <v>1947.8140149557871</v>
      </c>
    </row>
    <row r="115" spans="1:66">
      <c r="A115" s="1156">
        <f>'Input data'!A145</f>
        <v>2047</v>
      </c>
      <c r="B115" s="1039">
        <f>'Input data'!B145</f>
        <v>74.373000000000005</v>
      </c>
      <c r="C115" s="1039">
        <f>'Recycling - Case 1'!AF125</f>
        <v>116.58898707811893</v>
      </c>
      <c r="D115" s="1040">
        <f>'Recycling - Case 1'!AM125</f>
        <v>0.33821874623794668</v>
      </c>
      <c r="E115" s="1041">
        <f>'Recycling - Case 1'!BE125</f>
        <v>0.14277330911442876</v>
      </c>
      <c r="F115" s="1041">
        <f>'Recycling - Case 1'!BF125</f>
        <v>0.23124410795484196</v>
      </c>
      <c r="G115" s="1041">
        <f>'Recycling - Case 1'!BG125</f>
        <v>8.1064610179297267E-2</v>
      </c>
      <c r="H115" s="1041">
        <f>'Recycling - Case 1'!BH125</f>
        <v>0</v>
      </c>
      <c r="I115" s="1041">
        <f>'Recycling - Case 1'!BI125</f>
        <v>0</v>
      </c>
      <c r="J115" s="1041">
        <f>'Recycling - Case 1'!BJ125</f>
        <v>0</v>
      </c>
      <c r="K115" s="1041">
        <f>'Recycling - Case 1'!BK125</f>
        <v>0.54491797275143194</v>
      </c>
      <c r="L115" s="1042">
        <f t="shared" si="94"/>
        <v>1</v>
      </c>
      <c r="M115" s="104"/>
      <c r="N115" s="1053">
        <f t="shared" si="53"/>
        <v>2932.7193492947508</v>
      </c>
      <c r="O115" s="1048">
        <f>Parameters!R218</f>
        <v>0.97975000000000012</v>
      </c>
      <c r="P115" s="1049">
        <f>E115*'MSW characteristics'!$B$28+'MSW characteristics'!$B$29*'4A SWD Case 1'!F115+'4A SWD Case 1'!G115*'MSW characteristics'!$B$30+'MSW characteristics'!$B$31*'4A SWD Case 1'!H115+'4A SWD Case 1'!I115*'MSW characteristics'!$B$32+'MSW characteristics'!$B$33*'4A SWD Case 1'!J115+'4A SWD Case 1'!K115*'MSW characteristics'!$B$35</f>
        <v>0.10009066202985162</v>
      </c>
      <c r="Q115" s="1047">
        <f t="shared" si="56"/>
        <v>143.79684016949463</v>
      </c>
      <c r="R115" s="1047">
        <f t="shared" si="57"/>
        <v>143.79684016949463</v>
      </c>
      <c r="S115" s="1050">
        <f t="shared" si="58"/>
        <v>0</v>
      </c>
      <c r="T115" s="1047">
        <f t="shared" ref="T115:T118" si="96">R115+(T114*$C$8)</f>
        <v>6965.7733718454429</v>
      </c>
      <c r="U115" s="1047">
        <f t="shared" si="60"/>
        <v>349.77021623053173</v>
      </c>
      <c r="V115" s="1054">
        <f t="shared" si="61"/>
        <v>233.18014415368782</v>
      </c>
      <c r="W115" s="104"/>
      <c r="X115" s="1264">
        <f>'Recycling - Case 1'!AC165*'Recycling - Case 1'!AE165*'Recycling - Case 1'!C165</f>
        <v>34040.415668616479</v>
      </c>
      <c r="Y115" s="1265">
        <f>Parameters!S218</f>
        <v>0.71500000000000008</v>
      </c>
      <c r="Z115" s="1266">
        <f t="shared" si="62"/>
        <v>0.15</v>
      </c>
      <c r="AA115" s="1267">
        <f t="shared" si="63"/>
        <v>1825.4172902295588</v>
      </c>
      <c r="AB115" s="1267">
        <f t="shared" si="64"/>
        <v>1825.4172902295588</v>
      </c>
      <c r="AC115" s="1268">
        <f t="shared" si="65"/>
        <v>0</v>
      </c>
      <c r="AD115" s="1267">
        <f t="shared" si="66"/>
        <v>48352.242623576807</v>
      </c>
      <c r="AE115" s="1267">
        <f t="shared" si="67"/>
        <v>2385.481345736483</v>
      </c>
      <c r="AF115" s="1269">
        <f t="shared" si="68"/>
        <v>1590.3208971576553</v>
      </c>
      <c r="AG115" s="104"/>
      <c r="AH115" s="1264">
        <f>'Recycling - Case 1'!AC205*'Recycling - Case 1'!AE205*'Recycling - Case 1'!C205</f>
        <v>45824.979435104731</v>
      </c>
      <c r="AI115" s="1265">
        <f>Parameters!S218</f>
        <v>0.71500000000000008</v>
      </c>
      <c r="AJ115" s="1266">
        <f t="shared" si="69"/>
        <v>0.15</v>
      </c>
      <c r="AK115" s="1267">
        <f t="shared" si="70"/>
        <v>2457.3645222074915</v>
      </c>
      <c r="AL115" s="1267">
        <f t="shared" si="71"/>
        <v>2457.3645222074915</v>
      </c>
      <c r="AM115" s="1268">
        <f t="shared" si="72"/>
        <v>0</v>
      </c>
      <c r="AN115" s="1267">
        <f t="shared" si="73"/>
        <v>52020.308252862174</v>
      </c>
      <c r="AO115" s="1267">
        <f t="shared" si="74"/>
        <v>2541.1464646938525</v>
      </c>
      <c r="AP115" s="1269">
        <f t="shared" si="75"/>
        <v>1694.0976431292349</v>
      </c>
      <c r="AQ115" s="104"/>
      <c r="AR115" s="1303">
        <f>'Recycling - Case 1'!G125</f>
        <v>819.91662999058281</v>
      </c>
      <c r="AS115" s="1304">
        <v>1</v>
      </c>
      <c r="AT115" s="1305">
        <f t="shared" si="76"/>
        <v>0.05</v>
      </c>
      <c r="AU115" s="1283">
        <f t="shared" si="77"/>
        <v>20.497915749764573</v>
      </c>
      <c r="AV115" s="1283">
        <f t="shared" si="78"/>
        <v>20.497915749764573</v>
      </c>
      <c r="AW115" s="1284">
        <f t="shared" si="79"/>
        <v>0</v>
      </c>
      <c r="AX115" s="1283">
        <f t="shared" si="49"/>
        <v>279.94538613367479</v>
      </c>
      <c r="AY115" s="1283">
        <f t="shared" si="52"/>
        <v>16.043335578470476</v>
      </c>
      <c r="AZ115" s="1306">
        <f t="shared" si="50"/>
        <v>10.695557052313651</v>
      </c>
      <c r="BB115" s="1294">
        <f t="shared" si="80"/>
        <v>233.18014415368782</v>
      </c>
      <c r="BC115" s="1295">
        <f t="shared" si="81"/>
        <v>1590.3208971576553</v>
      </c>
      <c r="BD115" s="1327">
        <f t="shared" si="95"/>
        <v>10.695557052313651</v>
      </c>
      <c r="BE115" s="1295">
        <f t="shared" si="54"/>
        <v>1834.1965983636569</v>
      </c>
      <c r="BF115" s="167">
        <v>0</v>
      </c>
      <c r="BG115" s="1317">
        <f t="shared" si="82"/>
        <v>1834.1965983636569</v>
      </c>
      <c r="BI115" s="1294">
        <f t="shared" si="83"/>
        <v>233.18014415368782</v>
      </c>
      <c r="BJ115" s="1295">
        <f t="shared" si="84"/>
        <v>1694.0976431292349</v>
      </c>
      <c r="BK115" s="1327">
        <f t="shared" si="85"/>
        <v>10.695557052313651</v>
      </c>
      <c r="BL115" s="1295">
        <f t="shared" si="55"/>
        <v>1937.9733443352366</v>
      </c>
      <c r="BM115" s="167">
        <v>0</v>
      </c>
      <c r="BN115" s="1317">
        <f t="shared" si="86"/>
        <v>1937.9733443352366</v>
      </c>
    </row>
    <row r="116" spans="1:66">
      <c r="A116" s="1156">
        <f>'Input data'!A146</f>
        <v>2048</v>
      </c>
      <c r="B116" s="1039">
        <f>'Input data'!B146</f>
        <v>74.753</v>
      </c>
      <c r="C116" s="1039">
        <f>'Recycling - Case 1'!AF126</f>
        <v>116.58898707811893</v>
      </c>
      <c r="D116" s="1040">
        <f>'Recycling - Case 1'!AM126</f>
        <v>0.33821874623794668</v>
      </c>
      <c r="E116" s="1041">
        <f>'Recycling - Case 1'!BE126</f>
        <v>0.14277330911442876</v>
      </c>
      <c r="F116" s="1041">
        <f>'Recycling - Case 1'!BF126</f>
        <v>0.23124410795484196</v>
      </c>
      <c r="G116" s="1041">
        <f>'Recycling - Case 1'!BG126</f>
        <v>8.1064610179297267E-2</v>
      </c>
      <c r="H116" s="1041">
        <f>'Recycling - Case 1'!BH126</f>
        <v>0</v>
      </c>
      <c r="I116" s="1041">
        <f>'Recycling - Case 1'!BI126</f>
        <v>0</v>
      </c>
      <c r="J116" s="1041">
        <f>'Recycling - Case 1'!BJ126</f>
        <v>0</v>
      </c>
      <c r="K116" s="1041">
        <f>'Recycling - Case 1'!BK126</f>
        <v>0.54491797275143194</v>
      </c>
      <c r="L116" s="1042">
        <f t="shared" si="94"/>
        <v>1</v>
      </c>
      <c r="M116" s="104"/>
      <c r="N116" s="1053">
        <f t="shared" si="53"/>
        <v>2947.7037300879424</v>
      </c>
      <c r="O116" s="1048">
        <f>Parameters!R219</f>
        <v>0.98650000000000015</v>
      </c>
      <c r="P116" s="1049">
        <f>E116*'MSW characteristics'!$B$28+'MSW characteristics'!$B$29*'4A SWD Case 1'!F116+'4A SWD Case 1'!G116*'MSW characteristics'!$B$30+'MSW characteristics'!$B$31*'4A SWD Case 1'!H116+'4A SWD Case 1'!I116*'MSW characteristics'!$B$32+'MSW characteristics'!$B$33*'4A SWD Case 1'!J116+'4A SWD Case 1'!K116*'MSW characteristics'!$B$35</f>
        <v>0.10009066202985162</v>
      </c>
      <c r="Q116" s="1047">
        <f t="shared" si="56"/>
        <v>145.52730498594917</v>
      </c>
      <c r="R116" s="1047">
        <f t="shared" si="57"/>
        <v>145.52730498594917</v>
      </c>
      <c r="S116" s="1050">
        <f t="shared" si="58"/>
        <v>0</v>
      </c>
      <c r="T116" s="1047">
        <f t="shared" si="96"/>
        <v>6771.5759006888875</v>
      </c>
      <c r="U116" s="1047">
        <f t="shared" si="60"/>
        <v>339.72477614250408</v>
      </c>
      <c r="V116" s="1054">
        <f t="shared" si="61"/>
        <v>226.48318409500271</v>
      </c>
      <c r="W116" s="104"/>
      <c r="X116" s="1264">
        <f>'Recycling - Case 1'!AC166*'Recycling - Case 1'!AE166*'Recycling - Case 1'!C166</f>
        <v>33263.551920749494</v>
      </c>
      <c r="Y116" s="1265">
        <f>Parameters!S219</f>
        <v>0.71500000000000008</v>
      </c>
      <c r="Z116" s="1266">
        <f t="shared" si="62"/>
        <v>0.15</v>
      </c>
      <c r="AA116" s="1267">
        <f t="shared" si="63"/>
        <v>1783.7579717501917</v>
      </c>
      <c r="AB116" s="1267">
        <f t="shared" si="64"/>
        <v>1783.7579717501917</v>
      </c>
      <c r="AC116" s="1268">
        <f t="shared" si="65"/>
        <v>0</v>
      </c>
      <c r="AD116" s="1267">
        <f t="shared" si="66"/>
        <v>47777.833895894051</v>
      </c>
      <c r="AE116" s="1267">
        <f t="shared" si="67"/>
        <v>2358.1666994329466</v>
      </c>
      <c r="AF116" s="1269">
        <f t="shared" si="68"/>
        <v>1572.1111329552978</v>
      </c>
      <c r="AG116" s="104"/>
      <c r="AH116" s="1264">
        <f>'Recycling - Case 1'!AC206*'Recycling - Case 1'!AE206*'Recycling - Case 1'!C206</f>
        <v>46054.565206317595</v>
      </c>
      <c r="AI116" s="1265">
        <f>Parameters!S219</f>
        <v>0.71500000000000008</v>
      </c>
      <c r="AJ116" s="1266">
        <f t="shared" si="69"/>
        <v>0.15</v>
      </c>
      <c r="AK116" s="1267">
        <f t="shared" si="70"/>
        <v>2469.6760591887814</v>
      </c>
      <c r="AL116" s="1267">
        <f t="shared" si="71"/>
        <v>2469.6760591887814</v>
      </c>
      <c r="AM116" s="1268">
        <f t="shared" si="72"/>
        <v>0</v>
      </c>
      <c r="AN116" s="1267">
        <f t="shared" si="73"/>
        <v>51952.923940908608</v>
      </c>
      <c r="AO116" s="1267">
        <f t="shared" si="74"/>
        <v>2537.0603711423446</v>
      </c>
      <c r="AP116" s="1269">
        <f t="shared" si="75"/>
        <v>1691.3735807615631</v>
      </c>
      <c r="AQ116" s="104"/>
      <c r="AR116" s="1303">
        <f>'Recycling - Case 1'!G126</f>
        <v>829.48955862118044</v>
      </c>
      <c r="AS116" s="1304">
        <v>1</v>
      </c>
      <c r="AT116" s="1305">
        <f t="shared" si="76"/>
        <v>0.05</v>
      </c>
      <c r="AU116" s="1283">
        <f t="shared" si="77"/>
        <v>20.737238965529514</v>
      </c>
      <c r="AV116" s="1283">
        <f t="shared" si="78"/>
        <v>20.737238965529514</v>
      </c>
      <c r="AW116" s="1284">
        <f t="shared" si="79"/>
        <v>0</v>
      </c>
      <c r="AX116" s="1283">
        <f t="shared" si="49"/>
        <v>284.37987496677215</v>
      </c>
      <c r="AY116" s="1283">
        <f t="shared" si="52"/>
        <v>16.302750132432141</v>
      </c>
      <c r="AZ116" s="1306">
        <f t="shared" si="50"/>
        <v>10.868500088288094</v>
      </c>
      <c r="BB116" s="1294">
        <f t="shared" si="80"/>
        <v>226.48318409500271</v>
      </c>
      <c r="BC116" s="1295">
        <f t="shared" si="81"/>
        <v>1572.1111329552978</v>
      </c>
      <c r="BD116" s="1327">
        <f t="shared" si="95"/>
        <v>10.868500088288094</v>
      </c>
      <c r="BE116" s="1295">
        <f t="shared" si="54"/>
        <v>1809.4628171385887</v>
      </c>
      <c r="BF116" s="167">
        <v>0</v>
      </c>
      <c r="BG116" s="1317">
        <f t="shared" si="82"/>
        <v>1809.4628171385887</v>
      </c>
      <c r="BI116" s="1294">
        <f t="shared" si="83"/>
        <v>226.48318409500271</v>
      </c>
      <c r="BJ116" s="1295">
        <f t="shared" si="84"/>
        <v>1691.3735807615631</v>
      </c>
      <c r="BK116" s="1327">
        <f t="shared" si="85"/>
        <v>10.868500088288094</v>
      </c>
      <c r="BL116" s="1295">
        <f t="shared" si="55"/>
        <v>1928.725264944854</v>
      </c>
      <c r="BM116" s="167">
        <v>0</v>
      </c>
      <c r="BN116" s="1317">
        <f t="shared" si="86"/>
        <v>1928.725264944854</v>
      </c>
    </row>
    <row r="117" spans="1:66">
      <c r="A117" s="1156">
        <f>'Input data'!A147</f>
        <v>2049</v>
      </c>
      <c r="B117" s="1039">
        <f>'Input data'!B147</f>
        <v>75.134</v>
      </c>
      <c r="C117" s="1039">
        <f>'Recycling - Case 1'!AF127</f>
        <v>116.58898707811893</v>
      </c>
      <c r="D117" s="1040">
        <f>'Recycling - Case 1'!AM127</f>
        <v>0.33821874623794668</v>
      </c>
      <c r="E117" s="1041">
        <f>'Recycling - Case 1'!BE127</f>
        <v>0.14277330911442876</v>
      </c>
      <c r="F117" s="1041">
        <f>'Recycling - Case 1'!BF127</f>
        <v>0.23124410795484196</v>
      </c>
      <c r="G117" s="1041">
        <f>'Recycling - Case 1'!BG127</f>
        <v>8.1064610179297267E-2</v>
      </c>
      <c r="H117" s="1041">
        <f>'Recycling - Case 1'!BH127</f>
        <v>0</v>
      </c>
      <c r="I117" s="1041">
        <f>'Recycling - Case 1'!BI127</f>
        <v>0</v>
      </c>
      <c r="J117" s="1041">
        <f>'Recycling - Case 1'!BJ127</f>
        <v>0</v>
      </c>
      <c r="K117" s="1041">
        <f>'Recycling - Case 1'!BK127</f>
        <v>0.54491797275143194</v>
      </c>
      <c r="L117" s="1042">
        <f t="shared" si="94"/>
        <v>1</v>
      </c>
      <c r="M117" s="104"/>
      <c r="N117" s="1053">
        <f t="shared" si="53"/>
        <v>2962.7275434621679</v>
      </c>
      <c r="O117" s="1048">
        <f>Parameters!R220</f>
        <v>0.99325000000000008</v>
      </c>
      <c r="P117" s="1049">
        <f>E117*'MSW characteristics'!$B$28+'MSW characteristics'!$B$29*'4A SWD Case 1'!F117+'4A SWD Case 1'!G117*'MSW characteristics'!$B$30+'MSW characteristics'!$B$31*'4A SWD Case 1'!H117+'4A SWD Case 1'!I117*'MSW characteristics'!$B$32+'MSW characteristics'!$B$33*'4A SWD Case 1'!J117+'4A SWD Case 1'!K117*'MSW characteristics'!$B$35</f>
        <v>0.10009066202985162</v>
      </c>
      <c r="Q117" s="1047">
        <f t="shared" si="56"/>
        <v>147.26985352541988</v>
      </c>
      <c r="R117" s="1047">
        <f t="shared" si="57"/>
        <v>147.26985352541988</v>
      </c>
      <c r="S117" s="1050">
        <f t="shared" si="58"/>
        <v>0</v>
      </c>
      <c r="T117" s="1047">
        <f t="shared" si="96"/>
        <v>6588.5921005006148</v>
      </c>
      <c r="U117" s="1047">
        <f t="shared" si="60"/>
        <v>330.25365371369287</v>
      </c>
      <c r="V117" s="1054">
        <f t="shared" si="61"/>
        <v>220.16910247579526</v>
      </c>
      <c r="W117" s="104"/>
      <c r="X117" s="1264">
        <f>'Recycling - Case 1'!AC167*'Recycling - Case 1'!AE167*'Recycling - Case 1'!C167</f>
        <v>32520.58087266724</v>
      </c>
      <c r="Y117" s="1265">
        <f>Parameters!S220</f>
        <v>0.71500000000000008</v>
      </c>
      <c r="Z117" s="1266">
        <f t="shared" si="62"/>
        <v>0.15</v>
      </c>
      <c r="AA117" s="1267">
        <f t="shared" si="63"/>
        <v>1743.916149296781</v>
      </c>
      <c r="AB117" s="1267">
        <f t="shared" si="64"/>
        <v>1743.916149296781</v>
      </c>
      <c r="AC117" s="1268">
        <f t="shared" si="65"/>
        <v>0</v>
      </c>
      <c r="AD117" s="1267">
        <f t="shared" si="66"/>
        <v>47191.597589978788</v>
      </c>
      <c r="AE117" s="1267">
        <f t="shared" si="67"/>
        <v>2330.1524552120459</v>
      </c>
      <c r="AF117" s="1269">
        <f t="shared" si="68"/>
        <v>1553.4349701413639</v>
      </c>
      <c r="AG117" s="104"/>
      <c r="AH117" s="1264">
        <f>'Recycling - Case 1'!AC207*'Recycling - Case 1'!AE207*'Recycling - Case 1'!C207</f>
        <v>46295.472152268958</v>
      </c>
      <c r="AI117" s="1265">
        <f>Parameters!S220</f>
        <v>0.71500000000000008</v>
      </c>
      <c r="AJ117" s="1266">
        <f t="shared" si="69"/>
        <v>0.15</v>
      </c>
      <c r="AK117" s="1267">
        <f t="shared" si="70"/>
        <v>2482.5946941654233</v>
      </c>
      <c r="AL117" s="1267">
        <f t="shared" si="71"/>
        <v>2482.5946941654233</v>
      </c>
      <c r="AM117" s="1268">
        <f t="shared" si="72"/>
        <v>0</v>
      </c>
      <c r="AN117" s="1267">
        <f t="shared" si="73"/>
        <v>51901.74463560529</v>
      </c>
      <c r="AO117" s="1267">
        <f t="shared" si="74"/>
        <v>2533.7739994687454</v>
      </c>
      <c r="AP117" s="1269">
        <f t="shared" si="75"/>
        <v>1689.1826663124968</v>
      </c>
      <c r="AQ117" s="104"/>
      <c r="AR117" s="1303">
        <f>'Recycling - Case 1'!G127</f>
        <v>839.12839037833646</v>
      </c>
      <c r="AS117" s="1304">
        <v>1</v>
      </c>
      <c r="AT117" s="1305">
        <f t="shared" si="76"/>
        <v>0.05</v>
      </c>
      <c r="AU117" s="1283">
        <f t="shared" si="77"/>
        <v>20.978209759458412</v>
      </c>
      <c r="AV117" s="1283">
        <f t="shared" si="78"/>
        <v>20.978209759458412</v>
      </c>
      <c r="AW117" s="1284">
        <f t="shared" si="79"/>
        <v>0</v>
      </c>
      <c r="AX117" s="1283">
        <f t="shared" si="49"/>
        <v>288.79709006828756</v>
      </c>
      <c r="AY117" s="1283">
        <f t="shared" si="52"/>
        <v>16.560994657943009</v>
      </c>
      <c r="AZ117" s="1306">
        <f t="shared" si="50"/>
        <v>11.040663105295339</v>
      </c>
      <c r="BB117" s="1294">
        <f t="shared" si="80"/>
        <v>220.16910247579526</v>
      </c>
      <c r="BC117" s="1295">
        <f t="shared" si="81"/>
        <v>1553.4349701413639</v>
      </c>
      <c r="BD117" s="1327">
        <f t="shared" si="95"/>
        <v>11.040663105295339</v>
      </c>
      <c r="BE117" s="1295">
        <f t="shared" si="54"/>
        <v>1784.6447357224545</v>
      </c>
      <c r="BF117" s="167">
        <v>0</v>
      </c>
      <c r="BG117" s="1317">
        <f t="shared" si="82"/>
        <v>1784.6447357224545</v>
      </c>
      <c r="BI117" s="1294">
        <f t="shared" si="83"/>
        <v>220.16910247579526</v>
      </c>
      <c r="BJ117" s="1295">
        <f t="shared" si="84"/>
        <v>1689.1826663124968</v>
      </c>
      <c r="BK117" s="1327">
        <f t="shared" si="85"/>
        <v>11.040663105295339</v>
      </c>
      <c r="BL117" s="1295">
        <f t="shared" si="55"/>
        <v>1920.3924318935874</v>
      </c>
      <c r="BM117" s="167">
        <v>0</v>
      </c>
      <c r="BN117" s="1317">
        <f t="shared" si="86"/>
        <v>1920.3924318935874</v>
      </c>
    </row>
    <row r="118" spans="1:66" ht="15.75" thickBot="1">
      <c r="A118" s="1157">
        <f>'Input data'!A148</f>
        <v>2050</v>
      </c>
      <c r="B118" s="1043">
        <f>'Input data'!B148</f>
        <v>75.518000000000001</v>
      </c>
      <c r="C118" s="1043">
        <f>'Recycling - Case 1'!AF128</f>
        <v>116.58898707811893</v>
      </c>
      <c r="D118" s="1044">
        <f>'Recycling - Case 1'!AM128</f>
        <v>0.33821874623794668</v>
      </c>
      <c r="E118" s="1045">
        <f>'Recycling - Case 1'!BE128</f>
        <v>0.14277330911442876</v>
      </c>
      <c r="F118" s="1045">
        <f>'Recycling - Case 1'!BF128</f>
        <v>0.23124410795484196</v>
      </c>
      <c r="G118" s="1045">
        <f>'Recycling - Case 1'!BG128</f>
        <v>8.1064610179297267E-2</v>
      </c>
      <c r="H118" s="1045">
        <f>'Recycling - Case 1'!BH128</f>
        <v>0</v>
      </c>
      <c r="I118" s="1045">
        <f>'Recycling - Case 1'!BI128</f>
        <v>0</v>
      </c>
      <c r="J118" s="1045">
        <f>'Recycling - Case 1'!BJ128</f>
        <v>0</v>
      </c>
      <c r="K118" s="1045">
        <f>'Recycling - Case 1'!BK128</f>
        <v>0.54491797275143194</v>
      </c>
      <c r="L118" s="1046">
        <f t="shared" si="94"/>
        <v>1</v>
      </c>
      <c r="M118" s="104"/>
      <c r="N118" s="1055">
        <f t="shared" si="53"/>
        <v>2977.8696545794983</v>
      </c>
      <c r="O118" s="1056">
        <f>Parameters!R221</f>
        <v>1</v>
      </c>
      <c r="P118" s="1057">
        <f>E118*'MSW characteristics'!$B$28+'MSW characteristics'!$B$29*'4A SWD Case 1'!F118+'4A SWD Case 1'!G118*'MSW characteristics'!$B$30+'MSW characteristics'!$B$31*'4A SWD Case 1'!H118+'4A SWD Case 1'!I118*'MSW characteristics'!$B$32+'MSW characteristics'!$B$33*'4A SWD Case 1'!J118+'4A SWD Case 1'!K118*'MSW characteristics'!$B$35</f>
        <v>0.10009066202985162</v>
      </c>
      <c r="Q118" s="1058">
        <f t="shared" si="56"/>
        <v>149.02847258273377</v>
      </c>
      <c r="R118" s="1058">
        <f t="shared" si="57"/>
        <v>149.02847258273377</v>
      </c>
      <c r="S118" s="1059">
        <f t="shared" si="58"/>
        <v>0</v>
      </c>
      <c r="T118" s="1058">
        <f t="shared" si="96"/>
        <v>6416.2911446118842</v>
      </c>
      <c r="U118" s="1058">
        <f t="shared" si="60"/>
        <v>321.32942847146444</v>
      </c>
      <c r="V118" s="1060">
        <f t="shared" si="61"/>
        <v>214.21961898097629</v>
      </c>
      <c r="W118" s="104"/>
      <c r="X118" s="1270">
        <f>'Recycling - Case 1'!AC168*'Recycling - Case 1'!AE168*'Recycling - Case 1'!C168</f>
        <v>31811.156280288047</v>
      </c>
      <c r="Y118" s="1271">
        <f>Parameters!S221</f>
        <v>0.71500000000000008</v>
      </c>
      <c r="Z118" s="1272">
        <f t="shared" si="62"/>
        <v>0.15</v>
      </c>
      <c r="AA118" s="1273">
        <f t="shared" si="63"/>
        <v>1705.8732555304466</v>
      </c>
      <c r="AB118" s="1273">
        <f t="shared" si="64"/>
        <v>1705.8732555304466</v>
      </c>
      <c r="AC118" s="1274">
        <f t="shared" si="65"/>
        <v>0</v>
      </c>
      <c r="AD118" s="1273">
        <f t="shared" si="66"/>
        <v>46595.909472315252</v>
      </c>
      <c r="AE118" s="1273">
        <f t="shared" si="67"/>
        <v>2301.5613731939829</v>
      </c>
      <c r="AF118" s="1275">
        <f t="shared" si="68"/>
        <v>1534.3742487959887</v>
      </c>
      <c r="AG118" s="104"/>
      <c r="AH118" s="1270">
        <f>'Recycling - Case 1'!AC208*'Recycling - Case 1'!AE208*'Recycling - Case 1'!C208</f>
        <v>46548.600565184541</v>
      </c>
      <c r="AI118" s="1271">
        <f>Parameters!S221</f>
        <v>0.71500000000000008</v>
      </c>
      <c r="AJ118" s="1272">
        <f t="shared" si="69"/>
        <v>0.15</v>
      </c>
      <c r="AK118" s="1273">
        <f t="shared" si="70"/>
        <v>2496.1687053080213</v>
      </c>
      <c r="AL118" s="1273">
        <f t="shared" si="71"/>
        <v>2496.1687053080213</v>
      </c>
      <c r="AM118" s="1274">
        <f t="shared" si="72"/>
        <v>0</v>
      </c>
      <c r="AN118" s="1273">
        <f t="shared" si="73"/>
        <v>51866.635385617861</v>
      </c>
      <c r="AO118" s="1273">
        <f t="shared" si="74"/>
        <v>2531.2779552954489</v>
      </c>
      <c r="AP118" s="1275">
        <f t="shared" si="75"/>
        <v>1687.5186368636325</v>
      </c>
      <c r="AQ118" s="104"/>
      <c r="AR118" s="1307">
        <f>'Recycling - Case 1'!G128</f>
        <v>848.8558222073508</v>
      </c>
      <c r="AS118" s="1308">
        <f>Parameters!R221</f>
        <v>1</v>
      </c>
      <c r="AT118" s="1309">
        <f t="shared" si="76"/>
        <v>0.05</v>
      </c>
      <c r="AU118" s="1288">
        <f t="shared" si="77"/>
        <v>21.221395555183772</v>
      </c>
      <c r="AV118" s="1288">
        <f t="shared" si="78"/>
        <v>21.221395555183772</v>
      </c>
      <c r="AW118" s="1289">
        <f t="shared" si="79"/>
        <v>0</v>
      </c>
      <c r="AX118" s="1288">
        <f t="shared" si="49"/>
        <v>293.20025238383289</v>
      </c>
      <c r="AY118" s="1288">
        <f t="shared" si="52"/>
        <v>16.81823323963846</v>
      </c>
      <c r="AZ118" s="1310">
        <f t="shared" si="50"/>
        <v>11.212155493092306</v>
      </c>
      <c r="BB118" s="1296">
        <f t="shared" si="80"/>
        <v>214.21961898097629</v>
      </c>
      <c r="BC118" s="1297">
        <f t="shared" si="81"/>
        <v>1534.3742487959887</v>
      </c>
      <c r="BD118" s="1328">
        <f t="shared" si="95"/>
        <v>11.212155493092306</v>
      </c>
      <c r="BE118" s="1297">
        <f t="shared" si="54"/>
        <v>1759.8060232700573</v>
      </c>
      <c r="BF118" s="1298">
        <v>0</v>
      </c>
      <c r="BG118" s="1318">
        <f t="shared" si="82"/>
        <v>1759.8060232700573</v>
      </c>
      <c r="BI118" s="1296">
        <f t="shared" si="83"/>
        <v>214.21961898097629</v>
      </c>
      <c r="BJ118" s="1297">
        <f t="shared" si="84"/>
        <v>1687.5186368636325</v>
      </c>
      <c r="BK118" s="1328">
        <f t="shared" si="85"/>
        <v>11.212155493092306</v>
      </c>
      <c r="BL118" s="1297">
        <f t="shared" si="55"/>
        <v>1912.9504113377011</v>
      </c>
      <c r="BM118" s="1298">
        <v>0</v>
      </c>
      <c r="BN118" s="1318">
        <f t="shared" si="86"/>
        <v>1912.9504113377011</v>
      </c>
    </row>
    <row r="119" spans="1:66">
      <c r="A119" s="100"/>
      <c r="B119" s="4"/>
      <c r="C119" s="4"/>
      <c r="D119" s="4"/>
      <c r="E119" s="4"/>
      <c r="F119" s="4"/>
      <c r="G119" s="4"/>
      <c r="H119" s="4"/>
      <c r="I119" s="4"/>
      <c r="J119" s="4"/>
      <c r="K119" s="4"/>
    </row>
    <row r="120" spans="1:66">
      <c r="A120" s="100"/>
    </row>
    <row r="121" spans="1:66">
      <c r="A121" s="100"/>
    </row>
    <row r="122" spans="1:66">
      <c r="A122" s="100"/>
    </row>
    <row r="123" spans="1:66">
      <c r="A123" s="100"/>
    </row>
    <row r="124" spans="1:66">
      <c r="A124" s="100"/>
    </row>
    <row r="125" spans="1:66">
      <c r="A125" s="100"/>
    </row>
    <row r="126" spans="1:66">
      <c r="A126" s="100"/>
    </row>
    <row r="127" spans="1:66">
      <c r="A127" s="100"/>
    </row>
    <row r="128" spans="1:66">
      <c r="A128" s="100"/>
    </row>
    <row r="129" spans="1:1">
      <c r="A129" s="100"/>
    </row>
    <row r="130" spans="1:1">
      <c r="A130" s="100"/>
    </row>
    <row r="131" spans="1:1">
      <c r="A131" s="100"/>
    </row>
    <row r="132" spans="1:1">
      <c r="A132" s="100"/>
    </row>
    <row r="133" spans="1:1">
      <c r="A133" s="100"/>
    </row>
    <row r="134" spans="1:1">
      <c r="A134" s="100"/>
    </row>
    <row r="135" spans="1:1">
      <c r="A135" s="100"/>
    </row>
    <row r="136" spans="1:1">
      <c r="A136" s="100"/>
    </row>
    <row r="137" spans="1:1">
      <c r="A137" s="100"/>
    </row>
    <row r="138" spans="1:1">
      <c r="A138" s="100"/>
    </row>
    <row r="139" spans="1:1">
      <c r="A139" s="100"/>
    </row>
    <row r="140" spans="1:1">
      <c r="A140" s="100"/>
    </row>
    <row r="141" spans="1:1">
      <c r="A141" s="100"/>
    </row>
    <row r="142" spans="1:1">
      <c r="A142" s="100"/>
    </row>
    <row r="143" spans="1:1">
      <c r="A143" s="100"/>
    </row>
    <row r="144" spans="1:1">
      <c r="A144" s="100"/>
    </row>
    <row r="145" spans="1:1">
      <c r="A145" s="100"/>
    </row>
    <row r="146" spans="1:1">
      <c r="A146" s="100"/>
    </row>
    <row r="147" spans="1:1">
      <c r="A147" s="100"/>
    </row>
    <row r="148" spans="1:1">
      <c r="A148" s="100"/>
    </row>
    <row r="149" spans="1:1">
      <c r="A149" s="100"/>
    </row>
    <row r="150" spans="1:1">
      <c r="A150" s="100"/>
    </row>
    <row r="151" spans="1:1">
      <c r="A151" s="100"/>
    </row>
    <row r="152" spans="1:1">
      <c r="A152" s="100"/>
    </row>
    <row r="153" spans="1:1">
      <c r="A153" s="100"/>
    </row>
    <row r="154" spans="1:1">
      <c r="A154" s="100"/>
    </row>
    <row r="155" spans="1:1">
      <c r="A155" s="100"/>
    </row>
    <row r="156" spans="1:1">
      <c r="A156" s="100"/>
    </row>
    <row r="157" spans="1:1">
      <c r="A157" s="100"/>
    </row>
    <row r="158" spans="1:1">
      <c r="A158" s="100"/>
    </row>
    <row r="159" spans="1:1">
      <c r="A159" s="100"/>
    </row>
    <row r="160" spans="1:1">
      <c r="A160" s="100"/>
    </row>
    <row r="161" spans="1:1">
      <c r="A161" s="100"/>
    </row>
    <row r="162" spans="1:1">
      <c r="A162" s="100"/>
    </row>
    <row r="163" spans="1:1">
      <c r="A163" s="100"/>
    </row>
    <row r="164" spans="1:1">
      <c r="A164" s="100"/>
    </row>
    <row r="165" spans="1:1">
      <c r="A165" s="100"/>
    </row>
    <row r="166" spans="1:1">
      <c r="A166" s="100"/>
    </row>
    <row r="167" spans="1:1">
      <c r="A167" s="100"/>
    </row>
    <row r="168" spans="1:1">
      <c r="A168" s="100"/>
    </row>
    <row r="169" spans="1:1">
      <c r="A169" s="100"/>
    </row>
    <row r="170" spans="1:1">
      <c r="A170" s="100"/>
    </row>
    <row r="171" spans="1:1">
      <c r="A171" s="100"/>
    </row>
    <row r="172" spans="1:1">
      <c r="A172" s="100"/>
    </row>
    <row r="173" spans="1:1">
      <c r="A173" s="100"/>
    </row>
    <row r="174" spans="1:1">
      <c r="A174" s="100"/>
    </row>
    <row r="175" spans="1:1">
      <c r="A175" s="100"/>
    </row>
    <row r="176" spans="1:1">
      <c r="A176" s="100"/>
    </row>
    <row r="177" spans="1:1">
      <c r="A177" s="100"/>
    </row>
    <row r="178" spans="1:1">
      <c r="A178" s="100"/>
    </row>
    <row r="179" spans="1:1">
      <c r="A179" s="100"/>
    </row>
    <row r="180" spans="1:1">
      <c r="A180" s="100"/>
    </row>
    <row r="181" spans="1:1">
      <c r="A181" s="100"/>
    </row>
    <row r="182" spans="1:1">
      <c r="A182" s="100"/>
    </row>
    <row r="183" spans="1:1">
      <c r="A183" s="100"/>
    </row>
    <row r="184" spans="1:1">
      <c r="A184" s="100"/>
    </row>
    <row r="185" spans="1:1">
      <c r="A185" s="100"/>
    </row>
    <row r="186" spans="1:1">
      <c r="A186" s="100"/>
    </row>
    <row r="187" spans="1:1">
      <c r="A187" s="100"/>
    </row>
    <row r="188" spans="1:1">
      <c r="A188" s="100"/>
    </row>
    <row r="189" spans="1:1">
      <c r="A189" s="100"/>
    </row>
    <row r="190" spans="1:1">
      <c r="A190" s="100"/>
    </row>
    <row r="191" spans="1:1">
      <c r="A191" s="100"/>
    </row>
    <row r="192" spans="1:1">
      <c r="A192" s="100"/>
    </row>
    <row r="193" spans="1:1">
      <c r="A193" s="100"/>
    </row>
    <row r="194" spans="1:1">
      <c r="A194" s="100"/>
    </row>
    <row r="195" spans="1:1">
      <c r="A195" s="100"/>
    </row>
    <row r="196" spans="1:1">
      <c r="A196" s="100"/>
    </row>
    <row r="197" spans="1:1">
      <c r="A197" s="100"/>
    </row>
    <row r="198" spans="1:1">
      <c r="A198" s="100"/>
    </row>
    <row r="199" spans="1:1">
      <c r="A199" s="100"/>
    </row>
    <row r="200" spans="1:1">
      <c r="A200" s="100"/>
    </row>
    <row r="201" spans="1:1">
      <c r="A201" s="100"/>
    </row>
    <row r="202" spans="1:1">
      <c r="A202" s="100"/>
    </row>
    <row r="203" spans="1:1">
      <c r="A203" s="100"/>
    </row>
    <row r="204" spans="1:1">
      <c r="A204" s="100"/>
    </row>
    <row r="205" spans="1:1">
      <c r="A205" s="100"/>
    </row>
    <row r="206" spans="1:1">
      <c r="A206" s="100"/>
    </row>
  </sheetData>
  <mergeCells count="26">
    <mergeCell ref="L14:L15"/>
    <mergeCell ref="A14:A16"/>
    <mergeCell ref="B14:B15"/>
    <mergeCell ref="C14:C15"/>
    <mergeCell ref="D14:D15"/>
    <mergeCell ref="E14:E15"/>
    <mergeCell ref="F14:F15"/>
    <mergeCell ref="G14:G15"/>
    <mergeCell ref="H14:H15"/>
    <mergeCell ref="I14:I15"/>
    <mergeCell ref="J14:J15"/>
    <mergeCell ref="K14:K15"/>
    <mergeCell ref="BF14:BF15"/>
    <mergeCell ref="BG14:BG15"/>
    <mergeCell ref="BB13:BG13"/>
    <mergeCell ref="BB14:BB15"/>
    <mergeCell ref="BC14:BC15"/>
    <mergeCell ref="BD14:BD15"/>
    <mergeCell ref="BE14:BE15"/>
    <mergeCell ref="BI13:BN13"/>
    <mergeCell ref="BI14:BI15"/>
    <mergeCell ref="BJ14:BJ15"/>
    <mergeCell ref="BK14:BK15"/>
    <mergeCell ref="BL14:BL15"/>
    <mergeCell ref="BM14:BM15"/>
    <mergeCell ref="BN14:BN15"/>
  </mergeCells>
  <pageMargins left="0.7" right="0.7" top="0.75" bottom="0.75" header="0.3" footer="0.3"/>
  <ignoredErrors>
    <ignoredError sqref="B19:C85 B18:C18 B87:B118 B86" unlockedFormula="1"/>
  </ignoredErrors>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3C752-F2E3-4CA9-ABE2-8D93059766A9}">
  <dimension ref="A1:BN206"/>
  <sheetViews>
    <sheetView topLeftCell="S26" zoomScale="70" zoomScaleNormal="70" workbookViewId="0">
      <selection activeCell="AG97" sqref="AG97"/>
    </sheetView>
  </sheetViews>
  <sheetFormatPr defaultRowHeight="15"/>
  <cols>
    <col min="1" max="1" width="45" customWidth="1"/>
    <col min="2" max="2" width="20.42578125" customWidth="1"/>
    <col min="3" max="3" width="16.28515625" customWidth="1"/>
    <col min="4" max="4" width="10.85546875" customWidth="1"/>
    <col min="5" max="5" width="12.28515625" customWidth="1"/>
    <col min="14" max="14" width="12.140625" customWidth="1"/>
    <col min="17" max="17" width="17.42578125" customWidth="1"/>
    <col min="18" max="18" width="15.85546875" customWidth="1"/>
    <col min="19" max="19" width="16.140625" customWidth="1"/>
    <col min="20" max="20" width="18.28515625" customWidth="1"/>
    <col min="21" max="21" width="14.85546875" customWidth="1"/>
    <col min="22" max="22" width="12" customWidth="1"/>
    <col min="24" max="24" width="10" customWidth="1"/>
    <col min="27" max="27" width="18.28515625" customWidth="1"/>
    <col min="28" max="28" width="14.85546875" customWidth="1"/>
    <col min="29" max="29" width="14.7109375" customWidth="1"/>
    <col min="30" max="30" width="15.85546875" customWidth="1"/>
    <col min="31" max="31" width="12.7109375" customWidth="1"/>
    <col min="32" max="32" width="12.28515625" customWidth="1"/>
    <col min="34" max="34" width="10" customWidth="1"/>
    <col min="37" max="37" width="18.28515625" customWidth="1"/>
    <col min="38" max="38" width="14.85546875" customWidth="1"/>
    <col min="39" max="39" width="14.7109375" customWidth="1"/>
    <col min="40" max="40" width="15.85546875" customWidth="1"/>
    <col min="41" max="41" width="12.7109375" customWidth="1"/>
    <col min="42" max="42" width="12.28515625" customWidth="1"/>
    <col min="44" max="44" width="10" customWidth="1"/>
    <col min="47" max="47" width="18.28515625" customWidth="1"/>
    <col min="48" max="48" width="14.85546875" customWidth="1"/>
    <col min="49" max="49" width="14.7109375" customWidth="1"/>
    <col min="50" max="50" width="15.85546875" customWidth="1"/>
    <col min="51" max="51" width="12.7109375" customWidth="1"/>
    <col min="52" max="52" width="12.28515625" customWidth="1"/>
    <col min="54" max="54" width="8.85546875" style="338"/>
    <col min="56" max="56" width="8.85546875" style="1321"/>
    <col min="57" max="57" width="11.28515625" customWidth="1"/>
    <col min="59" max="59" width="12.28515625" customWidth="1"/>
    <col min="61" max="62" width="11.28515625" customWidth="1"/>
    <col min="63" max="63" width="11.28515625" style="1321" customWidth="1"/>
    <col min="64" max="64" width="11.28515625" customWidth="1"/>
    <col min="66" max="66" width="12.28515625" customWidth="1"/>
  </cols>
  <sheetData>
    <row r="1" spans="1:66">
      <c r="A1" s="141" t="s">
        <v>198</v>
      </c>
      <c r="B1" s="115"/>
      <c r="C1" s="976" t="s">
        <v>267</v>
      </c>
      <c r="D1" s="976" t="s">
        <v>356</v>
      </c>
      <c r="E1" s="976" t="s">
        <v>361</v>
      </c>
      <c r="F1" s="116"/>
    </row>
    <row r="2" spans="1:66">
      <c r="A2" s="150"/>
      <c r="B2" s="99"/>
      <c r="C2" s="99"/>
      <c r="D2" s="104"/>
      <c r="E2" s="104"/>
      <c r="F2" s="130"/>
    </row>
    <row r="3" spans="1:66">
      <c r="A3" s="150" t="s">
        <v>357</v>
      </c>
      <c r="B3" s="99"/>
      <c r="C3" s="314" t="str">
        <f>Parameters!D94</f>
        <v>varies</v>
      </c>
      <c r="D3" s="99">
        <f>Parameters!E94</f>
        <v>0.15</v>
      </c>
      <c r="E3" s="99">
        <f>Parameters!F94</f>
        <v>0.05</v>
      </c>
      <c r="F3" s="130"/>
    </row>
    <row r="4" spans="1:66">
      <c r="A4" s="150" t="s">
        <v>260</v>
      </c>
      <c r="B4" s="99"/>
      <c r="C4" s="99">
        <f>Parameters!D95</f>
        <v>0.5</v>
      </c>
      <c r="D4" s="99">
        <f>Parameters!E95</f>
        <v>0.5</v>
      </c>
      <c r="E4" s="99">
        <f>Parameters!F95</f>
        <v>0.5</v>
      </c>
      <c r="F4" s="130"/>
    </row>
    <row r="5" spans="1:66">
      <c r="A5" s="174" t="s">
        <v>257</v>
      </c>
      <c r="B5" s="175"/>
      <c r="C5" s="99">
        <f>Parameters!D96</f>
        <v>0.05</v>
      </c>
      <c r="D5" s="99">
        <f>Parameters!E96</f>
        <v>0.05</v>
      </c>
      <c r="E5" s="99">
        <f>Parameters!F96</f>
        <v>0.06</v>
      </c>
      <c r="F5" s="130"/>
    </row>
    <row r="6" spans="1:66">
      <c r="A6" s="150" t="s">
        <v>258</v>
      </c>
      <c r="B6" s="107" t="s">
        <v>211</v>
      </c>
      <c r="C6" s="106">
        <f>Parameters!D97</f>
        <v>13.862943611198904</v>
      </c>
      <c r="D6" s="106">
        <f>Parameters!E97</f>
        <v>13.862943611198904</v>
      </c>
      <c r="E6" s="106">
        <f>Parameters!F97</f>
        <v>11.552453009332423</v>
      </c>
      <c r="F6" s="130"/>
    </row>
    <row r="7" spans="1:66">
      <c r="A7" s="150" t="s">
        <v>255</v>
      </c>
      <c r="B7" s="107" t="s">
        <v>256</v>
      </c>
      <c r="C7" s="99">
        <f>Parameters!D98</f>
        <v>6</v>
      </c>
      <c r="D7" s="99">
        <f>Parameters!E98</f>
        <v>6</v>
      </c>
      <c r="E7" s="99">
        <f>Parameters!F98</f>
        <v>6</v>
      </c>
      <c r="F7" s="130"/>
    </row>
    <row r="8" spans="1:66">
      <c r="A8" s="151" t="s">
        <v>248</v>
      </c>
      <c r="B8" s="108" t="s">
        <v>249</v>
      </c>
      <c r="C8" s="158">
        <f>Parameters!D99</f>
        <v>0.95122942450071402</v>
      </c>
      <c r="D8" s="158">
        <f>Parameters!E99</f>
        <v>0.95122942450071402</v>
      </c>
      <c r="E8" s="158">
        <f>Parameters!F99</f>
        <v>0.94176453358424872</v>
      </c>
      <c r="F8" s="130"/>
    </row>
    <row r="9" spans="1:66">
      <c r="A9" s="151" t="s">
        <v>250</v>
      </c>
      <c r="B9" s="108" t="s">
        <v>251</v>
      </c>
      <c r="C9" s="99">
        <f>Parameters!D100</f>
        <v>13</v>
      </c>
      <c r="D9" s="99">
        <f>Parameters!E100</f>
        <v>13</v>
      </c>
      <c r="E9" s="99">
        <f>Parameters!F100</f>
        <v>13</v>
      </c>
      <c r="F9" s="130"/>
      <c r="H9" s="714"/>
    </row>
    <row r="10" spans="1:66">
      <c r="A10" s="151" t="s">
        <v>252</v>
      </c>
      <c r="B10" s="108" t="s">
        <v>253</v>
      </c>
      <c r="C10" s="99">
        <f>Parameters!D101</f>
        <v>1</v>
      </c>
      <c r="D10" s="99">
        <f>Parameters!E101</f>
        <v>1</v>
      </c>
      <c r="E10" s="99">
        <f>Parameters!F101</f>
        <v>1</v>
      </c>
      <c r="F10" s="130"/>
    </row>
    <row r="11" spans="1:66" ht="15.75" thickBot="1">
      <c r="A11" s="152" t="s">
        <v>259</v>
      </c>
      <c r="B11" s="153" t="s">
        <v>254</v>
      </c>
      <c r="C11" s="162">
        <f>Parameters!D102</f>
        <v>0.5</v>
      </c>
      <c r="D11" s="162">
        <f>Parameters!E102</f>
        <v>0.5</v>
      </c>
      <c r="E11" s="162">
        <f>Parameters!F102</f>
        <v>0.5</v>
      </c>
      <c r="F11" s="140"/>
    </row>
    <row r="12" spans="1:66" ht="15.75" thickBot="1">
      <c r="X12" t="s">
        <v>753</v>
      </c>
      <c r="AH12" t="s">
        <v>760</v>
      </c>
      <c r="BB12" s="338" t="s">
        <v>753</v>
      </c>
      <c r="BI12" t="s">
        <v>760</v>
      </c>
    </row>
    <row r="13" spans="1:66" ht="15.75" thickBot="1">
      <c r="A13" s="10"/>
      <c r="B13" s="10"/>
      <c r="C13" s="10"/>
      <c r="D13" s="10"/>
      <c r="E13" s="10"/>
      <c r="F13" s="10"/>
      <c r="G13" s="10"/>
      <c r="H13" s="10"/>
      <c r="I13" s="10"/>
      <c r="J13" s="10"/>
      <c r="K13" s="10"/>
      <c r="L13" s="10"/>
      <c r="M13" s="10"/>
      <c r="N13" s="233" t="s">
        <v>267</v>
      </c>
      <c r="O13" s="10"/>
      <c r="P13" s="10"/>
      <c r="Q13" s="10"/>
      <c r="R13" s="10"/>
      <c r="S13" s="10"/>
      <c r="T13" s="10"/>
      <c r="U13" s="10"/>
      <c r="V13" s="10"/>
      <c r="W13" s="10"/>
      <c r="X13" s="2" t="s">
        <v>359</v>
      </c>
      <c r="AG13" s="10"/>
      <c r="AH13" s="2" t="s">
        <v>359</v>
      </c>
      <c r="AR13" s="2" t="s">
        <v>361</v>
      </c>
      <c r="BB13" s="1713" t="s">
        <v>360</v>
      </c>
      <c r="BC13" s="1714"/>
      <c r="BD13" s="1714"/>
      <c r="BE13" s="1714"/>
      <c r="BF13" s="1714"/>
      <c r="BG13" s="1715"/>
      <c r="BI13" s="1713" t="s">
        <v>360</v>
      </c>
      <c r="BJ13" s="1714"/>
      <c r="BK13" s="1714"/>
      <c r="BL13" s="1714"/>
      <c r="BM13" s="1714"/>
      <c r="BN13" s="1715"/>
    </row>
    <row r="14" spans="1:66" ht="60">
      <c r="A14" s="1726" t="s">
        <v>217</v>
      </c>
      <c r="B14" s="1729" t="s">
        <v>218</v>
      </c>
      <c r="C14" s="1726" t="s">
        <v>219</v>
      </c>
      <c r="D14" s="1729" t="s">
        <v>220</v>
      </c>
      <c r="E14" s="1726" t="s">
        <v>221</v>
      </c>
      <c r="F14" s="1731" t="s">
        <v>85</v>
      </c>
      <c r="G14" s="1731" t="s">
        <v>87</v>
      </c>
      <c r="H14" s="1731" t="s">
        <v>222</v>
      </c>
      <c r="I14" s="1731" t="s">
        <v>115</v>
      </c>
      <c r="J14" s="1731" t="s">
        <v>223</v>
      </c>
      <c r="K14" s="1731" t="s">
        <v>224</v>
      </c>
      <c r="L14" s="1724" t="s">
        <v>225</v>
      </c>
      <c r="M14" s="317"/>
      <c r="N14" s="214" t="s">
        <v>235</v>
      </c>
      <c r="O14" s="215" t="s">
        <v>22</v>
      </c>
      <c r="P14" s="215" t="s">
        <v>236</v>
      </c>
      <c r="Q14" s="216" t="s">
        <v>237</v>
      </c>
      <c r="R14" s="216" t="s">
        <v>238</v>
      </c>
      <c r="S14" s="216" t="s">
        <v>239</v>
      </c>
      <c r="T14" s="216" t="s">
        <v>240</v>
      </c>
      <c r="U14" s="216" t="s">
        <v>241</v>
      </c>
      <c r="V14" s="222" t="s">
        <v>300</v>
      </c>
      <c r="W14" s="10"/>
      <c r="X14" s="214" t="s">
        <v>235</v>
      </c>
      <c r="Y14" s="215" t="s">
        <v>22</v>
      </c>
      <c r="Z14" s="215" t="s">
        <v>236</v>
      </c>
      <c r="AA14" s="216" t="s">
        <v>237</v>
      </c>
      <c r="AB14" s="216" t="s">
        <v>238</v>
      </c>
      <c r="AC14" s="216" t="s">
        <v>239</v>
      </c>
      <c r="AD14" s="216" t="s">
        <v>240</v>
      </c>
      <c r="AE14" s="216" t="s">
        <v>241</v>
      </c>
      <c r="AF14" s="222" t="s">
        <v>300</v>
      </c>
      <c r="AG14" s="10"/>
      <c r="AH14" s="214" t="s">
        <v>235</v>
      </c>
      <c r="AI14" s="215" t="s">
        <v>22</v>
      </c>
      <c r="AJ14" s="215" t="s">
        <v>236</v>
      </c>
      <c r="AK14" s="216" t="s">
        <v>237</v>
      </c>
      <c r="AL14" s="216" t="s">
        <v>238</v>
      </c>
      <c r="AM14" s="216" t="s">
        <v>239</v>
      </c>
      <c r="AN14" s="216" t="s">
        <v>240</v>
      </c>
      <c r="AO14" s="216" t="s">
        <v>241</v>
      </c>
      <c r="AP14" s="222" t="s">
        <v>300</v>
      </c>
      <c r="AR14" s="327" t="s">
        <v>235</v>
      </c>
      <c r="AS14" s="215" t="s">
        <v>22</v>
      </c>
      <c r="AT14" s="215" t="s">
        <v>236</v>
      </c>
      <c r="AU14" s="216" t="s">
        <v>237</v>
      </c>
      <c r="AV14" s="216" t="s">
        <v>238</v>
      </c>
      <c r="AW14" s="216" t="s">
        <v>239</v>
      </c>
      <c r="AX14" s="216" t="s">
        <v>240</v>
      </c>
      <c r="AY14" s="216" t="s">
        <v>241</v>
      </c>
      <c r="AZ14" s="222" t="s">
        <v>300</v>
      </c>
      <c r="BB14" s="1716" t="s">
        <v>267</v>
      </c>
      <c r="BC14" s="1718" t="s">
        <v>356</v>
      </c>
      <c r="BD14" s="1720" t="s">
        <v>361</v>
      </c>
      <c r="BE14" s="1718" t="s">
        <v>225</v>
      </c>
      <c r="BF14" s="1718" t="s">
        <v>362</v>
      </c>
      <c r="BG14" s="1722" t="s">
        <v>363</v>
      </c>
      <c r="BI14" s="1716" t="s">
        <v>267</v>
      </c>
      <c r="BJ14" s="1718" t="s">
        <v>356</v>
      </c>
      <c r="BK14" s="1720" t="s">
        <v>361</v>
      </c>
      <c r="BL14" s="1718" t="s">
        <v>225</v>
      </c>
      <c r="BM14" s="1718" t="s">
        <v>362</v>
      </c>
      <c r="BN14" s="1722" t="s">
        <v>363</v>
      </c>
    </row>
    <row r="15" spans="1:66" ht="24.75">
      <c r="A15" s="1727"/>
      <c r="B15" s="1730"/>
      <c r="C15" s="1727"/>
      <c r="D15" s="1730"/>
      <c r="E15" s="1727"/>
      <c r="F15" s="1732"/>
      <c r="G15" s="1732"/>
      <c r="H15" s="1732"/>
      <c r="I15" s="1732"/>
      <c r="J15" s="1732"/>
      <c r="K15" s="1732"/>
      <c r="L15" s="1725"/>
      <c r="M15" s="318"/>
      <c r="N15" s="223" t="s">
        <v>242</v>
      </c>
      <c r="O15" s="224" t="s">
        <v>22</v>
      </c>
      <c r="P15" s="224" t="s">
        <v>236</v>
      </c>
      <c r="Q15" s="225" t="s">
        <v>243</v>
      </c>
      <c r="R15" s="225" t="s">
        <v>244</v>
      </c>
      <c r="S15" s="225" t="s">
        <v>245</v>
      </c>
      <c r="T15" s="225" t="s">
        <v>301</v>
      </c>
      <c r="U15" s="225" t="s">
        <v>302</v>
      </c>
      <c r="V15" s="226" t="s">
        <v>246</v>
      </c>
      <c r="W15" s="10"/>
      <c r="X15" s="223" t="s">
        <v>242</v>
      </c>
      <c r="Y15" s="224" t="s">
        <v>22</v>
      </c>
      <c r="Z15" s="224" t="s">
        <v>236</v>
      </c>
      <c r="AA15" s="225" t="s">
        <v>243</v>
      </c>
      <c r="AB15" s="225" t="s">
        <v>244</v>
      </c>
      <c r="AC15" s="225" t="s">
        <v>245</v>
      </c>
      <c r="AD15" s="225" t="s">
        <v>301</v>
      </c>
      <c r="AE15" s="225" t="s">
        <v>302</v>
      </c>
      <c r="AF15" s="226" t="s">
        <v>246</v>
      </c>
      <c r="AG15" s="10"/>
      <c r="AH15" s="223" t="s">
        <v>242</v>
      </c>
      <c r="AI15" s="224" t="s">
        <v>22</v>
      </c>
      <c r="AJ15" s="224" t="s">
        <v>236</v>
      </c>
      <c r="AK15" s="225" t="s">
        <v>243</v>
      </c>
      <c r="AL15" s="225" t="s">
        <v>244</v>
      </c>
      <c r="AM15" s="225" t="s">
        <v>245</v>
      </c>
      <c r="AN15" s="225" t="s">
        <v>301</v>
      </c>
      <c r="AO15" s="225" t="s">
        <v>302</v>
      </c>
      <c r="AP15" s="226" t="s">
        <v>246</v>
      </c>
      <c r="AR15" s="328" t="s">
        <v>242</v>
      </c>
      <c r="AS15" s="224" t="s">
        <v>22</v>
      </c>
      <c r="AT15" s="224" t="s">
        <v>236</v>
      </c>
      <c r="AU15" s="225" t="s">
        <v>243</v>
      </c>
      <c r="AV15" s="225" t="s">
        <v>244</v>
      </c>
      <c r="AW15" s="225" t="s">
        <v>245</v>
      </c>
      <c r="AX15" s="225" t="s">
        <v>301</v>
      </c>
      <c r="AY15" s="225" t="s">
        <v>302</v>
      </c>
      <c r="AZ15" s="226" t="s">
        <v>246</v>
      </c>
      <c r="BB15" s="1717"/>
      <c r="BC15" s="1719"/>
      <c r="BD15" s="1721"/>
      <c r="BE15" s="1719"/>
      <c r="BF15" s="1719"/>
      <c r="BG15" s="1723"/>
      <c r="BI15" s="1717"/>
      <c r="BJ15" s="1719"/>
      <c r="BK15" s="1721"/>
      <c r="BL15" s="1719"/>
      <c r="BM15" s="1719"/>
      <c r="BN15" s="1723"/>
    </row>
    <row r="16" spans="1:66" ht="15.75" thickBot="1">
      <c r="A16" s="1728"/>
      <c r="B16" s="578" t="s">
        <v>226</v>
      </c>
      <c r="C16" s="217" t="s">
        <v>227</v>
      </c>
      <c r="D16" s="578" t="s">
        <v>229</v>
      </c>
      <c r="E16" s="217" t="s">
        <v>229</v>
      </c>
      <c r="F16" s="218" t="s">
        <v>229</v>
      </c>
      <c r="G16" s="218" t="s">
        <v>229</v>
      </c>
      <c r="H16" s="218" t="s">
        <v>229</v>
      </c>
      <c r="I16" s="218" t="s">
        <v>229</v>
      </c>
      <c r="J16" s="218" t="s">
        <v>229</v>
      </c>
      <c r="K16" s="218" t="s">
        <v>229</v>
      </c>
      <c r="L16" s="578" t="s">
        <v>230</v>
      </c>
      <c r="M16" s="319"/>
      <c r="N16" s="218" t="s">
        <v>228</v>
      </c>
      <c r="O16" s="219" t="s">
        <v>41</v>
      </c>
      <c r="P16" s="219" t="s">
        <v>41</v>
      </c>
      <c r="Q16" s="220" t="s">
        <v>228</v>
      </c>
      <c r="R16" s="220" t="s">
        <v>228</v>
      </c>
      <c r="S16" s="220" t="s">
        <v>228</v>
      </c>
      <c r="T16" s="220" t="s">
        <v>228</v>
      </c>
      <c r="U16" s="220" t="s">
        <v>228</v>
      </c>
      <c r="V16" s="221" t="s">
        <v>228</v>
      </c>
      <c r="W16" s="10"/>
      <c r="X16" s="218" t="s">
        <v>228</v>
      </c>
      <c r="Y16" s="219" t="s">
        <v>41</v>
      </c>
      <c r="Z16" s="219" t="s">
        <v>41</v>
      </c>
      <c r="AA16" s="220" t="s">
        <v>228</v>
      </c>
      <c r="AB16" s="220" t="s">
        <v>228</v>
      </c>
      <c r="AC16" s="220" t="s">
        <v>228</v>
      </c>
      <c r="AD16" s="220" t="s">
        <v>228</v>
      </c>
      <c r="AE16" s="220" t="s">
        <v>228</v>
      </c>
      <c r="AF16" s="221" t="s">
        <v>228</v>
      </c>
      <c r="AG16" s="10"/>
      <c r="AH16" s="218" t="s">
        <v>228</v>
      </c>
      <c r="AI16" s="219" t="s">
        <v>41</v>
      </c>
      <c r="AJ16" s="219" t="s">
        <v>41</v>
      </c>
      <c r="AK16" s="220" t="s">
        <v>228</v>
      </c>
      <c r="AL16" s="220" t="s">
        <v>228</v>
      </c>
      <c r="AM16" s="220" t="s">
        <v>228</v>
      </c>
      <c r="AN16" s="220" t="s">
        <v>228</v>
      </c>
      <c r="AO16" s="220" t="s">
        <v>228</v>
      </c>
      <c r="AP16" s="221" t="s">
        <v>228</v>
      </c>
      <c r="AR16" s="217" t="s">
        <v>228</v>
      </c>
      <c r="AS16" s="219" t="s">
        <v>41</v>
      </c>
      <c r="AT16" s="219" t="s">
        <v>41</v>
      </c>
      <c r="AU16" s="220" t="s">
        <v>228</v>
      </c>
      <c r="AV16" s="220" t="s">
        <v>228</v>
      </c>
      <c r="AW16" s="220" t="s">
        <v>228</v>
      </c>
      <c r="AX16" s="220" t="s">
        <v>228</v>
      </c>
      <c r="AY16" s="220" t="s">
        <v>228</v>
      </c>
      <c r="AZ16" s="221" t="s">
        <v>228</v>
      </c>
      <c r="BB16" s="321" t="s">
        <v>228</v>
      </c>
      <c r="BC16" s="320" t="s">
        <v>228</v>
      </c>
      <c r="BD16" s="1322" t="s">
        <v>228</v>
      </c>
      <c r="BE16" s="320" t="s">
        <v>228</v>
      </c>
      <c r="BF16" s="320" t="s">
        <v>228</v>
      </c>
      <c r="BG16" s="322" t="s">
        <v>228</v>
      </c>
      <c r="BI16" s="321" t="s">
        <v>228</v>
      </c>
      <c r="BJ16" s="320" t="s">
        <v>228</v>
      </c>
      <c r="BK16" s="1322" t="s">
        <v>228</v>
      </c>
      <c r="BL16" s="320" t="s">
        <v>228</v>
      </c>
      <c r="BM16" s="320" t="s">
        <v>228</v>
      </c>
      <c r="BN16" s="322" t="s">
        <v>228</v>
      </c>
    </row>
    <row r="17" spans="1:66" ht="15.75" thickBot="1">
      <c r="A17" s="227"/>
      <c r="B17" s="1077"/>
      <c r="C17" s="1078"/>
      <c r="D17" s="1077"/>
      <c r="E17" s="1078"/>
      <c r="F17" s="1079"/>
      <c r="G17" s="1079"/>
      <c r="H17" s="1079"/>
      <c r="I17" s="1079"/>
      <c r="J17" s="1079"/>
      <c r="K17" s="1079"/>
      <c r="L17" s="1077"/>
      <c r="M17" s="229"/>
      <c r="N17" s="1079"/>
      <c r="O17" s="1132"/>
      <c r="P17" s="1132"/>
      <c r="Q17" s="1133"/>
      <c r="R17" s="1133"/>
      <c r="S17" s="1133"/>
      <c r="T17" s="1133"/>
      <c r="U17" s="1133"/>
      <c r="V17" s="1134"/>
      <c r="W17" s="10"/>
      <c r="X17" s="228"/>
      <c r="Y17" s="230"/>
      <c r="Z17" s="230"/>
      <c r="AA17" s="231"/>
      <c r="AB17" s="231"/>
      <c r="AC17" s="231"/>
      <c r="AD17" s="231"/>
      <c r="AE17" s="231"/>
      <c r="AF17" s="179"/>
      <c r="AG17" s="10"/>
      <c r="AH17" s="228"/>
      <c r="AI17" s="230"/>
      <c r="AJ17" s="230"/>
      <c r="AK17" s="231"/>
      <c r="AL17" s="231"/>
      <c r="AM17" s="231"/>
      <c r="AN17" s="231"/>
      <c r="AO17" s="231"/>
      <c r="AP17" s="179"/>
      <c r="AR17" s="1078"/>
      <c r="AS17" s="1132"/>
      <c r="AT17" s="1132"/>
      <c r="AU17" s="1133"/>
      <c r="AV17" s="1133"/>
      <c r="AW17" s="1133"/>
      <c r="AX17" s="1133"/>
      <c r="AY17" s="1133"/>
      <c r="AZ17" s="1150"/>
      <c r="BB17" s="323"/>
      <c r="BC17" s="324"/>
      <c r="BD17" s="1323"/>
      <c r="BE17" s="324"/>
      <c r="BF17" s="104"/>
      <c r="BG17" s="130"/>
      <c r="BI17" s="323"/>
      <c r="BJ17" s="324"/>
      <c r="BK17" s="1323"/>
      <c r="BL17" s="324"/>
      <c r="BM17" s="104"/>
      <c r="BN17" s="130"/>
    </row>
    <row r="18" spans="1:66">
      <c r="A18" s="1086">
        <f>'Input data'!A48</f>
        <v>1950</v>
      </c>
      <c r="B18" s="1087">
        <f>'Input data'!B48</f>
        <v>5.3541578999999997</v>
      </c>
      <c r="C18" s="1124">
        <f>'Baseline data (from input)'!B6</f>
        <v>578.73</v>
      </c>
      <c r="D18" s="1088">
        <f>'Baseline data (from input)'!L6</f>
        <v>0.8</v>
      </c>
      <c r="E18" s="1089">
        <f>'Input data'!C29</f>
        <v>0.24001298204245269</v>
      </c>
      <c r="F18" s="1089">
        <f>'Input data'!D29</f>
        <v>0.30440139352934503</v>
      </c>
      <c r="G18" s="1089">
        <f>'Input data'!E29</f>
        <v>5.8998240613430578E-2</v>
      </c>
      <c r="H18" s="1089">
        <f>'Input data'!F29</f>
        <v>0</v>
      </c>
      <c r="I18" s="1089">
        <f>'Input data'!G29</f>
        <v>0</v>
      </c>
      <c r="J18" s="1089">
        <f>'Input data'!H29</f>
        <v>0</v>
      </c>
      <c r="K18" s="1089">
        <f>SUM('Input data'!I29:M29)</f>
        <v>0.39658738381477154</v>
      </c>
      <c r="L18" s="1090">
        <f>SUM(E18:K18)</f>
        <v>0.99999999999999989</v>
      </c>
      <c r="M18" s="102"/>
      <c r="N18" s="1138">
        <f>B18*C18*D18</f>
        <v>2478.8894411736001</v>
      </c>
      <c r="O18" s="1139">
        <f>Parameters!R121</f>
        <v>0.73</v>
      </c>
      <c r="P18" s="1139">
        <f>E18*'MSW characteristics'!$B$28+'MSW characteristics'!$B$29*'4A SWD Case 2'!F18+'4A SWD Case 2'!G18*'MSW characteristics'!$B$30+'MSW characteristics'!$B$31*'4A SWD Case 2'!H18+'4A SWD Case 2'!I18*'MSW characteristics'!$B$32+'MSW characteristics'!$B$33*'4A SWD Case 2'!J18+'4A SWD Case 2'!K18*'MSW characteristics'!$B$35</f>
        <v>0.12048152225760915</v>
      </c>
      <c r="Q18" s="1140">
        <f>N18*P18*O18*$C$4</f>
        <v>109.01103628403193</v>
      </c>
      <c r="R18" s="1140">
        <f>Q18*$C$10</f>
        <v>109.01103628403193</v>
      </c>
      <c r="S18" s="1141">
        <f>Q18*(1-$C$10)</f>
        <v>0</v>
      </c>
      <c r="T18" s="1140">
        <f>R18+(T17*$C$8)</f>
        <v>109.01103628403193</v>
      </c>
      <c r="U18" s="1140">
        <f>S18+T17*(1-$C$8)</f>
        <v>0</v>
      </c>
      <c r="V18" s="1142">
        <f>U18*16/12*$C$11</f>
        <v>0</v>
      </c>
      <c r="W18" s="10"/>
      <c r="X18" s="1138">
        <f>'Baseline data (from input)'!T6*'Baseline data (from input)'!U6</f>
        <v>0</v>
      </c>
      <c r="Y18" s="1139">
        <f>Parameters!S121</f>
        <v>0.71500000000000008</v>
      </c>
      <c r="Z18" s="1139">
        <f>$D$3</f>
        <v>0.15</v>
      </c>
      <c r="AA18" s="1140">
        <f>X18*Z18*Y18*$D$4</f>
        <v>0</v>
      </c>
      <c r="AB18" s="1140">
        <f>AA18*$D$10</f>
        <v>0</v>
      </c>
      <c r="AC18" s="1141">
        <f>AA18*(1-$D$10)</f>
        <v>0</v>
      </c>
      <c r="AD18" s="1140">
        <f>AB18+(AD17*$D$8)</f>
        <v>0</v>
      </c>
      <c r="AE18" s="1140">
        <f>AC18+AD17*(1-$D$8)</f>
        <v>0</v>
      </c>
      <c r="AF18" s="1142">
        <f>AE18*16/12*$D$11</f>
        <v>0</v>
      </c>
      <c r="AG18" s="10"/>
      <c r="AH18" s="1138">
        <f>'Baseline data (from input)'!T6*'Baseline data (from input)'!U6</f>
        <v>0</v>
      </c>
      <c r="AI18" s="1139">
        <f>Parameters!S121</f>
        <v>0.71500000000000008</v>
      </c>
      <c r="AJ18" s="1139">
        <f>$D$3</f>
        <v>0.15</v>
      </c>
      <c r="AK18" s="1140">
        <f>AH18*AJ18*AI18*$D$4</f>
        <v>0</v>
      </c>
      <c r="AL18" s="1140">
        <f>AK18*$D$10</f>
        <v>0</v>
      </c>
      <c r="AM18" s="1141">
        <f>AK18*(1-$D$10)</f>
        <v>0</v>
      </c>
      <c r="AN18" s="1140">
        <f>AL18+(AN17*$D$8)</f>
        <v>0</v>
      </c>
      <c r="AO18" s="1140">
        <f>AM18+AN17*(1-$D$8)</f>
        <v>0</v>
      </c>
      <c r="AP18" s="1142">
        <f>AO18*16/12*$D$11</f>
        <v>0</v>
      </c>
      <c r="AR18" s="1138">
        <v>0</v>
      </c>
      <c r="AS18" s="1139">
        <v>1</v>
      </c>
      <c r="AT18" s="1139">
        <f>$E$3</f>
        <v>0.05</v>
      </c>
      <c r="AU18" s="1140">
        <f>AR18*AT18*AS18*$E$4</f>
        <v>0</v>
      </c>
      <c r="AV18" s="1140">
        <f>AU18*$E$10</f>
        <v>0</v>
      </c>
      <c r="AW18" s="1141">
        <f>AU18*(1-$E$10)</f>
        <v>0</v>
      </c>
      <c r="AX18" s="1140">
        <f>AV18+(AX17*$E$8)</f>
        <v>0</v>
      </c>
      <c r="AY18" s="1140">
        <f>AW18+AX17*(1-$E$8)</f>
        <v>0</v>
      </c>
      <c r="AZ18" s="1142">
        <f>AY18*16/12*$E$11</f>
        <v>0</v>
      </c>
      <c r="BB18" s="323">
        <f>V18</f>
        <v>0</v>
      </c>
      <c r="BC18" s="324">
        <f>AF18</f>
        <v>0</v>
      </c>
      <c r="BD18" s="1323">
        <f>AZ18</f>
        <v>0</v>
      </c>
      <c r="BE18" s="324">
        <f>SUM(BB18:BD18)</f>
        <v>0</v>
      </c>
      <c r="BF18" s="104">
        <v>0</v>
      </c>
      <c r="BG18" s="325">
        <f>BE18-BF18</f>
        <v>0</v>
      </c>
      <c r="BI18" s="323">
        <f>V18</f>
        <v>0</v>
      </c>
      <c r="BJ18" s="324">
        <f>AP18</f>
        <v>0</v>
      </c>
      <c r="BK18" s="1323">
        <f>AZ18</f>
        <v>0</v>
      </c>
      <c r="BL18" s="324">
        <f>SUM(BI18:BK18)</f>
        <v>0</v>
      </c>
      <c r="BM18" s="104">
        <v>0</v>
      </c>
      <c r="BN18" s="325">
        <f>BL18-BM18</f>
        <v>0</v>
      </c>
    </row>
    <row r="19" spans="1:66">
      <c r="A19" s="1091">
        <f>'Input data'!A49</f>
        <v>1951</v>
      </c>
      <c r="B19" s="1080">
        <f>'Input data'!B49</f>
        <v>5.53942844</v>
      </c>
      <c r="C19" s="1125">
        <f>'Baseline data (from input)'!B7</f>
        <v>578.73</v>
      </c>
      <c r="D19" s="1081">
        <f>'Baseline data (from input)'!L7</f>
        <v>0.8</v>
      </c>
      <c r="E19" s="992">
        <f>E18</f>
        <v>0.24001298204245269</v>
      </c>
      <c r="F19" s="992">
        <f t="shared" ref="F19:K34" si="0">F18</f>
        <v>0.30440139352934503</v>
      </c>
      <c r="G19" s="992">
        <f t="shared" si="0"/>
        <v>5.8998240613430578E-2</v>
      </c>
      <c r="H19" s="992">
        <f t="shared" si="0"/>
        <v>0</v>
      </c>
      <c r="I19" s="992">
        <f t="shared" si="0"/>
        <v>0</v>
      </c>
      <c r="J19" s="992">
        <f t="shared" si="0"/>
        <v>0</v>
      </c>
      <c r="K19" s="992">
        <f t="shared" si="0"/>
        <v>0.39658738381477154</v>
      </c>
      <c r="L19" s="1092">
        <f>SUM(E19:K19)</f>
        <v>0.99999999999999989</v>
      </c>
      <c r="M19" s="102"/>
      <c r="N19" s="1143">
        <f t="shared" ref="N19:N82" si="1">B19*C19*D19</f>
        <v>2564.6667368649601</v>
      </c>
      <c r="O19" s="1136">
        <f>Parameters!R122</f>
        <v>0.73</v>
      </c>
      <c r="P19" s="1136">
        <f>E19*'MSW characteristics'!$B$28+'MSW characteristics'!$B$29*'4A SWD Case 2'!F19+'4A SWD Case 2'!G19*'MSW characteristics'!$B$30+'MSW characteristics'!$B$31*'4A SWD Case 2'!H19+'4A SWD Case 2'!I19*'MSW characteristics'!$B$32+'MSW characteristics'!$B$33*'4A SWD Case 2'!J19+'4A SWD Case 2'!K19*'MSW characteristics'!$B$35</f>
        <v>0.12048152225760915</v>
      </c>
      <c r="Q19" s="1135">
        <f t="shared" ref="Q19:Q82" si="2">N19*P19*O19*$C$4</f>
        <v>112.78315767744512</v>
      </c>
      <c r="R19" s="1135">
        <f t="shared" ref="R19:R82" si="3">Q19*$C$10</f>
        <v>112.78315767744512</v>
      </c>
      <c r="S19" s="306">
        <f t="shared" ref="S19:S82" si="4">Q19*(1-$C$10)</f>
        <v>0</v>
      </c>
      <c r="T19" s="1135">
        <f t="shared" ref="T19:T82" si="5">R19+(T18*$C$8)</f>
        <v>216.47766298613126</v>
      </c>
      <c r="U19" s="1135">
        <f t="shared" ref="U19:U82" si="6">S19+T18*(1-$C$8)</f>
        <v>5.316530975345783</v>
      </c>
      <c r="V19" s="1144">
        <f t="shared" ref="V19:V82" si="7">U19*16/12*$C$11</f>
        <v>3.5443539835638553</v>
      </c>
      <c r="W19" s="10"/>
      <c r="X19" s="1143">
        <f>'Baseline data (from input)'!T7*'Baseline data (from input)'!U7</f>
        <v>0</v>
      </c>
      <c r="Y19" s="1136">
        <f>Parameters!S122</f>
        <v>0.71500000000000008</v>
      </c>
      <c r="Z19" s="1136">
        <f t="shared" ref="Z19:Z82" si="8">$D$3</f>
        <v>0.15</v>
      </c>
      <c r="AA19" s="1135">
        <f t="shared" ref="AA19:AA82" si="9">X19*Z19*Y19*$D$4</f>
        <v>0</v>
      </c>
      <c r="AB19" s="1135">
        <f t="shared" ref="AB19:AB82" si="10">AA19*$D$10</f>
        <v>0</v>
      </c>
      <c r="AC19" s="306">
        <f t="shared" ref="AC19:AC82" si="11">AA19*(1-$D$10)</f>
        <v>0</v>
      </c>
      <c r="AD19" s="1135">
        <f t="shared" ref="AD19:AD82" si="12">AB19+(AD18*$D$8)</f>
        <v>0</v>
      </c>
      <c r="AE19" s="1135">
        <f t="shared" ref="AE19:AE82" si="13">AC19+AD18*(1-$D$8)</f>
        <v>0</v>
      </c>
      <c r="AF19" s="1144">
        <f t="shared" ref="AF19:AF82" si="14">AE19*16/12*$D$11</f>
        <v>0</v>
      </c>
      <c r="AG19" s="10"/>
      <c r="AH19" s="1143">
        <f>'Baseline data (from input)'!T7*'Baseline data (from input)'!U7</f>
        <v>0</v>
      </c>
      <c r="AI19" s="1136">
        <f>Parameters!S122</f>
        <v>0.71500000000000008</v>
      </c>
      <c r="AJ19" s="1136">
        <f t="shared" ref="AJ19:AJ82" si="15">$D$3</f>
        <v>0.15</v>
      </c>
      <c r="AK19" s="1135">
        <f t="shared" ref="AK19:AK82" si="16">AH19*AJ19*AI19*$D$4</f>
        <v>0</v>
      </c>
      <c r="AL19" s="1135">
        <f t="shared" ref="AL19:AL82" si="17">AK19*$D$10</f>
        <v>0</v>
      </c>
      <c r="AM19" s="306">
        <f t="shared" ref="AM19:AM82" si="18">AK19*(1-$D$10)</f>
        <v>0</v>
      </c>
      <c r="AN19" s="1135">
        <f t="shared" ref="AN19:AN82" si="19">AL19+(AN18*$D$8)</f>
        <v>0</v>
      </c>
      <c r="AO19" s="1135">
        <f t="shared" ref="AO19:AO82" si="20">AM19+AN18*(1-$D$8)</f>
        <v>0</v>
      </c>
      <c r="AP19" s="1144">
        <f t="shared" ref="AP19:AP82" si="21">AO19*16/12*$D$11</f>
        <v>0</v>
      </c>
      <c r="AR19" s="1143">
        <v>0</v>
      </c>
      <c r="AS19" s="1136">
        <v>1</v>
      </c>
      <c r="AT19" s="1136">
        <f t="shared" ref="AT19:AT82" si="22">$E$3</f>
        <v>0.05</v>
      </c>
      <c r="AU19" s="1135">
        <f t="shared" ref="AU19:AU82" si="23">AR19*AT19*AS19*$E$4</f>
        <v>0</v>
      </c>
      <c r="AV19" s="1135">
        <f t="shared" ref="AV19:AV82" si="24">AU19*$E$10</f>
        <v>0</v>
      </c>
      <c r="AW19" s="306">
        <f t="shared" ref="AW19:AW82" si="25">AU19*(1-$C$10)</f>
        <v>0</v>
      </c>
      <c r="AX19" s="1135">
        <f t="shared" ref="AX19:AX47" si="26">AV19+(AX18*$C$8)</f>
        <v>0</v>
      </c>
      <c r="AY19" s="1135">
        <f t="shared" ref="AY19:AY67" si="27">AW19+AX18*(1-$C$8)</f>
        <v>0</v>
      </c>
      <c r="AZ19" s="1144">
        <f t="shared" ref="AZ19:AZ67" si="28">AY19*16/12*$C$11</f>
        <v>0</v>
      </c>
      <c r="BB19" s="323">
        <f t="shared" ref="BB19:BB82" si="29">V19</f>
        <v>3.5443539835638553</v>
      </c>
      <c r="BC19" s="324">
        <f t="shared" ref="BC19:BC82" si="30">AF19</f>
        <v>0</v>
      </c>
      <c r="BD19" s="1323">
        <f t="shared" ref="BD19:BD67" si="31">AZ19</f>
        <v>0</v>
      </c>
      <c r="BE19" s="324">
        <f t="shared" ref="BE19:BE81" si="32">SUM(BB19:BD19)</f>
        <v>3.5443539835638553</v>
      </c>
      <c r="BF19" s="104">
        <v>0</v>
      </c>
      <c r="BG19" s="325">
        <f t="shared" ref="BG19:BG82" si="33">BE19-BF19</f>
        <v>3.5443539835638553</v>
      </c>
      <c r="BI19" s="323">
        <f t="shared" ref="BI19:BI82" si="34">V19</f>
        <v>3.5443539835638553</v>
      </c>
      <c r="BJ19" s="324">
        <f t="shared" ref="BJ19:BJ82" si="35">AP19</f>
        <v>0</v>
      </c>
      <c r="BK19" s="1323">
        <f t="shared" ref="BK19:BK82" si="36">AZ19</f>
        <v>0</v>
      </c>
      <c r="BL19" s="324">
        <f t="shared" ref="BL19:BL81" si="37">SUM(BI19:BK19)</f>
        <v>3.5443539835638553</v>
      </c>
      <c r="BM19" s="104">
        <v>0</v>
      </c>
      <c r="BN19" s="325">
        <f t="shared" ref="BN19:BN82" si="38">BL19-BM19</f>
        <v>3.5443539835638553</v>
      </c>
    </row>
    <row r="20" spans="1:66">
      <c r="A20" s="1091">
        <f>'Input data'!A50</f>
        <v>1952</v>
      </c>
      <c r="B20" s="1080">
        <f>'Input data'!B50</f>
        <v>5.7129272200000001</v>
      </c>
      <c r="C20" s="1125">
        <f>'Baseline data (from input)'!B8</f>
        <v>578.73</v>
      </c>
      <c r="D20" s="1081">
        <f>'Baseline data (from input)'!L8</f>
        <v>0.8</v>
      </c>
      <c r="E20" s="992">
        <f t="shared" ref="E20:K35" si="39">E19</f>
        <v>0.24001298204245269</v>
      </c>
      <c r="F20" s="992">
        <f t="shared" si="0"/>
        <v>0.30440139352934503</v>
      </c>
      <c r="G20" s="992">
        <f t="shared" si="0"/>
        <v>5.8998240613430578E-2</v>
      </c>
      <c r="H20" s="992">
        <f t="shared" si="0"/>
        <v>0</v>
      </c>
      <c r="I20" s="992">
        <f t="shared" si="0"/>
        <v>0</v>
      </c>
      <c r="J20" s="992">
        <f t="shared" si="0"/>
        <v>0</v>
      </c>
      <c r="K20" s="992">
        <f t="shared" si="0"/>
        <v>0.39658738381477154</v>
      </c>
      <c r="L20" s="1092">
        <f t="shared" ref="L20:L83" si="40">SUM(E20:K20)</f>
        <v>0.99999999999999989</v>
      </c>
      <c r="M20" s="102"/>
      <c r="N20" s="1143">
        <f t="shared" si="1"/>
        <v>2644.9938960244804</v>
      </c>
      <c r="O20" s="1136">
        <f>Parameters!R123</f>
        <v>0.73</v>
      </c>
      <c r="P20" s="1136">
        <f>E20*'MSW characteristics'!$B$28+'MSW characteristics'!$B$29*'4A SWD Case 2'!F20+'4A SWD Case 2'!G20*'MSW characteristics'!$B$30+'MSW characteristics'!$B$31*'4A SWD Case 2'!H20+'4A SWD Case 2'!I20*'MSW characteristics'!$B$32+'MSW characteristics'!$B$33*'4A SWD Case 2'!J20+'4A SWD Case 2'!K20*'MSW characteristics'!$B$35</f>
        <v>0.12048152225760915</v>
      </c>
      <c r="Q20" s="1135">
        <f t="shared" si="2"/>
        <v>116.31560519861652</v>
      </c>
      <c r="R20" s="1135">
        <f t="shared" si="3"/>
        <v>116.31560519861652</v>
      </c>
      <c r="S20" s="306">
        <f t="shared" si="4"/>
        <v>0</v>
      </c>
      <c r="T20" s="1135">
        <f t="shared" si="5"/>
        <v>322.23552797817371</v>
      </c>
      <c r="U20" s="1135">
        <f t="shared" si="6"/>
        <v>10.557740206574103</v>
      </c>
      <c r="V20" s="1144">
        <f t="shared" si="7"/>
        <v>7.038493471049402</v>
      </c>
      <c r="W20" s="10"/>
      <c r="X20" s="1143">
        <f>'Baseline data (from input)'!T8*'Baseline data (from input)'!U8</f>
        <v>0</v>
      </c>
      <c r="Y20" s="1136">
        <f>Parameters!S123</f>
        <v>0.71500000000000008</v>
      </c>
      <c r="Z20" s="1136">
        <f t="shared" si="8"/>
        <v>0.15</v>
      </c>
      <c r="AA20" s="1135">
        <f t="shared" si="9"/>
        <v>0</v>
      </c>
      <c r="AB20" s="1135">
        <f t="shared" si="10"/>
        <v>0</v>
      </c>
      <c r="AC20" s="306">
        <f t="shared" si="11"/>
        <v>0</v>
      </c>
      <c r="AD20" s="1135">
        <f t="shared" si="12"/>
        <v>0</v>
      </c>
      <c r="AE20" s="1135">
        <f t="shared" si="13"/>
        <v>0</v>
      </c>
      <c r="AF20" s="1144">
        <f t="shared" si="14"/>
        <v>0</v>
      </c>
      <c r="AG20" s="10"/>
      <c r="AH20" s="1143">
        <f>'Baseline data (from input)'!T8*'Baseline data (from input)'!U8</f>
        <v>0</v>
      </c>
      <c r="AI20" s="1136">
        <f>Parameters!S123</f>
        <v>0.71500000000000008</v>
      </c>
      <c r="AJ20" s="1136">
        <f t="shared" si="15"/>
        <v>0.15</v>
      </c>
      <c r="AK20" s="1135">
        <f t="shared" si="16"/>
        <v>0</v>
      </c>
      <c r="AL20" s="1135">
        <f t="shared" si="17"/>
        <v>0</v>
      </c>
      <c r="AM20" s="306">
        <f t="shared" si="18"/>
        <v>0</v>
      </c>
      <c r="AN20" s="1135">
        <f t="shared" si="19"/>
        <v>0</v>
      </c>
      <c r="AO20" s="1135">
        <f t="shared" si="20"/>
        <v>0</v>
      </c>
      <c r="AP20" s="1144">
        <f t="shared" si="21"/>
        <v>0</v>
      </c>
      <c r="AR20" s="1143">
        <v>0</v>
      </c>
      <c r="AS20" s="1136">
        <v>1</v>
      </c>
      <c r="AT20" s="1136">
        <f t="shared" si="22"/>
        <v>0.05</v>
      </c>
      <c r="AU20" s="1135">
        <f t="shared" si="23"/>
        <v>0</v>
      </c>
      <c r="AV20" s="1135">
        <f t="shared" si="24"/>
        <v>0</v>
      </c>
      <c r="AW20" s="306">
        <f t="shared" si="25"/>
        <v>0</v>
      </c>
      <c r="AX20" s="1135">
        <f t="shared" si="26"/>
        <v>0</v>
      </c>
      <c r="AY20" s="1135">
        <f t="shared" si="27"/>
        <v>0</v>
      </c>
      <c r="AZ20" s="1144">
        <f t="shared" si="28"/>
        <v>0</v>
      </c>
      <c r="BB20" s="323">
        <f t="shared" si="29"/>
        <v>7.038493471049402</v>
      </c>
      <c r="BC20" s="324">
        <f t="shared" si="30"/>
        <v>0</v>
      </c>
      <c r="BD20" s="1323">
        <f t="shared" si="31"/>
        <v>0</v>
      </c>
      <c r="BE20" s="324">
        <f t="shared" si="32"/>
        <v>7.038493471049402</v>
      </c>
      <c r="BF20" s="104">
        <v>0</v>
      </c>
      <c r="BG20" s="325">
        <f t="shared" si="33"/>
        <v>7.038493471049402</v>
      </c>
      <c r="BI20" s="323">
        <f t="shared" si="34"/>
        <v>7.038493471049402</v>
      </c>
      <c r="BJ20" s="324">
        <f t="shared" si="35"/>
        <v>0</v>
      </c>
      <c r="BK20" s="1323">
        <f t="shared" si="36"/>
        <v>0</v>
      </c>
      <c r="BL20" s="324">
        <f t="shared" si="37"/>
        <v>7.038493471049402</v>
      </c>
      <c r="BM20" s="104">
        <v>0</v>
      </c>
      <c r="BN20" s="325">
        <f t="shared" si="38"/>
        <v>7.038493471049402</v>
      </c>
    </row>
    <row r="21" spans="1:66">
      <c r="A21" s="1091">
        <f>'Input data'!A51</f>
        <v>1953</v>
      </c>
      <c r="B21" s="1080">
        <f>'Input data'!B51</f>
        <v>5.9284297800000001</v>
      </c>
      <c r="C21" s="1125">
        <f>'Baseline data (from input)'!B9</f>
        <v>578.73</v>
      </c>
      <c r="D21" s="1081">
        <f>'Baseline data (from input)'!L9</f>
        <v>0.8</v>
      </c>
      <c r="E21" s="992">
        <f t="shared" si="39"/>
        <v>0.24001298204245269</v>
      </c>
      <c r="F21" s="992">
        <f t="shared" si="0"/>
        <v>0.30440139352934503</v>
      </c>
      <c r="G21" s="992">
        <f t="shared" si="0"/>
        <v>5.8998240613430578E-2</v>
      </c>
      <c r="H21" s="992">
        <f t="shared" si="0"/>
        <v>0</v>
      </c>
      <c r="I21" s="992">
        <f t="shared" si="0"/>
        <v>0</v>
      </c>
      <c r="J21" s="992">
        <f t="shared" si="0"/>
        <v>0</v>
      </c>
      <c r="K21" s="992">
        <f t="shared" si="0"/>
        <v>0.39658738381477154</v>
      </c>
      <c r="L21" s="1092">
        <f t="shared" si="40"/>
        <v>0.99999999999999989</v>
      </c>
      <c r="M21" s="102"/>
      <c r="N21" s="1143">
        <f t="shared" si="1"/>
        <v>2744.7681332635202</v>
      </c>
      <c r="O21" s="1136">
        <f>Parameters!R124</f>
        <v>0.73</v>
      </c>
      <c r="P21" s="1136">
        <f>E21*'MSW characteristics'!$B$28+'MSW characteristics'!$B$29*'4A SWD Case 2'!F21+'4A SWD Case 2'!G21*'MSW characteristics'!$B$30+'MSW characteristics'!$B$31*'4A SWD Case 2'!H21+'4A SWD Case 2'!I21*'MSW characteristics'!$B$32+'MSW characteristics'!$B$33*'4A SWD Case 2'!J21+'4A SWD Case 2'!K21*'MSW characteristics'!$B$35</f>
        <v>0.12048152225760915</v>
      </c>
      <c r="Q21" s="1135">
        <f t="shared" si="2"/>
        <v>120.70325267301428</v>
      </c>
      <c r="R21" s="1135">
        <f t="shared" si="3"/>
        <v>120.70325267301428</v>
      </c>
      <c r="S21" s="306">
        <f t="shared" si="4"/>
        <v>0</v>
      </c>
      <c r="T21" s="1135">
        <f t="shared" si="5"/>
        <v>427.22316850537618</v>
      </c>
      <c r="U21" s="1135">
        <f t="shared" si="6"/>
        <v>15.715612145811802</v>
      </c>
      <c r="V21" s="1144">
        <f t="shared" si="7"/>
        <v>10.477074763874535</v>
      </c>
      <c r="W21" s="10"/>
      <c r="X21" s="1143">
        <f>'Baseline data (from input)'!T9*'Baseline data (from input)'!U9</f>
        <v>0</v>
      </c>
      <c r="Y21" s="1136">
        <f>Parameters!S124</f>
        <v>0.71500000000000008</v>
      </c>
      <c r="Z21" s="1136">
        <f t="shared" si="8"/>
        <v>0.15</v>
      </c>
      <c r="AA21" s="1135">
        <f t="shared" si="9"/>
        <v>0</v>
      </c>
      <c r="AB21" s="1135">
        <f t="shared" si="10"/>
        <v>0</v>
      </c>
      <c r="AC21" s="306">
        <f t="shared" si="11"/>
        <v>0</v>
      </c>
      <c r="AD21" s="1135">
        <f t="shared" si="12"/>
        <v>0</v>
      </c>
      <c r="AE21" s="1135">
        <f t="shared" si="13"/>
        <v>0</v>
      </c>
      <c r="AF21" s="1144">
        <f t="shared" si="14"/>
        <v>0</v>
      </c>
      <c r="AG21" s="10"/>
      <c r="AH21" s="1143">
        <f>'Baseline data (from input)'!T9*'Baseline data (from input)'!U9</f>
        <v>0</v>
      </c>
      <c r="AI21" s="1136">
        <f>Parameters!S124</f>
        <v>0.71500000000000008</v>
      </c>
      <c r="AJ21" s="1136">
        <f t="shared" si="15"/>
        <v>0.15</v>
      </c>
      <c r="AK21" s="1135">
        <f t="shared" si="16"/>
        <v>0</v>
      </c>
      <c r="AL21" s="1135">
        <f t="shared" si="17"/>
        <v>0</v>
      </c>
      <c r="AM21" s="306">
        <f t="shared" si="18"/>
        <v>0</v>
      </c>
      <c r="AN21" s="1135">
        <f t="shared" si="19"/>
        <v>0</v>
      </c>
      <c r="AO21" s="1135">
        <f t="shared" si="20"/>
        <v>0</v>
      </c>
      <c r="AP21" s="1144">
        <f t="shared" si="21"/>
        <v>0</v>
      </c>
      <c r="AR21" s="1143">
        <v>0</v>
      </c>
      <c r="AS21" s="1136">
        <v>1</v>
      </c>
      <c r="AT21" s="1136">
        <f t="shared" si="22"/>
        <v>0.05</v>
      </c>
      <c r="AU21" s="1135">
        <f t="shared" si="23"/>
        <v>0</v>
      </c>
      <c r="AV21" s="1135">
        <f t="shared" si="24"/>
        <v>0</v>
      </c>
      <c r="AW21" s="306">
        <f t="shared" si="25"/>
        <v>0</v>
      </c>
      <c r="AX21" s="1135">
        <f t="shared" si="26"/>
        <v>0</v>
      </c>
      <c r="AY21" s="1135">
        <f t="shared" si="27"/>
        <v>0</v>
      </c>
      <c r="AZ21" s="1144">
        <f t="shared" si="28"/>
        <v>0</v>
      </c>
      <c r="BB21" s="323">
        <f t="shared" si="29"/>
        <v>10.477074763874535</v>
      </c>
      <c r="BC21" s="324">
        <f t="shared" si="30"/>
        <v>0</v>
      </c>
      <c r="BD21" s="1323">
        <f t="shared" si="31"/>
        <v>0</v>
      </c>
      <c r="BE21" s="324">
        <f t="shared" si="32"/>
        <v>10.477074763874535</v>
      </c>
      <c r="BF21" s="104">
        <v>0</v>
      </c>
      <c r="BG21" s="325">
        <f t="shared" si="33"/>
        <v>10.477074763874535</v>
      </c>
      <c r="BI21" s="323">
        <f t="shared" si="34"/>
        <v>10.477074763874535</v>
      </c>
      <c r="BJ21" s="324">
        <f t="shared" si="35"/>
        <v>0</v>
      </c>
      <c r="BK21" s="1323">
        <f t="shared" si="36"/>
        <v>0</v>
      </c>
      <c r="BL21" s="324">
        <f t="shared" si="37"/>
        <v>10.477074763874535</v>
      </c>
      <c r="BM21" s="104">
        <v>0</v>
      </c>
      <c r="BN21" s="325">
        <f t="shared" si="38"/>
        <v>10.477074763874535</v>
      </c>
    </row>
    <row r="22" spans="1:66">
      <c r="A22" s="1091">
        <f>'Input data'!A52</f>
        <v>1954</v>
      </c>
      <c r="B22" s="1080">
        <f>'Input data'!B52</f>
        <v>6.1065695599999996</v>
      </c>
      <c r="C22" s="1125">
        <f>'Baseline data (from input)'!B10</f>
        <v>578.73</v>
      </c>
      <c r="D22" s="1081">
        <f>'Baseline data (from input)'!L10</f>
        <v>0.8</v>
      </c>
      <c r="E22" s="992">
        <f t="shared" si="39"/>
        <v>0.24001298204245269</v>
      </c>
      <c r="F22" s="992">
        <f t="shared" si="0"/>
        <v>0.30440139352934503</v>
      </c>
      <c r="G22" s="992">
        <f t="shared" si="0"/>
        <v>5.8998240613430578E-2</v>
      </c>
      <c r="H22" s="992">
        <f t="shared" si="0"/>
        <v>0</v>
      </c>
      <c r="I22" s="992">
        <f t="shared" si="0"/>
        <v>0</v>
      </c>
      <c r="J22" s="992">
        <f t="shared" si="0"/>
        <v>0</v>
      </c>
      <c r="K22" s="992">
        <f t="shared" si="0"/>
        <v>0.39658738381477154</v>
      </c>
      <c r="L22" s="1092">
        <f t="shared" si="40"/>
        <v>0.99999999999999989</v>
      </c>
      <c r="M22" s="102"/>
      <c r="N22" s="1143">
        <f t="shared" si="1"/>
        <v>2827.2440011670401</v>
      </c>
      <c r="O22" s="1136">
        <f>Parameters!R125</f>
        <v>0.73</v>
      </c>
      <c r="P22" s="1136">
        <f>E22*'MSW characteristics'!$B$28+'MSW characteristics'!$B$29*'4A SWD Case 2'!F22+'4A SWD Case 2'!G22*'MSW characteristics'!$B$30+'MSW characteristics'!$B$31*'4A SWD Case 2'!H22+'4A SWD Case 2'!I22*'MSW characteristics'!$B$32+'MSW characteristics'!$B$33*'4A SWD Case 2'!J22+'4A SWD Case 2'!K22*'MSW characteristics'!$B$35</f>
        <v>0.12048152225760915</v>
      </c>
      <c r="Q22" s="1135">
        <f t="shared" si="2"/>
        <v>124.33019128481902</v>
      </c>
      <c r="R22" s="1135">
        <f t="shared" si="3"/>
        <v>124.33019128481902</v>
      </c>
      <c r="S22" s="306">
        <f t="shared" si="4"/>
        <v>0</v>
      </c>
      <c r="T22" s="1135">
        <f t="shared" si="5"/>
        <v>530.71743999555952</v>
      </c>
      <c r="U22" s="1135">
        <f t="shared" si="6"/>
        <v>20.835919794635625</v>
      </c>
      <c r="V22" s="1144">
        <f t="shared" si="7"/>
        <v>13.89061319642375</v>
      </c>
      <c r="W22" s="10"/>
      <c r="X22" s="1143">
        <f>'Baseline data (from input)'!T10*'Baseline data (from input)'!U10</f>
        <v>0</v>
      </c>
      <c r="Y22" s="1136">
        <f>Parameters!S125</f>
        <v>0.71500000000000008</v>
      </c>
      <c r="Z22" s="1136">
        <f t="shared" si="8"/>
        <v>0.15</v>
      </c>
      <c r="AA22" s="1135">
        <f t="shared" si="9"/>
        <v>0</v>
      </c>
      <c r="AB22" s="1135">
        <f t="shared" si="10"/>
        <v>0</v>
      </c>
      <c r="AC22" s="306">
        <f t="shared" si="11"/>
        <v>0</v>
      </c>
      <c r="AD22" s="1135">
        <f t="shared" si="12"/>
        <v>0</v>
      </c>
      <c r="AE22" s="1135">
        <f t="shared" si="13"/>
        <v>0</v>
      </c>
      <c r="AF22" s="1144">
        <f t="shared" si="14"/>
        <v>0</v>
      </c>
      <c r="AG22" s="10"/>
      <c r="AH22" s="1143">
        <f>'Baseline data (from input)'!T10*'Baseline data (from input)'!U10</f>
        <v>0</v>
      </c>
      <c r="AI22" s="1136">
        <f>Parameters!S125</f>
        <v>0.71500000000000008</v>
      </c>
      <c r="AJ22" s="1136">
        <f t="shared" si="15"/>
        <v>0.15</v>
      </c>
      <c r="AK22" s="1135">
        <f t="shared" si="16"/>
        <v>0</v>
      </c>
      <c r="AL22" s="1135">
        <f t="shared" si="17"/>
        <v>0</v>
      </c>
      <c r="AM22" s="306">
        <f t="shared" si="18"/>
        <v>0</v>
      </c>
      <c r="AN22" s="1135">
        <f t="shared" si="19"/>
        <v>0</v>
      </c>
      <c r="AO22" s="1135">
        <f t="shared" si="20"/>
        <v>0</v>
      </c>
      <c r="AP22" s="1144">
        <f t="shared" si="21"/>
        <v>0</v>
      </c>
      <c r="AR22" s="1143">
        <v>0</v>
      </c>
      <c r="AS22" s="1136">
        <v>1</v>
      </c>
      <c r="AT22" s="1136">
        <f t="shared" si="22"/>
        <v>0.05</v>
      </c>
      <c r="AU22" s="1135">
        <f t="shared" si="23"/>
        <v>0</v>
      </c>
      <c r="AV22" s="1135">
        <f t="shared" si="24"/>
        <v>0</v>
      </c>
      <c r="AW22" s="306">
        <f t="shared" si="25"/>
        <v>0</v>
      </c>
      <c r="AX22" s="1135">
        <f t="shared" si="26"/>
        <v>0</v>
      </c>
      <c r="AY22" s="1135">
        <f t="shared" si="27"/>
        <v>0</v>
      </c>
      <c r="AZ22" s="1144">
        <f t="shared" si="28"/>
        <v>0</v>
      </c>
      <c r="BB22" s="323">
        <f t="shared" si="29"/>
        <v>13.89061319642375</v>
      </c>
      <c r="BC22" s="324">
        <f t="shared" si="30"/>
        <v>0</v>
      </c>
      <c r="BD22" s="1323">
        <f t="shared" si="31"/>
        <v>0</v>
      </c>
      <c r="BE22" s="324">
        <f t="shared" si="32"/>
        <v>13.89061319642375</v>
      </c>
      <c r="BF22" s="104">
        <v>0</v>
      </c>
      <c r="BG22" s="325">
        <f t="shared" si="33"/>
        <v>13.89061319642375</v>
      </c>
      <c r="BI22" s="323">
        <f t="shared" si="34"/>
        <v>13.89061319642375</v>
      </c>
      <c r="BJ22" s="324">
        <f t="shared" si="35"/>
        <v>0</v>
      </c>
      <c r="BK22" s="1323">
        <f t="shared" si="36"/>
        <v>0</v>
      </c>
      <c r="BL22" s="324">
        <f t="shared" si="37"/>
        <v>13.89061319642375</v>
      </c>
      <c r="BM22" s="104">
        <v>0</v>
      </c>
      <c r="BN22" s="325">
        <f t="shared" si="38"/>
        <v>13.89061319642375</v>
      </c>
    </row>
    <row r="23" spans="1:66">
      <c r="A23" s="1091">
        <f>'Input data'!A53</f>
        <v>1955</v>
      </c>
      <c r="B23" s="1080">
        <f>'Input data'!B53</f>
        <v>6.2725644799999998</v>
      </c>
      <c r="C23" s="1125">
        <f>'Baseline data (from input)'!B11</f>
        <v>578.73</v>
      </c>
      <c r="D23" s="1081">
        <f>'Baseline data (from input)'!L11</f>
        <v>0.8</v>
      </c>
      <c r="E23" s="992">
        <f t="shared" si="39"/>
        <v>0.24001298204245269</v>
      </c>
      <c r="F23" s="992">
        <f t="shared" si="0"/>
        <v>0.30440139352934503</v>
      </c>
      <c r="G23" s="992">
        <f t="shared" si="0"/>
        <v>5.8998240613430578E-2</v>
      </c>
      <c r="H23" s="992">
        <f t="shared" si="0"/>
        <v>0</v>
      </c>
      <c r="I23" s="992">
        <f t="shared" si="0"/>
        <v>0</v>
      </c>
      <c r="J23" s="992">
        <f t="shared" si="0"/>
        <v>0</v>
      </c>
      <c r="K23" s="992">
        <f t="shared" si="0"/>
        <v>0.39658738381477154</v>
      </c>
      <c r="L23" s="1092">
        <f t="shared" si="40"/>
        <v>0.99999999999999989</v>
      </c>
      <c r="M23" s="102"/>
      <c r="N23" s="1143">
        <f t="shared" si="1"/>
        <v>2904.0969932083203</v>
      </c>
      <c r="O23" s="1136">
        <f>Parameters!R126</f>
        <v>0.73</v>
      </c>
      <c r="P23" s="1136">
        <f>E23*'MSW characteristics'!$B$28+'MSW characteristics'!$B$29*'4A SWD Case 2'!F23+'4A SWD Case 2'!G23*'MSW characteristics'!$B$30+'MSW characteristics'!$B$31*'4A SWD Case 2'!H23+'4A SWD Case 2'!I23*'MSW characteristics'!$B$32+'MSW characteristics'!$B$33*'4A SWD Case 2'!J23+'4A SWD Case 2'!K23*'MSW characteristics'!$B$35</f>
        <v>0.12048152225760915</v>
      </c>
      <c r="Q23" s="1135">
        <f t="shared" si="2"/>
        <v>127.70985968180169</v>
      </c>
      <c r="R23" s="1135">
        <f t="shared" si="3"/>
        <v>127.70985968180169</v>
      </c>
      <c r="S23" s="306">
        <f t="shared" si="4"/>
        <v>0</v>
      </c>
      <c r="T23" s="1135">
        <f t="shared" si="5"/>
        <v>632.54390470126998</v>
      </c>
      <c r="U23" s="1135">
        <f t="shared" si="6"/>
        <v>25.883394976091214</v>
      </c>
      <c r="V23" s="1144">
        <f t="shared" si="7"/>
        <v>17.255596650727476</v>
      </c>
      <c r="W23" s="10"/>
      <c r="X23" s="1143">
        <f>'Baseline data (from input)'!T11*'Baseline data (from input)'!U11</f>
        <v>0</v>
      </c>
      <c r="Y23" s="1136">
        <f>Parameters!S126</f>
        <v>0.71500000000000008</v>
      </c>
      <c r="Z23" s="1136">
        <f t="shared" si="8"/>
        <v>0.15</v>
      </c>
      <c r="AA23" s="1135">
        <f t="shared" si="9"/>
        <v>0</v>
      </c>
      <c r="AB23" s="1135">
        <f t="shared" si="10"/>
        <v>0</v>
      </c>
      <c r="AC23" s="306">
        <f t="shared" si="11"/>
        <v>0</v>
      </c>
      <c r="AD23" s="1135">
        <f t="shared" si="12"/>
        <v>0</v>
      </c>
      <c r="AE23" s="1135">
        <f t="shared" si="13"/>
        <v>0</v>
      </c>
      <c r="AF23" s="1144">
        <f t="shared" si="14"/>
        <v>0</v>
      </c>
      <c r="AG23" s="10"/>
      <c r="AH23" s="1143">
        <f>'Baseline data (from input)'!T11*'Baseline data (from input)'!U11</f>
        <v>0</v>
      </c>
      <c r="AI23" s="1136">
        <f>Parameters!S126</f>
        <v>0.71500000000000008</v>
      </c>
      <c r="AJ23" s="1136">
        <f t="shared" si="15"/>
        <v>0.15</v>
      </c>
      <c r="AK23" s="1135">
        <f t="shared" si="16"/>
        <v>0</v>
      </c>
      <c r="AL23" s="1135">
        <f t="shared" si="17"/>
        <v>0</v>
      </c>
      <c r="AM23" s="306">
        <f t="shared" si="18"/>
        <v>0</v>
      </c>
      <c r="AN23" s="1135">
        <f t="shared" si="19"/>
        <v>0</v>
      </c>
      <c r="AO23" s="1135">
        <f t="shared" si="20"/>
        <v>0</v>
      </c>
      <c r="AP23" s="1144">
        <f t="shared" si="21"/>
        <v>0</v>
      </c>
      <c r="AR23" s="1143">
        <v>0</v>
      </c>
      <c r="AS23" s="1136">
        <v>1</v>
      </c>
      <c r="AT23" s="1136">
        <f t="shared" si="22"/>
        <v>0.05</v>
      </c>
      <c r="AU23" s="1135">
        <f t="shared" si="23"/>
        <v>0</v>
      </c>
      <c r="AV23" s="1135">
        <f t="shared" si="24"/>
        <v>0</v>
      </c>
      <c r="AW23" s="306">
        <f t="shared" si="25"/>
        <v>0</v>
      </c>
      <c r="AX23" s="1135">
        <f t="shared" si="26"/>
        <v>0</v>
      </c>
      <c r="AY23" s="1135">
        <f t="shared" si="27"/>
        <v>0</v>
      </c>
      <c r="AZ23" s="1144">
        <f t="shared" si="28"/>
        <v>0</v>
      </c>
      <c r="BB23" s="323">
        <f t="shared" si="29"/>
        <v>17.255596650727476</v>
      </c>
      <c r="BC23" s="324">
        <f t="shared" si="30"/>
        <v>0</v>
      </c>
      <c r="BD23" s="1323">
        <f t="shared" si="31"/>
        <v>0</v>
      </c>
      <c r="BE23" s="324">
        <f t="shared" si="32"/>
        <v>17.255596650727476</v>
      </c>
      <c r="BF23" s="104">
        <v>0</v>
      </c>
      <c r="BG23" s="325">
        <f t="shared" si="33"/>
        <v>17.255596650727476</v>
      </c>
      <c r="BI23" s="323">
        <f t="shared" si="34"/>
        <v>17.255596650727476</v>
      </c>
      <c r="BJ23" s="324">
        <f t="shared" si="35"/>
        <v>0</v>
      </c>
      <c r="BK23" s="1323">
        <f t="shared" si="36"/>
        <v>0</v>
      </c>
      <c r="BL23" s="324">
        <f t="shared" si="37"/>
        <v>17.255596650727476</v>
      </c>
      <c r="BM23" s="104">
        <v>0</v>
      </c>
      <c r="BN23" s="325">
        <f t="shared" si="38"/>
        <v>17.255596650727476</v>
      </c>
    </row>
    <row r="24" spans="1:66">
      <c r="A24" s="1091">
        <f>'Input data'!A54</f>
        <v>1956</v>
      </c>
      <c r="B24" s="1080">
        <f>'Input data'!B54</f>
        <v>6.4651860000000001</v>
      </c>
      <c r="C24" s="1125">
        <f>'Baseline data (from input)'!B12</f>
        <v>578.73</v>
      </c>
      <c r="D24" s="1081">
        <f>'Baseline data (from input)'!L12</f>
        <v>0.8</v>
      </c>
      <c r="E24" s="992">
        <f t="shared" si="39"/>
        <v>0.24001298204245269</v>
      </c>
      <c r="F24" s="992">
        <f t="shared" si="0"/>
        <v>0.30440139352934503</v>
      </c>
      <c r="G24" s="992">
        <f t="shared" si="0"/>
        <v>5.8998240613430578E-2</v>
      </c>
      <c r="H24" s="992">
        <f t="shared" si="0"/>
        <v>0</v>
      </c>
      <c r="I24" s="992">
        <f t="shared" si="0"/>
        <v>0</v>
      </c>
      <c r="J24" s="992">
        <f t="shared" si="0"/>
        <v>0</v>
      </c>
      <c r="K24" s="992">
        <f t="shared" si="0"/>
        <v>0.39658738381477154</v>
      </c>
      <c r="L24" s="1092">
        <f t="shared" si="40"/>
        <v>0.99999999999999989</v>
      </c>
      <c r="M24" s="102"/>
      <c r="N24" s="1143">
        <f t="shared" si="1"/>
        <v>2993.2776750240005</v>
      </c>
      <c r="O24" s="1136">
        <f>Parameters!R127</f>
        <v>0.73</v>
      </c>
      <c r="P24" s="1136">
        <f>E24*'MSW characteristics'!$B$28+'MSW characteristics'!$B$29*'4A SWD Case 2'!F24+'4A SWD Case 2'!G24*'MSW characteristics'!$B$30+'MSW characteristics'!$B$31*'4A SWD Case 2'!H24+'4A SWD Case 2'!I24*'MSW characteristics'!$B$32+'MSW characteristics'!$B$33*'4A SWD Case 2'!J24+'4A SWD Case 2'!K24*'MSW characteristics'!$B$35</f>
        <v>0.12048152225760915</v>
      </c>
      <c r="Q24" s="1135">
        <f t="shared" si="2"/>
        <v>131.63164755171215</v>
      </c>
      <c r="R24" s="1135">
        <f t="shared" si="3"/>
        <v>131.63164755171215</v>
      </c>
      <c r="S24" s="306">
        <f t="shared" si="4"/>
        <v>0</v>
      </c>
      <c r="T24" s="1135">
        <f t="shared" si="5"/>
        <v>733.32602199213568</v>
      </c>
      <c r="U24" s="1135">
        <f t="shared" si="6"/>
        <v>30.849530260846446</v>
      </c>
      <c r="V24" s="1144">
        <f t="shared" si="7"/>
        <v>20.566353507230964</v>
      </c>
      <c r="W24" s="10"/>
      <c r="X24" s="1143">
        <f>'Baseline data (from input)'!T12*'Baseline data (from input)'!U12</f>
        <v>0</v>
      </c>
      <c r="Y24" s="1136">
        <f>Parameters!S127</f>
        <v>0.71500000000000008</v>
      </c>
      <c r="Z24" s="1136">
        <f t="shared" si="8"/>
        <v>0.15</v>
      </c>
      <c r="AA24" s="1135">
        <f t="shared" si="9"/>
        <v>0</v>
      </c>
      <c r="AB24" s="1135">
        <f t="shared" si="10"/>
        <v>0</v>
      </c>
      <c r="AC24" s="306">
        <f t="shared" si="11"/>
        <v>0</v>
      </c>
      <c r="AD24" s="1135">
        <f t="shared" si="12"/>
        <v>0</v>
      </c>
      <c r="AE24" s="1135">
        <f t="shared" si="13"/>
        <v>0</v>
      </c>
      <c r="AF24" s="1144">
        <f t="shared" si="14"/>
        <v>0</v>
      </c>
      <c r="AG24" s="10"/>
      <c r="AH24" s="1143">
        <f>'Baseline data (from input)'!T12*'Baseline data (from input)'!U12</f>
        <v>0</v>
      </c>
      <c r="AI24" s="1136">
        <f>Parameters!S127</f>
        <v>0.71500000000000008</v>
      </c>
      <c r="AJ24" s="1136">
        <f t="shared" si="15"/>
        <v>0.15</v>
      </c>
      <c r="AK24" s="1135">
        <f t="shared" si="16"/>
        <v>0</v>
      </c>
      <c r="AL24" s="1135">
        <f t="shared" si="17"/>
        <v>0</v>
      </c>
      <c r="AM24" s="306">
        <f t="shared" si="18"/>
        <v>0</v>
      </c>
      <c r="AN24" s="1135">
        <f t="shared" si="19"/>
        <v>0</v>
      </c>
      <c r="AO24" s="1135">
        <f t="shared" si="20"/>
        <v>0</v>
      </c>
      <c r="AP24" s="1144">
        <f t="shared" si="21"/>
        <v>0</v>
      </c>
      <c r="AR24" s="1143">
        <v>0</v>
      </c>
      <c r="AS24" s="1136">
        <v>1</v>
      </c>
      <c r="AT24" s="1136">
        <f t="shared" si="22"/>
        <v>0.05</v>
      </c>
      <c r="AU24" s="1135">
        <f t="shared" si="23"/>
        <v>0</v>
      </c>
      <c r="AV24" s="1135">
        <f t="shared" si="24"/>
        <v>0</v>
      </c>
      <c r="AW24" s="306">
        <f t="shared" si="25"/>
        <v>0</v>
      </c>
      <c r="AX24" s="1135">
        <f t="shared" si="26"/>
        <v>0</v>
      </c>
      <c r="AY24" s="1135">
        <f t="shared" si="27"/>
        <v>0</v>
      </c>
      <c r="AZ24" s="1144">
        <f t="shared" si="28"/>
        <v>0</v>
      </c>
      <c r="BB24" s="323">
        <f t="shared" si="29"/>
        <v>20.566353507230964</v>
      </c>
      <c r="BC24" s="324">
        <f t="shared" si="30"/>
        <v>0</v>
      </c>
      <c r="BD24" s="1323">
        <f t="shared" si="31"/>
        <v>0</v>
      </c>
      <c r="BE24" s="324">
        <f t="shared" si="32"/>
        <v>20.566353507230964</v>
      </c>
      <c r="BF24" s="104">
        <v>0</v>
      </c>
      <c r="BG24" s="325">
        <f t="shared" si="33"/>
        <v>20.566353507230964</v>
      </c>
      <c r="BI24" s="323">
        <f t="shared" si="34"/>
        <v>20.566353507230964</v>
      </c>
      <c r="BJ24" s="324">
        <f t="shared" si="35"/>
        <v>0</v>
      </c>
      <c r="BK24" s="1323">
        <f t="shared" si="36"/>
        <v>0</v>
      </c>
      <c r="BL24" s="324">
        <f t="shared" si="37"/>
        <v>20.566353507230964</v>
      </c>
      <c r="BM24" s="104">
        <v>0</v>
      </c>
      <c r="BN24" s="325">
        <f t="shared" si="38"/>
        <v>20.566353507230964</v>
      </c>
    </row>
    <row r="25" spans="1:66">
      <c r="A25" s="1091">
        <f>'Input data'!A55</f>
        <v>1957</v>
      </c>
      <c r="B25" s="1080">
        <f>'Input data'!B55</f>
        <v>6.6592707999999998</v>
      </c>
      <c r="C25" s="1125">
        <f>'Baseline data (from input)'!B13</f>
        <v>578.73</v>
      </c>
      <c r="D25" s="1081">
        <f>'Baseline data (from input)'!L13</f>
        <v>0.8</v>
      </c>
      <c r="E25" s="992">
        <f t="shared" si="39"/>
        <v>0.24001298204245269</v>
      </c>
      <c r="F25" s="992">
        <f t="shared" si="0"/>
        <v>0.30440139352934503</v>
      </c>
      <c r="G25" s="992">
        <f t="shared" si="0"/>
        <v>5.8998240613430578E-2</v>
      </c>
      <c r="H25" s="992">
        <f t="shared" si="0"/>
        <v>0</v>
      </c>
      <c r="I25" s="992">
        <f t="shared" si="0"/>
        <v>0</v>
      </c>
      <c r="J25" s="992">
        <f t="shared" si="0"/>
        <v>0</v>
      </c>
      <c r="K25" s="992">
        <f t="shared" si="0"/>
        <v>0.39658738381477154</v>
      </c>
      <c r="L25" s="1092">
        <f t="shared" si="40"/>
        <v>0.99999999999999989</v>
      </c>
      <c r="M25" s="102"/>
      <c r="N25" s="1143">
        <f t="shared" si="1"/>
        <v>3083.1358320672002</v>
      </c>
      <c r="O25" s="1136">
        <f>Parameters!R128</f>
        <v>0.73</v>
      </c>
      <c r="P25" s="1136">
        <f>E25*'MSW characteristics'!$B$28+'MSW characteristics'!$B$29*'4A SWD Case 2'!F25+'4A SWD Case 2'!G25*'MSW characteristics'!$B$30+'MSW characteristics'!$B$31*'4A SWD Case 2'!H25+'4A SWD Case 2'!I25*'MSW characteristics'!$B$32+'MSW characteristics'!$B$33*'4A SWD Case 2'!J25+'4A SWD Case 2'!K25*'MSW characteristics'!$B$35</f>
        <v>0.12048152225760915</v>
      </c>
      <c r="Q25" s="1135">
        <f t="shared" si="2"/>
        <v>135.58322790666938</v>
      </c>
      <c r="R25" s="1135">
        <f t="shared" si="3"/>
        <v>135.58322790666938</v>
      </c>
      <c r="S25" s="306">
        <f t="shared" si="4"/>
        <v>0</v>
      </c>
      <c r="T25" s="1135">
        <f t="shared" si="5"/>
        <v>833.14451777764657</v>
      </c>
      <c r="U25" s="1135">
        <f t="shared" si="6"/>
        <v>35.764732121158509</v>
      </c>
      <c r="V25" s="1144">
        <f t="shared" si="7"/>
        <v>23.843154747439005</v>
      </c>
      <c r="W25" s="10"/>
      <c r="X25" s="1143">
        <f>'Baseline data (from input)'!T13*'Baseline data (from input)'!U13</f>
        <v>0</v>
      </c>
      <c r="Y25" s="1136">
        <f>Parameters!S128</f>
        <v>0.71500000000000008</v>
      </c>
      <c r="Z25" s="1136">
        <f t="shared" si="8"/>
        <v>0.15</v>
      </c>
      <c r="AA25" s="1135">
        <f t="shared" si="9"/>
        <v>0</v>
      </c>
      <c r="AB25" s="1135">
        <f t="shared" si="10"/>
        <v>0</v>
      </c>
      <c r="AC25" s="306">
        <f t="shared" si="11"/>
        <v>0</v>
      </c>
      <c r="AD25" s="1135">
        <f t="shared" si="12"/>
        <v>0</v>
      </c>
      <c r="AE25" s="1135">
        <f t="shared" si="13"/>
        <v>0</v>
      </c>
      <c r="AF25" s="1144">
        <f t="shared" si="14"/>
        <v>0</v>
      </c>
      <c r="AG25" s="10"/>
      <c r="AH25" s="1143">
        <f>'Baseline data (from input)'!T13*'Baseline data (from input)'!U13</f>
        <v>0</v>
      </c>
      <c r="AI25" s="1136">
        <f>Parameters!S128</f>
        <v>0.71500000000000008</v>
      </c>
      <c r="AJ25" s="1136">
        <f t="shared" si="15"/>
        <v>0.15</v>
      </c>
      <c r="AK25" s="1135">
        <f t="shared" si="16"/>
        <v>0</v>
      </c>
      <c r="AL25" s="1135">
        <f t="shared" si="17"/>
        <v>0</v>
      </c>
      <c r="AM25" s="306">
        <f t="shared" si="18"/>
        <v>0</v>
      </c>
      <c r="AN25" s="1135">
        <f t="shared" si="19"/>
        <v>0</v>
      </c>
      <c r="AO25" s="1135">
        <f t="shared" si="20"/>
        <v>0</v>
      </c>
      <c r="AP25" s="1144">
        <f t="shared" si="21"/>
        <v>0</v>
      </c>
      <c r="AR25" s="1143">
        <v>0</v>
      </c>
      <c r="AS25" s="1136">
        <v>1</v>
      </c>
      <c r="AT25" s="1136">
        <f t="shared" si="22"/>
        <v>0.05</v>
      </c>
      <c r="AU25" s="1135">
        <f t="shared" si="23"/>
        <v>0</v>
      </c>
      <c r="AV25" s="1135">
        <f t="shared" si="24"/>
        <v>0</v>
      </c>
      <c r="AW25" s="306">
        <f t="shared" si="25"/>
        <v>0</v>
      </c>
      <c r="AX25" s="1151">
        <f t="shared" si="26"/>
        <v>0</v>
      </c>
      <c r="AY25" s="1151">
        <f t="shared" si="27"/>
        <v>0</v>
      </c>
      <c r="AZ25" s="1144">
        <f t="shared" si="28"/>
        <v>0</v>
      </c>
      <c r="BB25" s="323">
        <f t="shared" si="29"/>
        <v>23.843154747439005</v>
      </c>
      <c r="BC25" s="324">
        <f t="shared" si="30"/>
        <v>0</v>
      </c>
      <c r="BD25" s="1323">
        <f t="shared" si="31"/>
        <v>0</v>
      </c>
      <c r="BE25" s="324">
        <f t="shared" si="32"/>
        <v>23.843154747439005</v>
      </c>
      <c r="BF25" s="104">
        <v>0</v>
      </c>
      <c r="BG25" s="325">
        <f t="shared" si="33"/>
        <v>23.843154747439005</v>
      </c>
      <c r="BI25" s="323">
        <f t="shared" si="34"/>
        <v>23.843154747439005</v>
      </c>
      <c r="BJ25" s="324">
        <f t="shared" si="35"/>
        <v>0</v>
      </c>
      <c r="BK25" s="1323">
        <f t="shared" si="36"/>
        <v>0</v>
      </c>
      <c r="BL25" s="324">
        <f t="shared" si="37"/>
        <v>23.843154747439005</v>
      </c>
      <c r="BM25" s="104">
        <v>0</v>
      </c>
      <c r="BN25" s="325">
        <f t="shared" si="38"/>
        <v>23.843154747439005</v>
      </c>
    </row>
    <row r="26" spans="1:66">
      <c r="A26" s="1091">
        <f>'Input data'!A56</f>
        <v>1958</v>
      </c>
      <c r="B26" s="1080">
        <f>'Input data'!B56</f>
        <v>6.8699176</v>
      </c>
      <c r="C26" s="1125">
        <f>'Baseline data (from input)'!B14</f>
        <v>578.73</v>
      </c>
      <c r="D26" s="1081">
        <f>'Baseline data (from input)'!L14</f>
        <v>0.8</v>
      </c>
      <c r="E26" s="992">
        <f t="shared" si="39"/>
        <v>0.24001298204245269</v>
      </c>
      <c r="F26" s="992">
        <f t="shared" si="0"/>
        <v>0.30440139352934503</v>
      </c>
      <c r="G26" s="992">
        <f t="shared" si="0"/>
        <v>5.8998240613430578E-2</v>
      </c>
      <c r="H26" s="992">
        <f t="shared" si="0"/>
        <v>0</v>
      </c>
      <c r="I26" s="992">
        <f t="shared" si="0"/>
        <v>0</v>
      </c>
      <c r="J26" s="992">
        <f t="shared" si="0"/>
        <v>0</v>
      </c>
      <c r="K26" s="992">
        <f t="shared" si="0"/>
        <v>0.39658738381477154</v>
      </c>
      <c r="L26" s="1092">
        <f t="shared" si="40"/>
        <v>0.99999999999999989</v>
      </c>
      <c r="M26" s="102"/>
      <c r="N26" s="1143">
        <f t="shared" si="1"/>
        <v>3180.6619301184001</v>
      </c>
      <c r="O26" s="1136">
        <f>Parameters!R129</f>
        <v>0.73</v>
      </c>
      <c r="P26" s="1136">
        <f>E26*'MSW characteristics'!$B$28+'MSW characteristics'!$B$29*'4A SWD Case 2'!F26+'4A SWD Case 2'!G26*'MSW characteristics'!$B$30+'MSW characteristics'!$B$31*'4A SWD Case 2'!H26+'4A SWD Case 2'!I26*'MSW characteristics'!$B$32+'MSW characteristics'!$B$33*'4A SWD Case 2'!J26+'4A SWD Case 2'!K26*'MSW characteristics'!$B$35</f>
        <v>0.12048152225760915</v>
      </c>
      <c r="Q26" s="1135">
        <f t="shared" si="2"/>
        <v>139.87201176153388</v>
      </c>
      <c r="R26" s="1135">
        <f t="shared" si="3"/>
        <v>139.87201176153388</v>
      </c>
      <c r="S26" s="306">
        <f t="shared" si="4"/>
        <v>0</v>
      </c>
      <c r="T26" s="1135">
        <f t="shared" si="5"/>
        <v>932.38359193308952</v>
      </c>
      <c r="U26" s="1135">
        <f t="shared" si="6"/>
        <v>40.632937606090927</v>
      </c>
      <c r="V26" s="1144">
        <f t="shared" si="7"/>
        <v>27.088625070727286</v>
      </c>
      <c r="W26" s="10"/>
      <c r="X26" s="1143">
        <f>'Baseline data (from input)'!T14*'Baseline data (from input)'!U14</f>
        <v>0</v>
      </c>
      <c r="Y26" s="1136">
        <f>Parameters!S129</f>
        <v>0.71500000000000008</v>
      </c>
      <c r="Z26" s="1136">
        <f t="shared" si="8"/>
        <v>0.15</v>
      </c>
      <c r="AA26" s="1135">
        <f t="shared" si="9"/>
        <v>0</v>
      </c>
      <c r="AB26" s="1135">
        <f t="shared" si="10"/>
        <v>0</v>
      </c>
      <c r="AC26" s="306">
        <f t="shared" si="11"/>
        <v>0</v>
      </c>
      <c r="AD26" s="1135">
        <f t="shared" si="12"/>
        <v>0</v>
      </c>
      <c r="AE26" s="1135">
        <f t="shared" si="13"/>
        <v>0</v>
      </c>
      <c r="AF26" s="1144">
        <f t="shared" si="14"/>
        <v>0</v>
      </c>
      <c r="AG26" s="10"/>
      <c r="AH26" s="1143">
        <f>'Baseline data (from input)'!T14*'Baseline data (from input)'!U14</f>
        <v>0</v>
      </c>
      <c r="AI26" s="1136">
        <f>Parameters!S129</f>
        <v>0.71500000000000008</v>
      </c>
      <c r="AJ26" s="1136">
        <f t="shared" si="15"/>
        <v>0.15</v>
      </c>
      <c r="AK26" s="1135">
        <f t="shared" si="16"/>
        <v>0</v>
      </c>
      <c r="AL26" s="1135">
        <f t="shared" si="17"/>
        <v>0</v>
      </c>
      <c r="AM26" s="306">
        <f t="shared" si="18"/>
        <v>0</v>
      </c>
      <c r="AN26" s="1135">
        <f t="shared" si="19"/>
        <v>0</v>
      </c>
      <c r="AO26" s="1135">
        <f t="shared" si="20"/>
        <v>0</v>
      </c>
      <c r="AP26" s="1144">
        <f t="shared" si="21"/>
        <v>0</v>
      </c>
      <c r="AR26" s="1143">
        <v>0</v>
      </c>
      <c r="AS26" s="1136">
        <v>1</v>
      </c>
      <c r="AT26" s="1136">
        <f t="shared" si="22"/>
        <v>0.05</v>
      </c>
      <c r="AU26" s="1135">
        <f t="shared" si="23"/>
        <v>0</v>
      </c>
      <c r="AV26" s="1135">
        <f t="shared" si="24"/>
        <v>0</v>
      </c>
      <c r="AW26" s="306">
        <f t="shared" si="25"/>
        <v>0</v>
      </c>
      <c r="AX26" s="1151">
        <f t="shared" si="26"/>
        <v>0</v>
      </c>
      <c r="AY26" s="1151">
        <f t="shared" si="27"/>
        <v>0</v>
      </c>
      <c r="AZ26" s="1144">
        <f t="shared" si="28"/>
        <v>0</v>
      </c>
      <c r="BB26" s="323">
        <f t="shared" si="29"/>
        <v>27.088625070727286</v>
      </c>
      <c r="BC26" s="324">
        <f t="shared" si="30"/>
        <v>0</v>
      </c>
      <c r="BD26" s="1323">
        <f t="shared" si="31"/>
        <v>0</v>
      </c>
      <c r="BE26" s="324">
        <f t="shared" si="32"/>
        <v>27.088625070727286</v>
      </c>
      <c r="BF26" s="104">
        <v>0</v>
      </c>
      <c r="BG26" s="325">
        <f t="shared" si="33"/>
        <v>27.088625070727286</v>
      </c>
      <c r="BI26" s="323">
        <f t="shared" si="34"/>
        <v>27.088625070727286</v>
      </c>
      <c r="BJ26" s="324">
        <f t="shared" si="35"/>
        <v>0</v>
      </c>
      <c r="BK26" s="1323">
        <f t="shared" si="36"/>
        <v>0</v>
      </c>
      <c r="BL26" s="324">
        <f t="shared" si="37"/>
        <v>27.088625070727286</v>
      </c>
      <c r="BM26" s="104">
        <v>0</v>
      </c>
      <c r="BN26" s="325">
        <f t="shared" si="38"/>
        <v>27.088625070727286</v>
      </c>
    </row>
    <row r="27" spans="1:66">
      <c r="A27" s="1091">
        <f>'Input data'!A57</f>
        <v>1959</v>
      </c>
      <c r="B27" s="1080">
        <f>'Input data'!B57</f>
        <v>7.0827593200000001</v>
      </c>
      <c r="C27" s="1125">
        <f>'Baseline data (from input)'!B15</f>
        <v>578.73</v>
      </c>
      <c r="D27" s="1081">
        <f>'Baseline data (from input)'!L15</f>
        <v>0.8</v>
      </c>
      <c r="E27" s="992">
        <f t="shared" si="39"/>
        <v>0.24001298204245269</v>
      </c>
      <c r="F27" s="992">
        <f t="shared" si="0"/>
        <v>0.30440139352934503</v>
      </c>
      <c r="G27" s="992">
        <f t="shared" si="0"/>
        <v>5.8998240613430578E-2</v>
      </c>
      <c r="H27" s="992">
        <f t="shared" si="0"/>
        <v>0</v>
      </c>
      <c r="I27" s="992">
        <f t="shared" si="0"/>
        <v>0</v>
      </c>
      <c r="J27" s="992">
        <f t="shared" si="0"/>
        <v>0</v>
      </c>
      <c r="K27" s="992">
        <f t="shared" si="0"/>
        <v>0.39658738381477154</v>
      </c>
      <c r="L27" s="1092">
        <f t="shared" si="40"/>
        <v>0.99999999999999989</v>
      </c>
      <c r="M27" s="102"/>
      <c r="N27" s="1143">
        <f t="shared" si="1"/>
        <v>3279.2042410108802</v>
      </c>
      <c r="O27" s="1136">
        <f>Parameters!R130</f>
        <v>0.73</v>
      </c>
      <c r="P27" s="1136">
        <f>E27*'MSW characteristics'!$B$28+'MSW characteristics'!$B$29*'4A SWD Case 2'!F27+'4A SWD Case 2'!G27*'MSW characteristics'!$B$30+'MSW characteristics'!$B$31*'4A SWD Case 2'!H27+'4A SWD Case 2'!I27*'MSW characteristics'!$B$32+'MSW characteristics'!$B$33*'4A SWD Case 2'!J27+'4A SWD Case 2'!K27*'MSW characteristics'!$B$35</f>
        <v>0.12048152225760915</v>
      </c>
      <c r="Q27" s="1135">
        <f t="shared" si="2"/>
        <v>144.20548434396852</v>
      </c>
      <c r="R27" s="1135">
        <f t="shared" si="3"/>
        <v>144.20548434396852</v>
      </c>
      <c r="S27" s="306">
        <f t="shared" si="4"/>
        <v>0</v>
      </c>
      <c r="T27" s="1135">
        <f t="shared" si="5"/>
        <v>1031.1161919123899</v>
      </c>
      <c r="U27" s="1135">
        <f t="shared" si="6"/>
        <v>45.472884364668197</v>
      </c>
      <c r="V27" s="1144">
        <f t="shared" si="7"/>
        <v>30.315256243112131</v>
      </c>
      <c r="W27" s="10"/>
      <c r="X27" s="1143">
        <f>'Baseline data (from input)'!T15*'Baseline data (from input)'!U15</f>
        <v>0</v>
      </c>
      <c r="Y27" s="1136">
        <f>Parameters!S130</f>
        <v>0.71500000000000008</v>
      </c>
      <c r="Z27" s="1136">
        <f t="shared" si="8"/>
        <v>0.15</v>
      </c>
      <c r="AA27" s="1135">
        <f t="shared" si="9"/>
        <v>0</v>
      </c>
      <c r="AB27" s="1135">
        <f t="shared" si="10"/>
        <v>0</v>
      </c>
      <c r="AC27" s="306">
        <f t="shared" si="11"/>
        <v>0</v>
      </c>
      <c r="AD27" s="1135">
        <f t="shared" si="12"/>
        <v>0</v>
      </c>
      <c r="AE27" s="1135">
        <f t="shared" si="13"/>
        <v>0</v>
      </c>
      <c r="AF27" s="1144">
        <f t="shared" si="14"/>
        <v>0</v>
      </c>
      <c r="AG27" s="10"/>
      <c r="AH27" s="1143">
        <f>'Baseline data (from input)'!T15*'Baseline data (from input)'!U15</f>
        <v>0</v>
      </c>
      <c r="AI27" s="1136">
        <f>Parameters!S130</f>
        <v>0.71500000000000008</v>
      </c>
      <c r="AJ27" s="1136">
        <f t="shared" si="15"/>
        <v>0.15</v>
      </c>
      <c r="AK27" s="1135">
        <f t="shared" si="16"/>
        <v>0</v>
      </c>
      <c r="AL27" s="1135">
        <f t="shared" si="17"/>
        <v>0</v>
      </c>
      <c r="AM27" s="306">
        <f t="shared" si="18"/>
        <v>0</v>
      </c>
      <c r="AN27" s="1135">
        <f t="shared" si="19"/>
        <v>0</v>
      </c>
      <c r="AO27" s="1135">
        <f t="shared" si="20"/>
        <v>0</v>
      </c>
      <c r="AP27" s="1144">
        <f t="shared" si="21"/>
        <v>0</v>
      </c>
      <c r="AR27" s="1143">
        <v>0</v>
      </c>
      <c r="AS27" s="1136">
        <v>1</v>
      </c>
      <c r="AT27" s="1136">
        <f t="shared" si="22"/>
        <v>0.05</v>
      </c>
      <c r="AU27" s="1135">
        <f t="shared" si="23"/>
        <v>0</v>
      </c>
      <c r="AV27" s="1135">
        <f t="shared" si="24"/>
        <v>0</v>
      </c>
      <c r="AW27" s="306">
        <f t="shared" si="25"/>
        <v>0</v>
      </c>
      <c r="AX27" s="1151">
        <f t="shared" si="26"/>
        <v>0</v>
      </c>
      <c r="AY27" s="1151">
        <f t="shared" si="27"/>
        <v>0</v>
      </c>
      <c r="AZ27" s="1144">
        <f t="shared" si="28"/>
        <v>0</v>
      </c>
      <c r="BB27" s="323">
        <f t="shared" si="29"/>
        <v>30.315256243112131</v>
      </c>
      <c r="BC27" s="324">
        <f t="shared" si="30"/>
        <v>0</v>
      </c>
      <c r="BD27" s="1323">
        <f t="shared" si="31"/>
        <v>0</v>
      </c>
      <c r="BE27" s="324">
        <f t="shared" si="32"/>
        <v>30.315256243112131</v>
      </c>
      <c r="BF27" s="104">
        <v>0</v>
      </c>
      <c r="BG27" s="325">
        <f t="shared" si="33"/>
        <v>30.315256243112131</v>
      </c>
      <c r="BI27" s="323">
        <f t="shared" si="34"/>
        <v>30.315256243112131</v>
      </c>
      <c r="BJ27" s="324">
        <f t="shared" si="35"/>
        <v>0</v>
      </c>
      <c r="BK27" s="1323">
        <f t="shared" si="36"/>
        <v>0</v>
      </c>
      <c r="BL27" s="324">
        <f t="shared" si="37"/>
        <v>30.315256243112131</v>
      </c>
      <c r="BM27" s="104">
        <v>0</v>
      </c>
      <c r="BN27" s="325">
        <f t="shared" si="38"/>
        <v>30.315256243112131</v>
      </c>
    </row>
    <row r="28" spans="1:66">
      <c r="A28" s="1091">
        <f>'Input data'!A58</f>
        <v>1960</v>
      </c>
      <c r="B28" s="1080">
        <f>'Input data'!B58</f>
        <v>7.2819655999999995</v>
      </c>
      <c r="C28" s="1125">
        <f>'Baseline data (from input)'!B16</f>
        <v>578.73</v>
      </c>
      <c r="D28" s="1081">
        <f>'Baseline data (from input)'!L16</f>
        <v>0.8</v>
      </c>
      <c r="E28" s="992">
        <f t="shared" si="39"/>
        <v>0.24001298204245269</v>
      </c>
      <c r="F28" s="992">
        <f t="shared" si="0"/>
        <v>0.30440139352934503</v>
      </c>
      <c r="G28" s="992">
        <f t="shared" si="0"/>
        <v>5.8998240613430578E-2</v>
      </c>
      <c r="H28" s="992">
        <f t="shared" si="0"/>
        <v>0</v>
      </c>
      <c r="I28" s="992">
        <f t="shared" si="0"/>
        <v>0</v>
      </c>
      <c r="J28" s="992">
        <f t="shared" si="0"/>
        <v>0</v>
      </c>
      <c r="K28" s="992">
        <f t="shared" si="0"/>
        <v>0.39658738381477154</v>
      </c>
      <c r="L28" s="1092">
        <f t="shared" si="40"/>
        <v>0.99999999999999989</v>
      </c>
      <c r="M28" s="102"/>
      <c r="N28" s="1143">
        <f t="shared" si="1"/>
        <v>3371.4335613504004</v>
      </c>
      <c r="O28" s="1136">
        <f>Parameters!R131</f>
        <v>0.73</v>
      </c>
      <c r="P28" s="1136">
        <f>E28*'MSW characteristics'!$B$28+'MSW characteristics'!$B$29*'4A SWD Case 2'!F28+'4A SWD Case 2'!G28*'MSW characteristics'!$B$30+'MSW characteristics'!$B$31*'4A SWD Case 2'!H28+'4A SWD Case 2'!I28*'MSW characteristics'!$B$32+'MSW characteristics'!$B$33*'4A SWD Case 2'!J28+'4A SWD Case 2'!K28*'MSW characteristics'!$B$35</f>
        <v>0.12048152225760915</v>
      </c>
      <c r="Q28" s="1135">
        <f t="shared" si="2"/>
        <v>148.26133839658939</v>
      </c>
      <c r="R28" s="1135">
        <f t="shared" si="3"/>
        <v>148.26133839658939</v>
      </c>
      <c r="S28" s="306">
        <f t="shared" si="4"/>
        <v>0</v>
      </c>
      <c r="T28" s="1135">
        <f t="shared" si="5"/>
        <v>1129.0894002227799</v>
      </c>
      <c r="U28" s="1135">
        <f t="shared" si="6"/>
        <v>50.288130086199466</v>
      </c>
      <c r="V28" s="1144">
        <f t="shared" si="7"/>
        <v>33.525420057466313</v>
      </c>
      <c r="W28" s="10"/>
      <c r="X28" s="1143">
        <f>'Baseline data (from input)'!T16*'Baseline data (from input)'!U16</f>
        <v>0</v>
      </c>
      <c r="Y28" s="1136">
        <f>Parameters!S131</f>
        <v>0.71500000000000008</v>
      </c>
      <c r="Z28" s="1136">
        <f t="shared" si="8"/>
        <v>0.15</v>
      </c>
      <c r="AA28" s="1135">
        <f t="shared" si="9"/>
        <v>0</v>
      </c>
      <c r="AB28" s="1135">
        <f t="shared" si="10"/>
        <v>0</v>
      </c>
      <c r="AC28" s="306">
        <f t="shared" si="11"/>
        <v>0</v>
      </c>
      <c r="AD28" s="1135">
        <f t="shared" si="12"/>
        <v>0</v>
      </c>
      <c r="AE28" s="1135">
        <f t="shared" si="13"/>
        <v>0</v>
      </c>
      <c r="AF28" s="1144">
        <f t="shared" si="14"/>
        <v>0</v>
      </c>
      <c r="AG28" s="10"/>
      <c r="AH28" s="1143">
        <f>'Baseline data (from input)'!T16*'Baseline data (from input)'!U16</f>
        <v>0</v>
      </c>
      <c r="AI28" s="1136">
        <f>Parameters!S131</f>
        <v>0.71500000000000008</v>
      </c>
      <c r="AJ28" s="1136">
        <f t="shared" si="15"/>
        <v>0.15</v>
      </c>
      <c r="AK28" s="1135">
        <f t="shared" si="16"/>
        <v>0</v>
      </c>
      <c r="AL28" s="1135">
        <f t="shared" si="17"/>
        <v>0</v>
      </c>
      <c r="AM28" s="306">
        <f t="shared" si="18"/>
        <v>0</v>
      </c>
      <c r="AN28" s="1135">
        <f t="shared" si="19"/>
        <v>0</v>
      </c>
      <c r="AO28" s="1135">
        <f t="shared" si="20"/>
        <v>0</v>
      </c>
      <c r="AP28" s="1144">
        <f t="shared" si="21"/>
        <v>0</v>
      </c>
      <c r="AR28" s="1143">
        <v>0</v>
      </c>
      <c r="AS28" s="1136">
        <v>1</v>
      </c>
      <c r="AT28" s="1136">
        <f t="shared" si="22"/>
        <v>0.05</v>
      </c>
      <c r="AU28" s="1135">
        <f t="shared" si="23"/>
        <v>0</v>
      </c>
      <c r="AV28" s="1135">
        <f t="shared" si="24"/>
        <v>0</v>
      </c>
      <c r="AW28" s="306">
        <f t="shared" si="25"/>
        <v>0</v>
      </c>
      <c r="AX28" s="1151">
        <f t="shared" si="26"/>
        <v>0</v>
      </c>
      <c r="AY28" s="1151">
        <f t="shared" si="27"/>
        <v>0</v>
      </c>
      <c r="AZ28" s="1144">
        <f t="shared" si="28"/>
        <v>0</v>
      </c>
      <c r="BB28" s="323">
        <f t="shared" si="29"/>
        <v>33.525420057466313</v>
      </c>
      <c r="BC28" s="324">
        <f t="shared" si="30"/>
        <v>0</v>
      </c>
      <c r="BD28" s="1323">
        <f t="shared" si="31"/>
        <v>0</v>
      </c>
      <c r="BE28" s="324">
        <f t="shared" si="32"/>
        <v>33.525420057466313</v>
      </c>
      <c r="BF28" s="104">
        <v>0</v>
      </c>
      <c r="BG28" s="325">
        <f t="shared" si="33"/>
        <v>33.525420057466313</v>
      </c>
      <c r="BI28" s="323">
        <f t="shared" si="34"/>
        <v>33.525420057466313</v>
      </c>
      <c r="BJ28" s="324">
        <f t="shared" si="35"/>
        <v>0</v>
      </c>
      <c r="BK28" s="1323">
        <f t="shared" si="36"/>
        <v>0</v>
      </c>
      <c r="BL28" s="324">
        <f t="shared" si="37"/>
        <v>33.525420057466313</v>
      </c>
      <c r="BM28" s="104">
        <v>0</v>
      </c>
      <c r="BN28" s="325">
        <f t="shared" si="38"/>
        <v>33.525420057466313</v>
      </c>
    </row>
    <row r="29" spans="1:66">
      <c r="A29" s="1091">
        <f>'Input data'!A59</f>
        <v>1961</v>
      </c>
      <c r="B29" s="1080">
        <f>'Input data'!B59</f>
        <v>7.6498422000000001</v>
      </c>
      <c r="C29" s="1125">
        <f>'Baseline data (from input)'!B17</f>
        <v>578.73</v>
      </c>
      <c r="D29" s="1081">
        <f>'Baseline data (from input)'!L17</f>
        <v>0.8</v>
      </c>
      <c r="E29" s="992">
        <f t="shared" si="39"/>
        <v>0.24001298204245269</v>
      </c>
      <c r="F29" s="992">
        <f t="shared" si="0"/>
        <v>0.30440139352934503</v>
      </c>
      <c r="G29" s="992">
        <f t="shared" si="0"/>
        <v>5.8998240613430578E-2</v>
      </c>
      <c r="H29" s="992">
        <f t="shared" si="0"/>
        <v>0</v>
      </c>
      <c r="I29" s="992">
        <f t="shared" si="0"/>
        <v>0</v>
      </c>
      <c r="J29" s="992">
        <f t="shared" si="0"/>
        <v>0</v>
      </c>
      <c r="K29" s="992">
        <f t="shared" si="0"/>
        <v>0.39658738381477154</v>
      </c>
      <c r="L29" s="1092">
        <f t="shared" si="40"/>
        <v>0.99999999999999989</v>
      </c>
      <c r="M29" s="102"/>
      <c r="N29" s="1143">
        <f t="shared" si="1"/>
        <v>3541.7545411248002</v>
      </c>
      <c r="O29" s="1136">
        <f>Parameters!R132</f>
        <v>0.73</v>
      </c>
      <c r="P29" s="1136">
        <f>E29*'MSW characteristics'!$B$28+'MSW characteristics'!$B$29*'4A SWD Case 2'!F29+'4A SWD Case 2'!G29*'MSW characteristics'!$B$30+'MSW characteristics'!$B$31*'4A SWD Case 2'!H29+'4A SWD Case 2'!I29*'MSW characteristics'!$B$32+'MSW characteristics'!$B$33*'4A SWD Case 2'!J29+'4A SWD Case 2'!K29*'MSW characteristics'!$B$35</f>
        <v>0.12048152225760915</v>
      </c>
      <c r="Q29" s="1135">
        <f t="shared" si="2"/>
        <v>155.7513321807933</v>
      </c>
      <c r="R29" s="1135">
        <f t="shared" si="3"/>
        <v>155.7513321807933</v>
      </c>
      <c r="S29" s="306">
        <f t="shared" si="4"/>
        <v>0</v>
      </c>
      <c r="T29" s="1135">
        <f t="shared" si="5"/>
        <v>1229.7743925645646</v>
      </c>
      <c r="U29" s="1135">
        <f t="shared" si="6"/>
        <v>55.066339839008613</v>
      </c>
      <c r="V29" s="1144">
        <f t="shared" si="7"/>
        <v>36.710893226005744</v>
      </c>
      <c r="W29" s="10"/>
      <c r="X29" s="1143">
        <f>'Baseline data (from input)'!T17*'Baseline data (from input)'!U17</f>
        <v>14134.745938604165</v>
      </c>
      <c r="Y29" s="1136">
        <f>Parameters!S132</f>
        <v>0.71500000000000008</v>
      </c>
      <c r="Z29" s="1136">
        <f t="shared" si="8"/>
        <v>0.15</v>
      </c>
      <c r="AA29" s="1135">
        <f t="shared" si="9"/>
        <v>757.97575095764842</v>
      </c>
      <c r="AB29" s="1135">
        <f t="shared" si="10"/>
        <v>757.97575095764842</v>
      </c>
      <c r="AC29" s="306">
        <f t="shared" si="11"/>
        <v>0</v>
      </c>
      <c r="AD29" s="1135">
        <f t="shared" si="12"/>
        <v>757.97575095764842</v>
      </c>
      <c r="AE29" s="1135">
        <f t="shared" si="13"/>
        <v>0</v>
      </c>
      <c r="AF29" s="1144">
        <f t="shared" si="14"/>
        <v>0</v>
      </c>
      <c r="AG29" s="10"/>
      <c r="AH29" s="1143">
        <f>'Baseline data (from input)'!T17*'Baseline data (from input)'!U17</f>
        <v>14134.745938604165</v>
      </c>
      <c r="AI29" s="1136">
        <f>Parameters!S132</f>
        <v>0.71500000000000008</v>
      </c>
      <c r="AJ29" s="1136">
        <f t="shared" si="15"/>
        <v>0.15</v>
      </c>
      <c r="AK29" s="1135">
        <f t="shared" si="16"/>
        <v>757.97575095764842</v>
      </c>
      <c r="AL29" s="1135">
        <f t="shared" si="17"/>
        <v>757.97575095764842</v>
      </c>
      <c r="AM29" s="306">
        <f t="shared" si="18"/>
        <v>0</v>
      </c>
      <c r="AN29" s="1135">
        <f t="shared" si="19"/>
        <v>757.97575095764842</v>
      </c>
      <c r="AO29" s="1135">
        <f t="shared" si="20"/>
        <v>0</v>
      </c>
      <c r="AP29" s="1144">
        <f t="shared" si="21"/>
        <v>0</v>
      </c>
      <c r="AR29" s="1143">
        <v>0</v>
      </c>
      <c r="AS29" s="1136">
        <v>1</v>
      </c>
      <c r="AT29" s="1136">
        <f t="shared" si="22"/>
        <v>0.05</v>
      </c>
      <c r="AU29" s="1135">
        <f t="shared" si="23"/>
        <v>0</v>
      </c>
      <c r="AV29" s="1135">
        <f t="shared" si="24"/>
        <v>0</v>
      </c>
      <c r="AW29" s="306">
        <f t="shared" si="25"/>
        <v>0</v>
      </c>
      <c r="AX29" s="1151">
        <f t="shared" si="26"/>
        <v>0</v>
      </c>
      <c r="AY29" s="1151">
        <f t="shared" si="27"/>
        <v>0</v>
      </c>
      <c r="AZ29" s="1144">
        <f t="shared" si="28"/>
        <v>0</v>
      </c>
      <c r="BB29" s="323">
        <f t="shared" si="29"/>
        <v>36.710893226005744</v>
      </c>
      <c r="BC29" s="324">
        <f t="shared" si="30"/>
        <v>0</v>
      </c>
      <c r="BD29" s="1323">
        <f t="shared" si="31"/>
        <v>0</v>
      </c>
      <c r="BE29" s="324">
        <f t="shared" si="32"/>
        <v>36.710893226005744</v>
      </c>
      <c r="BF29" s="104">
        <v>0</v>
      </c>
      <c r="BG29" s="325">
        <f t="shared" si="33"/>
        <v>36.710893226005744</v>
      </c>
      <c r="BI29" s="323">
        <f t="shared" si="34"/>
        <v>36.710893226005744</v>
      </c>
      <c r="BJ29" s="324">
        <f t="shared" si="35"/>
        <v>0</v>
      </c>
      <c r="BK29" s="1323">
        <f t="shared" si="36"/>
        <v>0</v>
      </c>
      <c r="BL29" s="324">
        <f t="shared" si="37"/>
        <v>36.710893226005744</v>
      </c>
      <c r="BM29" s="104">
        <v>0</v>
      </c>
      <c r="BN29" s="325">
        <f t="shared" si="38"/>
        <v>36.710893226005744</v>
      </c>
    </row>
    <row r="30" spans="1:66">
      <c r="A30" s="1091">
        <f>'Input data'!A60</f>
        <v>1962</v>
      </c>
      <c r="B30" s="1080">
        <f>'Input data'!B60</f>
        <v>7.8559936000000006</v>
      </c>
      <c r="C30" s="1125">
        <f>'Baseline data (from input)'!B18</f>
        <v>578.73</v>
      </c>
      <c r="D30" s="1081">
        <f>'Baseline data (from input)'!L18</f>
        <v>0.8</v>
      </c>
      <c r="E30" s="992">
        <f t="shared" si="39"/>
        <v>0.24001298204245269</v>
      </c>
      <c r="F30" s="992">
        <f t="shared" si="0"/>
        <v>0.30440139352934503</v>
      </c>
      <c r="G30" s="992">
        <f t="shared" si="0"/>
        <v>5.8998240613430578E-2</v>
      </c>
      <c r="H30" s="992">
        <f t="shared" si="0"/>
        <v>0</v>
      </c>
      <c r="I30" s="992">
        <f t="shared" si="0"/>
        <v>0</v>
      </c>
      <c r="J30" s="992">
        <f t="shared" si="0"/>
        <v>0</v>
      </c>
      <c r="K30" s="992">
        <f t="shared" si="0"/>
        <v>0.39658738381477154</v>
      </c>
      <c r="L30" s="1092">
        <f t="shared" si="40"/>
        <v>0.99999999999999989</v>
      </c>
      <c r="M30" s="102"/>
      <c r="N30" s="1143">
        <f t="shared" si="1"/>
        <v>3637.1993409024008</v>
      </c>
      <c r="O30" s="1136">
        <f>Parameters!R133</f>
        <v>0.73</v>
      </c>
      <c r="P30" s="1136">
        <f>E30*'MSW characteristics'!$B$28+'MSW characteristics'!$B$29*'4A SWD Case 2'!F30+'4A SWD Case 2'!G30*'MSW characteristics'!$B$30+'MSW characteristics'!$B$31*'4A SWD Case 2'!H30+'4A SWD Case 2'!I30*'MSW characteristics'!$B$32+'MSW characteristics'!$B$33*'4A SWD Case 2'!J30+'4A SWD Case 2'!K30*'MSW characteristics'!$B$35</f>
        <v>0.12048152225760915</v>
      </c>
      <c r="Q30" s="1135">
        <f t="shared" si="2"/>
        <v>159.94858937139728</v>
      </c>
      <c r="R30" s="1135">
        <f t="shared" si="3"/>
        <v>159.94858937139728</v>
      </c>
      <c r="S30" s="306">
        <f t="shared" si="4"/>
        <v>0</v>
      </c>
      <c r="T30" s="1135">
        <f t="shared" si="5"/>
        <v>1329.7461770763032</v>
      </c>
      <c r="U30" s="1135">
        <f t="shared" si="6"/>
        <v>59.976804859658657</v>
      </c>
      <c r="V30" s="1144">
        <f t="shared" si="7"/>
        <v>39.984536573105771</v>
      </c>
      <c r="W30" s="10"/>
      <c r="X30" s="1143">
        <f>'Baseline data (from input)'!T18*'Baseline data (from input)'!U18</f>
        <v>15007.974018466391</v>
      </c>
      <c r="Y30" s="1136">
        <f>Parameters!S133</f>
        <v>0.71500000000000008</v>
      </c>
      <c r="Z30" s="1136">
        <f t="shared" si="8"/>
        <v>0.15</v>
      </c>
      <c r="AA30" s="1135">
        <f t="shared" si="9"/>
        <v>804.80260674026022</v>
      </c>
      <c r="AB30" s="1135">
        <f t="shared" si="10"/>
        <v>804.80260674026022</v>
      </c>
      <c r="AC30" s="306">
        <f t="shared" si="11"/>
        <v>0</v>
      </c>
      <c r="AD30" s="1135">
        <f t="shared" si="12"/>
        <v>1525.8114441092007</v>
      </c>
      <c r="AE30" s="1135">
        <f t="shared" si="13"/>
        <v>36.966913588707982</v>
      </c>
      <c r="AF30" s="1144">
        <f t="shared" si="14"/>
        <v>24.644609059138656</v>
      </c>
      <c r="AG30" s="10"/>
      <c r="AH30" s="1143">
        <f>'Baseline data (from input)'!T18*'Baseline data (from input)'!U18</f>
        <v>15007.974018466391</v>
      </c>
      <c r="AI30" s="1136">
        <f>Parameters!S133</f>
        <v>0.71500000000000008</v>
      </c>
      <c r="AJ30" s="1136">
        <f t="shared" si="15"/>
        <v>0.15</v>
      </c>
      <c r="AK30" s="1135">
        <f t="shared" si="16"/>
        <v>804.80260674026022</v>
      </c>
      <c r="AL30" s="1135">
        <f t="shared" si="17"/>
        <v>804.80260674026022</v>
      </c>
      <c r="AM30" s="306">
        <f t="shared" si="18"/>
        <v>0</v>
      </c>
      <c r="AN30" s="1135">
        <f t="shared" si="19"/>
        <v>1525.8114441092007</v>
      </c>
      <c r="AO30" s="1135">
        <f t="shared" si="20"/>
        <v>36.966913588707982</v>
      </c>
      <c r="AP30" s="1144">
        <f t="shared" si="21"/>
        <v>24.644609059138656</v>
      </c>
      <c r="AR30" s="1143">
        <v>0</v>
      </c>
      <c r="AS30" s="1136">
        <v>1</v>
      </c>
      <c r="AT30" s="1136">
        <f t="shared" si="22"/>
        <v>0.05</v>
      </c>
      <c r="AU30" s="1135">
        <f t="shared" si="23"/>
        <v>0</v>
      </c>
      <c r="AV30" s="1135">
        <f t="shared" si="24"/>
        <v>0</v>
      </c>
      <c r="AW30" s="306">
        <f t="shared" si="25"/>
        <v>0</v>
      </c>
      <c r="AX30" s="1151">
        <f t="shared" si="26"/>
        <v>0</v>
      </c>
      <c r="AY30" s="1151">
        <f t="shared" si="27"/>
        <v>0</v>
      </c>
      <c r="AZ30" s="1144">
        <f t="shared" si="28"/>
        <v>0</v>
      </c>
      <c r="BB30" s="323">
        <f t="shared" si="29"/>
        <v>39.984536573105771</v>
      </c>
      <c r="BC30" s="324">
        <f t="shared" si="30"/>
        <v>24.644609059138656</v>
      </c>
      <c r="BD30" s="1323">
        <f t="shared" si="31"/>
        <v>0</v>
      </c>
      <c r="BE30" s="324">
        <f t="shared" si="32"/>
        <v>64.62914563224443</v>
      </c>
      <c r="BF30" s="104">
        <v>0</v>
      </c>
      <c r="BG30" s="325">
        <f t="shared" si="33"/>
        <v>64.62914563224443</v>
      </c>
      <c r="BI30" s="323">
        <f t="shared" si="34"/>
        <v>39.984536573105771</v>
      </c>
      <c r="BJ30" s="324">
        <f t="shared" si="35"/>
        <v>24.644609059138656</v>
      </c>
      <c r="BK30" s="1323">
        <f t="shared" si="36"/>
        <v>0</v>
      </c>
      <c r="BL30" s="324">
        <f t="shared" si="37"/>
        <v>64.62914563224443</v>
      </c>
      <c r="BM30" s="104">
        <v>0</v>
      </c>
      <c r="BN30" s="325">
        <f t="shared" si="38"/>
        <v>64.62914563224443</v>
      </c>
    </row>
    <row r="31" spans="1:66">
      <c r="A31" s="127">
        <f>'Input data'!A61</f>
        <v>1963</v>
      </c>
      <c r="B31" s="1082">
        <f>'Input data'!B61</f>
        <v>8.062145000000001</v>
      </c>
      <c r="C31" s="1126">
        <f>'Baseline data (from input)'!B19</f>
        <v>578.73</v>
      </c>
      <c r="D31" s="1081">
        <f>'Baseline data (from input)'!L19</f>
        <v>0.8</v>
      </c>
      <c r="E31" s="992">
        <f t="shared" si="39"/>
        <v>0.24001298204245269</v>
      </c>
      <c r="F31" s="992">
        <f t="shared" si="0"/>
        <v>0.30440139352934503</v>
      </c>
      <c r="G31" s="992">
        <f t="shared" si="0"/>
        <v>5.8998240613430578E-2</v>
      </c>
      <c r="H31" s="992">
        <f t="shared" si="0"/>
        <v>0</v>
      </c>
      <c r="I31" s="992">
        <f t="shared" si="0"/>
        <v>0</v>
      </c>
      <c r="J31" s="992">
        <f t="shared" si="0"/>
        <v>0</v>
      </c>
      <c r="K31" s="992">
        <f t="shared" si="0"/>
        <v>0.39658738381477154</v>
      </c>
      <c r="L31" s="1092">
        <f t="shared" si="40"/>
        <v>0.99999999999999989</v>
      </c>
      <c r="M31" s="101"/>
      <c r="N31" s="323">
        <f t="shared" si="1"/>
        <v>3732.6441406800004</v>
      </c>
      <c r="O31" s="1137">
        <f>Parameters!R134</f>
        <v>0.73</v>
      </c>
      <c r="P31" s="1137">
        <f>E31*'MSW characteristics'!$B$28+'MSW characteristics'!$B$29*'4A SWD Case 2'!F31+'4A SWD Case 2'!G31*'MSW characteristics'!$B$30+'MSW characteristics'!$B$31*'4A SWD Case 2'!H31+'4A SWD Case 2'!I31*'MSW characteristics'!$B$32+'MSW characteristics'!$B$33*'4A SWD Case 2'!J31+'4A SWD Case 2'!K31*'MSW characteristics'!$B$35</f>
        <v>0.12048152225760915</v>
      </c>
      <c r="Q31" s="1135">
        <f t="shared" si="2"/>
        <v>164.14584656200122</v>
      </c>
      <c r="R31" s="1135">
        <f t="shared" si="3"/>
        <v>164.14584656200122</v>
      </c>
      <c r="S31" s="306">
        <f t="shared" si="4"/>
        <v>0</v>
      </c>
      <c r="T31" s="1135">
        <f t="shared" si="5"/>
        <v>1429.0395373143176</v>
      </c>
      <c r="U31" s="1135">
        <f t="shared" si="6"/>
        <v>64.852486323986753</v>
      </c>
      <c r="V31" s="1144">
        <f t="shared" si="7"/>
        <v>43.234990882657833</v>
      </c>
      <c r="X31" s="323">
        <f>'Baseline data (from input)'!T19*'Baseline data (from input)'!U19</f>
        <v>16114.603909461506</v>
      </c>
      <c r="Y31" s="1137">
        <f>Parameters!S134</f>
        <v>0.71500000000000008</v>
      </c>
      <c r="Z31" s="1137">
        <f t="shared" si="8"/>
        <v>0.15</v>
      </c>
      <c r="AA31" s="1135">
        <f t="shared" si="9"/>
        <v>864.14563464487333</v>
      </c>
      <c r="AB31" s="1135">
        <f t="shared" si="10"/>
        <v>864.14563464487333</v>
      </c>
      <c r="AC31" s="306">
        <f t="shared" si="11"/>
        <v>0</v>
      </c>
      <c r="AD31" s="1135">
        <f t="shared" si="12"/>
        <v>2315.5423765214719</v>
      </c>
      <c r="AE31" s="1135">
        <f t="shared" si="13"/>
        <v>74.414702232602352</v>
      </c>
      <c r="AF31" s="1144">
        <f t="shared" si="14"/>
        <v>49.609801488401565</v>
      </c>
      <c r="AH31" s="323">
        <f>'Baseline data (from input)'!T19*'Baseline data (from input)'!U19</f>
        <v>16114.603909461506</v>
      </c>
      <c r="AI31" s="1137">
        <f>Parameters!S134</f>
        <v>0.71500000000000008</v>
      </c>
      <c r="AJ31" s="1137">
        <f t="shared" si="15"/>
        <v>0.15</v>
      </c>
      <c r="AK31" s="1135">
        <f t="shared" si="16"/>
        <v>864.14563464487333</v>
      </c>
      <c r="AL31" s="1135">
        <f t="shared" si="17"/>
        <v>864.14563464487333</v>
      </c>
      <c r="AM31" s="306">
        <f t="shared" si="18"/>
        <v>0</v>
      </c>
      <c r="AN31" s="1135">
        <f t="shared" si="19"/>
        <v>2315.5423765214719</v>
      </c>
      <c r="AO31" s="1135">
        <f t="shared" si="20"/>
        <v>74.414702232602352</v>
      </c>
      <c r="AP31" s="1144">
        <f t="shared" si="21"/>
        <v>49.609801488401565</v>
      </c>
      <c r="AR31" s="1143">
        <v>0</v>
      </c>
      <c r="AS31" s="1136">
        <v>1</v>
      </c>
      <c r="AT31" s="1136">
        <f t="shared" si="22"/>
        <v>0.05</v>
      </c>
      <c r="AU31" s="1135">
        <f t="shared" si="23"/>
        <v>0</v>
      </c>
      <c r="AV31" s="1135">
        <f t="shared" si="24"/>
        <v>0</v>
      </c>
      <c r="AW31" s="306">
        <f t="shared" si="25"/>
        <v>0</v>
      </c>
      <c r="AX31" s="1151">
        <f t="shared" si="26"/>
        <v>0</v>
      </c>
      <c r="AY31" s="1151">
        <f t="shared" si="27"/>
        <v>0</v>
      </c>
      <c r="AZ31" s="1144">
        <f t="shared" si="28"/>
        <v>0</v>
      </c>
      <c r="BB31" s="323">
        <f t="shared" si="29"/>
        <v>43.234990882657833</v>
      </c>
      <c r="BC31" s="324">
        <f t="shared" si="30"/>
        <v>49.609801488401565</v>
      </c>
      <c r="BD31" s="1323">
        <f t="shared" si="31"/>
        <v>0</v>
      </c>
      <c r="BE31" s="324">
        <f t="shared" si="32"/>
        <v>92.844792371059398</v>
      </c>
      <c r="BF31" s="104">
        <v>0</v>
      </c>
      <c r="BG31" s="325">
        <f t="shared" si="33"/>
        <v>92.844792371059398</v>
      </c>
      <c r="BI31" s="323">
        <f t="shared" si="34"/>
        <v>43.234990882657833</v>
      </c>
      <c r="BJ31" s="324">
        <f t="shared" si="35"/>
        <v>49.609801488401565</v>
      </c>
      <c r="BK31" s="1323">
        <f t="shared" si="36"/>
        <v>0</v>
      </c>
      <c r="BL31" s="324">
        <f t="shared" si="37"/>
        <v>92.844792371059398</v>
      </c>
      <c r="BM31" s="104">
        <v>0</v>
      </c>
      <c r="BN31" s="325">
        <f t="shared" si="38"/>
        <v>92.844792371059398</v>
      </c>
    </row>
    <row r="32" spans="1:66">
      <c r="A32" s="127">
        <f>'Input data'!A62</f>
        <v>1964</v>
      </c>
      <c r="B32" s="1082">
        <f>'Input data'!B62</f>
        <v>8.2682964000000005</v>
      </c>
      <c r="C32" s="1126">
        <f>'Baseline data (from input)'!B20</f>
        <v>578.73</v>
      </c>
      <c r="D32" s="1081">
        <f>'Baseline data (from input)'!L20</f>
        <v>0.8</v>
      </c>
      <c r="E32" s="992">
        <f t="shared" si="39"/>
        <v>0.24001298204245269</v>
      </c>
      <c r="F32" s="992">
        <f t="shared" si="0"/>
        <v>0.30440139352934503</v>
      </c>
      <c r="G32" s="992">
        <f t="shared" si="0"/>
        <v>5.8998240613430578E-2</v>
      </c>
      <c r="H32" s="992">
        <f t="shared" si="0"/>
        <v>0</v>
      </c>
      <c r="I32" s="992">
        <f t="shared" si="0"/>
        <v>0</v>
      </c>
      <c r="J32" s="992">
        <f t="shared" si="0"/>
        <v>0</v>
      </c>
      <c r="K32" s="992">
        <f t="shared" si="0"/>
        <v>0.39658738381477154</v>
      </c>
      <c r="L32" s="1092">
        <f t="shared" si="40"/>
        <v>0.99999999999999989</v>
      </c>
      <c r="N32" s="323">
        <f t="shared" si="1"/>
        <v>3828.0889404576005</v>
      </c>
      <c r="O32" s="1137">
        <f>Parameters!R135</f>
        <v>0.73</v>
      </c>
      <c r="P32" s="1137">
        <f>E32*'MSW characteristics'!$B$28+'MSW characteristics'!$B$29*'4A SWD Case 2'!F32+'4A SWD Case 2'!G32*'MSW characteristics'!$B$30+'MSW characteristics'!$B$31*'4A SWD Case 2'!H32+'4A SWD Case 2'!I32*'MSW characteristics'!$B$32+'MSW characteristics'!$B$33*'4A SWD Case 2'!J32+'4A SWD Case 2'!K32*'MSW characteristics'!$B$35</f>
        <v>0.12048152225760915</v>
      </c>
      <c r="Q32" s="1135">
        <f t="shared" si="2"/>
        <v>168.34310375260517</v>
      </c>
      <c r="R32" s="1135">
        <f t="shared" si="3"/>
        <v>168.34310375260517</v>
      </c>
      <c r="S32" s="306">
        <f t="shared" si="4"/>
        <v>0</v>
      </c>
      <c r="T32" s="1135">
        <f t="shared" si="5"/>
        <v>1527.6875604208701</v>
      </c>
      <c r="U32" s="1135">
        <f t="shared" si="6"/>
        <v>69.695080646052631</v>
      </c>
      <c r="V32" s="1144">
        <f t="shared" si="7"/>
        <v>46.463387097368418</v>
      </c>
      <c r="X32" s="323">
        <f>'Baseline data (from input)'!T20*'Baseline data (from input)'!U20</f>
        <v>17394.068276696889</v>
      </c>
      <c r="Y32" s="1137">
        <f>Parameters!S135</f>
        <v>0.71500000000000008</v>
      </c>
      <c r="Z32" s="1137">
        <f t="shared" si="8"/>
        <v>0.15</v>
      </c>
      <c r="AA32" s="1135">
        <f t="shared" si="9"/>
        <v>932.75691133787075</v>
      </c>
      <c r="AB32" s="1135">
        <f t="shared" si="10"/>
        <v>932.75691133787075</v>
      </c>
      <c r="AC32" s="306">
        <f t="shared" si="11"/>
        <v>0</v>
      </c>
      <c r="AD32" s="1135">
        <f t="shared" si="12"/>
        <v>3135.3689535634062</v>
      </c>
      <c r="AE32" s="1135">
        <f t="shared" si="13"/>
        <v>112.93033429593653</v>
      </c>
      <c r="AF32" s="1144">
        <f t="shared" si="14"/>
        <v>75.28688953062435</v>
      </c>
      <c r="AH32" s="323">
        <f>'Baseline data (from input)'!T20*'Baseline data (from input)'!U20</f>
        <v>17394.068276696889</v>
      </c>
      <c r="AI32" s="1137">
        <f>Parameters!S135</f>
        <v>0.71500000000000008</v>
      </c>
      <c r="AJ32" s="1137">
        <f t="shared" si="15"/>
        <v>0.15</v>
      </c>
      <c r="AK32" s="1135">
        <f t="shared" si="16"/>
        <v>932.75691133787075</v>
      </c>
      <c r="AL32" s="1135">
        <f t="shared" si="17"/>
        <v>932.75691133787075</v>
      </c>
      <c r="AM32" s="306">
        <f t="shared" si="18"/>
        <v>0</v>
      </c>
      <c r="AN32" s="1135">
        <f t="shared" si="19"/>
        <v>3135.3689535634062</v>
      </c>
      <c r="AO32" s="1135">
        <f t="shared" si="20"/>
        <v>112.93033429593653</v>
      </c>
      <c r="AP32" s="1144">
        <f t="shared" si="21"/>
        <v>75.28688953062435</v>
      </c>
      <c r="AR32" s="1143">
        <v>0</v>
      </c>
      <c r="AS32" s="1136">
        <v>1</v>
      </c>
      <c r="AT32" s="1136">
        <f t="shared" si="22"/>
        <v>0.05</v>
      </c>
      <c r="AU32" s="1135">
        <f t="shared" si="23"/>
        <v>0</v>
      </c>
      <c r="AV32" s="1135">
        <f t="shared" si="24"/>
        <v>0</v>
      </c>
      <c r="AW32" s="306">
        <f t="shared" si="25"/>
        <v>0</v>
      </c>
      <c r="AX32" s="1151">
        <f t="shared" si="26"/>
        <v>0</v>
      </c>
      <c r="AY32" s="1151">
        <f t="shared" si="27"/>
        <v>0</v>
      </c>
      <c r="AZ32" s="1144">
        <f t="shared" si="28"/>
        <v>0</v>
      </c>
      <c r="BB32" s="323">
        <f t="shared" si="29"/>
        <v>46.463387097368418</v>
      </c>
      <c r="BC32" s="324">
        <f t="shared" si="30"/>
        <v>75.28688953062435</v>
      </c>
      <c r="BD32" s="1323">
        <f t="shared" si="31"/>
        <v>0</v>
      </c>
      <c r="BE32" s="324">
        <f t="shared" si="32"/>
        <v>121.75027662799278</v>
      </c>
      <c r="BF32" s="104">
        <v>0</v>
      </c>
      <c r="BG32" s="325">
        <f t="shared" si="33"/>
        <v>121.75027662799278</v>
      </c>
      <c r="BI32" s="323">
        <f t="shared" si="34"/>
        <v>46.463387097368418</v>
      </c>
      <c r="BJ32" s="324">
        <f t="shared" si="35"/>
        <v>75.28688953062435</v>
      </c>
      <c r="BK32" s="1323">
        <f t="shared" si="36"/>
        <v>0</v>
      </c>
      <c r="BL32" s="324">
        <f t="shared" si="37"/>
        <v>121.75027662799278</v>
      </c>
      <c r="BM32" s="104">
        <v>0</v>
      </c>
      <c r="BN32" s="325">
        <f t="shared" si="38"/>
        <v>121.75027662799278</v>
      </c>
    </row>
    <row r="33" spans="1:66">
      <c r="A33" s="127">
        <f>'Input data'!A63</f>
        <v>1965</v>
      </c>
      <c r="B33" s="1082">
        <f>'Input data'!B63</f>
        <v>8.4744478000000001</v>
      </c>
      <c r="C33" s="1126">
        <f>'Baseline data (from input)'!B21</f>
        <v>578.73</v>
      </c>
      <c r="D33" s="1081">
        <f>'Baseline data (from input)'!L21</f>
        <v>0.8</v>
      </c>
      <c r="E33" s="992">
        <f t="shared" si="39"/>
        <v>0.24001298204245269</v>
      </c>
      <c r="F33" s="992">
        <f t="shared" si="0"/>
        <v>0.30440139352934503</v>
      </c>
      <c r="G33" s="992">
        <f t="shared" si="0"/>
        <v>5.8998240613430578E-2</v>
      </c>
      <c r="H33" s="992">
        <f t="shared" si="0"/>
        <v>0</v>
      </c>
      <c r="I33" s="992">
        <f t="shared" si="0"/>
        <v>0</v>
      </c>
      <c r="J33" s="992">
        <f t="shared" si="0"/>
        <v>0</v>
      </c>
      <c r="K33" s="992">
        <f t="shared" si="0"/>
        <v>0.39658738381477154</v>
      </c>
      <c r="L33" s="1092">
        <f t="shared" si="40"/>
        <v>0.99999999999999989</v>
      </c>
      <c r="N33" s="323">
        <f t="shared" si="1"/>
        <v>3923.5337402352002</v>
      </c>
      <c r="O33" s="1137">
        <f>Parameters!R136</f>
        <v>0.73</v>
      </c>
      <c r="P33" s="1137">
        <f>E33*'MSW characteristics'!$B$28+'MSW characteristics'!$B$29*'4A SWD Case 2'!F33+'4A SWD Case 2'!G33*'MSW characteristics'!$B$30+'MSW characteristics'!$B$31*'4A SWD Case 2'!H33+'4A SWD Case 2'!I33*'MSW characteristics'!$B$32+'MSW characteristics'!$B$33*'4A SWD Case 2'!J33+'4A SWD Case 2'!K33*'MSW characteristics'!$B$35</f>
        <v>0.12048152225760915</v>
      </c>
      <c r="Q33" s="1135">
        <f t="shared" si="2"/>
        <v>172.54036094320912</v>
      </c>
      <c r="R33" s="1135">
        <f t="shared" si="3"/>
        <v>172.54036094320912</v>
      </c>
      <c r="S33" s="306">
        <f t="shared" si="4"/>
        <v>0</v>
      </c>
      <c r="T33" s="1135">
        <f t="shared" si="5"/>
        <v>1625.7217198592532</v>
      </c>
      <c r="U33" s="1135">
        <f t="shared" si="6"/>
        <v>74.506201504826066</v>
      </c>
      <c r="V33" s="1144">
        <f t="shared" si="7"/>
        <v>49.670801003217377</v>
      </c>
      <c r="X33" s="323">
        <f>'Baseline data (from input)'!T21*'Baseline data (from input)'!U21</f>
        <v>18459.065475364121</v>
      </c>
      <c r="Y33" s="1137">
        <f>Parameters!S136</f>
        <v>0.71500000000000008</v>
      </c>
      <c r="Z33" s="1137">
        <f t="shared" si="8"/>
        <v>0.15</v>
      </c>
      <c r="AA33" s="1135">
        <f t="shared" si="9"/>
        <v>989.86738611640101</v>
      </c>
      <c r="AB33" s="1135">
        <f t="shared" si="10"/>
        <v>989.86738611640101</v>
      </c>
      <c r="AC33" s="306">
        <f t="shared" si="11"/>
        <v>0</v>
      </c>
      <c r="AD33" s="1135">
        <f t="shared" si="12"/>
        <v>3972.3225914119257</v>
      </c>
      <c r="AE33" s="1135">
        <f t="shared" si="13"/>
        <v>152.9137482678814</v>
      </c>
      <c r="AF33" s="1144">
        <f t="shared" si="14"/>
        <v>101.94249884525426</v>
      </c>
      <c r="AH33" s="323">
        <f>'Baseline data (from input)'!T21*'Baseline data (from input)'!U21</f>
        <v>18459.065475364121</v>
      </c>
      <c r="AI33" s="1137">
        <f>Parameters!S136</f>
        <v>0.71500000000000008</v>
      </c>
      <c r="AJ33" s="1137">
        <f t="shared" si="15"/>
        <v>0.15</v>
      </c>
      <c r="AK33" s="1135">
        <f t="shared" si="16"/>
        <v>989.86738611640101</v>
      </c>
      <c r="AL33" s="1135">
        <f t="shared" si="17"/>
        <v>989.86738611640101</v>
      </c>
      <c r="AM33" s="306">
        <f t="shared" si="18"/>
        <v>0</v>
      </c>
      <c r="AN33" s="1135">
        <f t="shared" si="19"/>
        <v>3972.3225914119257</v>
      </c>
      <c r="AO33" s="1135">
        <f t="shared" si="20"/>
        <v>152.9137482678814</v>
      </c>
      <c r="AP33" s="1144">
        <f t="shared" si="21"/>
        <v>101.94249884525426</v>
      </c>
      <c r="AR33" s="1143">
        <v>0</v>
      </c>
      <c r="AS33" s="1136">
        <v>1</v>
      </c>
      <c r="AT33" s="1136">
        <f t="shared" si="22"/>
        <v>0.05</v>
      </c>
      <c r="AU33" s="1135">
        <f t="shared" si="23"/>
        <v>0</v>
      </c>
      <c r="AV33" s="1135">
        <f t="shared" si="24"/>
        <v>0</v>
      </c>
      <c r="AW33" s="306">
        <f t="shared" si="25"/>
        <v>0</v>
      </c>
      <c r="AX33" s="1151">
        <f t="shared" si="26"/>
        <v>0</v>
      </c>
      <c r="AY33" s="1151">
        <f t="shared" si="27"/>
        <v>0</v>
      </c>
      <c r="AZ33" s="1144">
        <f t="shared" si="28"/>
        <v>0</v>
      </c>
      <c r="BB33" s="323">
        <f t="shared" si="29"/>
        <v>49.670801003217377</v>
      </c>
      <c r="BC33" s="324">
        <f t="shared" si="30"/>
        <v>101.94249884525426</v>
      </c>
      <c r="BD33" s="1323">
        <f t="shared" si="31"/>
        <v>0</v>
      </c>
      <c r="BE33" s="324">
        <f t="shared" si="32"/>
        <v>151.61329984847163</v>
      </c>
      <c r="BF33" s="104">
        <v>0</v>
      </c>
      <c r="BG33" s="325">
        <f t="shared" si="33"/>
        <v>151.61329984847163</v>
      </c>
      <c r="BI33" s="323">
        <f t="shared" si="34"/>
        <v>49.670801003217377</v>
      </c>
      <c r="BJ33" s="324">
        <f t="shared" si="35"/>
        <v>101.94249884525426</v>
      </c>
      <c r="BK33" s="1323">
        <f t="shared" si="36"/>
        <v>0</v>
      </c>
      <c r="BL33" s="324">
        <f t="shared" si="37"/>
        <v>151.61329984847163</v>
      </c>
      <c r="BM33" s="104">
        <v>0</v>
      </c>
      <c r="BN33" s="325">
        <f t="shared" si="38"/>
        <v>151.61329984847163</v>
      </c>
    </row>
    <row r="34" spans="1:66">
      <c r="A34" s="127">
        <f>'Input data'!A64</f>
        <v>1966</v>
      </c>
      <c r="B34" s="1082">
        <f>'Input data'!B64</f>
        <v>8.7407319999999995</v>
      </c>
      <c r="C34" s="1126">
        <f>'Baseline data (from input)'!B22</f>
        <v>578.73</v>
      </c>
      <c r="D34" s="1081">
        <f>'Baseline data (from input)'!L22</f>
        <v>0.8</v>
      </c>
      <c r="E34" s="992">
        <f t="shared" si="39"/>
        <v>0.24001298204245269</v>
      </c>
      <c r="F34" s="992">
        <f t="shared" si="0"/>
        <v>0.30440139352934503</v>
      </c>
      <c r="G34" s="992">
        <f t="shared" si="0"/>
        <v>5.8998240613430578E-2</v>
      </c>
      <c r="H34" s="992">
        <f t="shared" si="0"/>
        <v>0</v>
      </c>
      <c r="I34" s="992">
        <f t="shared" si="0"/>
        <v>0</v>
      </c>
      <c r="J34" s="992">
        <f t="shared" si="0"/>
        <v>0</v>
      </c>
      <c r="K34" s="992">
        <f t="shared" si="0"/>
        <v>0.39658738381477154</v>
      </c>
      <c r="L34" s="1092">
        <f t="shared" si="40"/>
        <v>0.99999999999999989</v>
      </c>
      <c r="N34" s="323">
        <f t="shared" si="1"/>
        <v>4046.8190642879999</v>
      </c>
      <c r="O34" s="1137">
        <f>Parameters!R137</f>
        <v>0.73</v>
      </c>
      <c r="P34" s="1137">
        <f>E34*'MSW characteristics'!$B$28+'MSW characteristics'!$B$29*'4A SWD Case 2'!F34+'4A SWD Case 2'!G34*'MSW characteristics'!$B$30+'MSW characteristics'!$B$31*'4A SWD Case 2'!H34+'4A SWD Case 2'!I34*'MSW characteristics'!$B$32+'MSW characteristics'!$B$33*'4A SWD Case 2'!J34+'4A SWD Case 2'!K34*'MSW characteristics'!$B$35</f>
        <v>0.12048152225760915</v>
      </c>
      <c r="Q34" s="1135">
        <f t="shared" si="2"/>
        <v>177.96192622578405</v>
      </c>
      <c r="R34" s="1135">
        <f t="shared" si="3"/>
        <v>177.96192622578405</v>
      </c>
      <c r="S34" s="306">
        <f t="shared" si="4"/>
        <v>0</v>
      </c>
      <c r="T34" s="1135">
        <f t="shared" si="5"/>
        <v>1724.3962622058125</v>
      </c>
      <c r="U34" s="1135">
        <f t="shared" si="6"/>
        <v>79.287383879224762</v>
      </c>
      <c r="V34" s="1144">
        <f t="shared" si="7"/>
        <v>52.858255919483177</v>
      </c>
      <c r="X34" s="323">
        <f>'Baseline data (from input)'!T22*'Baseline data (from input)'!U22</f>
        <v>19278.33570436815</v>
      </c>
      <c r="Y34" s="1137">
        <f>Parameters!S137</f>
        <v>0.71500000000000008</v>
      </c>
      <c r="Z34" s="1137">
        <f t="shared" si="8"/>
        <v>0.15</v>
      </c>
      <c r="AA34" s="1135">
        <f t="shared" si="9"/>
        <v>1033.8007521467421</v>
      </c>
      <c r="AB34" s="1135">
        <f t="shared" si="10"/>
        <v>1033.8007521467421</v>
      </c>
      <c r="AC34" s="306">
        <f t="shared" si="11"/>
        <v>0</v>
      </c>
      <c r="AD34" s="1135">
        <f t="shared" si="12"/>
        <v>4812.3908847066932</v>
      </c>
      <c r="AE34" s="1135">
        <f t="shared" si="13"/>
        <v>193.73245885197468</v>
      </c>
      <c r="AF34" s="1144">
        <f t="shared" si="14"/>
        <v>129.15497256798312</v>
      </c>
      <c r="AH34" s="323">
        <f>'Baseline data (from input)'!T22*'Baseline data (from input)'!U22</f>
        <v>19278.33570436815</v>
      </c>
      <c r="AI34" s="1137">
        <f>Parameters!S137</f>
        <v>0.71500000000000008</v>
      </c>
      <c r="AJ34" s="1137">
        <f t="shared" si="15"/>
        <v>0.15</v>
      </c>
      <c r="AK34" s="1135">
        <f t="shared" si="16"/>
        <v>1033.8007521467421</v>
      </c>
      <c r="AL34" s="1135">
        <f t="shared" si="17"/>
        <v>1033.8007521467421</v>
      </c>
      <c r="AM34" s="306">
        <f t="shared" si="18"/>
        <v>0</v>
      </c>
      <c r="AN34" s="1135">
        <f t="shared" si="19"/>
        <v>4812.3908847066932</v>
      </c>
      <c r="AO34" s="1135">
        <f t="shared" si="20"/>
        <v>193.73245885197468</v>
      </c>
      <c r="AP34" s="1144">
        <f t="shared" si="21"/>
        <v>129.15497256798312</v>
      </c>
      <c r="AR34" s="1143">
        <v>0</v>
      </c>
      <c r="AS34" s="1136">
        <v>1</v>
      </c>
      <c r="AT34" s="1136">
        <f t="shared" si="22"/>
        <v>0.05</v>
      </c>
      <c r="AU34" s="1135">
        <f t="shared" si="23"/>
        <v>0</v>
      </c>
      <c r="AV34" s="1135">
        <f t="shared" si="24"/>
        <v>0</v>
      </c>
      <c r="AW34" s="306">
        <f t="shared" si="25"/>
        <v>0</v>
      </c>
      <c r="AX34" s="1151">
        <f t="shared" si="26"/>
        <v>0</v>
      </c>
      <c r="AY34" s="1151">
        <f t="shared" si="27"/>
        <v>0</v>
      </c>
      <c r="AZ34" s="1144">
        <f t="shared" si="28"/>
        <v>0</v>
      </c>
      <c r="BB34" s="323">
        <f t="shared" si="29"/>
        <v>52.858255919483177</v>
      </c>
      <c r="BC34" s="324">
        <f t="shared" si="30"/>
        <v>129.15497256798312</v>
      </c>
      <c r="BD34" s="1323">
        <f t="shared" si="31"/>
        <v>0</v>
      </c>
      <c r="BE34" s="324">
        <f t="shared" si="32"/>
        <v>182.01322848746631</v>
      </c>
      <c r="BF34" s="104">
        <v>0</v>
      </c>
      <c r="BG34" s="325">
        <f t="shared" si="33"/>
        <v>182.01322848746631</v>
      </c>
      <c r="BI34" s="323">
        <f t="shared" si="34"/>
        <v>52.858255919483177</v>
      </c>
      <c r="BJ34" s="324">
        <f t="shared" si="35"/>
        <v>129.15497256798312</v>
      </c>
      <c r="BK34" s="1323">
        <f t="shared" si="36"/>
        <v>0</v>
      </c>
      <c r="BL34" s="324">
        <f t="shared" si="37"/>
        <v>182.01322848746631</v>
      </c>
      <c r="BM34" s="104">
        <v>0</v>
      </c>
      <c r="BN34" s="325">
        <f t="shared" si="38"/>
        <v>182.01322848746631</v>
      </c>
    </row>
    <row r="35" spans="1:66">
      <c r="A35" s="127">
        <f>'Input data'!A65</f>
        <v>1967</v>
      </c>
      <c r="B35" s="1082">
        <f>'Input data'!B65</f>
        <v>9.0098299199999996</v>
      </c>
      <c r="C35" s="1126">
        <f>'Baseline data (from input)'!B23</f>
        <v>578.73</v>
      </c>
      <c r="D35" s="1081">
        <f>'Baseline data (from input)'!L23</f>
        <v>0.8</v>
      </c>
      <c r="E35" s="992">
        <f t="shared" si="39"/>
        <v>0.24001298204245269</v>
      </c>
      <c r="F35" s="992">
        <f t="shared" si="39"/>
        <v>0.30440139352934503</v>
      </c>
      <c r="G35" s="992">
        <f t="shared" si="39"/>
        <v>5.8998240613430578E-2</v>
      </c>
      <c r="H35" s="992">
        <f t="shared" si="39"/>
        <v>0</v>
      </c>
      <c r="I35" s="992">
        <f t="shared" si="39"/>
        <v>0</v>
      </c>
      <c r="J35" s="992">
        <f t="shared" si="39"/>
        <v>0</v>
      </c>
      <c r="K35" s="992">
        <f t="shared" si="39"/>
        <v>0.39658738381477154</v>
      </c>
      <c r="L35" s="1092">
        <f t="shared" si="40"/>
        <v>0.99999999999999989</v>
      </c>
      <c r="N35" s="323">
        <f t="shared" si="1"/>
        <v>4171.4070956812802</v>
      </c>
      <c r="O35" s="1137">
        <f>Parameters!R138</f>
        <v>0.73</v>
      </c>
      <c r="P35" s="1137">
        <f>E35*'MSW characteristics'!$B$28+'MSW characteristics'!$B$29*'4A SWD Case 2'!F35+'4A SWD Case 2'!G35*'MSW characteristics'!$B$30+'MSW characteristics'!$B$31*'4A SWD Case 2'!H35+'4A SWD Case 2'!I35*'MSW characteristics'!$B$32+'MSW characteristics'!$B$33*'4A SWD Case 2'!J35+'4A SWD Case 2'!K35*'MSW characteristics'!$B$35</f>
        <v>0.12048152225760915</v>
      </c>
      <c r="Q35" s="1135">
        <f t="shared" si="2"/>
        <v>183.44077904801361</v>
      </c>
      <c r="R35" s="1135">
        <f t="shared" si="3"/>
        <v>183.44077904801361</v>
      </c>
      <c r="S35" s="306">
        <f t="shared" si="4"/>
        <v>0</v>
      </c>
      <c r="T35" s="1135">
        <f t="shared" si="5"/>
        <v>1823.737243157231</v>
      </c>
      <c r="U35" s="1135">
        <f t="shared" si="6"/>
        <v>84.099798096595123</v>
      </c>
      <c r="V35" s="1144">
        <f t="shared" si="7"/>
        <v>56.066532064396746</v>
      </c>
      <c r="X35" s="323">
        <f>'Baseline data (from input)'!T23*'Baseline data (from input)'!U23</f>
        <v>20665.715773493925</v>
      </c>
      <c r="Y35" s="1137">
        <f>Parameters!S138</f>
        <v>0.71500000000000008</v>
      </c>
      <c r="Z35" s="1137">
        <f t="shared" si="8"/>
        <v>0.15</v>
      </c>
      <c r="AA35" s="1135">
        <f t="shared" si="9"/>
        <v>1108.1990083536118</v>
      </c>
      <c r="AB35" s="1135">
        <f t="shared" si="10"/>
        <v>1108.1990083536118</v>
      </c>
      <c r="AC35" s="306">
        <f t="shared" si="11"/>
        <v>0</v>
      </c>
      <c r="AD35" s="1135">
        <f t="shared" si="12"/>
        <v>5685.8868200856414</v>
      </c>
      <c r="AE35" s="1135">
        <f t="shared" si="13"/>
        <v>234.70307297466346</v>
      </c>
      <c r="AF35" s="1144">
        <f t="shared" si="14"/>
        <v>156.46871531644231</v>
      </c>
      <c r="AH35" s="323">
        <f>'Baseline data (from input)'!T23*'Baseline data (from input)'!U23</f>
        <v>20665.715773493925</v>
      </c>
      <c r="AI35" s="1137">
        <f>Parameters!S138</f>
        <v>0.71500000000000008</v>
      </c>
      <c r="AJ35" s="1137">
        <f t="shared" si="15"/>
        <v>0.15</v>
      </c>
      <c r="AK35" s="1135">
        <f t="shared" si="16"/>
        <v>1108.1990083536118</v>
      </c>
      <c r="AL35" s="1135">
        <f t="shared" si="17"/>
        <v>1108.1990083536118</v>
      </c>
      <c r="AM35" s="306">
        <f t="shared" si="18"/>
        <v>0</v>
      </c>
      <c r="AN35" s="1135">
        <f t="shared" si="19"/>
        <v>5685.8868200856414</v>
      </c>
      <c r="AO35" s="1135">
        <f t="shared" si="20"/>
        <v>234.70307297466346</v>
      </c>
      <c r="AP35" s="1144">
        <f t="shared" si="21"/>
        <v>156.46871531644231</v>
      </c>
      <c r="AR35" s="1143">
        <v>0</v>
      </c>
      <c r="AS35" s="1136">
        <v>1</v>
      </c>
      <c r="AT35" s="1136">
        <f t="shared" si="22"/>
        <v>0.05</v>
      </c>
      <c r="AU35" s="1135">
        <f t="shared" si="23"/>
        <v>0</v>
      </c>
      <c r="AV35" s="1135">
        <f t="shared" si="24"/>
        <v>0</v>
      </c>
      <c r="AW35" s="306">
        <f t="shared" si="25"/>
        <v>0</v>
      </c>
      <c r="AX35" s="1151">
        <f t="shared" si="26"/>
        <v>0</v>
      </c>
      <c r="AY35" s="1151">
        <f t="shared" si="27"/>
        <v>0</v>
      </c>
      <c r="AZ35" s="1144">
        <f t="shared" si="28"/>
        <v>0</v>
      </c>
      <c r="BB35" s="323">
        <f t="shared" si="29"/>
        <v>56.066532064396746</v>
      </c>
      <c r="BC35" s="324">
        <f t="shared" si="30"/>
        <v>156.46871531644231</v>
      </c>
      <c r="BD35" s="1323">
        <f t="shared" si="31"/>
        <v>0</v>
      </c>
      <c r="BE35" s="324">
        <f t="shared" si="32"/>
        <v>212.53524738083905</v>
      </c>
      <c r="BF35" s="104">
        <v>0</v>
      </c>
      <c r="BG35" s="325">
        <f t="shared" si="33"/>
        <v>212.53524738083905</v>
      </c>
      <c r="BI35" s="323">
        <f t="shared" si="34"/>
        <v>56.066532064396746</v>
      </c>
      <c r="BJ35" s="324">
        <f t="shared" si="35"/>
        <v>156.46871531644231</v>
      </c>
      <c r="BK35" s="1323">
        <f t="shared" si="36"/>
        <v>0</v>
      </c>
      <c r="BL35" s="324">
        <f t="shared" si="37"/>
        <v>212.53524738083905</v>
      </c>
      <c r="BM35" s="104">
        <v>0</v>
      </c>
      <c r="BN35" s="325">
        <f t="shared" si="38"/>
        <v>212.53524738083905</v>
      </c>
    </row>
    <row r="36" spans="1:66">
      <c r="A36" s="127">
        <f>'Input data'!A66</f>
        <v>1968</v>
      </c>
      <c r="B36" s="1082">
        <f>'Input data'!B66</f>
        <v>9.2808861600000014</v>
      </c>
      <c r="C36" s="1126">
        <f>'Baseline data (from input)'!B24</f>
        <v>578.73</v>
      </c>
      <c r="D36" s="1081">
        <f>'Baseline data (from input)'!L24</f>
        <v>0.8</v>
      </c>
      <c r="E36" s="992">
        <f t="shared" ref="E36:K51" si="41">E35</f>
        <v>0.24001298204245269</v>
      </c>
      <c r="F36" s="992">
        <f t="shared" si="41"/>
        <v>0.30440139352934503</v>
      </c>
      <c r="G36" s="992">
        <f t="shared" si="41"/>
        <v>5.8998240613430578E-2</v>
      </c>
      <c r="H36" s="992">
        <f t="shared" si="41"/>
        <v>0</v>
      </c>
      <c r="I36" s="992">
        <f t="shared" si="41"/>
        <v>0</v>
      </c>
      <c r="J36" s="992">
        <f t="shared" si="41"/>
        <v>0</v>
      </c>
      <c r="K36" s="992">
        <f t="shared" si="41"/>
        <v>0.39658738381477154</v>
      </c>
      <c r="L36" s="1092">
        <f t="shared" si="40"/>
        <v>0.99999999999999989</v>
      </c>
      <c r="N36" s="323">
        <f t="shared" si="1"/>
        <v>4296.9017979014416</v>
      </c>
      <c r="O36" s="1137">
        <f>Parameters!R139</f>
        <v>0.73</v>
      </c>
      <c r="P36" s="1137">
        <f>E36*'MSW characteristics'!$B$28+'MSW characteristics'!$B$29*'4A SWD Case 2'!F36+'4A SWD Case 2'!G36*'MSW characteristics'!$B$30+'MSW characteristics'!$B$31*'4A SWD Case 2'!H36+'4A SWD Case 2'!I36*'MSW characteristics'!$B$32+'MSW characteristics'!$B$33*'4A SWD Case 2'!J36+'4A SWD Case 2'!K36*'MSW characteristics'!$B$35</f>
        <v>0.12048152225760915</v>
      </c>
      <c r="Q36" s="1135">
        <f t="shared" si="2"/>
        <v>188.95950340495753</v>
      </c>
      <c r="R36" s="1135">
        <f t="shared" si="3"/>
        <v>188.95950340495753</v>
      </c>
      <c r="S36" s="306">
        <f t="shared" si="4"/>
        <v>0</v>
      </c>
      <c r="T36" s="1135">
        <f t="shared" si="5"/>
        <v>1923.7520316539292</v>
      </c>
      <c r="U36" s="1135">
        <f t="shared" si="6"/>
        <v>88.944714908259414</v>
      </c>
      <c r="V36" s="1144">
        <f t="shared" si="7"/>
        <v>59.296476605506278</v>
      </c>
      <c r="X36" s="323">
        <f>'Baseline data (from input)'!T24*'Baseline data (from input)'!U24</f>
        <v>21524.054873564084</v>
      </c>
      <c r="Y36" s="1137">
        <f>Parameters!S139</f>
        <v>0.71500000000000008</v>
      </c>
      <c r="Z36" s="1137">
        <f t="shared" si="8"/>
        <v>0.15</v>
      </c>
      <c r="AA36" s="1135">
        <f t="shared" si="9"/>
        <v>1154.227442594874</v>
      </c>
      <c r="AB36" s="1135">
        <f t="shared" si="10"/>
        <v>1154.227442594874</v>
      </c>
      <c r="AC36" s="306">
        <f t="shared" si="11"/>
        <v>0</v>
      </c>
      <c r="AD36" s="1135">
        <f t="shared" si="12"/>
        <v>6562.8102902411338</v>
      </c>
      <c r="AE36" s="1135">
        <f t="shared" si="13"/>
        <v>277.30397243938188</v>
      </c>
      <c r="AF36" s="1144">
        <f t="shared" si="14"/>
        <v>184.86931495958791</v>
      </c>
      <c r="AH36" s="323">
        <f>'Baseline data (from input)'!T24*'Baseline data (from input)'!U24</f>
        <v>21524.054873564084</v>
      </c>
      <c r="AI36" s="1137">
        <f>Parameters!S139</f>
        <v>0.71500000000000008</v>
      </c>
      <c r="AJ36" s="1137">
        <f t="shared" si="15"/>
        <v>0.15</v>
      </c>
      <c r="AK36" s="1135">
        <f t="shared" si="16"/>
        <v>1154.227442594874</v>
      </c>
      <c r="AL36" s="1135">
        <f t="shared" si="17"/>
        <v>1154.227442594874</v>
      </c>
      <c r="AM36" s="306">
        <f t="shared" si="18"/>
        <v>0</v>
      </c>
      <c r="AN36" s="1135">
        <f t="shared" si="19"/>
        <v>6562.8102902411338</v>
      </c>
      <c r="AO36" s="1135">
        <f t="shared" si="20"/>
        <v>277.30397243938188</v>
      </c>
      <c r="AP36" s="1144">
        <f t="shared" si="21"/>
        <v>184.86931495958791</v>
      </c>
      <c r="AR36" s="1143">
        <v>0</v>
      </c>
      <c r="AS36" s="1136">
        <v>1</v>
      </c>
      <c r="AT36" s="1136">
        <f t="shared" si="22"/>
        <v>0.05</v>
      </c>
      <c r="AU36" s="1135">
        <f t="shared" si="23"/>
        <v>0</v>
      </c>
      <c r="AV36" s="1135">
        <f t="shared" si="24"/>
        <v>0</v>
      </c>
      <c r="AW36" s="306">
        <f t="shared" si="25"/>
        <v>0</v>
      </c>
      <c r="AX36" s="1151">
        <f t="shared" si="26"/>
        <v>0</v>
      </c>
      <c r="AY36" s="1151">
        <f t="shared" si="27"/>
        <v>0</v>
      </c>
      <c r="AZ36" s="1144">
        <f t="shared" si="28"/>
        <v>0</v>
      </c>
      <c r="BB36" s="323">
        <f t="shared" si="29"/>
        <v>59.296476605506278</v>
      </c>
      <c r="BC36" s="324">
        <f t="shared" si="30"/>
        <v>184.86931495958791</v>
      </c>
      <c r="BD36" s="1323">
        <f t="shared" si="31"/>
        <v>0</v>
      </c>
      <c r="BE36" s="324">
        <f t="shared" si="32"/>
        <v>244.1657915650942</v>
      </c>
      <c r="BF36" s="104">
        <v>0</v>
      </c>
      <c r="BG36" s="325">
        <f t="shared" si="33"/>
        <v>244.1657915650942</v>
      </c>
      <c r="BI36" s="323">
        <f t="shared" si="34"/>
        <v>59.296476605506278</v>
      </c>
      <c r="BJ36" s="324">
        <f t="shared" si="35"/>
        <v>184.86931495958791</v>
      </c>
      <c r="BK36" s="1323">
        <f t="shared" si="36"/>
        <v>0</v>
      </c>
      <c r="BL36" s="324">
        <f t="shared" si="37"/>
        <v>244.1657915650942</v>
      </c>
      <c r="BM36" s="104">
        <v>0</v>
      </c>
      <c r="BN36" s="325">
        <f t="shared" si="38"/>
        <v>244.1657915650942</v>
      </c>
    </row>
    <row r="37" spans="1:66">
      <c r="A37" s="127">
        <f>'Input data'!A67</f>
        <v>1969</v>
      </c>
      <c r="B37" s="1082">
        <f>'Input data'!B67</f>
        <v>9.5539007199999997</v>
      </c>
      <c r="C37" s="1126">
        <f>'Baseline data (from input)'!B25</f>
        <v>578.73</v>
      </c>
      <c r="D37" s="1081">
        <f>'Baseline data (from input)'!L25</f>
        <v>0.8</v>
      </c>
      <c r="E37" s="992">
        <f t="shared" si="41"/>
        <v>0.24001298204245269</v>
      </c>
      <c r="F37" s="992">
        <f t="shared" si="41"/>
        <v>0.30440139352934503</v>
      </c>
      <c r="G37" s="992">
        <f t="shared" si="41"/>
        <v>5.8998240613430578E-2</v>
      </c>
      <c r="H37" s="992">
        <f t="shared" si="41"/>
        <v>0</v>
      </c>
      <c r="I37" s="992">
        <f t="shared" si="41"/>
        <v>0</v>
      </c>
      <c r="J37" s="992">
        <f t="shared" si="41"/>
        <v>0</v>
      </c>
      <c r="K37" s="992">
        <f t="shared" si="41"/>
        <v>0.39658738381477154</v>
      </c>
      <c r="L37" s="1092">
        <f t="shared" si="40"/>
        <v>0.99999999999999989</v>
      </c>
      <c r="N37" s="323">
        <f t="shared" si="1"/>
        <v>4423.3031709484803</v>
      </c>
      <c r="O37" s="1137">
        <f>Parameters!R140</f>
        <v>0.73</v>
      </c>
      <c r="P37" s="1137">
        <f>E37*'MSW characteristics'!$B$28+'MSW characteristics'!$B$29*'4A SWD Case 2'!F37+'4A SWD Case 2'!G37*'MSW characteristics'!$B$30+'MSW characteristics'!$B$31*'4A SWD Case 2'!H37+'4A SWD Case 2'!I37*'MSW characteristics'!$B$32+'MSW characteristics'!$B$33*'4A SWD Case 2'!J37+'4A SWD Case 2'!K37*'MSW characteristics'!$B$35</f>
        <v>0.12048152225760915</v>
      </c>
      <c r="Q37" s="1135">
        <f t="shared" si="2"/>
        <v>194.51809929661559</v>
      </c>
      <c r="R37" s="1135">
        <f t="shared" si="3"/>
        <v>194.51809929661559</v>
      </c>
      <c r="S37" s="306">
        <f t="shared" si="4"/>
        <v>0</v>
      </c>
      <c r="T37" s="1135">
        <f t="shared" si="5"/>
        <v>2024.4476372488621</v>
      </c>
      <c r="U37" s="1135">
        <f t="shared" si="6"/>
        <v>93.82249370168276</v>
      </c>
      <c r="V37" s="1144">
        <f t="shared" si="7"/>
        <v>62.548329134455173</v>
      </c>
      <c r="X37" s="323">
        <f>'Baseline data (from input)'!T25*'Baseline data (from input)'!U25</f>
        <v>22539.092841589576</v>
      </c>
      <c r="Y37" s="1137">
        <f>Parameters!S140</f>
        <v>0.71500000000000008</v>
      </c>
      <c r="Z37" s="1137">
        <f t="shared" si="8"/>
        <v>0.15</v>
      </c>
      <c r="AA37" s="1135">
        <f t="shared" si="9"/>
        <v>1208.6588536302411</v>
      </c>
      <c r="AB37" s="1135">
        <f t="shared" si="10"/>
        <v>1208.6588536302411</v>
      </c>
      <c r="AC37" s="306">
        <f t="shared" si="11"/>
        <v>0</v>
      </c>
      <c r="AD37" s="1135">
        <f t="shared" si="12"/>
        <v>7451.3971091236781</v>
      </c>
      <c r="AE37" s="1135">
        <f t="shared" si="13"/>
        <v>320.07203474769619</v>
      </c>
      <c r="AF37" s="1144">
        <f t="shared" si="14"/>
        <v>213.38135649846413</v>
      </c>
      <c r="AH37" s="323">
        <f>'Baseline data (from input)'!T25*'Baseline data (from input)'!U25</f>
        <v>22539.092841589576</v>
      </c>
      <c r="AI37" s="1137">
        <f>Parameters!S140</f>
        <v>0.71500000000000008</v>
      </c>
      <c r="AJ37" s="1137">
        <f t="shared" si="15"/>
        <v>0.15</v>
      </c>
      <c r="AK37" s="1135">
        <f t="shared" si="16"/>
        <v>1208.6588536302411</v>
      </c>
      <c r="AL37" s="1135">
        <f t="shared" si="17"/>
        <v>1208.6588536302411</v>
      </c>
      <c r="AM37" s="306">
        <f t="shared" si="18"/>
        <v>0</v>
      </c>
      <c r="AN37" s="1135">
        <f t="shared" si="19"/>
        <v>7451.3971091236781</v>
      </c>
      <c r="AO37" s="1135">
        <f t="shared" si="20"/>
        <v>320.07203474769619</v>
      </c>
      <c r="AP37" s="1144">
        <f t="shared" si="21"/>
        <v>213.38135649846413</v>
      </c>
      <c r="AR37" s="1143">
        <v>0</v>
      </c>
      <c r="AS37" s="1136">
        <v>1</v>
      </c>
      <c r="AT37" s="1136">
        <f t="shared" si="22"/>
        <v>0.05</v>
      </c>
      <c r="AU37" s="1135">
        <f t="shared" si="23"/>
        <v>0</v>
      </c>
      <c r="AV37" s="1135">
        <f t="shared" si="24"/>
        <v>0</v>
      </c>
      <c r="AW37" s="306">
        <f t="shared" si="25"/>
        <v>0</v>
      </c>
      <c r="AX37" s="1151">
        <f t="shared" si="26"/>
        <v>0</v>
      </c>
      <c r="AY37" s="1151">
        <f t="shared" si="27"/>
        <v>0</v>
      </c>
      <c r="AZ37" s="1144">
        <f t="shared" si="28"/>
        <v>0</v>
      </c>
      <c r="BB37" s="323">
        <f t="shared" si="29"/>
        <v>62.548329134455173</v>
      </c>
      <c r="BC37" s="324">
        <f t="shared" si="30"/>
        <v>213.38135649846413</v>
      </c>
      <c r="BD37" s="1323">
        <f t="shared" si="31"/>
        <v>0</v>
      </c>
      <c r="BE37" s="324">
        <f t="shared" si="32"/>
        <v>275.9296856329193</v>
      </c>
      <c r="BF37" s="104">
        <v>0</v>
      </c>
      <c r="BG37" s="325">
        <f t="shared" si="33"/>
        <v>275.9296856329193</v>
      </c>
      <c r="BI37" s="323">
        <f t="shared" si="34"/>
        <v>62.548329134455173</v>
      </c>
      <c r="BJ37" s="324">
        <f t="shared" si="35"/>
        <v>213.38135649846413</v>
      </c>
      <c r="BK37" s="1323">
        <f t="shared" si="36"/>
        <v>0</v>
      </c>
      <c r="BL37" s="324">
        <f t="shared" si="37"/>
        <v>275.9296856329193</v>
      </c>
      <c r="BM37" s="104">
        <v>0</v>
      </c>
      <c r="BN37" s="325">
        <f t="shared" si="38"/>
        <v>275.9296856329193</v>
      </c>
    </row>
    <row r="38" spans="1:66">
      <c r="A38" s="127">
        <f>'Input data'!A68</f>
        <v>1970</v>
      </c>
      <c r="B38" s="1082">
        <f>'Input data'!B68</f>
        <v>9.8288735999999997</v>
      </c>
      <c r="C38" s="1126">
        <f>'Baseline data (from input)'!B26</f>
        <v>578.73</v>
      </c>
      <c r="D38" s="1081">
        <f>'Baseline data (from input)'!L26</f>
        <v>0.8</v>
      </c>
      <c r="E38" s="992">
        <f t="shared" si="41"/>
        <v>0.24001298204245269</v>
      </c>
      <c r="F38" s="992">
        <f t="shared" si="41"/>
        <v>0.30440139352934503</v>
      </c>
      <c r="G38" s="992">
        <f t="shared" si="41"/>
        <v>5.8998240613430578E-2</v>
      </c>
      <c r="H38" s="992">
        <f t="shared" si="41"/>
        <v>0</v>
      </c>
      <c r="I38" s="992">
        <f t="shared" si="41"/>
        <v>0</v>
      </c>
      <c r="J38" s="992">
        <f t="shared" si="41"/>
        <v>0</v>
      </c>
      <c r="K38" s="992">
        <f t="shared" si="41"/>
        <v>0.39658738381477154</v>
      </c>
      <c r="L38" s="1092">
        <f t="shared" si="40"/>
        <v>0.99999999999999989</v>
      </c>
      <c r="N38" s="323">
        <f t="shared" si="1"/>
        <v>4550.6112148224001</v>
      </c>
      <c r="O38" s="1137">
        <f>Parameters!R141</f>
        <v>0.73</v>
      </c>
      <c r="P38" s="1137">
        <f>E38*'MSW characteristics'!$B$28+'MSW characteristics'!$B$29*'4A SWD Case 2'!F38+'4A SWD Case 2'!G38*'MSW characteristics'!$B$30+'MSW characteristics'!$B$31*'4A SWD Case 2'!H38+'4A SWD Case 2'!I38*'MSW characteristics'!$B$32+'MSW characteristics'!$B$33*'4A SWD Case 2'!J38+'4A SWD Case 2'!K38*'MSW characteristics'!$B$35</f>
        <v>0.12048152225760915</v>
      </c>
      <c r="Q38" s="1135">
        <f t="shared" si="2"/>
        <v>200.11656672298804</v>
      </c>
      <c r="R38" s="1135">
        <f t="shared" si="3"/>
        <v>200.11656672298804</v>
      </c>
      <c r="S38" s="306">
        <f t="shared" si="4"/>
        <v>0</v>
      </c>
      <c r="T38" s="1135">
        <f t="shared" si="5"/>
        <v>2125.8307276350533</v>
      </c>
      <c r="U38" s="1135">
        <f t="shared" si="6"/>
        <v>98.733476336796755</v>
      </c>
      <c r="V38" s="1144">
        <f t="shared" si="7"/>
        <v>65.822317557864508</v>
      </c>
      <c r="X38" s="323">
        <f>'Baseline data (from input)'!T26*'Baseline data (from input)'!U26</f>
        <v>23722.09637782973</v>
      </c>
      <c r="Y38" s="1137">
        <f>Parameters!S141</f>
        <v>0.71500000000000008</v>
      </c>
      <c r="Z38" s="1137">
        <f t="shared" si="8"/>
        <v>0.15</v>
      </c>
      <c r="AA38" s="1135">
        <f t="shared" si="9"/>
        <v>1272.0974182611194</v>
      </c>
      <c r="AB38" s="1135">
        <f t="shared" si="10"/>
        <v>1272.0974182611194</v>
      </c>
      <c r="AC38" s="306">
        <f t="shared" si="11"/>
        <v>0</v>
      </c>
      <c r="AD38" s="1135">
        <f t="shared" si="12"/>
        <v>8360.0856020991196</v>
      </c>
      <c r="AE38" s="1135">
        <f t="shared" si="13"/>
        <v>363.40892528567764</v>
      </c>
      <c r="AF38" s="1144">
        <f t="shared" si="14"/>
        <v>242.27261685711844</v>
      </c>
      <c r="AH38" s="323">
        <f>'Baseline data (from input)'!T26*'Baseline data (from input)'!U26</f>
        <v>23722.09637782973</v>
      </c>
      <c r="AI38" s="1137">
        <f>Parameters!S141</f>
        <v>0.71500000000000008</v>
      </c>
      <c r="AJ38" s="1137">
        <f t="shared" si="15"/>
        <v>0.15</v>
      </c>
      <c r="AK38" s="1135">
        <f t="shared" si="16"/>
        <v>1272.0974182611194</v>
      </c>
      <c r="AL38" s="1135">
        <f t="shared" si="17"/>
        <v>1272.0974182611194</v>
      </c>
      <c r="AM38" s="306">
        <f t="shared" si="18"/>
        <v>0</v>
      </c>
      <c r="AN38" s="1135">
        <f t="shared" si="19"/>
        <v>8360.0856020991196</v>
      </c>
      <c r="AO38" s="1135">
        <f t="shared" si="20"/>
        <v>363.40892528567764</v>
      </c>
      <c r="AP38" s="1144">
        <f t="shared" si="21"/>
        <v>242.27261685711844</v>
      </c>
      <c r="AR38" s="1143">
        <v>0</v>
      </c>
      <c r="AS38" s="1136">
        <v>1</v>
      </c>
      <c r="AT38" s="1136">
        <f t="shared" si="22"/>
        <v>0.05</v>
      </c>
      <c r="AU38" s="1135">
        <f t="shared" si="23"/>
        <v>0</v>
      </c>
      <c r="AV38" s="1135">
        <f t="shared" si="24"/>
        <v>0</v>
      </c>
      <c r="AW38" s="306">
        <f t="shared" si="25"/>
        <v>0</v>
      </c>
      <c r="AX38" s="1151">
        <f t="shared" si="26"/>
        <v>0</v>
      </c>
      <c r="AY38" s="1151">
        <f t="shared" si="27"/>
        <v>0</v>
      </c>
      <c r="AZ38" s="1144">
        <f t="shared" si="28"/>
        <v>0</v>
      </c>
      <c r="BB38" s="323">
        <f t="shared" si="29"/>
        <v>65.822317557864508</v>
      </c>
      <c r="BC38" s="324">
        <f t="shared" si="30"/>
        <v>242.27261685711844</v>
      </c>
      <c r="BD38" s="1323">
        <f t="shared" si="31"/>
        <v>0</v>
      </c>
      <c r="BE38" s="324">
        <f t="shared" si="32"/>
        <v>308.09493441498296</v>
      </c>
      <c r="BF38" s="104">
        <v>0</v>
      </c>
      <c r="BG38" s="325">
        <f t="shared" si="33"/>
        <v>308.09493441498296</v>
      </c>
      <c r="BI38" s="323">
        <f t="shared" si="34"/>
        <v>65.822317557864508</v>
      </c>
      <c r="BJ38" s="324">
        <f t="shared" si="35"/>
        <v>242.27261685711844</v>
      </c>
      <c r="BK38" s="1323">
        <f t="shared" si="36"/>
        <v>0</v>
      </c>
      <c r="BL38" s="324">
        <f t="shared" si="37"/>
        <v>308.09493441498296</v>
      </c>
      <c r="BM38" s="104">
        <v>0</v>
      </c>
      <c r="BN38" s="325">
        <f t="shared" si="38"/>
        <v>308.09493441498296</v>
      </c>
    </row>
    <row r="39" spans="1:66">
      <c r="A39" s="127">
        <f>'Input data'!A69</f>
        <v>1971</v>
      </c>
      <c r="B39" s="1082">
        <f>'Input data'!B69</f>
        <v>20.567820000000001</v>
      </c>
      <c r="C39" s="1126">
        <f>'Baseline data (from input)'!B27</f>
        <v>578.73</v>
      </c>
      <c r="D39" s="1081">
        <f>'Baseline data (from input)'!L27</f>
        <v>0.8</v>
      </c>
      <c r="E39" s="992">
        <f t="shared" si="41"/>
        <v>0.24001298204245269</v>
      </c>
      <c r="F39" s="992">
        <f t="shared" si="41"/>
        <v>0.30440139352934503</v>
      </c>
      <c r="G39" s="992">
        <f t="shared" si="41"/>
        <v>5.8998240613430578E-2</v>
      </c>
      <c r="H39" s="992">
        <f t="shared" si="41"/>
        <v>0</v>
      </c>
      <c r="I39" s="992">
        <f t="shared" si="41"/>
        <v>0</v>
      </c>
      <c r="J39" s="992">
        <f t="shared" si="41"/>
        <v>0</v>
      </c>
      <c r="K39" s="992">
        <f t="shared" si="41"/>
        <v>0.39658738381477154</v>
      </c>
      <c r="L39" s="1092">
        <f t="shared" si="40"/>
        <v>0.99999999999999989</v>
      </c>
      <c r="N39" s="323">
        <f t="shared" si="1"/>
        <v>9522.5715748800012</v>
      </c>
      <c r="O39" s="1137">
        <f>Parameters!R142</f>
        <v>0.73</v>
      </c>
      <c r="P39" s="1137">
        <f>E39*'MSW characteristics'!$B$28+'MSW characteristics'!$B$29*'4A SWD Case 2'!F39+'4A SWD Case 2'!G39*'MSW characteristics'!$B$30+'MSW characteristics'!$B$31*'4A SWD Case 2'!H39+'4A SWD Case 2'!I39*'MSW characteristics'!$B$32+'MSW characteristics'!$B$33*'4A SWD Case 2'!J39+'4A SWD Case 2'!K39*'MSW characteristics'!$B$35</f>
        <v>0.12048152225760915</v>
      </c>
      <c r="Q39" s="1135">
        <f t="shared" si="2"/>
        <v>418.76228048923213</v>
      </c>
      <c r="R39" s="1135">
        <f t="shared" si="3"/>
        <v>418.76228048923213</v>
      </c>
      <c r="S39" s="306">
        <f t="shared" si="4"/>
        <v>0</v>
      </c>
      <c r="T39" s="1135">
        <f t="shared" si="5"/>
        <v>2440.9150201234579</v>
      </c>
      <c r="U39" s="1135">
        <f t="shared" si="6"/>
        <v>103.67798800082743</v>
      </c>
      <c r="V39" s="1144">
        <f t="shared" si="7"/>
        <v>69.118658667218284</v>
      </c>
      <c r="X39" s="323">
        <f>'Baseline data (from input)'!T27*'Baseline data (from input)'!U27</f>
        <v>24737.157866975944</v>
      </c>
      <c r="Y39" s="1137">
        <f>Parameters!S142</f>
        <v>0.71500000000000008</v>
      </c>
      <c r="Z39" s="1137">
        <f t="shared" si="8"/>
        <v>0.15</v>
      </c>
      <c r="AA39" s="1135">
        <f t="shared" si="9"/>
        <v>1326.5300906165851</v>
      </c>
      <c r="AB39" s="1135">
        <f t="shared" si="10"/>
        <v>1326.5300906165851</v>
      </c>
      <c r="AC39" s="306">
        <f t="shared" si="11"/>
        <v>0</v>
      </c>
      <c r="AD39" s="1135">
        <f t="shared" si="12"/>
        <v>9278.8895066780369</v>
      </c>
      <c r="AE39" s="1135">
        <f t="shared" si="13"/>
        <v>407.72618603766881</v>
      </c>
      <c r="AF39" s="1144">
        <f t="shared" si="14"/>
        <v>271.81745735844589</v>
      </c>
      <c r="AH39" s="323">
        <f>'Baseline data (from input)'!T27*'Baseline data (from input)'!U27</f>
        <v>24737.157866975944</v>
      </c>
      <c r="AI39" s="1137">
        <f>Parameters!S142</f>
        <v>0.71500000000000008</v>
      </c>
      <c r="AJ39" s="1137">
        <f t="shared" si="15"/>
        <v>0.15</v>
      </c>
      <c r="AK39" s="1135">
        <f t="shared" si="16"/>
        <v>1326.5300906165851</v>
      </c>
      <c r="AL39" s="1135">
        <f t="shared" si="17"/>
        <v>1326.5300906165851</v>
      </c>
      <c r="AM39" s="306">
        <f t="shared" si="18"/>
        <v>0</v>
      </c>
      <c r="AN39" s="1135">
        <f t="shared" si="19"/>
        <v>9278.8895066780369</v>
      </c>
      <c r="AO39" s="1135">
        <f t="shared" si="20"/>
        <v>407.72618603766881</v>
      </c>
      <c r="AP39" s="1144">
        <f t="shared" si="21"/>
        <v>271.81745735844589</v>
      </c>
      <c r="AR39" s="1143">
        <v>0</v>
      </c>
      <c r="AS39" s="1136">
        <v>1</v>
      </c>
      <c r="AT39" s="1136">
        <f t="shared" si="22"/>
        <v>0.05</v>
      </c>
      <c r="AU39" s="1135">
        <f t="shared" si="23"/>
        <v>0</v>
      </c>
      <c r="AV39" s="1135">
        <f t="shared" si="24"/>
        <v>0</v>
      </c>
      <c r="AW39" s="306">
        <f t="shared" si="25"/>
        <v>0</v>
      </c>
      <c r="AX39" s="1151">
        <f t="shared" si="26"/>
        <v>0</v>
      </c>
      <c r="AY39" s="1151">
        <f t="shared" si="27"/>
        <v>0</v>
      </c>
      <c r="AZ39" s="1144">
        <f t="shared" si="28"/>
        <v>0</v>
      </c>
      <c r="BB39" s="323">
        <f t="shared" si="29"/>
        <v>69.118658667218284</v>
      </c>
      <c r="BC39" s="324">
        <f t="shared" si="30"/>
        <v>271.81745735844589</v>
      </c>
      <c r="BD39" s="1323">
        <f t="shared" si="31"/>
        <v>0</v>
      </c>
      <c r="BE39" s="324">
        <f t="shared" si="32"/>
        <v>340.93611602566421</v>
      </c>
      <c r="BF39" s="104">
        <v>0</v>
      </c>
      <c r="BG39" s="325">
        <f t="shared" si="33"/>
        <v>340.93611602566421</v>
      </c>
      <c r="BI39" s="323">
        <f t="shared" si="34"/>
        <v>69.118658667218284</v>
      </c>
      <c r="BJ39" s="324">
        <f t="shared" si="35"/>
        <v>271.81745735844589</v>
      </c>
      <c r="BK39" s="1323">
        <f t="shared" si="36"/>
        <v>0</v>
      </c>
      <c r="BL39" s="324">
        <f t="shared" si="37"/>
        <v>340.93611602566421</v>
      </c>
      <c r="BM39" s="104">
        <v>0</v>
      </c>
      <c r="BN39" s="325">
        <f t="shared" si="38"/>
        <v>340.93611602566421</v>
      </c>
    </row>
    <row r="40" spans="1:66">
      <c r="A40" s="127">
        <f>'Input data'!A70</f>
        <v>1972</v>
      </c>
      <c r="B40" s="1082">
        <f>'Input data'!B70</f>
        <v>21.04466</v>
      </c>
      <c r="C40" s="1126">
        <f>'Baseline data (from input)'!B28</f>
        <v>578.73</v>
      </c>
      <c r="D40" s="1081">
        <f>'Baseline data (from input)'!L28</f>
        <v>0.8</v>
      </c>
      <c r="E40" s="992">
        <f t="shared" si="41"/>
        <v>0.24001298204245269</v>
      </c>
      <c r="F40" s="992">
        <f t="shared" si="41"/>
        <v>0.30440139352934503</v>
      </c>
      <c r="G40" s="992">
        <f t="shared" si="41"/>
        <v>5.8998240613430578E-2</v>
      </c>
      <c r="H40" s="992">
        <f t="shared" si="41"/>
        <v>0</v>
      </c>
      <c r="I40" s="992">
        <f t="shared" si="41"/>
        <v>0</v>
      </c>
      <c r="J40" s="992">
        <f t="shared" si="41"/>
        <v>0</v>
      </c>
      <c r="K40" s="992">
        <f t="shared" si="41"/>
        <v>0.39658738381477154</v>
      </c>
      <c r="L40" s="1092">
        <f t="shared" si="40"/>
        <v>0.99999999999999989</v>
      </c>
      <c r="N40" s="323">
        <f t="shared" si="1"/>
        <v>9743.3408654400009</v>
      </c>
      <c r="O40" s="1137">
        <f>Parameters!R143</f>
        <v>0.73</v>
      </c>
      <c r="P40" s="1137">
        <f>E40*'MSW characteristics'!$B$28+'MSW characteristics'!$B$29*'4A SWD Case 2'!F40+'4A SWD Case 2'!G40*'MSW characteristics'!$B$30+'MSW characteristics'!$B$31*'4A SWD Case 2'!H40+'4A SWD Case 2'!I40*'MSW characteristics'!$B$32+'MSW characteristics'!$B$33*'4A SWD Case 2'!J40+'4A SWD Case 2'!K40*'MSW characteristics'!$B$35</f>
        <v>0.12048152225760915</v>
      </c>
      <c r="Q40" s="1135">
        <f t="shared" si="2"/>
        <v>428.47077686018849</v>
      </c>
      <c r="R40" s="1135">
        <f t="shared" si="3"/>
        <v>428.47077686018849</v>
      </c>
      <c r="S40" s="306">
        <f t="shared" si="4"/>
        <v>0</v>
      </c>
      <c r="T40" s="1135">
        <f t="shared" si="5"/>
        <v>2750.3409667073738</v>
      </c>
      <c r="U40" s="1135">
        <f t="shared" si="6"/>
        <v>119.04483027627226</v>
      </c>
      <c r="V40" s="1144">
        <f t="shared" si="7"/>
        <v>79.363220184181515</v>
      </c>
      <c r="X40" s="323">
        <f>'Baseline data (from input)'!T28*'Baseline data (from input)'!U28</f>
        <v>25146.498965380906</v>
      </c>
      <c r="Y40" s="1137">
        <f>Parameters!S143</f>
        <v>0.71500000000000008</v>
      </c>
      <c r="Z40" s="1137">
        <f t="shared" si="8"/>
        <v>0.15</v>
      </c>
      <c r="AA40" s="1135">
        <f t="shared" si="9"/>
        <v>1348.4810070185513</v>
      </c>
      <c r="AB40" s="1135">
        <f t="shared" si="10"/>
        <v>1348.4810070185513</v>
      </c>
      <c r="AC40" s="306">
        <f t="shared" si="11"/>
        <v>0</v>
      </c>
      <c r="AD40" s="1135">
        <f t="shared" si="12"/>
        <v>10174.833732461615</v>
      </c>
      <c r="AE40" s="1135">
        <f t="shared" si="13"/>
        <v>452.53678123497366</v>
      </c>
      <c r="AF40" s="1144">
        <f t="shared" si="14"/>
        <v>301.69118748998244</v>
      </c>
      <c r="AH40" s="323">
        <f>'Baseline data (from input)'!T28*'Baseline data (from input)'!U28</f>
        <v>25146.498965380906</v>
      </c>
      <c r="AI40" s="1137">
        <f>Parameters!S143</f>
        <v>0.71500000000000008</v>
      </c>
      <c r="AJ40" s="1137">
        <f t="shared" si="15"/>
        <v>0.15</v>
      </c>
      <c r="AK40" s="1135">
        <f t="shared" si="16"/>
        <v>1348.4810070185513</v>
      </c>
      <c r="AL40" s="1135">
        <f t="shared" si="17"/>
        <v>1348.4810070185513</v>
      </c>
      <c r="AM40" s="306">
        <f t="shared" si="18"/>
        <v>0</v>
      </c>
      <c r="AN40" s="1135">
        <f t="shared" si="19"/>
        <v>10174.833732461615</v>
      </c>
      <c r="AO40" s="1135">
        <f t="shared" si="20"/>
        <v>452.53678123497366</v>
      </c>
      <c r="AP40" s="1144">
        <f t="shared" si="21"/>
        <v>301.69118748998244</v>
      </c>
      <c r="AR40" s="1143">
        <v>0</v>
      </c>
      <c r="AS40" s="1136">
        <v>1</v>
      </c>
      <c r="AT40" s="1136">
        <f t="shared" si="22"/>
        <v>0.05</v>
      </c>
      <c r="AU40" s="1135">
        <f t="shared" si="23"/>
        <v>0</v>
      </c>
      <c r="AV40" s="1135">
        <f t="shared" si="24"/>
        <v>0</v>
      </c>
      <c r="AW40" s="306">
        <f t="shared" si="25"/>
        <v>0</v>
      </c>
      <c r="AX40" s="1151">
        <f t="shared" si="26"/>
        <v>0</v>
      </c>
      <c r="AY40" s="1151">
        <f t="shared" si="27"/>
        <v>0</v>
      </c>
      <c r="AZ40" s="1144">
        <f t="shared" si="28"/>
        <v>0</v>
      </c>
      <c r="BB40" s="323">
        <f t="shared" si="29"/>
        <v>79.363220184181515</v>
      </c>
      <c r="BC40" s="324">
        <f t="shared" si="30"/>
        <v>301.69118748998244</v>
      </c>
      <c r="BD40" s="1323">
        <f t="shared" si="31"/>
        <v>0</v>
      </c>
      <c r="BE40" s="324">
        <f t="shared" si="32"/>
        <v>381.05440767416394</v>
      </c>
      <c r="BF40" s="104">
        <v>0</v>
      </c>
      <c r="BG40" s="325">
        <f t="shared" si="33"/>
        <v>381.05440767416394</v>
      </c>
      <c r="BI40" s="323">
        <f t="shared" si="34"/>
        <v>79.363220184181515</v>
      </c>
      <c r="BJ40" s="324">
        <f t="shared" si="35"/>
        <v>301.69118748998244</v>
      </c>
      <c r="BK40" s="1323">
        <f t="shared" si="36"/>
        <v>0</v>
      </c>
      <c r="BL40" s="324">
        <f t="shared" si="37"/>
        <v>381.05440767416394</v>
      </c>
      <c r="BM40" s="104">
        <v>0</v>
      </c>
      <c r="BN40" s="325">
        <f t="shared" si="38"/>
        <v>381.05440767416394</v>
      </c>
    </row>
    <row r="41" spans="1:66">
      <c r="A41" s="127">
        <f>'Input data'!A71</f>
        <v>1973</v>
      </c>
      <c r="B41" s="1082">
        <f>'Input data'!B71</f>
        <v>21.526959999999999</v>
      </c>
      <c r="C41" s="1126">
        <f>'Baseline data (from input)'!B29</f>
        <v>578.73</v>
      </c>
      <c r="D41" s="1081">
        <f>'Baseline data (from input)'!L29</f>
        <v>0.8</v>
      </c>
      <c r="E41" s="992">
        <f t="shared" si="41"/>
        <v>0.24001298204245269</v>
      </c>
      <c r="F41" s="992">
        <f t="shared" si="41"/>
        <v>0.30440139352934503</v>
      </c>
      <c r="G41" s="992">
        <f t="shared" si="41"/>
        <v>5.8998240613430578E-2</v>
      </c>
      <c r="H41" s="992">
        <f t="shared" si="41"/>
        <v>0</v>
      </c>
      <c r="I41" s="992">
        <f t="shared" si="41"/>
        <v>0</v>
      </c>
      <c r="J41" s="992">
        <f t="shared" si="41"/>
        <v>0</v>
      </c>
      <c r="K41" s="992">
        <f t="shared" si="41"/>
        <v>0.39658738381477154</v>
      </c>
      <c r="L41" s="1092">
        <f t="shared" si="40"/>
        <v>0.99999999999999989</v>
      </c>
      <c r="N41" s="323">
        <f t="shared" si="1"/>
        <v>9966.6380486400012</v>
      </c>
      <c r="O41" s="1137">
        <f>Parameters!R144</f>
        <v>0.73</v>
      </c>
      <c r="P41" s="1137">
        <f>E41*'MSW characteristics'!$B$28+'MSW characteristics'!$B$29*'4A SWD Case 2'!F41+'4A SWD Case 2'!G41*'MSW characteristics'!$B$30+'MSW characteristics'!$B$31*'4A SWD Case 2'!H41+'4A SWD Case 2'!I41*'MSW characteristics'!$B$32+'MSW characteristics'!$B$33*'4A SWD Case 2'!J41+'4A SWD Case 2'!K41*'MSW characteristics'!$B$35</f>
        <v>0.12048152225760915</v>
      </c>
      <c r="Q41" s="1135">
        <f t="shared" si="2"/>
        <v>438.29043922012539</v>
      </c>
      <c r="R41" s="1135">
        <f t="shared" si="3"/>
        <v>438.29043922012539</v>
      </c>
      <c r="S41" s="306">
        <f t="shared" si="4"/>
        <v>0</v>
      </c>
      <c r="T41" s="1135">
        <f t="shared" si="5"/>
        <v>3054.495694161918</v>
      </c>
      <c r="U41" s="1135">
        <f t="shared" si="6"/>
        <v>134.13571176558116</v>
      </c>
      <c r="V41" s="1144">
        <f t="shared" si="7"/>
        <v>89.42380784372078</v>
      </c>
      <c r="X41" s="323">
        <f>'Baseline data (from input)'!T29*'Baseline data (from input)'!U29</f>
        <v>26296.196347621255</v>
      </c>
      <c r="Y41" s="1137">
        <f>Parameters!S144</f>
        <v>0.71500000000000008</v>
      </c>
      <c r="Z41" s="1137">
        <f t="shared" si="8"/>
        <v>0.15</v>
      </c>
      <c r="AA41" s="1135">
        <f t="shared" si="9"/>
        <v>1410.1335291411899</v>
      </c>
      <c r="AB41" s="1135">
        <f t="shared" si="10"/>
        <v>1410.1335291411899</v>
      </c>
      <c r="AC41" s="306">
        <f t="shared" si="11"/>
        <v>0</v>
      </c>
      <c r="AD41" s="1135">
        <f t="shared" si="12"/>
        <v>11088.734764861105</v>
      </c>
      <c r="AE41" s="1135">
        <f t="shared" si="13"/>
        <v>496.23249674170103</v>
      </c>
      <c r="AF41" s="1144">
        <f t="shared" si="14"/>
        <v>330.82166449446737</v>
      </c>
      <c r="AH41" s="323">
        <f>'Baseline data (from input)'!T29*'Baseline data (from input)'!U29</f>
        <v>26296.196347621255</v>
      </c>
      <c r="AI41" s="1137">
        <f>Parameters!S144</f>
        <v>0.71500000000000008</v>
      </c>
      <c r="AJ41" s="1137">
        <f t="shared" si="15"/>
        <v>0.15</v>
      </c>
      <c r="AK41" s="1135">
        <f t="shared" si="16"/>
        <v>1410.1335291411899</v>
      </c>
      <c r="AL41" s="1135">
        <f t="shared" si="17"/>
        <v>1410.1335291411899</v>
      </c>
      <c r="AM41" s="306">
        <f t="shared" si="18"/>
        <v>0</v>
      </c>
      <c r="AN41" s="1135">
        <f t="shared" si="19"/>
        <v>11088.734764861105</v>
      </c>
      <c r="AO41" s="1135">
        <f t="shared" si="20"/>
        <v>496.23249674170103</v>
      </c>
      <c r="AP41" s="1144">
        <f t="shared" si="21"/>
        <v>330.82166449446737</v>
      </c>
      <c r="AR41" s="1143">
        <v>0</v>
      </c>
      <c r="AS41" s="1136">
        <v>1</v>
      </c>
      <c r="AT41" s="1136">
        <f t="shared" si="22"/>
        <v>0.05</v>
      </c>
      <c r="AU41" s="1135">
        <f t="shared" si="23"/>
        <v>0</v>
      </c>
      <c r="AV41" s="1135">
        <f t="shared" si="24"/>
        <v>0</v>
      </c>
      <c r="AW41" s="306">
        <f t="shared" si="25"/>
        <v>0</v>
      </c>
      <c r="AX41" s="1151">
        <f t="shared" si="26"/>
        <v>0</v>
      </c>
      <c r="AY41" s="1151">
        <f t="shared" si="27"/>
        <v>0</v>
      </c>
      <c r="AZ41" s="1144">
        <f t="shared" si="28"/>
        <v>0</v>
      </c>
      <c r="BB41" s="323">
        <f t="shared" si="29"/>
        <v>89.42380784372078</v>
      </c>
      <c r="BC41" s="324">
        <f t="shared" si="30"/>
        <v>330.82166449446737</v>
      </c>
      <c r="BD41" s="1323">
        <f t="shared" si="31"/>
        <v>0</v>
      </c>
      <c r="BE41" s="324">
        <f t="shared" si="32"/>
        <v>420.24547233818816</v>
      </c>
      <c r="BF41" s="104">
        <v>0</v>
      </c>
      <c r="BG41" s="325">
        <f t="shared" si="33"/>
        <v>420.24547233818816</v>
      </c>
      <c r="BI41" s="323">
        <f t="shared" si="34"/>
        <v>89.42380784372078</v>
      </c>
      <c r="BJ41" s="324">
        <f t="shared" si="35"/>
        <v>330.82166449446737</v>
      </c>
      <c r="BK41" s="1323">
        <f t="shared" si="36"/>
        <v>0</v>
      </c>
      <c r="BL41" s="324">
        <f t="shared" si="37"/>
        <v>420.24547233818816</v>
      </c>
      <c r="BM41" s="104">
        <v>0</v>
      </c>
      <c r="BN41" s="325">
        <f t="shared" si="38"/>
        <v>420.24547233818816</v>
      </c>
    </row>
    <row r="42" spans="1:66">
      <c r="A42" s="127">
        <f>'Input data'!A72</f>
        <v>1974</v>
      </c>
      <c r="B42" s="1082">
        <f>'Input data'!B72</f>
        <v>22.012900000000002</v>
      </c>
      <c r="C42" s="1126">
        <f>'Baseline data (from input)'!B30</f>
        <v>578.73</v>
      </c>
      <c r="D42" s="1081">
        <f>'Baseline data (from input)'!L30</f>
        <v>0.8</v>
      </c>
      <c r="E42" s="992">
        <f t="shared" si="41"/>
        <v>0.24001298204245269</v>
      </c>
      <c r="F42" s="992">
        <f t="shared" si="41"/>
        <v>0.30440139352934503</v>
      </c>
      <c r="G42" s="992">
        <f t="shared" si="41"/>
        <v>5.8998240613430578E-2</v>
      </c>
      <c r="H42" s="992">
        <f t="shared" si="41"/>
        <v>0</v>
      </c>
      <c r="I42" s="992">
        <f t="shared" si="41"/>
        <v>0</v>
      </c>
      <c r="J42" s="992">
        <f t="shared" si="41"/>
        <v>0</v>
      </c>
      <c r="K42" s="992">
        <f t="shared" si="41"/>
        <v>0.39658738381477154</v>
      </c>
      <c r="L42" s="1092">
        <f t="shared" si="40"/>
        <v>0.99999999999999989</v>
      </c>
      <c r="N42" s="323">
        <f t="shared" si="1"/>
        <v>10191.620493600001</v>
      </c>
      <c r="O42" s="1137">
        <f>Parameters!R145</f>
        <v>0.73</v>
      </c>
      <c r="P42" s="1137">
        <f>E42*'MSW characteristics'!$B$28+'MSW characteristics'!$B$29*'4A SWD Case 2'!F42+'4A SWD Case 2'!G42*'MSW characteristics'!$B$30+'MSW characteristics'!$B$31*'4A SWD Case 2'!H42+'4A SWD Case 2'!I42*'MSW characteristics'!$B$32+'MSW characteristics'!$B$33*'4A SWD Case 2'!J42+'4A SWD Case 2'!K42*'MSW characteristics'!$B$35</f>
        <v>0.12048152225760915</v>
      </c>
      <c r="Q42" s="1135">
        <f t="shared" si="2"/>
        <v>448.18421223938253</v>
      </c>
      <c r="R42" s="1135">
        <f t="shared" si="3"/>
        <v>448.18421223938253</v>
      </c>
      <c r="S42" s="306">
        <f t="shared" si="4"/>
        <v>0</v>
      </c>
      <c r="T42" s="1135">
        <f t="shared" si="5"/>
        <v>3353.7103935369323</v>
      </c>
      <c r="U42" s="1135">
        <f t="shared" si="6"/>
        <v>148.96951286436777</v>
      </c>
      <c r="V42" s="1144">
        <f t="shared" si="7"/>
        <v>99.313008576245181</v>
      </c>
      <c r="X42" s="323">
        <f>'Baseline data (from input)'!T30*'Baseline data (from input)'!U30</f>
        <v>27903.171227595885</v>
      </c>
      <c r="Y42" s="1137">
        <f>Parameters!S145</f>
        <v>0.71500000000000008</v>
      </c>
      <c r="Z42" s="1137">
        <f t="shared" si="8"/>
        <v>0.15</v>
      </c>
      <c r="AA42" s="1135">
        <f t="shared" si="9"/>
        <v>1496.3075570798296</v>
      </c>
      <c r="AB42" s="1135">
        <f t="shared" si="10"/>
        <v>1496.3075570798296</v>
      </c>
      <c r="AC42" s="306">
        <f t="shared" si="11"/>
        <v>0</v>
      </c>
      <c r="AD42" s="1135">
        <f t="shared" si="12"/>
        <v>12044.238345899719</v>
      </c>
      <c r="AE42" s="1135">
        <f t="shared" si="13"/>
        <v>540.80397604121572</v>
      </c>
      <c r="AF42" s="1144">
        <f t="shared" si="14"/>
        <v>360.53598402747713</v>
      </c>
      <c r="AH42" s="323">
        <f>'Baseline data (from input)'!T30*'Baseline data (from input)'!U30</f>
        <v>27903.171227595885</v>
      </c>
      <c r="AI42" s="1137">
        <f>Parameters!S145</f>
        <v>0.71500000000000008</v>
      </c>
      <c r="AJ42" s="1137">
        <f t="shared" si="15"/>
        <v>0.15</v>
      </c>
      <c r="AK42" s="1135">
        <f t="shared" si="16"/>
        <v>1496.3075570798296</v>
      </c>
      <c r="AL42" s="1135">
        <f t="shared" si="17"/>
        <v>1496.3075570798296</v>
      </c>
      <c r="AM42" s="306">
        <f t="shared" si="18"/>
        <v>0</v>
      </c>
      <c r="AN42" s="1135">
        <f t="shared" si="19"/>
        <v>12044.238345899719</v>
      </c>
      <c r="AO42" s="1135">
        <f t="shared" si="20"/>
        <v>540.80397604121572</v>
      </c>
      <c r="AP42" s="1144">
        <f t="shared" si="21"/>
        <v>360.53598402747713</v>
      </c>
      <c r="AR42" s="1143">
        <v>0</v>
      </c>
      <c r="AS42" s="1136">
        <v>1</v>
      </c>
      <c r="AT42" s="1136">
        <f t="shared" si="22"/>
        <v>0.05</v>
      </c>
      <c r="AU42" s="1135">
        <f t="shared" si="23"/>
        <v>0</v>
      </c>
      <c r="AV42" s="1135">
        <f t="shared" si="24"/>
        <v>0</v>
      </c>
      <c r="AW42" s="306">
        <f t="shared" si="25"/>
        <v>0</v>
      </c>
      <c r="AX42" s="1151">
        <f t="shared" si="26"/>
        <v>0</v>
      </c>
      <c r="AY42" s="1151">
        <f t="shared" si="27"/>
        <v>0</v>
      </c>
      <c r="AZ42" s="1144">
        <f t="shared" si="28"/>
        <v>0</v>
      </c>
      <c r="BB42" s="323">
        <f t="shared" si="29"/>
        <v>99.313008576245181</v>
      </c>
      <c r="BC42" s="324">
        <f t="shared" si="30"/>
        <v>360.53598402747713</v>
      </c>
      <c r="BD42" s="1323">
        <f t="shared" si="31"/>
        <v>0</v>
      </c>
      <c r="BE42" s="324">
        <f t="shared" si="32"/>
        <v>459.84899260372231</v>
      </c>
      <c r="BF42" s="104">
        <v>0</v>
      </c>
      <c r="BG42" s="325">
        <f t="shared" si="33"/>
        <v>459.84899260372231</v>
      </c>
      <c r="BI42" s="323">
        <f t="shared" si="34"/>
        <v>99.313008576245181</v>
      </c>
      <c r="BJ42" s="324">
        <f t="shared" si="35"/>
        <v>360.53598402747713</v>
      </c>
      <c r="BK42" s="1323">
        <f t="shared" si="36"/>
        <v>0</v>
      </c>
      <c r="BL42" s="324">
        <f t="shared" si="37"/>
        <v>459.84899260372231</v>
      </c>
      <c r="BM42" s="104">
        <v>0</v>
      </c>
      <c r="BN42" s="325">
        <f t="shared" si="38"/>
        <v>459.84899260372231</v>
      </c>
    </row>
    <row r="43" spans="1:66">
      <c r="A43" s="127">
        <f>'Input data'!A73</f>
        <v>1975</v>
      </c>
      <c r="B43" s="1082">
        <f>'Input data'!B73</f>
        <v>22.502480000000002</v>
      </c>
      <c r="C43" s="1126">
        <f>'Baseline data (from input)'!B31</f>
        <v>578.73</v>
      </c>
      <c r="D43" s="1081">
        <f>'Baseline data (from input)'!L31</f>
        <v>0.8</v>
      </c>
      <c r="E43" s="992">
        <f t="shared" si="41"/>
        <v>0.24001298204245269</v>
      </c>
      <c r="F43" s="992">
        <f t="shared" si="41"/>
        <v>0.30440139352934503</v>
      </c>
      <c r="G43" s="992">
        <f t="shared" si="41"/>
        <v>5.8998240613430578E-2</v>
      </c>
      <c r="H43" s="992">
        <f t="shared" si="41"/>
        <v>0</v>
      </c>
      <c r="I43" s="992">
        <f t="shared" si="41"/>
        <v>0</v>
      </c>
      <c r="J43" s="992">
        <f t="shared" si="41"/>
        <v>0</v>
      </c>
      <c r="K43" s="992">
        <f t="shared" si="41"/>
        <v>0.39658738381477154</v>
      </c>
      <c r="L43" s="1092">
        <f t="shared" si="40"/>
        <v>0.99999999999999989</v>
      </c>
      <c r="N43" s="323">
        <f t="shared" si="1"/>
        <v>10418.288200320001</v>
      </c>
      <c r="O43" s="1137">
        <f>Parameters!R146</f>
        <v>0.73</v>
      </c>
      <c r="P43" s="1137">
        <f>E43*'MSW characteristics'!$B$28+'MSW characteristics'!$B$29*'4A SWD Case 2'!F43+'4A SWD Case 2'!G43*'MSW characteristics'!$B$30+'MSW characteristics'!$B$31*'4A SWD Case 2'!H43+'4A SWD Case 2'!I43*'MSW characteristics'!$B$32+'MSW characteristics'!$B$33*'4A SWD Case 2'!J43+'4A SWD Case 2'!K43*'MSW characteristics'!$B$35</f>
        <v>0.12048152225760915</v>
      </c>
      <c r="Q43" s="1135">
        <f t="shared" si="2"/>
        <v>458.15209591795991</v>
      </c>
      <c r="R43" s="1135">
        <f t="shared" si="3"/>
        <v>458.15209591795991</v>
      </c>
      <c r="S43" s="306">
        <f t="shared" si="4"/>
        <v>0</v>
      </c>
      <c r="T43" s="1135">
        <f t="shared" si="5"/>
        <v>3648.3001035041589</v>
      </c>
      <c r="U43" s="1135">
        <f t="shared" si="6"/>
        <v>163.56238595073307</v>
      </c>
      <c r="V43" s="1144">
        <f t="shared" si="7"/>
        <v>109.04159063382205</v>
      </c>
      <c r="X43" s="323">
        <f>'Baseline data (from input)'!T31*'Baseline data (from input)'!U31</f>
        <v>28376.255035499355</v>
      </c>
      <c r="Y43" s="1137">
        <f>Parameters!S146</f>
        <v>0.71500000000000008</v>
      </c>
      <c r="Z43" s="1137">
        <f t="shared" si="8"/>
        <v>0.15</v>
      </c>
      <c r="AA43" s="1135">
        <f t="shared" si="9"/>
        <v>1521.6766762786531</v>
      </c>
      <c r="AB43" s="1135">
        <f t="shared" si="10"/>
        <v>1521.6766762786531</v>
      </c>
      <c r="AC43" s="306">
        <f t="shared" si="11"/>
        <v>0</v>
      </c>
      <c r="AD43" s="1135">
        <f t="shared" si="12"/>
        <v>12978.510586598275</v>
      </c>
      <c r="AE43" s="1135">
        <f t="shared" si="13"/>
        <v>587.40443558009758</v>
      </c>
      <c r="AF43" s="1144">
        <f t="shared" si="14"/>
        <v>391.60295705339837</v>
      </c>
      <c r="AH43" s="323">
        <f>'Baseline data (from input)'!T31*'Baseline data (from input)'!U31</f>
        <v>28376.255035499355</v>
      </c>
      <c r="AI43" s="1137">
        <f>Parameters!S146</f>
        <v>0.71500000000000008</v>
      </c>
      <c r="AJ43" s="1137">
        <f t="shared" si="15"/>
        <v>0.15</v>
      </c>
      <c r="AK43" s="1135">
        <f t="shared" si="16"/>
        <v>1521.6766762786531</v>
      </c>
      <c r="AL43" s="1135">
        <f t="shared" si="17"/>
        <v>1521.6766762786531</v>
      </c>
      <c r="AM43" s="306">
        <f t="shared" si="18"/>
        <v>0</v>
      </c>
      <c r="AN43" s="1135">
        <f t="shared" si="19"/>
        <v>12978.510586598275</v>
      </c>
      <c r="AO43" s="1135">
        <f t="shared" si="20"/>
        <v>587.40443558009758</v>
      </c>
      <c r="AP43" s="1144">
        <f t="shared" si="21"/>
        <v>391.60295705339837</v>
      </c>
      <c r="AR43" s="1143">
        <v>0</v>
      </c>
      <c r="AS43" s="1136">
        <v>1</v>
      </c>
      <c r="AT43" s="1136">
        <f t="shared" si="22"/>
        <v>0.05</v>
      </c>
      <c r="AU43" s="1135">
        <f t="shared" si="23"/>
        <v>0</v>
      </c>
      <c r="AV43" s="1135">
        <f t="shared" si="24"/>
        <v>0</v>
      </c>
      <c r="AW43" s="306">
        <f t="shared" si="25"/>
        <v>0</v>
      </c>
      <c r="AX43" s="1151">
        <f t="shared" si="26"/>
        <v>0</v>
      </c>
      <c r="AY43" s="1151">
        <f t="shared" si="27"/>
        <v>0</v>
      </c>
      <c r="AZ43" s="1144">
        <f t="shared" si="28"/>
        <v>0</v>
      </c>
      <c r="BB43" s="323">
        <f t="shared" si="29"/>
        <v>109.04159063382205</v>
      </c>
      <c r="BC43" s="324">
        <f t="shared" si="30"/>
        <v>391.60295705339837</v>
      </c>
      <c r="BD43" s="1323">
        <f t="shared" si="31"/>
        <v>0</v>
      </c>
      <c r="BE43" s="324">
        <f t="shared" si="32"/>
        <v>500.64454768722044</v>
      </c>
      <c r="BF43" s="104">
        <v>0</v>
      </c>
      <c r="BG43" s="325">
        <f t="shared" si="33"/>
        <v>500.64454768722044</v>
      </c>
      <c r="BI43" s="323">
        <f t="shared" si="34"/>
        <v>109.04159063382205</v>
      </c>
      <c r="BJ43" s="324">
        <f t="shared" si="35"/>
        <v>391.60295705339837</v>
      </c>
      <c r="BK43" s="1323">
        <f t="shared" si="36"/>
        <v>0</v>
      </c>
      <c r="BL43" s="324">
        <f t="shared" si="37"/>
        <v>500.64454768722044</v>
      </c>
      <c r="BM43" s="104">
        <v>0</v>
      </c>
      <c r="BN43" s="325">
        <f t="shared" si="38"/>
        <v>500.64454768722044</v>
      </c>
    </row>
    <row r="44" spans="1:66">
      <c r="A44" s="127">
        <f>'Input data'!A74</f>
        <v>1976</v>
      </c>
      <c r="B44" s="1082">
        <f>'Input data'!B74</f>
        <v>22.993880000000001</v>
      </c>
      <c r="C44" s="1126">
        <f>'Baseline data (from input)'!B32</f>
        <v>578.73</v>
      </c>
      <c r="D44" s="1081">
        <f>'Baseline data (from input)'!L32</f>
        <v>0.8</v>
      </c>
      <c r="E44" s="992">
        <f t="shared" si="41"/>
        <v>0.24001298204245269</v>
      </c>
      <c r="F44" s="992">
        <f t="shared" si="41"/>
        <v>0.30440139352934503</v>
      </c>
      <c r="G44" s="992">
        <f t="shared" si="41"/>
        <v>5.8998240613430578E-2</v>
      </c>
      <c r="H44" s="992">
        <f t="shared" si="41"/>
        <v>0</v>
      </c>
      <c r="I44" s="992">
        <f t="shared" si="41"/>
        <v>0</v>
      </c>
      <c r="J44" s="992">
        <f t="shared" si="41"/>
        <v>0</v>
      </c>
      <c r="K44" s="992">
        <f t="shared" si="41"/>
        <v>0.39658738381477154</v>
      </c>
      <c r="L44" s="1092">
        <f t="shared" si="40"/>
        <v>0.99999999999999989</v>
      </c>
      <c r="N44" s="323">
        <f t="shared" si="1"/>
        <v>10645.798537920002</v>
      </c>
      <c r="O44" s="1137">
        <f>Parameters!R147</f>
        <v>0.73</v>
      </c>
      <c r="P44" s="1137">
        <f>E44*'MSW characteristics'!$B$28+'MSW characteristics'!$B$29*'4A SWD Case 2'!F44+'4A SWD Case 2'!G44*'MSW characteristics'!$B$30+'MSW characteristics'!$B$31*'4A SWD Case 2'!H44+'4A SWD Case 2'!I44*'MSW characteristics'!$B$32+'MSW characteristics'!$B$33*'4A SWD Case 2'!J44+'4A SWD Case 2'!K44*'MSW characteristics'!$B$35</f>
        <v>0.12048152225760915</v>
      </c>
      <c r="Q44" s="1135">
        <f t="shared" si="2"/>
        <v>468.15703492619758</v>
      </c>
      <c r="R44" s="1135">
        <f t="shared" si="3"/>
        <v>468.15703492619758</v>
      </c>
      <c r="S44" s="306">
        <f t="shared" si="4"/>
        <v>0</v>
      </c>
      <c r="T44" s="1135">
        <f t="shared" si="5"/>
        <v>3938.5274427883537</v>
      </c>
      <c r="U44" s="1135">
        <f t="shared" si="6"/>
        <v>177.92969564200246</v>
      </c>
      <c r="V44" s="1144">
        <f t="shared" si="7"/>
        <v>118.6197970946683</v>
      </c>
      <c r="X44" s="323">
        <f>'Baseline data (from input)'!T32*'Baseline data (from input)'!U32</f>
        <v>29014.693547916435</v>
      </c>
      <c r="Y44" s="1137">
        <f>Parameters!S147</f>
        <v>0.71500000000000008</v>
      </c>
      <c r="Z44" s="1137">
        <f t="shared" si="8"/>
        <v>0.15</v>
      </c>
      <c r="AA44" s="1135">
        <f t="shared" si="9"/>
        <v>1555.9129415070188</v>
      </c>
      <c r="AB44" s="1135">
        <f t="shared" si="10"/>
        <v>1555.9129415070188</v>
      </c>
      <c r="AC44" s="306">
        <f t="shared" si="11"/>
        <v>0</v>
      </c>
      <c r="AD44" s="1135">
        <f t="shared" si="12"/>
        <v>13901.454097673321</v>
      </c>
      <c r="AE44" s="1135">
        <f t="shared" si="13"/>
        <v>632.96943043197359</v>
      </c>
      <c r="AF44" s="1144">
        <f t="shared" si="14"/>
        <v>421.97962028798241</v>
      </c>
      <c r="AH44" s="323">
        <f>'Baseline data (from input)'!T32*'Baseline data (from input)'!U32</f>
        <v>29014.693547916435</v>
      </c>
      <c r="AI44" s="1137">
        <f>Parameters!S147</f>
        <v>0.71500000000000008</v>
      </c>
      <c r="AJ44" s="1137">
        <f t="shared" si="15"/>
        <v>0.15</v>
      </c>
      <c r="AK44" s="1135">
        <f t="shared" si="16"/>
        <v>1555.9129415070188</v>
      </c>
      <c r="AL44" s="1135">
        <f t="shared" si="17"/>
        <v>1555.9129415070188</v>
      </c>
      <c r="AM44" s="306">
        <f t="shared" si="18"/>
        <v>0</v>
      </c>
      <c r="AN44" s="1135">
        <f t="shared" si="19"/>
        <v>13901.454097673321</v>
      </c>
      <c r="AO44" s="1135">
        <f t="shared" si="20"/>
        <v>632.96943043197359</v>
      </c>
      <c r="AP44" s="1144">
        <f t="shared" si="21"/>
        <v>421.97962028798241</v>
      </c>
      <c r="AR44" s="1143">
        <v>0</v>
      </c>
      <c r="AS44" s="1136">
        <v>1</v>
      </c>
      <c r="AT44" s="1136">
        <f t="shared" si="22"/>
        <v>0.05</v>
      </c>
      <c r="AU44" s="1135">
        <f t="shared" si="23"/>
        <v>0</v>
      </c>
      <c r="AV44" s="1135">
        <f t="shared" si="24"/>
        <v>0</v>
      </c>
      <c r="AW44" s="306">
        <f t="shared" si="25"/>
        <v>0</v>
      </c>
      <c r="AX44" s="1151">
        <f t="shared" si="26"/>
        <v>0</v>
      </c>
      <c r="AY44" s="1151">
        <f t="shared" si="27"/>
        <v>0</v>
      </c>
      <c r="AZ44" s="1144">
        <f t="shared" si="28"/>
        <v>0</v>
      </c>
      <c r="BB44" s="323">
        <f t="shared" si="29"/>
        <v>118.6197970946683</v>
      </c>
      <c r="BC44" s="324">
        <f t="shared" si="30"/>
        <v>421.97962028798241</v>
      </c>
      <c r="BD44" s="1323">
        <f t="shared" si="31"/>
        <v>0</v>
      </c>
      <c r="BE44" s="324">
        <f t="shared" si="32"/>
        <v>540.5994173826507</v>
      </c>
      <c r="BF44" s="104">
        <v>0</v>
      </c>
      <c r="BG44" s="325">
        <f t="shared" si="33"/>
        <v>540.5994173826507</v>
      </c>
      <c r="BI44" s="323">
        <f t="shared" si="34"/>
        <v>118.6197970946683</v>
      </c>
      <c r="BJ44" s="324">
        <f t="shared" si="35"/>
        <v>421.97962028798241</v>
      </c>
      <c r="BK44" s="1323">
        <f t="shared" si="36"/>
        <v>0</v>
      </c>
      <c r="BL44" s="324">
        <f t="shared" si="37"/>
        <v>540.5994173826507</v>
      </c>
      <c r="BM44" s="104">
        <v>0</v>
      </c>
      <c r="BN44" s="325">
        <f t="shared" si="38"/>
        <v>540.5994173826507</v>
      </c>
    </row>
    <row r="45" spans="1:66">
      <c r="A45" s="127">
        <f>'Input data'!A75</f>
        <v>1977</v>
      </c>
      <c r="B45" s="1082">
        <f>'Input data'!B75</f>
        <v>23.483460000000001</v>
      </c>
      <c r="C45" s="1126">
        <f>'Baseline data (from input)'!B33</f>
        <v>578.73</v>
      </c>
      <c r="D45" s="1081">
        <f>'Baseline data (from input)'!L33</f>
        <v>0.8</v>
      </c>
      <c r="E45" s="992">
        <f t="shared" si="41"/>
        <v>0.24001298204245269</v>
      </c>
      <c r="F45" s="992">
        <f t="shared" si="41"/>
        <v>0.30440139352934503</v>
      </c>
      <c r="G45" s="992">
        <f t="shared" si="41"/>
        <v>5.8998240613430578E-2</v>
      </c>
      <c r="H45" s="992">
        <f t="shared" si="41"/>
        <v>0</v>
      </c>
      <c r="I45" s="992">
        <f t="shared" si="41"/>
        <v>0</v>
      </c>
      <c r="J45" s="992">
        <f t="shared" si="41"/>
        <v>0</v>
      </c>
      <c r="K45" s="992">
        <f t="shared" si="41"/>
        <v>0.39658738381477154</v>
      </c>
      <c r="L45" s="1092">
        <f t="shared" si="40"/>
        <v>0.99999999999999989</v>
      </c>
      <c r="N45" s="323">
        <f t="shared" si="1"/>
        <v>10872.466244640002</v>
      </c>
      <c r="O45" s="1137">
        <f>Parameters!R148</f>
        <v>0.73</v>
      </c>
      <c r="P45" s="1137">
        <f>E45*'MSW characteristics'!$B$28+'MSW characteristics'!$B$29*'4A SWD Case 2'!F45+'4A SWD Case 2'!G45*'MSW characteristics'!$B$30+'MSW characteristics'!$B$31*'4A SWD Case 2'!H45+'4A SWD Case 2'!I45*'MSW characteristics'!$B$32+'MSW characteristics'!$B$33*'4A SWD Case 2'!J45+'4A SWD Case 2'!K45*'MSW characteristics'!$B$35</f>
        <v>0.12048152225760915</v>
      </c>
      <c r="Q45" s="1135">
        <f t="shared" si="2"/>
        <v>478.12491860477496</v>
      </c>
      <c r="R45" s="1135">
        <f t="shared" si="3"/>
        <v>478.12491860477496</v>
      </c>
      <c r="S45" s="306">
        <f t="shared" si="4"/>
        <v>0</v>
      </c>
      <c r="T45" s="1135">
        <f t="shared" si="5"/>
        <v>4224.5681113886094</v>
      </c>
      <c r="U45" s="1135">
        <f t="shared" si="6"/>
        <v>192.08425000451916</v>
      </c>
      <c r="V45" s="1144">
        <f t="shared" si="7"/>
        <v>128.05616666967944</v>
      </c>
      <c r="X45" s="323">
        <f>'Baseline data (from input)'!T33*'Baseline data (from input)'!U33</f>
        <v>28987.408845606311</v>
      </c>
      <c r="Y45" s="1137">
        <f>Parameters!S148</f>
        <v>0.71500000000000008</v>
      </c>
      <c r="Z45" s="1137">
        <f t="shared" si="8"/>
        <v>0.15</v>
      </c>
      <c r="AA45" s="1135">
        <f t="shared" si="9"/>
        <v>1554.4497993456384</v>
      </c>
      <c r="AB45" s="1135">
        <f t="shared" si="10"/>
        <v>1554.4497993456384</v>
      </c>
      <c r="AC45" s="306">
        <f t="shared" si="11"/>
        <v>0</v>
      </c>
      <c r="AD45" s="1135">
        <f t="shared" si="12"/>
        <v>14777.921980398523</v>
      </c>
      <c r="AE45" s="1135">
        <f t="shared" si="13"/>
        <v>677.98191662043519</v>
      </c>
      <c r="AF45" s="1144">
        <f t="shared" si="14"/>
        <v>451.98794441362344</v>
      </c>
      <c r="AH45" s="323">
        <f>'Baseline data (from input)'!T33*'Baseline data (from input)'!U33</f>
        <v>28987.408845606311</v>
      </c>
      <c r="AI45" s="1137">
        <f>Parameters!S148</f>
        <v>0.71500000000000008</v>
      </c>
      <c r="AJ45" s="1137">
        <f t="shared" si="15"/>
        <v>0.15</v>
      </c>
      <c r="AK45" s="1135">
        <f t="shared" si="16"/>
        <v>1554.4497993456384</v>
      </c>
      <c r="AL45" s="1135">
        <f t="shared" si="17"/>
        <v>1554.4497993456384</v>
      </c>
      <c r="AM45" s="306">
        <f t="shared" si="18"/>
        <v>0</v>
      </c>
      <c r="AN45" s="1135">
        <f t="shared" si="19"/>
        <v>14777.921980398523</v>
      </c>
      <c r="AO45" s="1135">
        <f t="shared" si="20"/>
        <v>677.98191662043519</v>
      </c>
      <c r="AP45" s="1144">
        <f t="shared" si="21"/>
        <v>451.98794441362344</v>
      </c>
      <c r="AR45" s="1143">
        <v>0</v>
      </c>
      <c r="AS45" s="1136">
        <v>1</v>
      </c>
      <c r="AT45" s="1136">
        <f t="shared" si="22"/>
        <v>0.05</v>
      </c>
      <c r="AU45" s="1135">
        <f t="shared" si="23"/>
        <v>0</v>
      </c>
      <c r="AV45" s="1135">
        <f t="shared" si="24"/>
        <v>0</v>
      </c>
      <c r="AW45" s="306">
        <f t="shared" si="25"/>
        <v>0</v>
      </c>
      <c r="AX45" s="1151">
        <f t="shared" si="26"/>
        <v>0</v>
      </c>
      <c r="AY45" s="1151">
        <f t="shared" si="27"/>
        <v>0</v>
      </c>
      <c r="AZ45" s="1144">
        <f t="shared" si="28"/>
        <v>0</v>
      </c>
      <c r="BB45" s="323">
        <f t="shared" si="29"/>
        <v>128.05616666967944</v>
      </c>
      <c r="BC45" s="324">
        <f t="shared" si="30"/>
        <v>451.98794441362344</v>
      </c>
      <c r="BD45" s="1323">
        <f t="shared" si="31"/>
        <v>0</v>
      </c>
      <c r="BE45" s="324">
        <f t="shared" si="32"/>
        <v>580.04411108330282</v>
      </c>
      <c r="BF45" s="104">
        <v>0</v>
      </c>
      <c r="BG45" s="325">
        <f t="shared" si="33"/>
        <v>580.04411108330282</v>
      </c>
      <c r="BI45" s="323">
        <f t="shared" si="34"/>
        <v>128.05616666967944</v>
      </c>
      <c r="BJ45" s="324">
        <f t="shared" si="35"/>
        <v>451.98794441362344</v>
      </c>
      <c r="BK45" s="1323">
        <f t="shared" si="36"/>
        <v>0</v>
      </c>
      <c r="BL45" s="324">
        <f t="shared" si="37"/>
        <v>580.04411108330282</v>
      </c>
      <c r="BM45" s="104">
        <v>0</v>
      </c>
      <c r="BN45" s="325">
        <f t="shared" si="38"/>
        <v>580.04411108330282</v>
      </c>
    </row>
    <row r="46" spans="1:66">
      <c r="A46" s="127">
        <f>'Input data'!A76</f>
        <v>1978</v>
      </c>
      <c r="B46" s="1082">
        <f>'Input data'!B76</f>
        <v>23.983049999999999</v>
      </c>
      <c r="C46" s="1126">
        <f>'Baseline data (from input)'!B34</f>
        <v>578.73</v>
      </c>
      <c r="D46" s="1081">
        <f>'Baseline data (from input)'!L34</f>
        <v>0.8</v>
      </c>
      <c r="E46" s="992">
        <f t="shared" si="41"/>
        <v>0.24001298204245269</v>
      </c>
      <c r="F46" s="992">
        <f t="shared" si="41"/>
        <v>0.30440139352934503</v>
      </c>
      <c r="G46" s="992">
        <f t="shared" si="41"/>
        <v>5.8998240613430578E-2</v>
      </c>
      <c r="H46" s="992">
        <f t="shared" si="41"/>
        <v>0</v>
      </c>
      <c r="I46" s="992">
        <f t="shared" si="41"/>
        <v>0</v>
      </c>
      <c r="J46" s="992">
        <f t="shared" si="41"/>
        <v>0</v>
      </c>
      <c r="K46" s="992">
        <f t="shared" si="41"/>
        <v>0.39658738381477154</v>
      </c>
      <c r="L46" s="1092">
        <f t="shared" si="40"/>
        <v>0.99999999999999989</v>
      </c>
      <c r="N46" s="323">
        <f t="shared" si="1"/>
        <v>11103.7684212</v>
      </c>
      <c r="O46" s="1137">
        <f>Parameters!R149</f>
        <v>0.73</v>
      </c>
      <c r="P46" s="1137">
        <f>E46*'MSW characteristics'!$B$28+'MSW characteristics'!$B$29*'4A SWD Case 2'!F46+'4A SWD Case 2'!G46*'MSW characteristics'!$B$30+'MSW characteristics'!$B$31*'4A SWD Case 2'!H46+'4A SWD Case 2'!I46*'MSW characteristics'!$B$32+'MSW characteristics'!$B$33*'4A SWD Case 2'!J46+'4A SWD Case 2'!K46*'MSW characteristics'!$B$35</f>
        <v>0.12048152225760915</v>
      </c>
      <c r="Q46" s="1135">
        <f t="shared" si="2"/>
        <v>488.29660659648306</v>
      </c>
      <c r="R46" s="1135">
        <f t="shared" si="3"/>
        <v>488.29660659648306</v>
      </c>
      <c r="S46" s="306">
        <f t="shared" si="4"/>
        <v>0</v>
      </c>
      <c r="T46" s="1135">
        <f t="shared" si="5"/>
        <v>4506.8300999567382</v>
      </c>
      <c r="U46" s="1135">
        <f t="shared" si="6"/>
        <v>206.03461802835417</v>
      </c>
      <c r="V46" s="1144">
        <f t="shared" si="7"/>
        <v>137.35641201890277</v>
      </c>
      <c r="X46" s="323">
        <f>'Baseline data (from input)'!T34*'Baseline data (from input)'!U34</f>
        <v>29861.248479231726</v>
      </c>
      <c r="Y46" s="1137">
        <f>Parameters!S149</f>
        <v>0.71500000000000008</v>
      </c>
      <c r="Z46" s="1137">
        <f t="shared" si="8"/>
        <v>0.15</v>
      </c>
      <c r="AA46" s="1135">
        <f t="shared" si="9"/>
        <v>1601.3094496988015</v>
      </c>
      <c r="AB46" s="1135">
        <f t="shared" si="10"/>
        <v>1601.3094496988015</v>
      </c>
      <c r="AC46" s="306">
        <f t="shared" si="11"/>
        <v>0</v>
      </c>
      <c r="AD46" s="1135">
        <f t="shared" si="12"/>
        <v>15658.50367042974</v>
      </c>
      <c r="AE46" s="1135">
        <f t="shared" si="13"/>
        <v>720.727759667584</v>
      </c>
      <c r="AF46" s="1144">
        <f t="shared" si="14"/>
        <v>480.48517311172264</v>
      </c>
      <c r="AH46" s="323">
        <f>'Baseline data (from input)'!T34*'Baseline data (from input)'!U34</f>
        <v>29861.248479231726</v>
      </c>
      <c r="AI46" s="1137">
        <f>Parameters!S149</f>
        <v>0.71500000000000008</v>
      </c>
      <c r="AJ46" s="1137">
        <f t="shared" si="15"/>
        <v>0.15</v>
      </c>
      <c r="AK46" s="1135">
        <f t="shared" si="16"/>
        <v>1601.3094496988015</v>
      </c>
      <c r="AL46" s="1135">
        <f t="shared" si="17"/>
        <v>1601.3094496988015</v>
      </c>
      <c r="AM46" s="306">
        <f t="shared" si="18"/>
        <v>0</v>
      </c>
      <c r="AN46" s="1135">
        <f t="shared" si="19"/>
        <v>15658.50367042974</v>
      </c>
      <c r="AO46" s="1135">
        <f t="shared" si="20"/>
        <v>720.727759667584</v>
      </c>
      <c r="AP46" s="1144">
        <f t="shared" si="21"/>
        <v>480.48517311172264</v>
      </c>
      <c r="AR46" s="1143">
        <v>0</v>
      </c>
      <c r="AS46" s="1136">
        <v>1</v>
      </c>
      <c r="AT46" s="1136">
        <f t="shared" si="22"/>
        <v>0.05</v>
      </c>
      <c r="AU46" s="1135">
        <f t="shared" si="23"/>
        <v>0</v>
      </c>
      <c r="AV46" s="1135">
        <f t="shared" si="24"/>
        <v>0</v>
      </c>
      <c r="AW46" s="306">
        <f t="shared" si="25"/>
        <v>0</v>
      </c>
      <c r="AX46" s="1151">
        <f t="shared" si="26"/>
        <v>0</v>
      </c>
      <c r="AY46" s="1151">
        <f t="shared" si="27"/>
        <v>0</v>
      </c>
      <c r="AZ46" s="1144">
        <f t="shared" si="28"/>
        <v>0</v>
      </c>
      <c r="BB46" s="323">
        <f t="shared" si="29"/>
        <v>137.35641201890277</v>
      </c>
      <c r="BC46" s="324">
        <f t="shared" si="30"/>
        <v>480.48517311172264</v>
      </c>
      <c r="BD46" s="1323">
        <f t="shared" si="31"/>
        <v>0</v>
      </c>
      <c r="BE46" s="324">
        <f t="shared" si="32"/>
        <v>617.84158513062539</v>
      </c>
      <c r="BF46" s="104">
        <v>0</v>
      </c>
      <c r="BG46" s="325">
        <f t="shared" si="33"/>
        <v>617.84158513062539</v>
      </c>
      <c r="BI46" s="323">
        <f t="shared" si="34"/>
        <v>137.35641201890277</v>
      </c>
      <c r="BJ46" s="324">
        <f t="shared" si="35"/>
        <v>480.48517311172264</v>
      </c>
      <c r="BK46" s="1323">
        <f t="shared" si="36"/>
        <v>0</v>
      </c>
      <c r="BL46" s="324">
        <f t="shared" si="37"/>
        <v>617.84158513062539</v>
      </c>
      <c r="BM46" s="104">
        <v>0</v>
      </c>
      <c r="BN46" s="325">
        <f t="shared" si="38"/>
        <v>617.84158513062539</v>
      </c>
    </row>
    <row r="47" spans="1:66">
      <c r="A47" s="127">
        <f>'Input data'!A77</f>
        <v>1979</v>
      </c>
      <c r="B47" s="1082">
        <f>'Input data'!B77</f>
        <v>24.516309999999997</v>
      </c>
      <c r="C47" s="1126">
        <f>'Baseline data (from input)'!B35</f>
        <v>578.73</v>
      </c>
      <c r="D47" s="1081">
        <f>'Baseline data (from input)'!L35</f>
        <v>0.8</v>
      </c>
      <c r="E47" s="992">
        <f t="shared" si="41"/>
        <v>0.24001298204245269</v>
      </c>
      <c r="F47" s="992">
        <f t="shared" si="41"/>
        <v>0.30440139352934503</v>
      </c>
      <c r="G47" s="992">
        <f t="shared" si="41"/>
        <v>5.8998240613430578E-2</v>
      </c>
      <c r="H47" s="992">
        <f t="shared" si="41"/>
        <v>0</v>
      </c>
      <c r="I47" s="992">
        <f t="shared" si="41"/>
        <v>0</v>
      </c>
      <c r="J47" s="992">
        <f t="shared" si="41"/>
        <v>0</v>
      </c>
      <c r="K47" s="992">
        <f t="shared" si="41"/>
        <v>0.39658738381477154</v>
      </c>
      <c r="L47" s="1092">
        <f t="shared" si="40"/>
        <v>0.99999999999999989</v>
      </c>
      <c r="N47" s="323">
        <f t="shared" si="1"/>
        <v>11350.659269039999</v>
      </c>
      <c r="O47" s="1137">
        <f>Parameters!R150</f>
        <v>0.73</v>
      </c>
      <c r="P47" s="1137">
        <f>E47*'MSW characteristics'!$B$28+'MSW characteristics'!$B$29*'4A SWD Case 2'!F47+'4A SWD Case 2'!G47*'MSW characteristics'!$B$30+'MSW characteristics'!$B$31*'4A SWD Case 2'!H47+'4A SWD Case 2'!I47*'MSW characteristics'!$B$32+'MSW characteristics'!$B$33*'4A SWD Case 2'!J47+'4A SWD Case 2'!K47*'MSW characteristics'!$B$35</f>
        <v>0.12048152225760915</v>
      </c>
      <c r="Q47" s="1135">
        <f t="shared" si="2"/>
        <v>499.15381818690378</v>
      </c>
      <c r="R47" s="1135">
        <f t="shared" si="3"/>
        <v>499.15381818690378</v>
      </c>
      <c r="S47" s="306">
        <f t="shared" si="4"/>
        <v>0</v>
      </c>
      <c r="T47" s="1135">
        <f t="shared" si="5"/>
        <v>4786.1832204912471</v>
      </c>
      <c r="U47" s="1135">
        <f t="shared" si="6"/>
        <v>219.80069765239469</v>
      </c>
      <c r="V47" s="1144">
        <f t="shared" si="7"/>
        <v>146.53379843492979</v>
      </c>
      <c r="X47" s="323">
        <f>'Baseline data (from input)'!T35*'Baseline data (from input)'!U35</f>
        <v>30993.140241147801</v>
      </c>
      <c r="Y47" s="1137">
        <f>Parameters!S150</f>
        <v>0.71500000000000008</v>
      </c>
      <c r="Z47" s="1137">
        <f t="shared" si="8"/>
        <v>0.15</v>
      </c>
      <c r="AA47" s="1135">
        <f t="shared" si="9"/>
        <v>1662.007145431551</v>
      </c>
      <c r="AB47" s="1135">
        <f t="shared" si="10"/>
        <v>1662.007145431551</v>
      </c>
      <c r="AC47" s="306">
        <f t="shared" si="11"/>
        <v>0</v>
      </c>
      <c r="AD47" s="1135">
        <f t="shared" si="12"/>
        <v>16556.83658039675</v>
      </c>
      <c r="AE47" s="1135">
        <f t="shared" si="13"/>
        <v>763.67423546454029</v>
      </c>
      <c r="AF47" s="1144">
        <f t="shared" si="14"/>
        <v>509.11615697636017</v>
      </c>
      <c r="AH47" s="323">
        <f>'Baseline data (from input)'!T35*'Baseline data (from input)'!U35</f>
        <v>30993.140241147801</v>
      </c>
      <c r="AI47" s="1137">
        <f>Parameters!S150</f>
        <v>0.71500000000000008</v>
      </c>
      <c r="AJ47" s="1137">
        <f t="shared" si="15"/>
        <v>0.15</v>
      </c>
      <c r="AK47" s="1135">
        <f t="shared" si="16"/>
        <v>1662.007145431551</v>
      </c>
      <c r="AL47" s="1135">
        <f t="shared" si="17"/>
        <v>1662.007145431551</v>
      </c>
      <c r="AM47" s="306">
        <f t="shared" si="18"/>
        <v>0</v>
      </c>
      <c r="AN47" s="1135">
        <f t="shared" si="19"/>
        <v>16556.83658039675</v>
      </c>
      <c r="AO47" s="1135">
        <f t="shared" si="20"/>
        <v>763.67423546454029</v>
      </c>
      <c r="AP47" s="1144">
        <f t="shared" si="21"/>
        <v>509.11615697636017</v>
      </c>
      <c r="AR47" s="1143">
        <v>0</v>
      </c>
      <c r="AS47" s="1136">
        <v>1</v>
      </c>
      <c r="AT47" s="1136">
        <f t="shared" si="22"/>
        <v>0.05</v>
      </c>
      <c r="AU47" s="1135">
        <f t="shared" si="23"/>
        <v>0</v>
      </c>
      <c r="AV47" s="1135">
        <f t="shared" si="24"/>
        <v>0</v>
      </c>
      <c r="AW47" s="199">
        <f t="shared" si="25"/>
        <v>0</v>
      </c>
      <c r="AX47" s="1151">
        <f t="shared" si="26"/>
        <v>0</v>
      </c>
      <c r="AY47" s="1151">
        <f t="shared" si="27"/>
        <v>0</v>
      </c>
      <c r="AZ47" s="1144">
        <f t="shared" si="28"/>
        <v>0</v>
      </c>
      <c r="BB47" s="323">
        <f t="shared" si="29"/>
        <v>146.53379843492979</v>
      </c>
      <c r="BC47" s="324">
        <f t="shared" si="30"/>
        <v>509.11615697636017</v>
      </c>
      <c r="BD47" s="1323">
        <f t="shared" si="31"/>
        <v>0</v>
      </c>
      <c r="BE47" s="324">
        <f t="shared" si="32"/>
        <v>655.64995541128997</v>
      </c>
      <c r="BF47" s="104">
        <v>0</v>
      </c>
      <c r="BG47" s="325">
        <f t="shared" si="33"/>
        <v>655.64995541128997</v>
      </c>
      <c r="BI47" s="323">
        <f t="shared" si="34"/>
        <v>146.53379843492979</v>
      </c>
      <c r="BJ47" s="324">
        <f t="shared" si="35"/>
        <v>509.11615697636017</v>
      </c>
      <c r="BK47" s="1323">
        <f t="shared" si="36"/>
        <v>0</v>
      </c>
      <c r="BL47" s="324">
        <f t="shared" si="37"/>
        <v>655.64995541128997</v>
      </c>
      <c r="BM47" s="104">
        <v>0</v>
      </c>
      <c r="BN47" s="325">
        <f t="shared" si="38"/>
        <v>655.64995541128997</v>
      </c>
    </row>
    <row r="48" spans="1:66">
      <c r="A48" s="127">
        <f>'Input data'!A78</f>
        <v>1980</v>
      </c>
      <c r="B48" s="1082">
        <f>'Input data'!B78</f>
        <v>25.094160000000002</v>
      </c>
      <c r="C48" s="1126">
        <f>'Baseline data (from input)'!B36</f>
        <v>578.73</v>
      </c>
      <c r="D48" s="1081">
        <f>'Baseline data (from input)'!L36</f>
        <v>0.8</v>
      </c>
      <c r="E48" s="992">
        <f t="shared" si="41"/>
        <v>0.24001298204245269</v>
      </c>
      <c r="F48" s="992">
        <f t="shared" si="41"/>
        <v>0.30440139352934503</v>
      </c>
      <c r="G48" s="992">
        <f t="shared" si="41"/>
        <v>5.8998240613430578E-2</v>
      </c>
      <c r="H48" s="992">
        <f t="shared" si="41"/>
        <v>0</v>
      </c>
      <c r="I48" s="992">
        <f t="shared" si="41"/>
        <v>0</v>
      </c>
      <c r="J48" s="992">
        <f t="shared" si="41"/>
        <v>0</v>
      </c>
      <c r="K48" s="992">
        <f t="shared" si="41"/>
        <v>0.39658738381477154</v>
      </c>
      <c r="L48" s="1092">
        <f t="shared" si="40"/>
        <v>0.99999999999999989</v>
      </c>
      <c r="N48" s="323">
        <f t="shared" si="1"/>
        <v>11618.194573440001</v>
      </c>
      <c r="O48" s="1137">
        <f>Parameters!R151</f>
        <v>0.73</v>
      </c>
      <c r="P48" s="1137">
        <f>E48*'MSW characteristics'!$B$28+'MSW characteristics'!$B$29*'4A SWD Case 2'!F48+'4A SWD Case 2'!G48*'MSW characteristics'!$B$30+'MSW characteristics'!$B$31*'4A SWD Case 2'!H48+'4A SWD Case 2'!I48*'MSW characteristics'!$B$32+'MSW characteristics'!$B$33*'4A SWD Case 2'!J48+'4A SWD Case 2'!K48*'MSW characteristics'!$B$35</f>
        <v>0.12048152225760915</v>
      </c>
      <c r="Q48" s="1135">
        <f t="shared" si="2"/>
        <v>510.91888535399806</v>
      </c>
      <c r="R48" s="1135">
        <f t="shared" si="3"/>
        <v>510.91888535399806</v>
      </c>
      <c r="S48" s="306">
        <f t="shared" si="4"/>
        <v>0</v>
      </c>
      <c r="T48" s="1135">
        <f t="shared" si="5"/>
        <v>5063.677195736861</v>
      </c>
      <c r="U48" s="1135">
        <f t="shared" si="6"/>
        <v>233.4249101083841</v>
      </c>
      <c r="V48" s="1144">
        <f t="shared" si="7"/>
        <v>155.61660673892274</v>
      </c>
      <c r="X48" s="323">
        <f>'Baseline data (from input)'!T36*'Baseline data (from input)'!U36</f>
        <v>33045.06746008664</v>
      </c>
      <c r="Y48" s="1137">
        <f>Parameters!S151</f>
        <v>0.71500000000000008</v>
      </c>
      <c r="Z48" s="1137">
        <f t="shared" si="8"/>
        <v>0.15</v>
      </c>
      <c r="AA48" s="1135">
        <f t="shared" si="9"/>
        <v>1772.0417425471464</v>
      </c>
      <c r="AB48" s="1135">
        <f t="shared" si="10"/>
        <v>1772.0417425471464</v>
      </c>
      <c r="AC48" s="306">
        <f t="shared" si="11"/>
        <v>0</v>
      </c>
      <c r="AD48" s="1135">
        <f t="shared" si="12"/>
        <v>17521.391874470319</v>
      </c>
      <c r="AE48" s="1135">
        <f t="shared" si="13"/>
        <v>807.48644847357969</v>
      </c>
      <c r="AF48" s="1144">
        <f t="shared" si="14"/>
        <v>538.32429898238649</v>
      </c>
      <c r="AH48" s="323">
        <f>'Baseline data (from input)'!T36*'Baseline data (from input)'!U36</f>
        <v>33045.06746008664</v>
      </c>
      <c r="AI48" s="1137">
        <f>Parameters!S151</f>
        <v>0.71500000000000008</v>
      </c>
      <c r="AJ48" s="1137">
        <f t="shared" si="15"/>
        <v>0.15</v>
      </c>
      <c r="AK48" s="1135">
        <f t="shared" si="16"/>
        <v>1772.0417425471464</v>
      </c>
      <c r="AL48" s="1135">
        <f t="shared" si="17"/>
        <v>1772.0417425471464</v>
      </c>
      <c r="AM48" s="306">
        <f t="shared" si="18"/>
        <v>0</v>
      </c>
      <c r="AN48" s="1135">
        <f t="shared" si="19"/>
        <v>17521.391874470319</v>
      </c>
      <c r="AO48" s="1135">
        <f t="shared" si="20"/>
        <v>807.48644847357969</v>
      </c>
      <c r="AP48" s="1144">
        <f t="shared" si="21"/>
        <v>538.32429898238649</v>
      </c>
      <c r="AR48" s="1143">
        <v>0</v>
      </c>
      <c r="AS48" s="1136">
        <v>1</v>
      </c>
      <c r="AT48" s="1136">
        <f t="shared" si="22"/>
        <v>0.05</v>
      </c>
      <c r="AU48" s="1135">
        <f t="shared" si="23"/>
        <v>0</v>
      </c>
      <c r="AV48" s="1135">
        <f t="shared" si="24"/>
        <v>0</v>
      </c>
      <c r="AW48" s="199">
        <f t="shared" si="25"/>
        <v>0</v>
      </c>
      <c r="AX48" s="1151">
        <f t="shared" ref="AX48:AX111" si="42">AV48+(AX47*$E$8)</f>
        <v>0</v>
      </c>
      <c r="AY48" s="1151">
        <f t="shared" si="27"/>
        <v>0</v>
      </c>
      <c r="AZ48" s="1144">
        <f t="shared" si="28"/>
        <v>0</v>
      </c>
      <c r="BB48" s="323">
        <f t="shared" si="29"/>
        <v>155.61660673892274</v>
      </c>
      <c r="BC48" s="324">
        <f t="shared" si="30"/>
        <v>538.32429898238649</v>
      </c>
      <c r="BD48" s="1323">
        <f t="shared" si="31"/>
        <v>0</v>
      </c>
      <c r="BE48" s="324">
        <f t="shared" si="32"/>
        <v>693.94090572130926</v>
      </c>
      <c r="BF48" s="104">
        <v>0</v>
      </c>
      <c r="BG48" s="325">
        <f t="shared" si="33"/>
        <v>693.94090572130926</v>
      </c>
      <c r="BI48" s="323">
        <f t="shared" si="34"/>
        <v>155.61660673892274</v>
      </c>
      <c r="BJ48" s="324">
        <f t="shared" si="35"/>
        <v>538.32429898238649</v>
      </c>
      <c r="BK48" s="1323">
        <f t="shared" si="36"/>
        <v>0</v>
      </c>
      <c r="BL48" s="324">
        <f t="shared" si="37"/>
        <v>693.94090572130926</v>
      </c>
      <c r="BM48" s="104">
        <v>0</v>
      </c>
      <c r="BN48" s="325">
        <f t="shared" si="38"/>
        <v>693.94090572130926</v>
      </c>
    </row>
    <row r="49" spans="1:66">
      <c r="A49" s="127">
        <f>'Input data'!A79</f>
        <v>1981</v>
      </c>
      <c r="B49" s="1082">
        <f>'Input data'!B79</f>
        <v>25.712049999999998</v>
      </c>
      <c r="C49" s="1126">
        <f>'Baseline data (from input)'!B37</f>
        <v>578.73</v>
      </c>
      <c r="D49" s="1081">
        <f>'Baseline data (from input)'!L37</f>
        <v>0.8</v>
      </c>
      <c r="E49" s="992">
        <f t="shared" si="41"/>
        <v>0.24001298204245269</v>
      </c>
      <c r="F49" s="992">
        <f t="shared" si="41"/>
        <v>0.30440139352934503</v>
      </c>
      <c r="G49" s="992">
        <f t="shared" si="41"/>
        <v>5.8998240613430578E-2</v>
      </c>
      <c r="H49" s="992">
        <f t="shared" si="41"/>
        <v>0</v>
      </c>
      <c r="I49" s="992">
        <f t="shared" si="41"/>
        <v>0</v>
      </c>
      <c r="J49" s="992">
        <f t="shared" si="41"/>
        <v>0</v>
      </c>
      <c r="K49" s="992">
        <f t="shared" si="41"/>
        <v>0.39658738381477154</v>
      </c>
      <c r="L49" s="1092">
        <f t="shared" si="40"/>
        <v>0.99999999999999989</v>
      </c>
      <c r="N49" s="323">
        <f t="shared" si="1"/>
        <v>11904.267757200001</v>
      </c>
      <c r="O49" s="1137">
        <f>Parameters!R152</f>
        <v>0.73</v>
      </c>
      <c r="P49" s="1137">
        <f>E49*'MSW characteristics'!$B$28+'MSW characteristics'!$B$29*'4A SWD Case 2'!F49+'4A SWD Case 2'!G49*'MSW characteristics'!$B$30+'MSW characteristics'!$B$31*'4A SWD Case 2'!H49+'4A SWD Case 2'!I49*'MSW characteristics'!$B$32+'MSW characteristics'!$B$33*'4A SWD Case 2'!J49+'4A SWD Case 2'!K49*'MSW characteristics'!$B$35</f>
        <v>0.12048152225760915</v>
      </c>
      <c r="Q49" s="1135">
        <f t="shared" si="2"/>
        <v>523.49916977361522</v>
      </c>
      <c r="R49" s="1135">
        <f t="shared" si="3"/>
        <v>523.49916977361522</v>
      </c>
      <c r="S49" s="306">
        <f t="shared" si="4"/>
        <v>0</v>
      </c>
      <c r="T49" s="1135">
        <f t="shared" si="5"/>
        <v>5340.2179145317787</v>
      </c>
      <c r="U49" s="1135">
        <f t="shared" si="6"/>
        <v>246.9584509786973</v>
      </c>
      <c r="V49" s="1144">
        <f t="shared" si="7"/>
        <v>164.63896731913152</v>
      </c>
      <c r="X49" s="323">
        <f>'Baseline data (from input)'!T37*'Baseline data (from input)'!U37</f>
        <v>34816.526756553299</v>
      </c>
      <c r="Y49" s="1137">
        <f>Parameters!S152</f>
        <v>0.71500000000000008</v>
      </c>
      <c r="Z49" s="1137">
        <f t="shared" si="8"/>
        <v>0.15</v>
      </c>
      <c r="AA49" s="1135">
        <f t="shared" si="9"/>
        <v>1867.0362473201708</v>
      </c>
      <c r="AB49" s="1135">
        <f t="shared" si="10"/>
        <v>1867.0362473201708</v>
      </c>
      <c r="AC49" s="306">
        <f t="shared" si="11"/>
        <v>0</v>
      </c>
      <c r="AD49" s="1135">
        <f t="shared" si="12"/>
        <v>18533.899756524061</v>
      </c>
      <c r="AE49" s="1135">
        <f t="shared" si="13"/>
        <v>854.52836526643068</v>
      </c>
      <c r="AF49" s="1144">
        <f t="shared" si="14"/>
        <v>569.68557684428708</v>
      </c>
      <c r="AH49" s="323">
        <f>'Baseline data (from input)'!T37*'Baseline data (from input)'!U37</f>
        <v>34816.526756553299</v>
      </c>
      <c r="AI49" s="1137">
        <f>Parameters!S152</f>
        <v>0.71500000000000008</v>
      </c>
      <c r="AJ49" s="1137">
        <f t="shared" si="15"/>
        <v>0.15</v>
      </c>
      <c r="AK49" s="1135">
        <f t="shared" si="16"/>
        <v>1867.0362473201708</v>
      </c>
      <c r="AL49" s="1135">
        <f t="shared" si="17"/>
        <v>1867.0362473201708</v>
      </c>
      <c r="AM49" s="306">
        <f t="shared" si="18"/>
        <v>0</v>
      </c>
      <c r="AN49" s="1135">
        <f t="shared" si="19"/>
        <v>18533.899756524061</v>
      </c>
      <c r="AO49" s="1135">
        <f t="shared" si="20"/>
        <v>854.52836526643068</v>
      </c>
      <c r="AP49" s="1144">
        <f t="shared" si="21"/>
        <v>569.68557684428708</v>
      </c>
      <c r="AR49" s="1143">
        <v>0</v>
      </c>
      <c r="AS49" s="1136">
        <v>1</v>
      </c>
      <c r="AT49" s="1136">
        <f t="shared" si="22"/>
        <v>0.05</v>
      </c>
      <c r="AU49" s="1135">
        <f t="shared" si="23"/>
        <v>0</v>
      </c>
      <c r="AV49" s="1135">
        <f t="shared" si="24"/>
        <v>0</v>
      </c>
      <c r="AW49" s="199">
        <f t="shared" si="25"/>
        <v>0</v>
      </c>
      <c r="AX49" s="1151">
        <f t="shared" si="42"/>
        <v>0</v>
      </c>
      <c r="AY49" s="1151">
        <f t="shared" si="27"/>
        <v>0</v>
      </c>
      <c r="AZ49" s="1144">
        <f t="shared" si="28"/>
        <v>0</v>
      </c>
      <c r="BB49" s="323">
        <f t="shared" si="29"/>
        <v>164.63896731913152</v>
      </c>
      <c r="BC49" s="324">
        <f t="shared" si="30"/>
        <v>569.68557684428708</v>
      </c>
      <c r="BD49" s="1323">
        <f t="shared" si="31"/>
        <v>0</v>
      </c>
      <c r="BE49" s="324">
        <f t="shared" si="32"/>
        <v>734.32454416341864</v>
      </c>
      <c r="BF49" s="104">
        <v>0</v>
      </c>
      <c r="BG49" s="325">
        <f t="shared" si="33"/>
        <v>734.32454416341864</v>
      </c>
      <c r="BI49" s="323">
        <f t="shared" si="34"/>
        <v>164.63896731913152</v>
      </c>
      <c r="BJ49" s="324">
        <f t="shared" si="35"/>
        <v>569.68557684428708</v>
      </c>
      <c r="BK49" s="1323">
        <f t="shared" si="36"/>
        <v>0</v>
      </c>
      <c r="BL49" s="324">
        <f t="shared" si="37"/>
        <v>734.32454416341864</v>
      </c>
      <c r="BM49" s="104">
        <v>0</v>
      </c>
      <c r="BN49" s="325">
        <f t="shared" si="38"/>
        <v>734.32454416341864</v>
      </c>
    </row>
    <row r="50" spans="1:66">
      <c r="A50" s="127">
        <f>'Input data'!A80</f>
        <v>1982</v>
      </c>
      <c r="B50" s="1082">
        <f>'Input data'!B80</f>
        <v>26.364520000000002</v>
      </c>
      <c r="C50" s="1126">
        <f>'Baseline data (from input)'!B38</f>
        <v>578.73</v>
      </c>
      <c r="D50" s="1081">
        <f>'Baseline data (from input)'!L38</f>
        <v>0.8</v>
      </c>
      <c r="E50" s="992">
        <f t="shared" si="41"/>
        <v>0.24001298204245269</v>
      </c>
      <c r="F50" s="992">
        <f t="shared" si="41"/>
        <v>0.30440139352934503</v>
      </c>
      <c r="G50" s="992">
        <f t="shared" si="41"/>
        <v>5.8998240613430578E-2</v>
      </c>
      <c r="H50" s="992">
        <f t="shared" si="41"/>
        <v>0</v>
      </c>
      <c r="I50" s="992">
        <f t="shared" si="41"/>
        <v>0</v>
      </c>
      <c r="J50" s="992">
        <f t="shared" si="41"/>
        <v>0</v>
      </c>
      <c r="K50" s="992">
        <f t="shared" si="41"/>
        <v>0.39658738381477154</v>
      </c>
      <c r="L50" s="1092">
        <f t="shared" si="40"/>
        <v>0.99999999999999989</v>
      </c>
      <c r="N50" s="323">
        <f t="shared" si="1"/>
        <v>12206.350927680003</v>
      </c>
      <c r="O50" s="1137">
        <f>Parameters!R153</f>
        <v>0.73</v>
      </c>
      <c r="P50" s="1137">
        <f>E50*'MSW characteristics'!$B$28+'MSW characteristics'!$B$29*'4A SWD Case 2'!F50+'4A SWD Case 2'!G50*'MSW characteristics'!$B$30+'MSW characteristics'!$B$31*'4A SWD Case 2'!H50+'4A SWD Case 2'!I50*'MSW characteristics'!$B$32+'MSW characteristics'!$B$33*'4A SWD Case 2'!J50+'4A SWD Case 2'!K50*'MSW characteristics'!$B$35</f>
        <v>0.12048152225760915</v>
      </c>
      <c r="Q50" s="1135">
        <f t="shared" si="2"/>
        <v>536.78350545677517</v>
      </c>
      <c r="R50" s="1135">
        <f t="shared" si="3"/>
        <v>536.78350545677517</v>
      </c>
      <c r="S50" s="306">
        <f t="shared" si="4"/>
        <v>0</v>
      </c>
      <c r="T50" s="1135">
        <f t="shared" si="5"/>
        <v>5616.5559190052418</v>
      </c>
      <c r="U50" s="1135">
        <f t="shared" si="6"/>
        <v>260.44550098331166</v>
      </c>
      <c r="V50" s="1144">
        <f t="shared" si="7"/>
        <v>173.63033398887444</v>
      </c>
      <c r="X50" s="323">
        <f>'Baseline data (from input)'!T38*'Baseline data (from input)'!U38</f>
        <v>34683.043406882258</v>
      </c>
      <c r="Y50" s="1137">
        <f>Parameters!S153</f>
        <v>0.71500000000000008</v>
      </c>
      <c r="Z50" s="1137">
        <f t="shared" si="8"/>
        <v>0.15</v>
      </c>
      <c r="AA50" s="1135">
        <f t="shared" si="9"/>
        <v>1859.8782026940612</v>
      </c>
      <c r="AB50" s="1135">
        <f t="shared" si="10"/>
        <v>1859.8782026940612</v>
      </c>
      <c r="AC50" s="306">
        <f t="shared" si="11"/>
        <v>0</v>
      </c>
      <c r="AD50" s="1135">
        <f t="shared" si="12"/>
        <v>19489.869001846368</v>
      </c>
      <c r="AE50" s="1135">
        <f t="shared" si="13"/>
        <v>903.90895737175481</v>
      </c>
      <c r="AF50" s="1144">
        <f t="shared" si="14"/>
        <v>602.60597158116991</v>
      </c>
      <c r="AH50" s="323">
        <f>'Baseline data (from input)'!T38*'Baseline data (from input)'!U38</f>
        <v>34683.043406882258</v>
      </c>
      <c r="AI50" s="1137">
        <f>Parameters!S153</f>
        <v>0.71500000000000008</v>
      </c>
      <c r="AJ50" s="1137">
        <f t="shared" si="15"/>
        <v>0.15</v>
      </c>
      <c r="AK50" s="1135">
        <f t="shared" si="16"/>
        <v>1859.8782026940612</v>
      </c>
      <c r="AL50" s="1135">
        <f t="shared" si="17"/>
        <v>1859.8782026940612</v>
      </c>
      <c r="AM50" s="306">
        <f t="shared" si="18"/>
        <v>0</v>
      </c>
      <c r="AN50" s="1135">
        <f t="shared" si="19"/>
        <v>19489.869001846368</v>
      </c>
      <c r="AO50" s="1135">
        <f t="shared" si="20"/>
        <v>903.90895737175481</v>
      </c>
      <c r="AP50" s="1144">
        <f t="shared" si="21"/>
        <v>602.60597158116991</v>
      </c>
      <c r="AR50" s="1143">
        <v>0</v>
      </c>
      <c r="AS50" s="1136">
        <v>1</v>
      </c>
      <c r="AT50" s="1136">
        <f t="shared" si="22"/>
        <v>0.05</v>
      </c>
      <c r="AU50" s="1135">
        <f t="shared" si="23"/>
        <v>0</v>
      </c>
      <c r="AV50" s="1135">
        <f t="shared" si="24"/>
        <v>0</v>
      </c>
      <c r="AW50" s="199">
        <f t="shared" si="25"/>
        <v>0</v>
      </c>
      <c r="AX50" s="1151">
        <f t="shared" si="42"/>
        <v>0</v>
      </c>
      <c r="AY50" s="1151">
        <f t="shared" si="27"/>
        <v>0</v>
      </c>
      <c r="AZ50" s="1144">
        <f t="shared" si="28"/>
        <v>0</v>
      </c>
      <c r="BB50" s="323">
        <f t="shared" si="29"/>
        <v>173.63033398887444</v>
      </c>
      <c r="BC50" s="324">
        <f t="shared" si="30"/>
        <v>602.60597158116991</v>
      </c>
      <c r="BD50" s="1323">
        <f t="shared" si="31"/>
        <v>0</v>
      </c>
      <c r="BE50" s="324">
        <f t="shared" si="32"/>
        <v>776.23630557004435</v>
      </c>
      <c r="BF50" s="104">
        <v>0</v>
      </c>
      <c r="BG50" s="325">
        <f t="shared" si="33"/>
        <v>776.23630557004435</v>
      </c>
      <c r="BI50" s="323">
        <f t="shared" si="34"/>
        <v>173.63033398887444</v>
      </c>
      <c r="BJ50" s="324">
        <f t="shared" si="35"/>
        <v>602.60597158116991</v>
      </c>
      <c r="BK50" s="1323">
        <f t="shared" si="36"/>
        <v>0</v>
      </c>
      <c r="BL50" s="324">
        <f t="shared" si="37"/>
        <v>776.23630557004435</v>
      </c>
      <c r="BM50" s="104">
        <v>0</v>
      </c>
      <c r="BN50" s="325">
        <f t="shared" si="38"/>
        <v>776.23630557004435</v>
      </c>
    </row>
    <row r="51" spans="1:66">
      <c r="A51" s="127">
        <f>'Input data'!A81</f>
        <v>1983</v>
      </c>
      <c r="B51" s="1082">
        <f>'Input data'!B81</f>
        <v>27.048839999999998</v>
      </c>
      <c r="C51" s="1126">
        <f>'Baseline data (from input)'!B39</f>
        <v>578.73</v>
      </c>
      <c r="D51" s="1081">
        <f>'Baseline data (from input)'!L39</f>
        <v>0.8</v>
      </c>
      <c r="E51" s="992">
        <f t="shared" si="41"/>
        <v>0.24001298204245269</v>
      </c>
      <c r="F51" s="992">
        <f t="shared" si="41"/>
        <v>0.30440139352934503</v>
      </c>
      <c r="G51" s="992">
        <f t="shared" si="41"/>
        <v>5.8998240613430578E-2</v>
      </c>
      <c r="H51" s="992">
        <f t="shared" si="41"/>
        <v>0</v>
      </c>
      <c r="I51" s="992">
        <f t="shared" si="41"/>
        <v>0</v>
      </c>
      <c r="J51" s="992">
        <f t="shared" si="41"/>
        <v>0</v>
      </c>
      <c r="K51" s="992">
        <f t="shared" si="41"/>
        <v>0.39658738381477154</v>
      </c>
      <c r="L51" s="1092">
        <f t="shared" si="40"/>
        <v>0.99999999999999989</v>
      </c>
      <c r="N51" s="323">
        <f t="shared" si="1"/>
        <v>12523.180138560001</v>
      </c>
      <c r="O51" s="1137">
        <f>Parameters!R154</f>
        <v>0.73</v>
      </c>
      <c r="P51" s="1137">
        <f>E51*'MSW characteristics'!$B$28+'MSW characteristics'!$B$29*'4A SWD Case 2'!F51+'4A SWD Case 2'!G51*'MSW characteristics'!$B$30+'MSW characteristics'!$B$31*'4A SWD Case 2'!H51+'4A SWD Case 2'!I51*'MSW characteristics'!$B$32+'MSW characteristics'!$B$33*'4A SWD Case 2'!J51+'4A SWD Case 2'!K51*'MSW characteristics'!$B$35</f>
        <v>0.12048152225760915</v>
      </c>
      <c r="Q51" s="1135">
        <f t="shared" si="2"/>
        <v>550.7163094089874</v>
      </c>
      <c r="R51" s="1135">
        <f t="shared" si="3"/>
        <v>550.7163094089874</v>
      </c>
      <c r="S51" s="306">
        <f t="shared" si="4"/>
        <v>0</v>
      </c>
      <c r="T51" s="1135">
        <f t="shared" si="5"/>
        <v>5893.349563920422</v>
      </c>
      <c r="U51" s="1135">
        <f t="shared" si="6"/>
        <v>273.92266449380674</v>
      </c>
      <c r="V51" s="1144">
        <f t="shared" si="7"/>
        <v>182.61510966253783</v>
      </c>
      <c r="X51" s="323">
        <f>'Baseline data (from input)'!T39*'Baseline data (from input)'!U39</f>
        <v>34042.605584396959</v>
      </c>
      <c r="Y51" s="1137">
        <f>Parameters!S154</f>
        <v>0.71500000000000008</v>
      </c>
      <c r="Z51" s="1137">
        <f t="shared" si="8"/>
        <v>0.15</v>
      </c>
      <c r="AA51" s="1135">
        <f t="shared" si="9"/>
        <v>1825.5347244632871</v>
      </c>
      <c r="AB51" s="1135">
        <f t="shared" si="10"/>
        <v>1825.5347244632871</v>
      </c>
      <c r="AC51" s="306">
        <f t="shared" si="11"/>
        <v>0</v>
      </c>
      <c r="AD51" s="1135">
        <f t="shared" si="12"/>
        <v>20364.871598683912</v>
      </c>
      <c r="AE51" s="1135">
        <f t="shared" si="13"/>
        <v>950.53212762574185</v>
      </c>
      <c r="AF51" s="1144">
        <f t="shared" si="14"/>
        <v>633.6880850838279</v>
      </c>
      <c r="AH51" s="323">
        <f>'Baseline data (from input)'!T39*'Baseline data (from input)'!U39</f>
        <v>34042.605584396959</v>
      </c>
      <c r="AI51" s="1137">
        <f>Parameters!S154</f>
        <v>0.71500000000000008</v>
      </c>
      <c r="AJ51" s="1137">
        <f t="shared" si="15"/>
        <v>0.15</v>
      </c>
      <c r="AK51" s="1135">
        <f t="shared" si="16"/>
        <v>1825.5347244632871</v>
      </c>
      <c r="AL51" s="1135">
        <f t="shared" si="17"/>
        <v>1825.5347244632871</v>
      </c>
      <c r="AM51" s="306">
        <f t="shared" si="18"/>
        <v>0</v>
      </c>
      <c r="AN51" s="1135">
        <f t="shared" si="19"/>
        <v>20364.871598683912</v>
      </c>
      <c r="AO51" s="1135">
        <f t="shared" si="20"/>
        <v>950.53212762574185</v>
      </c>
      <c r="AP51" s="1144">
        <f t="shared" si="21"/>
        <v>633.6880850838279</v>
      </c>
      <c r="AR51" s="1143">
        <v>0</v>
      </c>
      <c r="AS51" s="1136">
        <v>1</v>
      </c>
      <c r="AT51" s="1136">
        <f t="shared" si="22"/>
        <v>0.05</v>
      </c>
      <c r="AU51" s="1135">
        <f t="shared" si="23"/>
        <v>0</v>
      </c>
      <c r="AV51" s="1135">
        <f t="shared" si="24"/>
        <v>0</v>
      </c>
      <c r="AW51" s="199">
        <f t="shared" si="25"/>
        <v>0</v>
      </c>
      <c r="AX51" s="1151">
        <f t="shared" si="42"/>
        <v>0</v>
      </c>
      <c r="AY51" s="1151">
        <f t="shared" si="27"/>
        <v>0</v>
      </c>
      <c r="AZ51" s="1144">
        <f t="shared" si="28"/>
        <v>0</v>
      </c>
      <c r="BB51" s="323">
        <f t="shared" si="29"/>
        <v>182.61510966253783</v>
      </c>
      <c r="BC51" s="324">
        <f t="shared" si="30"/>
        <v>633.6880850838279</v>
      </c>
      <c r="BD51" s="1323">
        <f t="shared" si="31"/>
        <v>0</v>
      </c>
      <c r="BE51" s="324">
        <f t="shared" si="32"/>
        <v>816.30319474636576</v>
      </c>
      <c r="BF51" s="104">
        <v>0</v>
      </c>
      <c r="BG51" s="325">
        <f t="shared" si="33"/>
        <v>816.30319474636576</v>
      </c>
      <c r="BI51" s="323">
        <f t="shared" si="34"/>
        <v>182.61510966253783</v>
      </c>
      <c r="BJ51" s="324">
        <f t="shared" si="35"/>
        <v>633.6880850838279</v>
      </c>
      <c r="BK51" s="1323">
        <f t="shared" si="36"/>
        <v>0</v>
      </c>
      <c r="BL51" s="324">
        <f t="shared" si="37"/>
        <v>816.30319474636576</v>
      </c>
      <c r="BM51" s="104">
        <v>0</v>
      </c>
      <c r="BN51" s="325">
        <f t="shared" si="38"/>
        <v>816.30319474636576</v>
      </c>
    </row>
    <row r="52" spans="1:66">
      <c r="A52" s="127">
        <f>'Input data'!A82</f>
        <v>1984</v>
      </c>
      <c r="B52" s="1082">
        <f>'Input data'!B82</f>
        <v>27.759549999999997</v>
      </c>
      <c r="C52" s="1126">
        <f>'Baseline data (from input)'!B40</f>
        <v>578.73</v>
      </c>
      <c r="D52" s="1081">
        <f>'Baseline data (from input)'!L40</f>
        <v>0.8</v>
      </c>
      <c r="E52" s="992">
        <f t="shared" ref="E52:K67" si="43">E51</f>
        <v>0.24001298204245269</v>
      </c>
      <c r="F52" s="992">
        <f t="shared" si="43"/>
        <v>0.30440139352934503</v>
      </c>
      <c r="G52" s="992">
        <f t="shared" si="43"/>
        <v>5.8998240613430578E-2</v>
      </c>
      <c r="H52" s="992">
        <f t="shared" si="43"/>
        <v>0</v>
      </c>
      <c r="I52" s="992">
        <f t="shared" si="43"/>
        <v>0</v>
      </c>
      <c r="J52" s="992">
        <f t="shared" si="43"/>
        <v>0</v>
      </c>
      <c r="K52" s="992">
        <f t="shared" si="43"/>
        <v>0.39658738381477154</v>
      </c>
      <c r="L52" s="1092">
        <f t="shared" si="40"/>
        <v>0.99999999999999989</v>
      </c>
      <c r="N52" s="323">
        <f t="shared" si="1"/>
        <v>12852.2274972</v>
      </c>
      <c r="O52" s="1137">
        <f>Parameters!R155</f>
        <v>0.73</v>
      </c>
      <c r="P52" s="1137">
        <f>E52*'MSW characteristics'!$B$28+'MSW characteristics'!$B$29*'4A SWD Case 2'!F52+'4A SWD Case 2'!G52*'MSW characteristics'!$B$30+'MSW characteristics'!$B$31*'4A SWD Case 2'!H52+'4A SWD Case 2'!I52*'MSW characteristics'!$B$32+'MSW characteristics'!$B$33*'4A SWD Case 2'!J52+'4A SWD Case 2'!K52*'MSW characteristics'!$B$35</f>
        <v>0.12048152225760915</v>
      </c>
      <c r="Q52" s="1135">
        <f t="shared" si="2"/>
        <v>565.18641564127176</v>
      </c>
      <c r="R52" s="1135">
        <f t="shared" si="3"/>
        <v>565.18641564127176</v>
      </c>
      <c r="S52" s="306">
        <f t="shared" si="4"/>
        <v>0</v>
      </c>
      <c r="T52" s="1135">
        <f t="shared" si="5"/>
        <v>6171.1139297108293</v>
      </c>
      <c r="U52" s="1135">
        <f t="shared" si="6"/>
        <v>287.42204985086505</v>
      </c>
      <c r="V52" s="1144">
        <f t="shared" si="7"/>
        <v>191.61469990057671</v>
      </c>
      <c r="X52" s="323">
        <f>'Baseline data (from input)'!T40*'Baseline data (from input)'!U40</f>
        <v>35778.477161503433</v>
      </c>
      <c r="Y52" s="1137">
        <f>Parameters!S155</f>
        <v>0.71500000000000008</v>
      </c>
      <c r="Z52" s="1137">
        <f t="shared" si="8"/>
        <v>0.15</v>
      </c>
      <c r="AA52" s="1135">
        <f t="shared" si="9"/>
        <v>1918.6208377856219</v>
      </c>
      <c r="AB52" s="1135">
        <f t="shared" si="10"/>
        <v>1918.6208377856219</v>
      </c>
      <c r="AC52" s="306">
        <f t="shared" si="11"/>
        <v>0</v>
      </c>
      <c r="AD52" s="1135">
        <f t="shared" si="12"/>
        <v>21290.285928632657</v>
      </c>
      <c r="AE52" s="1135">
        <f t="shared" si="13"/>
        <v>993.20650783687859</v>
      </c>
      <c r="AF52" s="1144">
        <f t="shared" si="14"/>
        <v>662.13767189125235</v>
      </c>
      <c r="AH52" s="323">
        <f>'Baseline data (from input)'!T40*'Baseline data (from input)'!U40</f>
        <v>35778.477161503433</v>
      </c>
      <c r="AI52" s="1137">
        <f>Parameters!S155</f>
        <v>0.71500000000000008</v>
      </c>
      <c r="AJ52" s="1137">
        <f t="shared" si="15"/>
        <v>0.15</v>
      </c>
      <c r="AK52" s="1135">
        <f t="shared" si="16"/>
        <v>1918.6208377856219</v>
      </c>
      <c r="AL52" s="1135">
        <f t="shared" si="17"/>
        <v>1918.6208377856219</v>
      </c>
      <c r="AM52" s="306">
        <f t="shared" si="18"/>
        <v>0</v>
      </c>
      <c r="AN52" s="1135">
        <f t="shared" si="19"/>
        <v>21290.285928632657</v>
      </c>
      <c r="AO52" s="1135">
        <f t="shared" si="20"/>
        <v>993.20650783687859</v>
      </c>
      <c r="AP52" s="1144">
        <f t="shared" si="21"/>
        <v>662.13767189125235</v>
      </c>
      <c r="AR52" s="1143">
        <v>0</v>
      </c>
      <c r="AS52" s="1136">
        <v>1</v>
      </c>
      <c r="AT52" s="1136">
        <f t="shared" si="22"/>
        <v>0.05</v>
      </c>
      <c r="AU52" s="1135">
        <f t="shared" si="23"/>
        <v>0</v>
      </c>
      <c r="AV52" s="1135">
        <f t="shared" si="24"/>
        <v>0</v>
      </c>
      <c r="AW52" s="199">
        <f t="shared" si="25"/>
        <v>0</v>
      </c>
      <c r="AX52" s="1151">
        <f t="shared" si="42"/>
        <v>0</v>
      </c>
      <c r="AY52" s="1151">
        <f t="shared" si="27"/>
        <v>0</v>
      </c>
      <c r="AZ52" s="1144">
        <f t="shared" si="28"/>
        <v>0</v>
      </c>
      <c r="BB52" s="323">
        <f t="shared" si="29"/>
        <v>191.61469990057671</v>
      </c>
      <c r="BC52" s="324">
        <f t="shared" si="30"/>
        <v>662.13767189125235</v>
      </c>
      <c r="BD52" s="1323">
        <f t="shared" si="31"/>
        <v>0</v>
      </c>
      <c r="BE52" s="324">
        <f t="shared" si="32"/>
        <v>853.75237179182909</v>
      </c>
      <c r="BF52" s="104">
        <v>0</v>
      </c>
      <c r="BG52" s="325">
        <f t="shared" si="33"/>
        <v>853.75237179182909</v>
      </c>
      <c r="BI52" s="323">
        <f t="shared" si="34"/>
        <v>191.61469990057671</v>
      </c>
      <c r="BJ52" s="324">
        <f t="shared" si="35"/>
        <v>662.13767189125235</v>
      </c>
      <c r="BK52" s="1323">
        <f t="shared" si="36"/>
        <v>0</v>
      </c>
      <c r="BL52" s="324">
        <f t="shared" si="37"/>
        <v>853.75237179182909</v>
      </c>
      <c r="BM52" s="104">
        <v>0</v>
      </c>
      <c r="BN52" s="325">
        <f t="shared" si="38"/>
        <v>853.75237179182909</v>
      </c>
    </row>
    <row r="53" spans="1:66">
      <c r="A53" s="127">
        <f>'Input data'!A83</f>
        <v>1985</v>
      </c>
      <c r="B53" s="1082">
        <f>'Input data'!B83</f>
        <v>28.490279999999998</v>
      </c>
      <c r="C53" s="1126">
        <f>'Baseline data (from input)'!B41</f>
        <v>578.73</v>
      </c>
      <c r="D53" s="1081">
        <f>'Baseline data (from input)'!L41</f>
        <v>0.8</v>
      </c>
      <c r="E53" s="992">
        <f t="shared" si="43"/>
        <v>0.24001298204245269</v>
      </c>
      <c r="F53" s="992">
        <f t="shared" si="43"/>
        <v>0.30440139352934503</v>
      </c>
      <c r="G53" s="992">
        <f t="shared" si="43"/>
        <v>5.8998240613430578E-2</v>
      </c>
      <c r="H53" s="992">
        <f t="shared" si="43"/>
        <v>0</v>
      </c>
      <c r="I53" s="992">
        <f t="shared" si="43"/>
        <v>0</v>
      </c>
      <c r="J53" s="992">
        <f t="shared" si="43"/>
        <v>0</v>
      </c>
      <c r="K53" s="992">
        <f t="shared" si="43"/>
        <v>0.39658738381477154</v>
      </c>
      <c r="L53" s="1092">
        <f t="shared" si="40"/>
        <v>0.99999999999999989</v>
      </c>
      <c r="N53" s="323">
        <f t="shared" si="1"/>
        <v>13190.543795520001</v>
      </c>
      <c r="O53" s="1137">
        <f>Parameters!R156</f>
        <v>0.73</v>
      </c>
      <c r="P53" s="1137">
        <f>E53*'MSW characteristics'!$B$28+'MSW characteristics'!$B$29*'4A SWD Case 2'!F53+'4A SWD Case 2'!G53*'MSW characteristics'!$B$30+'MSW characteristics'!$B$31*'4A SWD Case 2'!H53+'4A SWD Case 2'!I53*'MSW characteristics'!$B$32+'MSW characteristics'!$B$33*'4A SWD Case 2'!J53+'4A SWD Case 2'!K53*'MSW characteristics'!$B$35</f>
        <v>0.12048152225760915</v>
      </c>
      <c r="Q53" s="1135">
        <f t="shared" si="2"/>
        <v>580.06413049981757</v>
      </c>
      <c r="R53" s="1135">
        <f t="shared" si="3"/>
        <v>580.06413049981757</v>
      </c>
      <c r="S53" s="306">
        <f t="shared" si="4"/>
        <v>0</v>
      </c>
      <c r="T53" s="1135">
        <f t="shared" si="5"/>
        <v>6450.2092823869898</v>
      </c>
      <c r="U53" s="1135">
        <f t="shared" si="6"/>
        <v>300.96877782365743</v>
      </c>
      <c r="V53" s="1144">
        <f t="shared" si="7"/>
        <v>200.64585188243828</v>
      </c>
      <c r="X53" s="323">
        <f>'Baseline data (from input)'!T41*'Baseline data (from input)'!U41</f>
        <v>35345.026735785679</v>
      </c>
      <c r="Y53" s="1137">
        <f>Parameters!S156</f>
        <v>0.71500000000000008</v>
      </c>
      <c r="Z53" s="1137">
        <f t="shared" si="8"/>
        <v>0.15</v>
      </c>
      <c r="AA53" s="1135">
        <f t="shared" si="9"/>
        <v>1895.3770587065073</v>
      </c>
      <c r="AB53" s="1135">
        <f t="shared" si="10"/>
        <v>1895.3770587065073</v>
      </c>
      <c r="AC53" s="306">
        <f t="shared" si="11"/>
        <v>0</v>
      </c>
      <c r="AD53" s="1135">
        <f t="shared" si="12"/>
        <v>22147.323490055402</v>
      </c>
      <c r="AE53" s="1135">
        <f t="shared" si="13"/>
        <v>1038.339497283765</v>
      </c>
      <c r="AF53" s="1144">
        <f t="shared" si="14"/>
        <v>692.22633152251001</v>
      </c>
      <c r="AH53" s="323">
        <f>'Baseline data (from input)'!T41*'Baseline data (from input)'!U41</f>
        <v>35345.026735785679</v>
      </c>
      <c r="AI53" s="1137">
        <f>Parameters!S156</f>
        <v>0.71500000000000008</v>
      </c>
      <c r="AJ53" s="1137">
        <f t="shared" si="15"/>
        <v>0.15</v>
      </c>
      <c r="AK53" s="1135">
        <f t="shared" si="16"/>
        <v>1895.3770587065073</v>
      </c>
      <c r="AL53" s="1135">
        <f t="shared" si="17"/>
        <v>1895.3770587065073</v>
      </c>
      <c r="AM53" s="306">
        <f t="shared" si="18"/>
        <v>0</v>
      </c>
      <c r="AN53" s="1135">
        <f t="shared" si="19"/>
        <v>22147.323490055402</v>
      </c>
      <c r="AO53" s="1135">
        <f t="shared" si="20"/>
        <v>1038.339497283765</v>
      </c>
      <c r="AP53" s="1144">
        <f t="shared" si="21"/>
        <v>692.22633152251001</v>
      </c>
      <c r="AR53" s="1143">
        <v>0</v>
      </c>
      <c r="AS53" s="1136">
        <v>1</v>
      </c>
      <c r="AT53" s="1136">
        <f t="shared" si="22"/>
        <v>0.05</v>
      </c>
      <c r="AU53" s="1135">
        <f t="shared" si="23"/>
        <v>0</v>
      </c>
      <c r="AV53" s="1135">
        <f t="shared" si="24"/>
        <v>0</v>
      </c>
      <c r="AW53" s="199">
        <f t="shared" si="25"/>
        <v>0</v>
      </c>
      <c r="AX53" s="1151">
        <f t="shared" si="42"/>
        <v>0</v>
      </c>
      <c r="AY53" s="1151">
        <f t="shared" si="27"/>
        <v>0</v>
      </c>
      <c r="AZ53" s="1144">
        <f t="shared" si="28"/>
        <v>0</v>
      </c>
      <c r="BB53" s="323">
        <f t="shared" si="29"/>
        <v>200.64585188243828</v>
      </c>
      <c r="BC53" s="324">
        <f t="shared" si="30"/>
        <v>692.22633152251001</v>
      </c>
      <c r="BD53" s="1323">
        <f t="shared" si="31"/>
        <v>0</v>
      </c>
      <c r="BE53" s="324">
        <f t="shared" si="32"/>
        <v>892.87218340494826</v>
      </c>
      <c r="BF53" s="104">
        <v>0</v>
      </c>
      <c r="BG53" s="325">
        <f t="shared" si="33"/>
        <v>892.87218340494826</v>
      </c>
      <c r="BI53" s="323">
        <f t="shared" si="34"/>
        <v>200.64585188243828</v>
      </c>
      <c r="BJ53" s="324">
        <f t="shared" si="35"/>
        <v>692.22633152251001</v>
      </c>
      <c r="BK53" s="1323">
        <f t="shared" si="36"/>
        <v>0</v>
      </c>
      <c r="BL53" s="324">
        <f t="shared" si="37"/>
        <v>892.87218340494826</v>
      </c>
      <c r="BM53" s="104">
        <v>0</v>
      </c>
      <c r="BN53" s="325">
        <f t="shared" si="38"/>
        <v>892.87218340494826</v>
      </c>
    </row>
    <row r="54" spans="1:66">
      <c r="A54" s="127">
        <f>'Input data'!A84</f>
        <v>1986</v>
      </c>
      <c r="B54" s="1082">
        <f>'Input data'!B84</f>
        <v>29.230110000000003</v>
      </c>
      <c r="C54" s="1126">
        <f>'Baseline data (from input)'!B42</f>
        <v>578.73</v>
      </c>
      <c r="D54" s="1081">
        <f>'Baseline data (from input)'!L42</f>
        <v>0.8</v>
      </c>
      <c r="E54" s="992">
        <f t="shared" si="43"/>
        <v>0.24001298204245269</v>
      </c>
      <c r="F54" s="992">
        <f t="shared" si="43"/>
        <v>0.30440139352934503</v>
      </c>
      <c r="G54" s="992">
        <f t="shared" si="43"/>
        <v>5.8998240613430578E-2</v>
      </c>
      <c r="H54" s="992">
        <f t="shared" si="43"/>
        <v>0</v>
      </c>
      <c r="I54" s="992">
        <f t="shared" si="43"/>
        <v>0</v>
      </c>
      <c r="J54" s="992">
        <f t="shared" si="43"/>
        <v>0</v>
      </c>
      <c r="K54" s="992">
        <f t="shared" si="43"/>
        <v>0.39658738381477154</v>
      </c>
      <c r="L54" s="1092">
        <f t="shared" si="40"/>
        <v>0.99999999999999989</v>
      </c>
      <c r="N54" s="323">
        <f t="shared" si="1"/>
        <v>13533.073248240004</v>
      </c>
      <c r="O54" s="1137">
        <f>Parameters!R157</f>
        <v>0.73</v>
      </c>
      <c r="P54" s="1137">
        <f>E54*'MSW characteristics'!$B$28+'MSW characteristics'!$B$29*'4A SWD Case 2'!F54+'4A SWD Case 2'!G54*'MSW characteristics'!$B$30+'MSW characteristics'!$B$31*'4A SWD Case 2'!H54+'4A SWD Case 2'!I54*'MSW characteristics'!$B$32+'MSW characteristics'!$B$33*'4A SWD Case 2'!J54+'4A SWD Case 2'!K54*'MSW characteristics'!$B$35</f>
        <v>0.12048152225760915</v>
      </c>
      <c r="Q54" s="1135">
        <f t="shared" si="2"/>
        <v>595.12712200666419</v>
      </c>
      <c r="R54" s="1135">
        <f t="shared" si="3"/>
        <v>595.12712200666419</v>
      </c>
      <c r="S54" s="306">
        <f t="shared" si="4"/>
        <v>0</v>
      </c>
      <c r="T54" s="1135">
        <f t="shared" si="5"/>
        <v>6730.7559856008047</v>
      </c>
      <c r="U54" s="1135">
        <f t="shared" si="6"/>
        <v>314.58041879284997</v>
      </c>
      <c r="V54" s="1144">
        <f t="shared" si="7"/>
        <v>209.7202791952333</v>
      </c>
      <c r="X54" s="323">
        <f>'Baseline data (from input)'!T42*'Baseline data (from input)'!U42</f>
        <v>35351.330442838051</v>
      </c>
      <c r="Y54" s="1137">
        <f>Parameters!S157</f>
        <v>0.71500000000000008</v>
      </c>
      <c r="Z54" s="1137">
        <f t="shared" si="8"/>
        <v>0.15</v>
      </c>
      <c r="AA54" s="1135">
        <f t="shared" si="9"/>
        <v>1895.7150949971906</v>
      </c>
      <c r="AB54" s="1135">
        <f t="shared" si="10"/>
        <v>1895.7150949971906</v>
      </c>
      <c r="AC54" s="306">
        <f t="shared" si="11"/>
        <v>0</v>
      </c>
      <c r="AD54" s="1135">
        <f t="shared" si="12"/>
        <v>22962.900872673737</v>
      </c>
      <c r="AE54" s="1135">
        <f t="shared" si="13"/>
        <v>1080.137712378857</v>
      </c>
      <c r="AF54" s="1144">
        <f t="shared" si="14"/>
        <v>720.09180825257135</v>
      </c>
      <c r="AH54" s="323">
        <f>'Baseline data (from input)'!T42*'Baseline data (from input)'!U42</f>
        <v>35351.330442838051</v>
      </c>
      <c r="AI54" s="1137">
        <f>Parameters!S157</f>
        <v>0.71500000000000008</v>
      </c>
      <c r="AJ54" s="1137">
        <f t="shared" si="15"/>
        <v>0.15</v>
      </c>
      <c r="AK54" s="1135">
        <f t="shared" si="16"/>
        <v>1895.7150949971906</v>
      </c>
      <c r="AL54" s="1135">
        <f t="shared" si="17"/>
        <v>1895.7150949971906</v>
      </c>
      <c r="AM54" s="306">
        <f t="shared" si="18"/>
        <v>0</v>
      </c>
      <c r="AN54" s="1135">
        <f t="shared" si="19"/>
        <v>22962.900872673737</v>
      </c>
      <c r="AO54" s="1135">
        <f t="shared" si="20"/>
        <v>1080.137712378857</v>
      </c>
      <c r="AP54" s="1144">
        <f t="shared" si="21"/>
        <v>720.09180825257135</v>
      </c>
      <c r="AR54" s="1143">
        <v>0</v>
      </c>
      <c r="AS54" s="1136">
        <v>1</v>
      </c>
      <c r="AT54" s="1136">
        <f t="shared" si="22"/>
        <v>0.05</v>
      </c>
      <c r="AU54" s="1135">
        <f t="shared" si="23"/>
        <v>0</v>
      </c>
      <c r="AV54" s="1135">
        <f t="shared" si="24"/>
        <v>0</v>
      </c>
      <c r="AW54" s="199">
        <f t="shared" si="25"/>
        <v>0</v>
      </c>
      <c r="AX54" s="1151">
        <f t="shared" si="42"/>
        <v>0</v>
      </c>
      <c r="AY54" s="1151">
        <f t="shared" si="27"/>
        <v>0</v>
      </c>
      <c r="AZ54" s="1144">
        <f t="shared" si="28"/>
        <v>0</v>
      </c>
      <c r="BB54" s="323">
        <f t="shared" si="29"/>
        <v>209.7202791952333</v>
      </c>
      <c r="BC54" s="324">
        <f t="shared" si="30"/>
        <v>720.09180825257135</v>
      </c>
      <c r="BD54" s="1323">
        <f t="shared" si="31"/>
        <v>0</v>
      </c>
      <c r="BE54" s="324">
        <f t="shared" si="32"/>
        <v>929.81208744780463</v>
      </c>
      <c r="BF54" s="104">
        <v>0</v>
      </c>
      <c r="BG54" s="325">
        <f t="shared" si="33"/>
        <v>929.81208744780463</v>
      </c>
      <c r="BI54" s="323">
        <f t="shared" si="34"/>
        <v>209.7202791952333</v>
      </c>
      <c r="BJ54" s="324">
        <f t="shared" si="35"/>
        <v>720.09180825257135</v>
      </c>
      <c r="BK54" s="1323">
        <f t="shared" si="36"/>
        <v>0</v>
      </c>
      <c r="BL54" s="324">
        <f t="shared" si="37"/>
        <v>929.81208744780463</v>
      </c>
      <c r="BM54" s="104">
        <v>0</v>
      </c>
      <c r="BN54" s="325">
        <f t="shared" si="38"/>
        <v>929.81208744780463</v>
      </c>
    </row>
    <row r="55" spans="1:66">
      <c r="A55" s="127">
        <f>'Input data'!A85</f>
        <v>1987</v>
      </c>
      <c r="B55" s="1082">
        <f>'Input data'!B85</f>
        <v>29.96903</v>
      </c>
      <c r="C55" s="1126">
        <f>'Baseline data (from input)'!B43</f>
        <v>578.73</v>
      </c>
      <c r="D55" s="1081">
        <f>'Baseline data (from input)'!L43</f>
        <v>0.8</v>
      </c>
      <c r="E55" s="992">
        <f t="shared" si="43"/>
        <v>0.24001298204245269</v>
      </c>
      <c r="F55" s="992">
        <f t="shared" si="43"/>
        <v>0.30440139352934503</v>
      </c>
      <c r="G55" s="992">
        <f t="shared" si="43"/>
        <v>5.8998240613430578E-2</v>
      </c>
      <c r="H55" s="992">
        <f t="shared" si="43"/>
        <v>0</v>
      </c>
      <c r="I55" s="992">
        <f t="shared" si="43"/>
        <v>0</v>
      </c>
      <c r="J55" s="992">
        <f t="shared" si="43"/>
        <v>0</v>
      </c>
      <c r="K55" s="992">
        <f t="shared" si="43"/>
        <v>0.39658738381477154</v>
      </c>
      <c r="L55" s="1092">
        <f t="shared" si="40"/>
        <v>0.99999999999999989</v>
      </c>
      <c r="N55" s="323">
        <f t="shared" si="1"/>
        <v>13875.181385520002</v>
      </c>
      <c r="O55" s="1137">
        <f>Parameters!R158</f>
        <v>0.73</v>
      </c>
      <c r="P55" s="1137">
        <f>E55*'MSW characteristics'!$B$28+'MSW characteristics'!$B$29*'4A SWD Case 2'!F55+'4A SWD Case 2'!G55*'MSW characteristics'!$B$30+'MSW characteristics'!$B$31*'4A SWD Case 2'!H55+'4A SWD Case 2'!I55*'MSW characteristics'!$B$32+'MSW characteristics'!$B$33*'4A SWD Case 2'!J55+'4A SWD Case 2'!K55*'MSW characteristics'!$B$35</f>
        <v>0.12048152225760915</v>
      </c>
      <c r="Q55" s="1135">
        <f t="shared" si="2"/>
        <v>610.17158584868059</v>
      </c>
      <c r="R55" s="1135">
        <f t="shared" si="3"/>
        <v>610.17158584868059</v>
      </c>
      <c r="S55" s="306">
        <f t="shared" si="4"/>
        <v>0</v>
      </c>
      <c r="T55" s="1135">
        <f t="shared" si="5"/>
        <v>7012.6647284864703</v>
      </c>
      <c r="U55" s="1135">
        <f t="shared" si="6"/>
        <v>328.26284296301509</v>
      </c>
      <c r="V55" s="1144">
        <f t="shared" si="7"/>
        <v>218.84189530867673</v>
      </c>
      <c r="X55" s="323">
        <f>'Baseline data (from input)'!T43*'Baseline data (from input)'!U43</f>
        <v>36093.968292542842</v>
      </c>
      <c r="Y55" s="1137">
        <f>Parameters!S158</f>
        <v>0.71500000000000008</v>
      </c>
      <c r="Z55" s="1137">
        <f t="shared" si="8"/>
        <v>0.15</v>
      </c>
      <c r="AA55" s="1135">
        <f t="shared" si="9"/>
        <v>1935.5390496876103</v>
      </c>
      <c r="AB55" s="1135">
        <f t="shared" si="10"/>
        <v>1935.5390496876103</v>
      </c>
      <c r="AC55" s="306">
        <f t="shared" si="11"/>
        <v>0</v>
      </c>
      <c r="AD55" s="1135">
        <f t="shared" si="12"/>
        <v>23778.526031667992</v>
      </c>
      <c r="AE55" s="1135">
        <f t="shared" si="13"/>
        <v>1119.9138906933545</v>
      </c>
      <c r="AF55" s="1144">
        <f t="shared" si="14"/>
        <v>746.60926046223631</v>
      </c>
      <c r="AH55" s="323">
        <f>'Baseline data (from input)'!T43*'Baseline data (from input)'!U43</f>
        <v>36093.968292542842</v>
      </c>
      <c r="AI55" s="1137">
        <f>Parameters!S158</f>
        <v>0.71500000000000008</v>
      </c>
      <c r="AJ55" s="1137">
        <f t="shared" si="15"/>
        <v>0.15</v>
      </c>
      <c r="AK55" s="1135">
        <f t="shared" si="16"/>
        <v>1935.5390496876103</v>
      </c>
      <c r="AL55" s="1135">
        <f t="shared" si="17"/>
        <v>1935.5390496876103</v>
      </c>
      <c r="AM55" s="306">
        <f t="shared" si="18"/>
        <v>0</v>
      </c>
      <c r="AN55" s="1135">
        <f t="shared" si="19"/>
        <v>23778.526031667992</v>
      </c>
      <c r="AO55" s="1135">
        <f t="shared" si="20"/>
        <v>1119.9138906933545</v>
      </c>
      <c r="AP55" s="1144">
        <f t="shared" si="21"/>
        <v>746.60926046223631</v>
      </c>
      <c r="AR55" s="1143">
        <v>0</v>
      </c>
      <c r="AS55" s="1136">
        <v>1</v>
      </c>
      <c r="AT55" s="1136">
        <f t="shared" si="22"/>
        <v>0.05</v>
      </c>
      <c r="AU55" s="1135">
        <f t="shared" si="23"/>
        <v>0</v>
      </c>
      <c r="AV55" s="1135">
        <f t="shared" si="24"/>
        <v>0</v>
      </c>
      <c r="AW55" s="199">
        <f t="shared" si="25"/>
        <v>0</v>
      </c>
      <c r="AX55" s="1151">
        <f t="shared" si="42"/>
        <v>0</v>
      </c>
      <c r="AY55" s="1151">
        <f t="shared" si="27"/>
        <v>0</v>
      </c>
      <c r="AZ55" s="1144">
        <f t="shared" si="28"/>
        <v>0</v>
      </c>
      <c r="BB55" s="323">
        <f t="shared" si="29"/>
        <v>218.84189530867673</v>
      </c>
      <c r="BC55" s="324">
        <f t="shared" si="30"/>
        <v>746.60926046223631</v>
      </c>
      <c r="BD55" s="1323">
        <f t="shared" si="31"/>
        <v>0</v>
      </c>
      <c r="BE55" s="324">
        <f t="shared" si="32"/>
        <v>965.45115577091303</v>
      </c>
      <c r="BF55" s="104">
        <v>0</v>
      </c>
      <c r="BG55" s="325">
        <f t="shared" si="33"/>
        <v>965.45115577091303</v>
      </c>
      <c r="BI55" s="323">
        <f t="shared" si="34"/>
        <v>218.84189530867673</v>
      </c>
      <c r="BJ55" s="324">
        <f t="shared" si="35"/>
        <v>746.60926046223631</v>
      </c>
      <c r="BK55" s="1323">
        <f t="shared" si="36"/>
        <v>0</v>
      </c>
      <c r="BL55" s="324">
        <f t="shared" si="37"/>
        <v>965.45115577091303</v>
      </c>
      <c r="BM55" s="104">
        <v>0</v>
      </c>
      <c r="BN55" s="325">
        <f t="shared" si="38"/>
        <v>965.45115577091303</v>
      </c>
    </row>
    <row r="56" spans="1:66">
      <c r="A56" s="127">
        <f>'Input data'!A86</f>
        <v>1988</v>
      </c>
      <c r="B56" s="1082">
        <f>'Input data'!B86</f>
        <v>30.692480000000003</v>
      </c>
      <c r="C56" s="1126">
        <f>'Baseline data (from input)'!B44</f>
        <v>578.73</v>
      </c>
      <c r="D56" s="1081">
        <f>'Baseline data (from input)'!L44</f>
        <v>0.8</v>
      </c>
      <c r="E56" s="992">
        <f t="shared" si="43"/>
        <v>0.24001298204245269</v>
      </c>
      <c r="F56" s="992">
        <f t="shared" si="43"/>
        <v>0.30440139352934503</v>
      </c>
      <c r="G56" s="992">
        <f t="shared" si="43"/>
        <v>5.8998240613430578E-2</v>
      </c>
      <c r="H56" s="992">
        <f t="shared" si="43"/>
        <v>0</v>
      </c>
      <c r="I56" s="992">
        <f t="shared" si="43"/>
        <v>0</v>
      </c>
      <c r="J56" s="992">
        <f t="shared" si="43"/>
        <v>0</v>
      </c>
      <c r="K56" s="992">
        <f t="shared" si="43"/>
        <v>0.39658738381477154</v>
      </c>
      <c r="L56" s="1092">
        <f t="shared" si="40"/>
        <v>0.99999999999999989</v>
      </c>
      <c r="N56" s="323">
        <f t="shared" si="1"/>
        <v>14210.127160320004</v>
      </c>
      <c r="O56" s="1137">
        <f>Parameters!R159</f>
        <v>0.73</v>
      </c>
      <c r="P56" s="1137">
        <f>E56*'MSW characteristics'!$B$28+'MSW characteristics'!$B$29*'4A SWD Case 2'!F56+'4A SWD Case 2'!G56*'MSW characteristics'!$B$30+'MSW characteristics'!$B$31*'4A SWD Case 2'!H56+'4A SWD Case 2'!I56*'MSW characteristics'!$B$32+'MSW characteristics'!$B$33*'4A SWD Case 2'!J56+'4A SWD Case 2'!K56*'MSW characteristics'!$B$35</f>
        <v>0.12048152225760915</v>
      </c>
      <c r="Q56" s="1135">
        <f t="shared" si="2"/>
        <v>624.90107938858603</v>
      </c>
      <c r="R56" s="1135">
        <f t="shared" si="3"/>
        <v>624.90107938858603</v>
      </c>
      <c r="S56" s="306">
        <f t="shared" si="4"/>
        <v>0</v>
      </c>
      <c r="T56" s="1135">
        <f t="shared" si="5"/>
        <v>7295.5541132832277</v>
      </c>
      <c r="U56" s="1135">
        <f t="shared" si="6"/>
        <v>342.01169459182927</v>
      </c>
      <c r="V56" s="1144">
        <f t="shared" si="7"/>
        <v>228.00779639455286</v>
      </c>
      <c r="X56" s="323">
        <f>'Baseline data (from input)'!T44*'Baseline data (from input)'!U44</f>
        <v>37609.962803023671</v>
      </c>
      <c r="Y56" s="1137">
        <f>Parameters!S159</f>
        <v>0.71500000000000008</v>
      </c>
      <c r="Z56" s="1137">
        <f t="shared" si="8"/>
        <v>0.15</v>
      </c>
      <c r="AA56" s="1135">
        <f t="shared" si="9"/>
        <v>2016.8342553121445</v>
      </c>
      <c r="AB56" s="1135">
        <f t="shared" si="10"/>
        <v>2016.8342553121445</v>
      </c>
      <c r="AC56" s="306">
        <f t="shared" si="11"/>
        <v>0</v>
      </c>
      <c r="AD56" s="1135">
        <f t="shared" si="12"/>
        <v>24635.667887890937</v>
      </c>
      <c r="AE56" s="1135">
        <f t="shared" si="13"/>
        <v>1159.692399089201</v>
      </c>
      <c r="AF56" s="1144">
        <f t="shared" si="14"/>
        <v>773.12826605946736</v>
      </c>
      <c r="AH56" s="323">
        <f>'Baseline data (from input)'!T44*'Baseline data (from input)'!U44</f>
        <v>37609.962803023671</v>
      </c>
      <c r="AI56" s="1137">
        <f>Parameters!S159</f>
        <v>0.71500000000000008</v>
      </c>
      <c r="AJ56" s="1137">
        <f t="shared" si="15"/>
        <v>0.15</v>
      </c>
      <c r="AK56" s="1135">
        <f t="shared" si="16"/>
        <v>2016.8342553121445</v>
      </c>
      <c r="AL56" s="1135">
        <f t="shared" si="17"/>
        <v>2016.8342553121445</v>
      </c>
      <c r="AM56" s="306">
        <f t="shared" si="18"/>
        <v>0</v>
      </c>
      <c r="AN56" s="1135">
        <f t="shared" si="19"/>
        <v>24635.667887890937</v>
      </c>
      <c r="AO56" s="1135">
        <f t="shared" si="20"/>
        <v>1159.692399089201</v>
      </c>
      <c r="AP56" s="1144">
        <f t="shared" si="21"/>
        <v>773.12826605946736</v>
      </c>
      <c r="AR56" s="1143">
        <v>0</v>
      </c>
      <c r="AS56" s="1136">
        <v>1</v>
      </c>
      <c r="AT56" s="1136">
        <f t="shared" si="22"/>
        <v>0.05</v>
      </c>
      <c r="AU56" s="1135">
        <f t="shared" si="23"/>
        <v>0</v>
      </c>
      <c r="AV56" s="1135">
        <f t="shared" si="24"/>
        <v>0</v>
      </c>
      <c r="AW56" s="199">
        <f t="shared" si="25"/>
        <v>0</v>
      </c>
      <c r="AX56" s="1151">
        <f t="shared" si="42"/>
        <v>0</v>
      </c>
      <c r="AY56" s="1151">
        <f t="shared" si="27"/>
        <v>0</v>
      </c>
      <c r="AZ56" s="1144">
        <f t="shared" si="28"/>
        <v>0</v>
      </c>
      <c r="BB56" s="323">
        <f t="shared" si="29"/>
        <v>228.00779639455286</v>
      </c>
      <c r="BC56" s="324">
        <f t="shared" si="30"/>
        <v>773.12826605946736</v>
      </c>
      <c r="BD56" s="1323">
        <f t="shared" si="31"/>
        <v>0</v>
      </c>
      <c r="BE56" s="324">
        <f t="shared" si="32"/>
        <v>1001.1360624540202</v>
      </c>
      <c r="BF56" s="104">
        <v>0</v>
      </c>
      <c r="BG56" s="325">
        <f t="shared" si="33"/>
        <v>1001.1360624540202</v>
      </c>
      <c r="BI56" s="323">
        <f t="shared" si="34"/>
        <v>228.00779639455286</v>
      </c>
      <c r="BJ56" s="324">
        <f t="shared" si="35"/>
        <v>773.12826605946736</v>
      </c>
      <c r="BK56" s="1323">
        <f t="shared" si="36"/>
        <v>0</v>
      </c>
      <c r="BL56" s="324">
        <f t="shared" si="37"/>
        <v>1001.1360624540202</v>
      </c>
      <c r="BM56" s="104">
        <v>0</v>
      </c>
      <c r="BN56" s="325">
        <f t="shared" si="38"/>
        <v>1001.1360624540202</v>
      </c>
    </row>
    <row r="57" spans="1:66">
      <c r="A57" s="127">
        <f>'Input data'!A87</f>
        <v>1989</v>
      </c>
      <c r="B57" s="1082">
        <f>'Input data'!B87</f>
        <v>31.386810000000001</v>
      </c>
      <c r="C57" s="1126">
        <f>'Baseline data (from input)'!B45</f>
        <v>578.73</v>
      </c>
      <c r="D57" s="1081">
        <f>'Baseline data (from input)'!L45</f>
        <v>0.8</v>
      </c>
      <c r="E57" s="992">
        <f t="shared" si="43"/>
        <v>0.24001298204245269</v>
      </c>
      <c r="F57" s="992">
        <f t="shared" si="43"/>
        <v>0.30440139352934503</v>
      </c>
      <c r="G57" s="992">
        <f t="shared" si="43"/>
        <v>5.8998240613430578E-2</v>
      </c>
      <c r="H57" s="992">
        <f t="shared" si="43"/>
        <v>0</v>
      </c>
      <c r="I57" s="992">
        <f t="shared" si="43"/>
        <v>0</v>
      </c>
      <c r="J57" s="992">
        <f t="shared" si="43"/>
        <v>0</v>
      </c>
      <c r="K57" s="992">
        <f t="shared" si="43"/>
        <v>0.39658738381477154</v>
      </c>
      <c r="L57" s="1092">
        <f t="shared" si="40"/>
        <v>0.99999999999999989</v>
      </c>
      <c r="N57" s="323">
        <f t="shared" si="1"/>
        <v>14531.590841040001</v>
      </c>
      <c r="O57" s="1137">
        <f>Parameters!R160</f>
        <v>0.73</v>
      </c>
      <c r="P57" s="1137">
        <f>E57*'MSW characteristics'!$B$28+'MSW characteristics'!$B$29*'4A SWD Case 2'!F57+'4A SWD Case 2'!G57*'MSW characteristics'!$B$30+'MSW characteristics'!$B$31*'4A SWD Case 2'!H57+'4A SWD Case 2'!I57*'MSW characteristics'!$B$32+'MSW characteristics'!$B$33*'4A SWD Case 2'!J57+'4A SWD Case 2'!K57*'MSW characteristics'!$B$35</f>
        <v>0.12048152225760915</v>
      </c>
      <c r="Q57" s="1135">
        <f t="shared" si="2"/>
        <v>639.03768765392897</v>
      </c>
      <c r="R57" s="1135">
        <f t="shared" si="3"/>
        <v>639.03768765392897</v>
      </c>
      <c r="S57" s="306">
        <f t="shared" si="4"/>
        <v>0</v>
      </c>
      <c r="T57" s="1135">
        <f t="shared" si="5"/>
        <v>7578.7834282461499</v>
      </c>
      <c r="U57" s="1135">
        <f t="shared" si="6"/>
        <v>355.80837269100607</v>
      </c>
      <c r="V57" s="1144">
        <f t="shared" si="7"/>
        <v>237.20558179400405</v>
      </c>
      <c r="X57" s="323">
        <f>'Baseline data (from input)'!T45*'Baseline data (from input)'!U45</f>
        <v>38510.64023443628</v>
      </c>
      <c r="Y57" s="1137">
        <f>Parameters!S160</f>
        <v>0.71500000000000008</v>
      </c>
      <c r="Z57" s="1137">
        <f t="shared" si="8"/>
        <v>0.15</v>
      </c>
      <c r="AA57" s="1135">
        <f t="shared" si="9"/>
        <v>2065.1330825716459</v>
      </c>
      <c r="AB57" s="1135">
        <f t="shared" si="10"/>
        <v>2065.1330825716459</v>
      </c>
      <c r="AC57" s="306">
        <f t="shared" si="11"/>
        <v>0</v>
      </c>
      <c r="AD57" s="1135">
        <f t="shared" si="12"/>
        <v>25499.305269760862</v>
      </c>
      <c r="AE57" s="1135">
        <f t="shared" si="13"/>
        <v>1201.4957007017201</v>
      </c>
      <c r="AF57" s="1144">
        <f t="shared" si="14"/>
        <v>800.99713380114679</v>
      </c>
      <c r="AH57" s="323">
        <f>'Baseline data (from input)'!T45*'Baseline data (from input)'!U45</f>
        <v>38510.64023443628</v>
      </c>
      <c r="AI57" s="1137">
        <f>Parameters!S160</f>
        <v>0.71500000000000008</v>
      </c>
      <c r="AJ57" s="1137">
        <f t="shared" si="15"/>
        <v>0.15</v>
      </c>
      <c r="AK57" s="1135">
        <f t="shared" si="16"/>
        <v>2065.1330825716459</v>
      </c>
      <c r="AL57" s="1135">
        <f t="shared" si="17"/>
        <v>2065.1330825716459</v>
      </c>
      <c r="AM57" s="306">
        <f t="shared" si="18"/>
        <v>0</v>
      </c>
      <c r="AN57" s="1135">
        <f t="shared" si="19"/>
        <v>25499.305269760862</v>
      </c>
      <c r="AO57" s="1135">
        <f t="shared" si="20"/>
        <v>1201.4957007017201</v>
      </c>
      <c r="AP57" s="1144">
        <f t="shared" si="21"/>
        <v>800.99713380114679</v>
      </c>
      <c r="AR57" s="1143">
        <v>0</v>
      </c>
      <c r="AS57" s="1136">
        <v>1</v>
      </c>
      <c r="AT57" s="1136">
        <f t="shared" si="22"/>
        <v>0.05</v>
      </c>
      <c r="AU57" s="1135">
        <f t="shared" si="23"/>
        <v>0</v>
      </c>
      <c r="AV57" s="1135">
        <f t="shared" si="24"/>
        <v>0</v>
      </c>
      <c r="AW57" s="199">
        <f t="shared" si="25"/>
        <v>0</v>
      </c>
      <c r="AX57" s="1151">
        <f t="shared" si="42"/>
        <v>0</v>
      </c>
      <c r="AY57" s="1151">
        <f t="shared" si="27"/>
        <v>0</v>
      </c>
      <c r="AZ57" s="1144">
        <f t="shared" si="28"/>
        <v>0</v>
      </c>
      <c r="BB57" s="323">
        <f t="shared" si="29"/>
        <v>237.20558179400405</v>
      </c>
      <c r="BC57" s="324">
        <f t="shared" si="30"/>
        <v>800.99713380114679</v>
      </c>
      <c r="BD57" s="1323">
        <f t="shared" si="31"/>
        <v>0</v>
      </c>
      <c r="BE57" s="324">
        <f t="shared" si="32"/>
        <v>1038.2027155951509</v>
      </c>
      <c r="BF57" s="104">
        <v>0</v>
      </c>
      <c r="BG57" s="325">
        <f t="shared" si="33"/>
        <v>1038.2027155951509</v>
      </c>
      <c r="BI57" s="323">
        <f t="shared" si="34"/>
        <v>237.20558179400405</v>
      </c>
      <c r="BJ57" s="324">
        <f t="shared" si="35"/>
        <v>800.99713380114679</v>
      </c>
      <c r="BK57" s="1323">
        <f t="shared" si="36"/>
        <v>0</v>
      </c>
      <c r="BL57" s="324">
        <f t="shared" si="37"/>
        <v>1038.2027155951509</v>
      </c>
      <c r="BM57" s="104">
        <v>0</v>
      </c>
      <c r="BN57" s="325">
        <f t="shared" si="38"/>
        <v>1038.2027155951509</v>
      </c>
    </row>
    <row r="58" spans="1:66">
      <c r="A58" s="127">
        <f>'Input data'!A88</f>
        <v>1990</v>
      </c>
      <c r="B58" s="1082">
        <f>'Input data'!B88</f>
        <v>32.032000000000004</v>
      </c>
      <c r="C58" s="1126">
        <f>'Baseline data (from input)'!B46</f>
        <v>578.73</v>
      </c>
      <c r="D58" s="1081">
        <f>'Baseline data (from input)'!L46</f>
        <v>0.8</v>
      </c>
      <c r="E58" s="992">
        <f t="shared" si="43"/>
        <v>0.24001298204245269</v>
      </c>
      <c r="F58" s="992">
        <f t="shared" si="43"/>
        <v>0.30440139352934503</v>
      </c>
      <c r="G58" s="992">
        <f t="shared" si="43"/>
        <v>5.8998240613430578E-2</v>
      </c>
      <c r="H58" s="992">
        <f t="shared" si="43"/>
        <v>0</v>
      </c>
      <c r="I58" s="992">
        <f t="shared" si="43"/>
        <v>0</v>
      </c>
      <c r="J58" s="992">
        <f t="shared" si="43"/>
        <v>0</v>
      </c>
      <c r="K58" s="992">
        <f t="shared" si="43"/>
        <v>0.39658738381477154</v>
      </c>
      <c r="L58" s="1092">
        <f t="shared" si="40"/>
        <v>0.99999999999999989</v>
      </c>
      <c r="N58" s="323">
        <f t="shared" si="1"/>
        <v>14830.303488000003</v>
      </c>
      <c r="O58" s="1137">
        <f>Parameters!R161</f>
        <v>0.73</v>
      </c>
      <c r="P58" s="1137">
        <f>E58*'MSW characteristics'!$B$28+'MSW characteristics'!$B$29*'4A SWD Case 2'!F58+'4A SWD Case 2'!G58*'MSW characteristics'!$B$30+'MSW characteristics'!$B$31*'4A SWD Case 2'!H58+'4A SWD Case 2'!I58*'MSW characteristics'!$B$32+'MSW characteristics'!$B$33*'4A SWD Case 2'!J58+'4A SWD Case 2'!K58*'MSW characteristics'!$B$35</f>
        <v>0.12048152225760915</v>
      </c>
      <c r="Q58" s="1135">
        <f t="shared" si="2"/>
        <v>652.17380201844844</v>
      </c>
      <c r="R58" s="1135">
        <f t="shared" si="3"/>
        <v>652.17380201844844</v>
      </c>
      <c r="S58" s="306">
        <f t="shared" si="4"/>
        <v>0</v>
      </c>
      <c r="T58" s="1135">
        <f t="shared" si="5"/>
        <v>7861.3356008845822</v>
      </c>
      <c r="U58" s="1135">
        <f t="shared" si="6"/>
        <v>369.62162938001632</v>
      </c>
      <c r="V58" s="1144">
        <f t="shared" si="7"/>
        <v>246.41441958667755</v>
      </c>
      <c r="X58" s="323">
        <f>'Baseline data (from input)'!T46*'Baseline data (from input)'!U46</f>
        <v>38388.258936035352</v>
      </c>
      <c r="Y58" s="1137">
        <f>Parameters!S161</f>
        <v>0.71500000000000008</v>
      </c>
      <c r="Z58" s="1137">
        <f t="shared" si="8"/>
        <v>0.15</v>
      </c>
      <c r="AA58" s="1135">
        <f t="shared" si="9"/>
        <v>2058.5703854448961</v>
      </c>
      <c r="AB58" s="1135">
        <f t="shared" si="10"/>
        <v>2058.5703854448961</v>
      </c>
      <c r="AC58" s="306">
        <f t="shared" si="11"/>
        <v>0</v>
      </c>
      <c r="AD58" s="1135">
        <f t="shared" si="12"/>
        <v>26314.259862367544</v>
      </c>
      <c r="AE58" s="1135">
        <f t="shared" si="13"/>
        <v>1243.6157928382131</v>
      </c>
      <c r="AF58" s="1144">
        <f t="shared" si="14"/>
        <v>829.07719522547541</v>
      </c>
      <c r="AH58" s="323">
        <f>'Baseline data (from input)'!T46*'Baseline data (from input)'!U46</f>
        <v>38388.258936035352</v>
      </c>
      <c r="AI58" s="1137">
        <f>Parameters!S161</f>
        <v>0.71500000000000008</v>
      </c>
      <c r="AJ58" s="1137">
        <f t="shared" si="15"/>
        <v>0.15</v>
      </c>
      <c r="AK58" s="1135">
        <f t="shared" si="16"/>
        <v>2058.5703854448961</v>
      </c>
      <c r="AL58" s="1135">
        <f t="shared" si="17"/>
        <v>2058.5703854448961</v>
      </c>
      <c r="AM58" s="306">
        <f t="shared" si="18"/>
        <v>0</v>
      </c>
      <c r="AN58" s="1135">
        <f t="shared" si="19"/>
        <v>26314.259862367544</v>
      </c>
      <c r="AO58" s="1135">
        <f t="shared" si="20"/>
        <v>1243.6157928382131</v>
      </c>
      <c r="AP58" s="1144">
        <f t="shared" si="21"/>
        <v>829.07719522547541</v>
      </c>
      <c r="AR58" s="1143">
        <v>0</v>
      </c>
      <c r="AS58" s="1136">
        <v>1</v>
      </c>
      <c r="AT58" s="1136">
        <f t="shared" si="22"/>
        <v>0.05</v>
      </c>
      <c r="AU58" s="1135">
        <f t="shared" si="23"/>
        <v>0</v>
      </c>
      <c r="AV58" s="1135">
        <f t="shared" si="24"/>
        <v>0</v>
      </c>
      <c r="AW58" s="199">
        <f t="shared" si="25"/>
        <v>0</v>
      </c>
      <c r="AX58" s="1151">
        <f t="shared" si="42"/>
        <v>0</v>
      </c>
      <c r="AY58" s="1151">
        <f t="shared" si="27"/>
        <v>0</v>
      </c>
      <c r="AZ58" s="1144">
        <f t="shared" si="28"/>
        <v>0</v>
      </c>
      <c r="BB58" s="323">
        <f t="shared" si="29"/>
        <v>246.41441958667755</v>
      </c>
      <c r="BC58" s="324">
        <f t="shared" si="30"/>
        <v>829.07719522547541</v>
      </c>
      <c r="BD58" s="1323">
        <f t="shared" si="31"/>
        <v>0</v>
      </c>
      <c r="BE58" s="324">
        <f t="shared" si="32"/>
        <v>1075.4916148121529</v>
      </c>
      <c r="BF58" s="104">
        <v>0</v>
      </c>
      <c r="BG58" s="325">
        <f t="shared" si="33"/>
        <v>1075.4916148121529</v>
      </c>
      <c r="BI58" s="323">
        <f t="shared" si="34"/>
        <v>246.41441958667755</v>
      </c>
      <c r="BJ58" s="324">
        <f t="shared" si="35"/>
        <v>829.07719522547541</v>
      </c>
      <c r="BK58" s="1323">
        <f t="shared" si="36"/>
        <v>0</v>
      </c>
      <c r="BL58" s="324">
        <f t="shared" si="37"/>
        <v>1075.4916148121529</v>
      </c>
      <c r="BM58" s="104">
        <v>0</v>
      </c>
      <c r="BN58" s="325">
        <f t="shared" si="38"/>
        <v>1075.4916148121529</v>
      </c>
    </row>
    <row r="59" spans="1:66">
      <c r="A59" s="127">
        <f>'Input data'!A89</f>
        <v>1991</v>
      </c>
      <c r="B59" s="1082">
        <f>'Input data'!B89</f>
        <v>32.69903</v>
      </c>
      <c r="C59" s="1126">
        <f>'Baseline data (from input)'!B47</f>
        <v>578.73</v>
      </c>
      <c r="D59" s="1081">
        <f>'Baseline data (from input)'!L47</f>
        <v>0.8</v>
      </c>
      <c r="E59" s="992">
        <f t="shared" si="43"/>
        <v>0.24001298204245269</v>
      </c>
      <c r="F59" s="992">
        <f t="shared" si="43"/>
        <v>0.30440139352934503</v>
      </c>
      <c r="G59" s="992">
        <f t="shared" si="43"/>
        <v>5.8998240613430578E-2</v>
      </c>
      <c r="H59" s="992">
        <f t="shared" si="43"/>
        <v>0</v>
      </c>
      <c r="I59" s="992">
        <f t="shared" si="43"/>
        <v>0</v>
      </c>
      <c r="J59" s="992">
        <f t="shared" si="43"/>
        <v>0</v>
      </c>
      <c r="K59" s="992">
        <f t="shared" si="43"/>
        <v>0.39658738381477154</v>
      </c>
      <c r="L59" s="1092">
        <f t="shared" si="40"/>
        <v>0.99999999999999989</v>
      </c>
      <c r="N59" s="323">
        <f t="shared" si="1"/>
        <v>15139.127705520003</v>
      </c>
      <c r="O59" s="1137">
        <f>Parameters!R162</f>
        <v>0.73</v>
      </c>
      <c r="P59" s="1137">
        <f>E59*'MSW characteristics'!$B$28+'MSW characteristics'!$B$29*'4A SWD Case 2'!F59+'4A SWD Case 2'!G59*'MSW characteristics'!$B$30+'MSW characteristics'!$B$31*'4A SWD Case 2'!H59+'4A SWD Case 2'!I59*'MSW characteristics'!$B$32+'MSW characteristics'!$B$33*'4A SWD Case 2'!J59+'4A SWD Case 2'!K59*'MSW characteristics'!$B$35</f>
        <v>0.12048152225760915</v>
      </c>
      <c r="Q59" s="1135">
        <f t="shared" si="2"/>
        <v>665.75458033888935</v>
      </c>
      <c r="R59" s="1135">
        <f t="shared" si="3"/>
        <v>665.75458033888935</v>
      </c>
      <c r="S59" s="306">
        <f t="shared" si="4"/>
        <v>0</v>
      </c>
      <c r="T59" s="1135">
        <f t="shared" si="5"/>
        <v>8143.688319775305</v>
      </c>
      <c r="U59" s="1135">
        <f t="shared" si="6"/>
        <v>383.40186144816624</v>
      </c>
      <c r="V59" s="1144">
        <f t="shared" si="7"/>
        <v>255.60124096544416</v>
      </c>
      <c r="X59" s="323">
        <f>'Baseline data (from input)'!T47*'Baseline data (from input)'!U47</f>
        <v>37997.382054649941</v>
      </c>
      <c r="Y59" s="1137">
        <f>Parameters!S162</f>
        <v>0.71500000000000008</v>
      </c>
      <c r="Z59" s="1137">
        <f t="shared" si="8"/>
        <v>0.15</v>
      </c>
      <c r="AA59" s="1135">
        <f t="shared" si="9"/>
        <v>2037.6096126806033</v>
      </c>
      <c r="AB59" s="1135">
        <f t="shared" si="10"/>
        <v>2037.6096126806033</v>
      </c>
      <c r="AC59" s="306">
        <f t="shared" si="11"/>
        <v>0</v>
      </c>
      <c r="AD59" s="1135">
        <f t="shared" si="12"/>
        <v>27068.507877722721</v>
      </c>
      <c r="AE59" s="1135">
        <f t="shared" si="13"/>
        <v>1283.3615973254271</v>
      </c>
      <c r="AF59" s="1144">
        <f t="shared" si="14"/>
        <v>855.57439821695141</v>
      </c>
      <c r="AH59" s="323">
        <f>'Baseline data (from input)'!T47*'Baseline data (from input)'!U47</f>
        <v>37997.382054649941</v>
      </c>
      <c r="AI59" s="1137">
        <f>Parameters!S162</f>
        <v>0.71500000000000008</v>
      </c>
      <c r="AJ59" s="1137">
        <f t="shared" si="15"/>
        <v>0.15</v>
      </c>
      <c r="AK59" s="1135">
        <f t="shared" si="16"/>
        <v>2037.6096126806033</v>
      </c>
      <c r="AL59" s="1135">
        <f t="shared" si="17"/>
        <v>2037.6096126806033</v>
      </c>
      <c r="AM59" s="306">
        <f t="shared" si="18"/>
        <v>0</v>
      </c>
      <c r="AN59" s="1135">
        <f t="shared" si="19"/>
        <v>27068.507877722721</v>
      </c>
      <c r="AO59" s="1135">
        <f t="shared" si="20"/>
        <v>1283.3615973254271</v>
      </c>
      <c r="AP59" s="1144">
        <f t="shared" si="21"/>
        <v>855.57439821695141</v>
      </c>
      <c r="AR59" s="1143">
        <v>0</v>
      </c>
      <c r="AS59" s="1136">
        <v>1</v>
      </c>
      <c r="AT59" s="1136">
        <f t="shared" si="22"/>
        <v>0.05</v>
      </c>
      <c r="AU59" s="1135">
        <f t="shared" si="23"/>
        <v>0</v>
      </c>
      <c r="AV59" s="1135">
        <f t="shared" si="24"/>
        <v>0</v>
      </c>
      <c r="AW59" s="199">
        <f t="shared" si="25"/>
        <v>0</v>
      </c>
      <c r="AX59" s="1151">
        <f t="shared" si="42"/>
        <v>0</v>
      </c>
      <c r="AY59" s="1151">
        <f t="shared" si="27"/>
        <v>0</v>
      </c>
      <c r="AZ59" s="1144">
        <f t="shared" si="28"/>
        <v>0</v>
      </c>
      <c r="BB59" s="323">
        <f t="shared" si="29"/>
        <v>255.60124096544416</v>
      </c>
      <c r="BC59" s="324">
        <f t="shared" si="30"/>
        <v>855.57439821695141</v>
      </c>
      <c r="BD59" s="1323">
        <f t="shared" si="31"/>
        <v>0</v>
      </c>
      <c r="BE59" s="324">
        <f t="shared" si="32"/>
        <v>1111.1756391823956</v>
      </c>
      <c r="BF59" s="104">
        <v>0</v>
      </c>
      <c r="BG59" s="325">
        <f t="shared" si="33"/>
        <v>1111.1756391823956</v>
      </c>
      <c r="BI59" s="323">
        <f t="shared" si="34"/>
        <v>255.60124096544416</v>
      </c>
      <c r="BJ59" s="324">
        <f t="shared" si="35"/>
        <v>855.57439821695141</v>
      </c>
      <c r="BK59" s="1323">
        <f t="shared" si="36"/>
        <v>0</v>
      </c>
      <c r="BL59" s="324">
        <f t="shared" si="37"/>
        <v>1111.1756391823956</v>
      </c>
      <c r="BM59" s="104">
        <v>0</v>
      </c>
      <c r="BN59" s="325">
        <f t="shared" si="38"/>
        <v>1111.1756391823956</v>
      </c>
    </row>
    <row r="60" spans="1:66">
      <c r="A60" s="127">
        <f>'Input data'!A90</f>
        <v>1992</v>
      </c>
      <c r="B60" s="1082">
        <f>'Input data'!B90</f>
        <v>33.388809999999999</v>
      </c>
      <c r="C60" s="1126">
        <f>'Baseline data (from input)'!B48</f>
        <v>578.73</v>
      </c>
      <c r="D60" s="1081">
        <f>'Baseline data (from input)'!L48</f>
        <v>0.8</v>
      </c>
      <c r="E60" s="992">
        <f t="shared" si="43"/>
        <v>0.24001298204245269</v>
      </c>
      <c r="F60" s="992">
        <f t="shared" si="43"/>
        <v>0.30440139352934503</v>
      </c>
      <c r="G60" s="992">
        <f t="shared" si="43"/>
        <v>5.8998240613430578E-2</v>
      </c>
      <c r="H60" s="992">
        <f t="shared" si="43"/>
        <v>0</v>
      </c>
      <c r="I60" s="992">
        <f t="shared" si="43"/>
        <v>0</v>
      </c>
      <c r="J60" s="992">
        <f t="shared" si="43"/>
        <v>0</v>
      </c>
      <c r="K60" s="992">
        <f t="shared" si="43"/>
        <v>0.39658738381477154</v>
      </c>
      <c r="L60" s="1092">
        <f t="shared" si="40"/>
        <v>0.99999999999999989</v>
      </c>
      <c r="N60" s="323">
        <f t="shared" si="1"/>
        <v>15458.484809039999</v>
      </c>
      <c r="O60" s="1137">
        <f>Parameters!R163</f>
        <v>0.73</v>
      </c>
      <c r="P60" s="1137">
        <f>E60*'MSW characteristics'!$B$28+'MSW characteristics'!$B$29*'4A SWD Case 2'!F60+'4A SWD Case 2'!G60*'MSW characteristics'!$B$30+'MSW characteristics'!$B$31*'4A SWD Case 2'!H60+'4A SWD Case 2'!I60*'MSW characteristics'!$B$32+'MSW characteristics'!$B$33*'4A SWD Case 2'!J60+'4A SWD Case 2'!K60*'MSW characteristics'!$B$35</f>
        <v>0.12048152225760915</v>
      </c>
      <c r="Q60" s="1135">
        <f t="shared" si="2"/>
        <v>679.79855028008194</v>
      </c>
      <c r="R60" s="1135">
        <f t="shared" si="3"/>
        <v>679.79855028008194</v>
      </c>
      <c r="S60" s="306">
        <f t="shared" si="4"/>
        <v>0</v>
      </c>
      <c r="T60" s="1135">
        <f t="shared" si="5"/>
        <v>8426.3145040131312</v>
      </c>
      <c r="U60" s="1135">
        <f t="shared" si="6"/>
        <v>397.17236604225491</v>
      </c>
      <c r="V60" s="1144">
        <f t="shared" si="7"/>
        <v>264.78157736150325</v>
      </c>
      <c r="X60" s="323">
        <f>'Baseline data (from input)'!T48*'Baseline data (from input)'!U48</f>
        <v>37185.356383811391</v>
      </c>
      <c r="Y60" s="1137">
        <f>Parameters!S163</f>
        <v>0.71500000000000008</v>
      </c>
      <c r="Z60" s="1137">
        <f t="shared" si="8"/>
        <v>0.15</v>
      </c>
      <c r="AA60" s="1135">
        <f t="shared" si="9"/>
        <v>1994.0647360818859</v>
      </c>
      <c r="AB60" s="1135">
        <f t="shared" si="10"/>
        <v>1994.0647360818859</v>
      </c>
      <c r="AC60" s="306">
        <f t="shared" si="11"/>
        <v>0</v>
      </c>
      <c r="AD60" s="1135">
        <f t="shared" si="12"/>
        <v>27742.425906701115</v>
      </c>
      <c r="AE60" s="1135">
        <f t="shared" si="13"/>
        <v>1320.1467071034933</v>
      </c>
      <c r="AF60" s="1144">
        <f t="shared" si="14"/>
        <v>880.09780473566218</v>
      </c>
      <c r="AH60" s="323">
        <f>'Baseline data (from input)'!T48*'Baseline data (from input)'!U48</f>
        <v>37185.356383811391</v>
      </c>
      <c r="AI60" s="1137">
        <f>Parameters!S163</f>
        <v>0.71500000000000008</v>
      </c>
      <c r="AJ60" s="1137">
        <f t="shared" si="15"/>
        <v>0.15</v>
      </c>
      <c r="AK60" s="1135">
        <f t="shared" si="16"/>
        <v>1994.0647360818859</v>
      </c>
      <c r="AL60" s="1135">
        <f t="shared" si="17"/>
        <v>1994.0647360818859</v>
      </c>
      <c r="AM60" s="306">
        <f t="shared" si="18"/>
        <v>0</v>
      </c>
      <c r="AN60" s="1135">
        <f t="shared" si="19"/>
        <v>27742.425906701115</v>
      </c>
      <c r="AO60" s="1135">
        <f t="shared" si="20"/>
        <v>1320.1467071034933</v>
      </c>
      <c r="AP60" s="1144">
        <f t="shared" si="21"/>
        <v>880.09780473566218</v>
      </c>
      <c r="AR60" s="1143">
        <v>0</v>
      </c>
      <c r="AS60" s="1136">
        <v>1</v>
      </c>
      <c r="AT60" s="1136">
        <f t="shared" si="22"/>
        <v>0.05</v>
      </c>
      <c r="AU60" s="1135">
        <f t="shared" si="23"/>
        <v>0</v>
      </c>
      <c r="AV60" s="1135">
        <f t="shared" si="24"/>
        <v>0</v>
      </c>
      <c r="AW60" s="199">
        <f t="shared" si="25"/>
        <v>0</v>
      </c>
      <c r="AX60" s="1151">
        <f t="shared" si="42"/>
        <v>0</v>
      </c>
      <c r="AY60" s="1151">
        <f t="shared" si="27"/>
        <v>0</v>
      </c>
      <c r="AZ60" s="1144">
        <f t="shared" si="28"/>
        <v>0</v>
      </c>
      <c r="BB60" s="323">
        <f t="shared" si="29"/>
        <v>264.78157736150325</v>
      </c>
      <c r="BC60" s="324">
        <f t="shared" si="30"/>
        <v>880.09780473566218</v>
      </c>
      <c r="BD60" s="1323">
        <f t="shared" si="31"/>
        <v>0</v>
      </c>
      <c r="BE60" s="324">
        <f t="shared" si="32"/>
        <v>1144.8793820971655</v>
      </c>
      <c r="BF60" s="104">
        <v>0</v>
      </c>
      <c r="BG60" s="325">
        <f t="shared" si="33"/>
        <v>1144.8793820971655</v>
      </c>
      <c r="BI60" s="323">
        <f t="shared" si="34"/>
        <v>264.78157736150325</v>
      </c>
      <c r="BJ60" s="324">
        <f t="shared" si="35"/>
        <v>880.09780473566218</v>
      </c>
      <c r="BK60" s="1323">
        <f t="shared" si="36"/>
        <v>0</v>
      </c>
      <c r="BL60" s="324">
        <f t="shared" si="37"/>
        <v>1144.8793820971655</v>
      </c>
      <c r="BM60" s="104">
        <v>0</v>
      </c>
      <c r="BN60" s="325">
        <f t="shared" si="38"/>
        <v>1144.8793820971655</v>
      </c>
    </row>
    <row r="61" spans="1:66">
      <c r="A61" s="127">
        <f>'Input data'!A91</f>
        <v>1993</v>
      </c>
      <c r="B61" s="1082">
        <f>'Input data'!B91</f>
        <v>34.101339999999993</v>
      </c>
      <c r="C61" s="1126">
        <f>'Baseline data (from input)'!B49</f>
        <v>578.73</v>
      </c>
      <c r="D61" s="1081">
        <f>'Baseline data (from input)'!L49</f>
        <v>0.8</v>
      </c>
      <c r="E61" s="992">
        <f t="shared" si="43"/>
        <v>0.24001298204245269</v>
      </c>
      <c r="F61" s="992">
        <f t="shared" si="43"/>
        <v>0.30440139352934503</v>
      </c>
      <c r="G61" s="992">
        <f t="shared" si="43"/>
        <v>5.8998240613430578E-2</v>
      </c>
      <c r="H61" s="992">
        <f t="shared" si="43"/>
        <v>0</v>
      </c>
      <c r="I61" s="992">
        <f t="shared" si="43"/>
        <v>0</v>
      </c>
      <c r="J61" s="992">
        <f t="shared" si="43"/>
        <v>0</v>
      </c>
      <c r="K61" s="992">
        <f t="shared" si="43"/>
        <v>0.39658738381477154</v>
      </c>
      <c r="L61" s="1092">
        <f t="shared" si="40"/>
        <v>0.99999999999999989</v>
      </c>
      <c r="N61" s="323">
        <f t="shared" si="1"/>
        <v>15788.374798559998</v>
      </c>
      <c r="O61" s="1137">
        <f>Parameters!R164</f>
        <v>0.73</v>
      </c>
      <c r="P61" s="1137">
        <f>E61*'MSW characteristics'!$B$28+'MSW characteristics'!$B$29*'4A SWD Case 2'!F61+'4A SWD Case 2'!G61*'MSW characteristics'!$B$30+'MSW characteristics'!$B$31*'4A SWD Case 2'!H61+'4A SWD Case 2'!I61*'MSW characteristics'!$B$32+'MSW characteristics'!$B$33*'4A SWD Case 2'!J61+'4A SWD Case 2'!K61*'MSW characteristics'!$B$35</f>
        <v>0.12048152225760915</v>
      </c>
      <c r="Q61" s="1135">
        <f t="shared" si="2"/>
        <v>694.30571184202631</v>
      </c>
      <c r="R61" s="1135">
        <f t="shared" si="3"/>
        <v>694.30571184202631</v>
      </c>
      <c r="S61" s="306">
        <f t="shared" si="4"/>
        <v>0</v>
      </c>
      <c r="T61" s="1135">
        <f t="shared" si="5"/>
        <v>8709.6640081564565</v>
      </c>
      <c r="U61" s="1135">
        <f t="shared" si="6"/>
        <v>410.95620769870095</v>
      </c>
      <c r="V61" s="1144">
        <f t="shared" si="7"/>
        <v>273.97080513246732</v>
      </c>
      <c r="X61" s="323">
        <f>'Baseline data (from input)'!T49*'Baseline data (from input)'!U49</f>
        <v>37644.045159525725</v>
      </c>
      <c r="Y61" s="1137">
        <f>Parameters!S164</f>
        <v>0.71500000000000008</v>
      </c>
      <c r="Z61" s="1137">
        <f t="shared" si="8"/>
        <v>0.15</v>
      </c>
      <c r="AA61" s="1135">
        <f t="shared" si="9"/>
        <v>2018.6619216795671</v>
      </c>
      <c r="AB61" s="1135">
        <f t="shared" si="10"/>
        <v>2018.6619216795671</v>
      </c>
      <c r="AC61" s="306">
        <f t="shared" si="11"/>
        <v>0</v>
      </c>
      <c r="AD61" s="1135">
        <f t="shared" si="12"/>
        <v>28408.073751164568</v>
      </c>
      <c r="AE61" s="1135">
        <f t="shared" si="13"/>
        <v>1353.0140772161142</v>
      </c>
      <c r="AF61" s="1144">
        <f t="shared" si="14"/>
        <v>902.00938481074274</v>
      </c>
      <c r="AH61" s="323">
        <f>'Baseline data (from input)'!T49*'Baseline data (from input)'!U49</f>
        <v>37644.045159525725</v>
      </c>
      <c r="AI61" s="1137">
        <f>Parameters!S164</f>
        <v>0.71500000000000008</v>
      </c>
      <c r="AJ61" s="1137">
        <f t="shared" si="15"/>
        <v>0.15</v>
      </c>
      <c r="AK61" s="1135">
        <f t="shared" si="16"/>
        <v>2018.6619216795671</v>
      </c>
      <c r="AL61" s="1135">
        <f t="shared" si="17"/>
        <v>2018.6619216795671</v>
      </c>
      <c r="AM61" s="306">
        <f t="shared" si="18"/>
        <v>0</v>
      </c>
      <c r="AN61" s="1135">
        <f t="shared" si="19"/>
        <v>28408.073751164568</v>
      </c>
      <c r="AO61" s="1135">
        <f t="shared" si="20"/>
        <v>1353.0140772161142</v>
      </c>
      <c r="AP61" s="1144">
        <f t="shared" si="21"/>
        <v>902.00938481074274</v>
      </c>
      <c r="AR61" s="1143">
        <v>0</v>
      </c>
      <c r="AS61" s="1136">
        <v>1</v>
      </c>
      <c r="AT61" s="1136">
        <f t="shared" si="22"/>
        <v>0.05</v>
      </c>
      <c r="AU61" s="1135">
        <f t="shared" si="23"/>
        <v>0</v>
      </c>
      <c r="AV61" s="1135">
        <f t="shared" si="24"/>
        <v>0</v>
      </c>
      <c r="AW61" s="199">
        <f t="shared" si="25"/>
        <v>0</v>
      </c>
      <c r="AX61" s="1151">
        <f t="shared" si="42"/>
        <v>0</v>
      </c>
      <c r="AY61" s="1151">
        <f t="shared" si="27"/>
        <v>0</v>
      </c>
      <c r="AZ61" s="1144">
        <f t="shared" si="28"/>
        <v>0</v>
      </c>
      <c r="BB61" s="323">
        <f t="shared" si="29"/>
        <v>273.97080513246732</v>
      </c>
      <c r="BC61" s="324">
        <f t="shared" si="30"/>
        <v>902.00938481074274</v>
      </c>
      <c r="BD61" s="1323">
        <f t="shared" si="31"/>
        <v>0</v>
      </c>
      <c r="BE61" s="324">
        <f t="shared" si="32"/>
        <v>1175.98018994321</v>
      </c>
      <c r="BF61" s="104">
        <v>0</v>
      </c>
      <c r="BG61" s="325">
        <f t="shared" si="33"/>
        <v>1175.98018994321</v>
      </c>
      <c r="BI61" s="323">
        <f t="shared" si="34"/>
        <v>273.97080513246732</v>
      </c>
      <c r="BJ61" s="324">
        <f t="shared" si="35"/>
        <v>902.00938481074274</v>
      </c>
      <c r="BK61" s="1323">
        <f t="shared" si="36"/>
        <v>0</v>
      </c>
      <c r="BL61" s="324">
        <f t="shared" si="37"/>
        <v>1175.98018994321</v>
      </c>
      <c r="BM61" s="104">
        <v>0</v>
      </c>
      <c r="BN61" s="325">
        <f t="shared" si="38"/>
        <v>1175.98018994321</v>
      </c>
    </row>
    <row r="62" spans="1:66">
      <c r="A62" s="127">
        <f>'Input data'!A92</f>
        <v>1994</v>
      </c>
      <c r="B62" s="1082">
        <f>'Input data'!B92</f>
        <v>34.837530000000001</v>
      </c>
      <c r="C62" s="1126">
        <f>'Baseline data (from input)'!B50</f>
        <v>578.73</v>
      </c>
      <c r="D62" s="1081">
        <f>'Baseline data (from input)'!L50</f>
        <v>0.8</v>
      </c>
      <c r="E62" s="992">
        <f t="shared" si="43"/>
        <v>0.24001298204245269</v>
      </c>
      <c r="F62" s="992">
        <f t="shared" si="43"/>
        <v>0.30440139352934503</v>
      </c>
      <c r="G62" s="992">
        <f t="shared" si="43"/>
        <v>5.8998240613430578E-2</v>
      </c>
      <c r="H62" s="992">
        <f t="shared" si="43"/>
        <v>0</v>
      </c>
      <c r="I62" s="992">
        <f t="shared" si="43"/>
        <v>0</v>
      </c>
      <c r="J62" s="992">
        <f t="shared" si="43"/>
        <v>0</v>
      </c>
      <c r="K62" s="992">
        <f t="shared" si="43"/>
        <v>0.39658738381477154</v>
      </c>
      <c r="L62" s="1092">
        <f t="shared" si="40"/>
        <v>0.99999999999999989</v>
      </c>
      <c r="N62" s="323">
        <f t="shared" si="1"/>
        <v>16129.218989520003</v>
      </c>
      <c r="O62" s="1137">
        <f>Parameters!R165</f>
        <v>0.73</v>
      </c>
      <c r="P62" s="1137">
        <f>E62*'MSW characteristics'!$B$28+'MSW characteristics'!$B$29*'4A SWD Case 2'!F62+'4A SWD Case 2'!G62*'MSW characteristics'!$B$30+'MSW characteristics'!$B$31*'4A SWD Case 2'!H62+'4A SWD Case 2'!I62*'MSW characteristics'!$B$32+'MSW characteristics'!$B$33*'4A SWD Case 2'!J62+'4A SWD Case 2'!K62*'MSW characteristics'!$B$35</f>
        <v>0.12048152225760915</v>
      </c>
      <c r="Q62" s="1135">
        <f t="shared" si="2"/>
        <v>709.29459268955281</v>
      </c>
      <c r="R62" s="1135">
        <f t="shared" si="3"/>
        <v>709.29459268955281</v>
      </c>
      <c r="S62" s="306">
        <f t="shared" si="4"/>
        <v>0</v>
      </c>
      <c r="T62" s="1135">
        <f t="shared" si="5"/>
        <v>8994.1832747628014</v>
      </c>
      <c r="U62" s="1135">
        <f t="shared" si="6"/>
        <v>424.77532608320826</v>
      </c>
      <c r="V62" s="1144">
        <f t="shared" si="7"/>
        <v>283.18355072213882</v>
      </c>
      <c r="X62" s="323">
        <f>'Baseline data (from input)'!T50*'Baseline data (from input)'!U50</f>
        <v>38848.654999516577</v>
      </c>
      <c r="Y62" s="1137">
        <f>Parameters!S165</f>
        <v>0.71500000000000008</v>
      </c>
      <c r="Z62" s="1137">
        <f t="shared" si="8"/>
        <v>0.15</v>
      </c>
      <c r="AA62" s="1135">
        <f t="shared" si="9"/>
        <v>2083.259124349077</v>
      </c>
      <c r="AB62" s="1135">
        <f t="shared" si="10"/>
        <v>2083.259124349077</v>
      </c>
      <c r="AC62" s="306">
        <f t="shared" si="11"/>
        <v>0</v>
      </c>
      <c r="AD62" s="1135">
        <f t="shared" si="12"/>
        <v>29105.854769843187</v>
      </c>
      <c r="AE62" s="1135">
        <f t="shared" si="13"/>
        <v>1385.478105670456</v>
      </c>
      <c r="AF62" s="1144">
        <f t="shared" si="14"/>
        <v>923.6520704469707</v>
      </c>
      <c r="AH62" s="323">
        <f>'Baseline data (from input)'!T50*'Baseline data (from input)'!U50</f>
        <v>38848.654999516577</v>
      </c>
      <c r="AI62" s="1137">
        <f>Parameters!S165</f>
        <v>0.71500000000000008</v>
      </c>
      <c r="AJ62" s="1137">
        <f t="shared" si="15"/>
        <v>0.15</v>
      </c>
      <c r="AK62" s="1135">
        <f t="shared" si="16"/>
        <v>2083.259124349077</v>
      </c>
      <c r="AL62" s="1135">
        <f t="shared" si="17"/>
        <v>2083.259124349077</v>
      </c>
      <c r="AM62" s="306">
        <f t="shared" si="18"/>
        <v>0</v>
      </c>
      <c r="AN62" s="1135">
        <f t="shared" si="19"/>
        <v>29105.854769843187</v>
      </c>
      <c r="AO62" s="1135">
        <f t="shared" si="20"/>
        <v>1385.478105670456</v>
      </c>
      <c r="AP62" s="1144">
        <f t="shared" si="21"/>
        <v>923.6520704469707</v>
      </c>
      <c r="AR62" s="1143">
        <v>0</v>
      </c>
      <c r="AS62" s="1136">
        <v>1</v>
      </c>
      <c r="AT62" s="1136">
        <f t="shared" si="22"/>
        <v>0.05</v>
      </c>
      <c r="AU62" s="1135">
        <f t="shared" si="23"/>
        <v>0</v>
      </c>
      <c r="AV62" s="1135">
        <f t="shared" si="24"/>
        <v>0</v>
      </c>
      <c r="AW62" s="199">
        <f t="shared" si="25"/>
        <v>0</v>
      </c>
      <c r="AX62" s="1151">
        <f t="shared" si="42"/>
        <v>0</v>
      </c>
      <c r="AY62" s="1151">
        <f t="shared" si="27"/>
        <v>0</v>
      </c>
      <c r="AZ62" s="1144">
        <f t="shared" si="28"/>
        <v>0</v>
      </c>
      <c r="BB62" s="323">
        <f t="shared" si="29"/>
        <v>283.18355072213882</v>
      </c>
      <c r="BC62" s="324">
        <f t="shared" si="30"/>
        <v>923.6520704469707</v>
      </c>
      <c r="BD62" s="1323">
        <f t="shared" si="31"/>
        <v>0</v>
      </c>
      <c r="BE62" s="324">
        <f t="shared" si="32"/>
        <v>1206.8356211691096</v>
      </c>
      <c r="BF62" s="104">
        <v>0</v>
      </c>
      <c r="BG62" s="325">
        <f t="shared" si="33"/>
        <v>1206.8356211691096</v>
      </c>
      <c r="BI62" s="323">
        <f t="shared" si="34"/>
        <v>283.18355072213882</v>
      </c>
      <c r="BJ62" s="324">
        <f t="shared" si="35"/>
        <v>923.6520704469707</v>
      </c>
      <c r="BK62" s="1323">
        <f t="shared" si="36"/>
        <v>0</v>
      </c>
      <c r="BL62" s="324">
        <f t="shared" si="37"/>
        <v>1206.8356211691096</v>
      </c>
      <c r="BM62" s="104">
        <v>0</v>
      </c>
      <c r="BN62" s="325">
        <f t="shared" si="38"/>
        <v>1206.8356211691096</v>
      </c>
    </row>
    <row r="63" spans="1:66">
      <c r="A63" s="127">
        <f>'Input data'!A93</f>
        <v>1995</v>
      </c>
      <c r="B63" s="1082">
        <f>'Input data'!B93</f>
        <v>35.599199999999996</v>
      </c>
      <c r="C63" s="1126">
        <f>'Baseline data (from input)'!B51</f>
        <v>578.73</v>
      </c>
      <c r="D63" s="1081">
        <f>'Baseline data (from input)'!L51</f>
        <v>0.8</v>
      </c>
      <c r="E63" s="992">
        <f t="shared" si="43"/>
        <v>0.24001298204245269</v>
      </c>
      <c r="F63" s="992">
        <f t="shared" si="43"/>
        <v>0.30440139352934503</v>
      </c>
      <c r="G63" s="992">
        <f t="shared" si="43"/>
        <v>5.8998240613430578E-2</v>
      </c>
      <c r="H63" s="992">
        <f t="shared" si="43"/>
        <v>0</v>
      </c>
      <c r="I63" s="992">
        <f t="shared" si="43"/>
        <v>0</v>
      </c>
      <c r="J63" s="992">
        <f t="shared" si="43"/>
        <v>0</v>
      </c>
      <c r="K63" s="992">
        <f t="shared" si="43"/>
        <v>0.39658738381477154</v>
      </c>
      <c r="L63" s="1092">
        <f t="shared" si="40"/>
        <v>0.99999999999999989</v>
      </c>
      <c r="N63" s="323">
        <f t="shared" si="1"/>
        <v>16481.8600128</v>
      </c>
      <c r="O63" s="1137">
        <f>Parameters!R166</f>
        <v>0.73</v>
      </c>
      <c r="P63" s="1137">
        <f>E63*'MSW characteristics'!$B$28+'MSW characteristics'!$B$29*'4A SWD Case 2'!F63+'4A SWD Case 2'!G63*'MSW characteristics'!$B$30+'MSW characteristics'!$B$31*'4A SWD Case 2'!H63+'4A SWD Case 2'!I63*'MSW characteristics'!$B$32+'MSW characteristics'!$B$33*'4A SWD Case 2'!J63+'4A SWD Case 2'!K63*'MSW characteristics'!$B$35</f>
        <v>0.12048152225760915</v>
      </c>
      <c r="Q63" s="1135">
        <f t="shared" si="2"/>
        <v>724.80224815232089</v>
      </c>
      <c r="R63" s="1135">
        <f t="shared" si="3"/>
        <v>724.80224815232089</v>
      </c>
      <c r="S63" s="306">
        <f t="shared" si="4"/>
        <v>0</v>
      </c>
      <c r="T63" s="1135">
        <f t="shared" si="5"/>
        <v>9280.3340284588867</v>
      </c>
      <c r="U63" s="1135">
        <f t="shared" si="6"/>
        <v>438.65149445623445</v>
      </c>
      <c r="V63" s="1144">
        <f t="shared" si="7"/>
        <v>292.43432963748961</v>
      </c>
      <c r="X63" s="323">
        <f>'Baseline data (from input)'!T51*'Baseline data (from input)'!U51</f>
        <v>40052.961524456216</v>
      </c>
      <c r="Y63" s="1137">
        <f>Parameters!S166</f>
        <v>0.71500000000000008</v>
      </c>
      <c r="Z63" s="1137">
        <f t="shared" si="8"/>
        <v>0.15</v>
      </c>
      <c r="AA63" s="1135">
        <f t="shared" si="9"/>
        <v>2147.8400617489647</v>
      </c>
      <c r="AB63" s="1135">
        <f t="shared" si="10"/>
        <v>2147.8400617489647</v>
      </c>
      <c r="AC63" s="306">
        <f t="shared" si="11"/>
        <v>0</v>
      </c>
      <c r="AD63" s="1135">
        <f t="shared" si="12"/>
        <v>29834.185544068259</v>
      </c>
      <c r="AE63" s="1135">
        <f t="shared" si="13"/>
        <v>1419.5092875238902</v>
      </c>
      <c r="AF63" s="1144">
        <f t="shared" si="14"/>
        <v>946.33952501592682</v>
      </c>
      <c r="AH63" s="323">
        <f>'Baseline data (from input)'!T51*'Baseline data (from input)'!U51</f>
        <v>40052.961524456216</v>
      </c>
      <c r="AI63" s="1137">
        <f>Parameters!S166</f>
        <v>0.71500000000000008</v>
      </c>
      <c r="AJ63" s="1137">
        <f t="shared" si="15"/>
        <v>0.15</v>
      </c>
      <c r="AK63" s="1135">
        <f t="shared" si="16"/>
        <v>2147.8400617489647</v>
      </c>
      <c r="AL63" s="1135">
        <f t="shared" si="17"/>
        <v>2147.8400617489647</v>
      </c>
      <c r="AM63" s="306">
        <f t="shared" si="18"/>
        <v>0</v>
      </c>
      <c r="AN63" s="1135">
        <f t="shared" si="19"/>
        <v>29834.185544068259</v>
      </c>
      <c r="AO63" s="1135">
        <f t="shared" si="20"/>
        <v>1419.5092875238902</v>
      </c>
      <c r="AP63" s="1144">
        <f t="shared" si="21"/>
        <v>946.33952501592682</v>
      </c>
      <c r="AR63" s="1143">
        <v>0</v>
      </c>
      <c r="AS63" s="1136">
        <v>1</v>
      </c>
      <c r="AT63" s="1136">
        <f t="shared" si="22"/>
        <v>0.05</v>
      </c>
      <c r="AU63" s="1135">
        <f t="shared" si="23"/>
        <v>0</v>
      </c>
      <c r="AV63" s="1135">
        <f t="shared" si="24"/>
        <v>0</v>
      </c>
      <c r="AW63" s="199">
        <f t="shared" si="25"/>
        <v>0</v>
      </c>
      <c r="AX63" s="1151">
        <f t="shared" si="42"/>
        <v>0</v>
      </c>
      <c r="AY63" s="1151">
        <f t="shared" si="27"/>
        <v>0</v>
      </c>
      <c r="AZ63" s="1144">
        <f t="shared" si="28"/>
        <v>0</v>
      </c>
      <c r="BB63" s="323">
        <f t="shared" si="29"/>
        <v>292.43432963748961</v>
      </c>
      <c r="BC63" s="324">
        <f t="shared" si="30"/>
        <v>946.33952501592682</v>
      </c>
      <c r="BD63" s="1323">
        <f t="shared" si="31"/>
        <v>0</v>
      </c>
      <c r="BE63" s="324">
        <f t="shared" si="32"/>
        <v>1238.7738546534165</v>
      </c>
      <c r="BF63" s="104">
        <v>0</v>
      </c>
      <c r="BG63" s="325">
        <f t="shared" si="33"/>
        <v>1238.7738546534165</v>
      </c>
      <c r="BI63" s="323">
        <f t="shared" si="34"/>
        <v>292.43432963748961</v>
      </c>
      <c r="BJ63" s="324">
        <f t="shared" si="35"/>
        <v>946.33952501592682</v>
      </c>
      <c r="BK63" s="1323">
        <f t="shared" si="36"/>
        <v>0</v>
      </c>
      <c r="BL63" s="324">
        <f t="shared" si="37"/>
        <v>1238.7738546534165</v>
      </c>
      <c r="BM63" s="104">
        <v>0</v>
      </c>
      <c r="BN63" s="325">
        <f t="shared" si="38"/>
        <v>1238.7738546534165</v>
      </c>
    </row>
    <row r="64" spans="1:66">
      <c r="A64" s="127">
        <f>'Input data'!A94</f>
        <v>1996</v>
      </c>
      <c r="B64" s="1082">
        <f>'Input data'!B94</f>
        <v>36.4</v>
      </c>
      <c r="C64" s="1126">
        <f>'Baseline data (from input)'!B52</f>
        <v>578.73</v>
      </c>
      <c r="D64" s="1081">
        <f>'Baseline data (from input)'!L52</f>
        <v>0.8</v>
      </c>
      <c r="E64" s="992">
        <f t="shared" si="43"/>
        <v>0.24001298204245269</v>
      </c>
      <c r="F64" s="992">
        <f t="shared" si="43"/>
        <v>0.30440139352934503</v>
      </c>
      <c r="G64" s="992">
        <f t="shared" si="43"/>
        <v>5.8998240613430578E-2</v>
      </c>
      <c r="H64" s="992">
        <f t="shared" si="43"/>
        <v>0</v>
      </c>
      <c r="I64" s="992">
        <f t="shared" si="43"/>
        <v>0</v>
      </c>
      <c r="J64" s="992">
        <f t="shared" si="43"/>
        <v>0</v>
      </c>
      <c r="K64" s="992">
        <f t="shared" si="43"/>
        <v>0.39658738381477154</v>
      </c>
      <c r="L64" s="1092">
        <f t="shared" si="40"/>
        <v>0.99999999999999989</v>
      </c>
      <c r="N64" s="323">
        <f t="shared" si="1"/>
        <v>16852.617600000001</v>
      </c>
      <c r="O64" s="1137">
        <f>Parameters!R167</f>
        <v>0.73</v>
      </c>
      <c r="P64" s="1137">
        <f>E64*'MSW characteristics'!$B$28+'MSW characteristics'!$B$29*'4A SWD Case 2'!F64+'4A SWD Case 2'!G64*'MSW characteristics'!$B$30+'MSW characteristics'!$B$31*'4A SWD Case 2'!H64+'4A SWD Case 2'!I64*'MSW characteristics'!$B$32+'MSW characteristics'!$B$33*'4A SWD Case 2'!J64+'4A SWD Case 2'!K64*'MSW characteristics'!$B$35</f>
        <v>0.12048152225760915</v>
      </c>
      <c r="Q64" s="1135">
        <f t="shared" si="2"/>
        <v>741.10659320278216</v>
      </c>
      <c r="R64" s="1135">
        <f t="shared" si="3"/>
        <v>741.10659320278216</v>
      </c>
      <c r="S64" s="306">
        <f t="shared" si="4"/>
        <v>0</v>
      </c>
      <c r="T64" s="1135">
        <f t="shared" si="5"/>
        <v>9568.8333902681206</v>
      </c>
      <c r="U64" s="1135">
        <f t="shared" si="6"/>
        <v>452.60723139354695</v>
      </c>
      <c r="V64" s="1144">
        <f t="shared" si="7"/>
        <v>301.73815426236462</v>
      </c>
      <c r="X64" s="323">
        <f>'Baseline data (from input)'!T52*'Baseline data (from input)'!U52</f>
        <v>41775.238453857564</v>
      </c>
      <c r="Y64" s="1137">
        <f>Parameters!S167</f>
        <v>0.71500000000000008</v>
      </c>
      <c r="Z64" s="1137">
        <f t="shared" si="8"/>
        <v>0.15</v>
      </c>
      <c r="AA64" s="1135">
        <f t="shared" si="9"/>
        <v>2240.1971620881122</v>
      </c>
      <c r="AB64" s="1135">
        <f t="shared" si="10"/>
        <v>2240.1971620881122</v>
      </c>
      <c r="AC64" s="306">
        <f t="shared" si="11"/>
        <v>0</v>
      </c>
      <c r="AD64" s="1135">
        <f t="shared" si="12"/>
        <v>30619.352307619683</v>
      </c>
      <c r="AE64" s="1135">
        <f t="shared" si="13"/>
        <v>1455.0303985366875</v>
      </c>
      <c r="AF64" s="1144">
        <f t="shared" si="14"/>
        <v>970.02026569112502</v>
      </c>
      <c r="AH64" s="323">
        <f>'Baseline data (from input)'!T52*'Baseline data (from input)'!U52</f>
        <v>41775.238453857564</v>
      </c>
      <c r="AI64" s="1137">
        <f>Parameters!S167</f>
        <v>0.71500000000000008</v>
      </c>
      <c r="AJ64" s="1137">
        <f t="shared" si="15"/>
        <v>0.15</v>
      </c>
      <c r="AK64" s="1135">
        <f t="shared" si="16"/>
        <v>2240.1971620881122</v>
      </c>
      <c r="AL64" s="1135">
        <f t="shared" si="17"/>
        <v>2240.1971620881122</v>
      </c>
      <c r="AM64" s="306">
        <f t="shared" si="18"/>
        <v>0</v>
      </c>
      <c r="AN64" s="1135">
        <f t="shared" si="19"/>
        <v>30619.352307619683</v>
      </c>
      <c r="AO64" s="1135">
        <f t="shared" si="20"/>
        <v>1455.0303985366875</v>
      </c>
      <c r="AP64" s="1144">
        <f t="shared" si="21"/>
        <v>970.02026569112502</v>
      </c>
      <c r="AR64" s="323">
        <f>V64*W64*X64</f>
        <v>0</v>
      </c>
      <c r="AS64" s="1136">
        <v>1</v>
      </c>
      <c r="AT64" s="1136">
        <f t="shared" si="22"/>
        <v>0.05</v>
      </c>
      <c r="AU64" s="1135">
        <f t="shared" si="23"/>
        <v>0</v>
      </c>
      <c r="AV64" s="1135">
        <f t="shared" si="24"/>
        <v>0</v>
      </c>
      <c r="AW64" s="199">
        <f t="shared" si="25"/>
        <v>0</v>
      </c>
      <c r="AX64" s="1151">
        <f t="shared" si="42"/>
        <v>0</v>
      </c>
      <c r="AY64" s="1151">
        <f t="shared" si="27"/>
        <v>0</v>
      </c>
      <c r="AZ64" s="1144">
        <f t="shared" si="28"/>
        <v>0</v>
      </c>
      <c r="BB64" s="323">
        <f t="shared" si="29"/>
        <v>301.73815426236462</v>
      </c>
      <c r="BC64" s="324">
        <f t="shared" si="30"/>
        <v>970.02026569112502</v>
      </c>
      <c r="BD64" s="1323">
        <f t="shared" si="31"/>
        <v>0</v>
      </c>
      <c r="BE64" s="324">
        <f t="shared" si="32"/>
        <v>1271.7584199534897</v>
      </c>
      <c r="BF64" s="104">
        <v>0</v>
      </c>
      <c r="BG64" s="325">
        <f t="shared" si="33"/>
        <v>1271.7584199534897</v>
      </c>
      <c r="BI64" s="323">
        <f t="shared" si="34"/>
        <v>301.73815426236462</v>
      </c>
      <c r="BJ64" s="324">
        <f t="shared" si="35"/>
        <v>970.02026569112502</v>
      </c>
      <c r="BK64" s="1323">
        <f t="shared" si="36"/>
        <v>0</v>
      </c>
      <c r="BL64" s="324">
        <f t="shared" si="37"/>
        <v>1271.7584199534897</v>
      </c>
      <c r="BM64" s="104">
        <v>0</v>
      </c>
      <c r="BN64" s="325">
        <f t="shared" si="38"/>
        <v>1271.7584199534897</v>
      </c>
    </row>
    <row r="65" spans="1:66">
      <c r="A65" s="127">
        <f>'Input data'!A95</f>
        <v>1997</v>
      </c>
      <c r="B65" s="1082">
        <f>'Input data'!B95</f>
        <v>37.242660000000001</v>
      </c>
      <c r="C65" s="1126">
        <f>'Baseline data (from input)'!B53</f>
        <v>578.73</v>
      </c>
      <c r="D65" s="1081">
        <f>'Baseline data (from input)'!L53</f>
        <v>0.8</v>
      </c>
      <c r="E65" s="992">
        <f t="shared" si="43"/>
        <v>0.24001298204245269</v>
      </c>
      <c r="F65" s="992">
        <f t="shared" si="43"/>
        <v>0.30440139352934503</v>
      </c>
      <c r="G65" s="992">
        <f t="shared" si="43"/>
        <v>5.8998240613430578E-2</v>
      </c>
      <c r="H65" s="992">
        <f t="shared" si="43"/>
        <v>0</v>
      </c>
      <c r="I65" s="992">
        <f t="shared" si="43"/>
        <v>0</v>
      </c>
      <c r="J65" s="992">
        <f t="shared" si="43"/>
        <v>0</v>
      </c>
      <c r="K65" s="992">
        <f t="shared" si="43"/>
        <v>0.39658738381477154</v>
      </c>
      <c r="L65" s="1092">
        <f t="shared" si="40"/>
        <v>0.99999999999999989</v>
      </c>
      <c r="N65" s="323">
        <f t="shared" si="1"/>
        <v>17242.755697440003</v>
      </c>
      <c r="O65" s="1137">
        <f>Parameters!R168</f>
        <v>0.73</v>
      </c>
      <c r="P65" s="1137">
        <f>E65*'MSW characteristics'!$B$28+'MSW characteristics'!$B$29*'4A SWD Case 2'!F65+'4A SWD Case 2'!G65*'MSW characteristics'!$B$30+'MSW characteristics'!$B$31*'4A SWD Case 2'!H65+'4A SWD Case 2'!I65*'MSW characteristics'!$B$32+'MSW characteristics'!$B$33*'4A SWD Case 2'!J65+'4A SWD Case 2'!K65*'MSW characteristics'!$B$35</f>
        <v>0.12048152225760915</v>
      </c>
      <c r="Q65" s="1135">
        <f t="shared" si="2"/>
        <v>758.26321083542666</v>
      </c>
      <c r="R65" s="1135">
        <f t="shared" si="3"/>
        <v>758.26321083542666</v>
      </c>
      <c r="S65" s="306">
        <f t="shared" si="4"/>
        <v>0</v>
      </c>
      <c r="T65" s="1135">
        <f t="shared" si="5"/>
        <v>9860.4190898033867</v>
      </c>
      <c r="U65" s="1135">
        <f t="shared" si="6"/>
        <v>466.67751130016006</v>
      </c>
      <c r="V65" s="1144">
        <f t="shared" si="7"/>
        <v>311.11834086677339</v>
      </c>
      <c r="X65" s="323">
        <f>'Baseline data (from input)'!T53*'Baseline data (from input)'!U53</f>
        <v>42861.395537621902</v>
      </c>
      <c r="Y65" s="1137">
        <f>Parameters!S168</f>
        <v>0.71500000000000008</v>
      </c>
      <c r="Z65" s="1137">
        <f t="shared" si="8"/>
        <v>0.15</v>
      </c>
      <c r="AA65" s="1135">
        <f t="shared" si="9"/>
        <v>2298.4423357049745</v>
      </c>
      <c r="AB65" s="1135">
        <f t="shared" si="10"/>
        <v>2298.4423357049745</v>
      </c>
      <c r="AC65" s="306">
        <f t="shared" si="11"/>
        <v>0</v>
      </c>
      <c r="AD65" s="1135">
        <f t="shared" si="12"/>
        <v>31424.471209866657</v>
      </c>
      <c r="AE65" s="1135">
        <f t="shared" si="13"/>
        <v>1493.3234334580022</v>
      </c>
      <c r="AF65" s="1144">
        <f t="shared" si="14"/>
        <v>995.54895563866819</v>
      </c>
      <c r="AH65" s="323">
        <f>'Baseline data (from input)'!T53*'Baseline data (from input)'!U53</f>
        <v>42861.395537621902</v>
      </c>
      <c r="AI65" s="1137">
        <f>Parameters!S168</f>
        <v>0.71500000000000008</v>
      </c>
      <c r="AJ65" s="1137">
        <f t="shared" si="15"/>
        <v>0.15</v>
      </c>
      <c r="AK65" s="1135">
        <f t="shared" si="16"/>
        <v>2298.4423357049745</v>
      </c>
      <c r="AL65" s="1135">
        <f t="shared" si="17"/>
        <v>2298.4423357049745</v>
      </c>
      <c r="AM65" s="306">
        <f t="shared" si="18"/>
        <v>0</v>
      </c>
      <c r="AN65" s="1135">
        <f t="shared" si="19"/>
        <v>31424.471209866657</v>
      </c>
      <c r="AO65" s="1135">
        <f t="shared" si="20"/>
        <v>1493.3234334580022</v>
      </c>
      <c r="AP65" s="1144">
        <f t="shared" si="21"/>
        <v>995.54895563866819</v>
      </c>
      <c r="AR65" s="323">
        <f>V65*W65*X65</f>
        <v>0</v>
      </c>
      <c r="AS65" s="1136">
        <v>1</v>
      </c>
      <c r="AT65" s="1136">
        <f t="shared" si="22"/>
        <v>0.05</v>
      </c>
      <c r="AU65" s="1135">
        <f t="shared" si="23"/>
        <v>0</v>
      </c>
      <c r="AV65" s="1135">
        <f t="shared" si="24"/>
        <v>0</v>
      </c>
      <c r="AW65" s="199">
        <f t="shared" si="25"/>
        <v>0</v>
      </c>
      <c r="AX65" s="1151">
        <f t="shared" si="42"/>
        <v>0</v>
      </c>
      <c r="AY65" s="1151">
        <f t="shared" si="27"/>
        <v>0</v>
      </c>
      <c r="AZ65" s="1144">
        <f t="shared" si="28"/>
        <v>0</v>
      </c>
      <c r="BB65" s="323">
        <f t="shared" si="29"/>
        <v>311.11834086677339</v>
      </c>
      <c r="BC65" s="324">
        <f t="shared" si="30"/>
        <v>995.54895563866819</v>
      </c>
      <c r="BD65" s="1323">
        <f t="shared" si="31"/>
        <v>0</v>
      </c>
      <c r="BE65" s="324">
        <f t="shared" si="32"/>
        <v>1306.6672965054415</v>
      </c>
      <c r="BF65" s="104">
        <v>0</v>
      </c>
      <c r="BG65" s="325">
        <f t="shared" si="33"/>
        <v>1306.6672965054415</v>
      </c>
      <c r="BI65" s="323">
        <f t="shared" si="34"/>
        <v>311.11834086677339</v>
      </c>
      <c r="BJ65" s="324">
        <f t="shared" si="35"/>
        <v>995.54895563866819</v>
      </c>
      <c r="BK65" s="1323">
        <f t="shared" si="36"/>
        <v>0</v>
      </c>
      <c r="BL65" s="324">
        <f t="shared" si="37"/>
        <v>1306.6672965054415</v>
      </c>
      <c r="BM65" s="104">
        <v>0</v>
      </c>
      <c r="BN65" s="325">
        <f t="shared" si="38"/>
        <v>1306.6672965054415</v>
      </c>
    </row>
    <row r="66" spans="1:66">
      <c r="A66" s="127">
        <f>'Input data'!A96</f>
        <v>1998</v>
      </c>
      <c r="B66" s="1082">
        <f>'Input data'!B96</f>
        <v>38.128999999999998</v>
      </c>
      <c r="C66" s="1126">
        <f>'Baseline data (from input)'!B54</f>
        <v>578.73</v>
      </c>
      <c r="D66" s="1081">
        <f>'Baseline data (from input)'!L54</f>
        <v>0.8</v>
      </c>
      <c r="E66" s="992">
        <f t="shared" si="43"/>
        <v>0.24001298204245269</v>
      </c>
      <c r="F66" s="992">
        <f t="shared" si="43"/>
        <v>0.30440139352934503</v>
      </c>
      <c r="G66" s="992">
        <f t="shared" si="43"/>
        <v>5.8998240613430578E-2</v>
      </c>
      <c r="H66" s="992">
        <f t="shared" si="43"/>
        <v>0</v>
      </c>
      <c r="I66" s="992">
        <f t="shared" si="43"/>
        <v>0</v>
      </c>
      <c r="J66" s="992">
        <f t="shared" si="43"/>
        <v>0</v>
      </c>
      <c r="K66" s="992">
        <f t="shared" si="43"/>
        <v>0.39658738381477154</v>
      </c>
      <c r="L66" s="1092">
        <f t="shared" si="40"/>
        <v>0.99999999999999989</v>
      </c>
      <c r="N66" s="323">
        <f t="shared" si="1"/>
        <v>17653.116936000002</v>
      </c>
      <c r="O66" s="1137">
        <f>Parameters!R169</f>
        <v>0.73</v>
      </c>
      <c r="P66" s="1137">
        <f>E66*'MSW characteristics'!$B$28+'MSW characteristics'!$B$29*'4A SWD Case 2'!F66+'4A SWD Case 2'!G66*'MSW characteristics'!$B$30+'MSW characteristics'!$B$31*'4A SWD Case 2'!H66+'4A SWD Case 2'!I66*'MSW characteristics'!$B$32+'MSW characteristics'!$B$33*'4A SWD Case 2'!J66+'4A SWD Case 2'!K66*'MSW characteristics'!$B$35</f>
        <v>0.12048152225760915</v>
      </c>
      <c r="Q66" s="1135">
        <f t="shared" si="2"/>
        <v>776.30915637991438</v>
      </c>
      <c r="R66" s="1135">
        <f t="shared" si="3"/>
        <v>776.30915637991438</v>
      </c>
      <c r="S66" s="306">
        <f t="shared" si="4"/>
        <v>0</v>
      </c>
      <c r="T66" s="1135">
        <f t="shared" si="5"/>
        <v>10155.829932509445</v>
      </c>
      <c r="U66" s="1135">
        <f t="shared" si="6"/>
        <v>480.89831367385688</v>
      </c>
      <c r="V66" s="1144">
        <f t="shared" si="7"/>
        <v>320.59887578257127</v>
      </c>
      <c r="X66" s="323">
        <f>'Baseline data (from input)'!T54*'Baseline data (from input)'!U54</f>
        <v>43075.702903205638</v>
      </c>
      <c r="Y66" s="1137">
        <f>Parameters!S169</f>
        <v>0.71500000000000008</v>
      </c>
      <c r="Z66" s="1137">
        <f t="shared" si="8"/>
        <v>0.15</v>
      </c>
      <c r="AA66" s="1135">
        <f t="shared" si="9"/>
        <v>2309.9345681844025</v>
      </c>
      <c r="AB66" s="1135">
        <f t="shared" si="10"/>
        <v>2309.9345681844025</v>
      </c>
      <c r="AC66" s="306">
        <f t="shared" si="11"/>
        <v>0</v>
      </c>
      <c r="AD66" s="1135">
        <f t="shared" si="12"/>
        <v>32201.816232385117</v>
      </c>
      <c r="AE66" s="1135">
        <f t="shared" si="13"/>
        <v>1532.5895456659405</v>
      </c>
      <c r="AF66" s="1144">
        <f t="shared" si="14"/>
        <v>1021.7263637772936</v>
      </c>
      <c r="AH66" s="323">
        <f>'Baseline data (from input)'!T54*'Baseline data (from input)'!U54</f>
        <v>43075.702903205638</v>
      </c>
      <c r="AI66" s="1137">
        <f>Parameters!S169</f>
        <v>0.71500000000000008</v>
      </c>
      <c r="AJ66" s="1137">
        <f t="shared" si="15"/>
        <v>0.15</v>
      </c>
      <c r="AK66" s="1135">
        <f t="shared" si="16"/>
        <v>2309.9345681844025</v>
      </c>
      <c r="AL66" s="1135">
        <f t="shared" si="17"/>
        <v>2309.9345681844025</v>
      </c>
      <c r="AM66" s="306">
        <f t="shared" si="18"/>
        <v>0</v>
      </c>
      <c r="AN66" s="1135">
        <f t="shared" si="19"/>
        <v>32201.816232385117</v>
      </c>
      <c r="AO66" s="1135">
        <f t="shared" si="20"/>
        <v>1532.5895456659405</v>
      </c>
      <c r="AP66" s="1144">
        <f t="shared" si="21"/>
        <v>1021.7263637772936</v>
      </c>
      <c r="AR66" s="323">
        <f>V66*W66*X66</f>
        <v>0</v>
      </c>
      <c r="AS66" s="1136">
        <v>1</v>
      </c>
      <c r="AT66" s="1136">
        <f t="shared" si="22"/>
        <v>0.05</v>
      </c>
      <c r="AU66" s="1135">
        <f t="shared" si="23"/>
        <v>0</v>
      </c>
      <c r="AV66" s="1135">
        <f t="shared" si="24"/>
        <v>0</v>
      </c>
      <c r="AW66" s="199">
        <f t="shared" si="25"/>
        <v>0</v>
      </c>
      <c r="AX66" s="1151">
        <f t="shared" si="42"/>
        <v>0</v>
      </c>
      <c r="AY66" s="1151">
        <f t="shared" si="27"/>
        <v>0</v>
      </c>
      <c r="AZ66" s="1144">
        <f t="shared" si="28"/>
        <v>0</v>
      </c>
      <c r="BB66" s="323">
        <f t="shared" si="29"/>
        <v>320.59887578257127</v>
      </c>
      <c r="BC66" s="324">
        <f t="shared" si="30"/>
        <v>1021.7263637772936</v>
      </c>
      <c r="BD66" s="1323">
        <f t="shared" si="31"/>
        <v>0</v>
      </c>
      <c r="BE66" s="324">
        <f t="shared" si="32"/>
        <v>1342.3252395598649</v>
      </c>
      <c r="BF66" s="104">
        <v>0</v>
      </c>
      <c r="BG66" s="325">
        <f t="shared" si="33"/>
        <v>1342.3252395598649</v>
      </c>
      <c r="BI66" s="323">
        <f t="shared" si="34"/>
        <v>320.59887578257127</v>
      </c>
      <c r="BJ66" s="324">
        <f t="shared" si="35"/>
        <v>1021.7263637772936</v>
      </c>
      <c r="BK66" s="1323">
        <f t="shared" si="36"/>
        <v>0</v>
      </c>
      <c r="BL66" s="324">
        <f t="shared" si="37"/>
        <v>1342.3252395598649</v>
      </c>
      <c r="BM66" s="104">
        <v>0</v>
      </c>
      <c r="BN66" s="325">
        <f t="shared" si="38"/>
        <v>1342.3252395598649</v>
      </c>
    </row>
    <row r="67" spans="1:66" ht="15.75" thickBot="1">
      <c r="A67" s="127">
        <f>'Input data'!A97</f>
        <v>1999</v>
      </c>
      <c r="B67" s="1082">
        <f>'Input data'!B97</f>
        <v>39.059930000000001</v>
      </c>
      <c r="C67" s="1126">
        <f>'Baseline data (from input)'!B55</f>
        <v>578.73</v>
      </c>
      <c r="D67" s="1081">
        <f>'Baseline data (from input)'!L55</f>
        <v>0.8</v>
      </c>
      <c r="E67" s="992">
        <f t="shared" si="43"/>
        <v>0.24001298204245269</v>
      </c>
      <c r="F67" s="992">
        <f t="shared" si="43"/>
        <v>0.30440139352934503</v>
      </c>
      <c r="G67" s="992">
        <f t="shared" si="43"/>
        <v>5.8998240613430578E-2</v>
      </c>
      <c r="H67" s="992">
        <f t="shared" si="43"/>
        <v>0</v>
      </c>
      <c r="I67" s="992">
        <f t="shared" si="43"/>
        <v>0</v>
      </c>
      <c r="J67" s="992">
        <f t="shared" si="43"/>
        <v>0</v>
      </c>
      <c r="K67" s="992">
        <f t="shared" si="43"/>
        <v>0.39658738381477154</v>
      </c>
      <c r="L67" s="1092">
        <f t="shared" si="40"/>
        <v>0.99999999999999989</v>
      </c>
      <c r="N67" s="1145">
        <f t="shared" si="1"/>
        <v>18084.122631120001</v>
      </c>
      <c r="O67" s="1146">
        <f>Parameters!R170</f>
        <v>0.73</v>
      </c>
      <c r="P67" s="1146">
        <f>E67*'MSW characteristics'!$B$28+'MSW characteristics'!$B$29*'4A SWD Case 2'!F67+'4A SWD Case 2'!G67*'MSW characteristics'!$B$30+'MSW characteristics'!$B$31*'4A SWD Case 2'!H67+'4A SWD Case 2'!I67*'MSW characteristics'!$B$32+'MSW characteristics'!$B$33*'4A SWD Case 2'!J67+'4A SWD Case 2'!K67*'MSW characteristics'!$B$35</f>
        <v>0.12048152225760915</v>
      </c>
      <c r="Q67" s="1147">
        <f t="shared" si="2"/>
        <v>795.26295750107545</v>
      </c>
      <c r="R67" s="1147">
        <f t="shared" si="3"/>
        <v>795.26295750107545</v>
      </c>
      <c r="S67" s="1148">
        <f t="shared" si="4"/>
        <v>0</v>
      </c>
      <c r="T67" s="1147">
        <f t="shared" si="5"/>
        <v>10455.78721952916</v>
      </c>
      <c r="U67" s="1147">
        <f t="shared" si="6"/>
        <v>495.30567048136038</v>
      </c>
      <c r="V67" s="1149">
        <f t="shared" si="7"/>
        <v>330.2037803209069</v>
      </c>
      <c r="X67" s="1145">
        <f>'Baseline data (from input)'!T55*'Baseline data (from input)'!U55</f>
        <v>44109.518155389938</v>
      </c>
      <c r="Y67" s="1146">
        <f>Parameters!S170</f>
        <v>0.71500000000000008</v>
      </c>
      <c r="Z67" s="1146">
        <f t="shared" si="8"/>
        <v>0.15</v>
      </c>
      <c r="AA67" s="1147">
        <f t="shared" si="9"/>
        <v>2365.3729110827858</v>
      </c>
      <c r="AB67" s="1147">
        <f t="shared" si="10"/>
        <v>2365.3729110827858</v>
      </c>
      <c r="AC67" s="1148">
        <f t="shared" si="11"/>
        <v>0</v>
      </c>
      <c r="AD67" s="1147">
        <f t="shared" si="12"/>
        <v>32996.688033692233</v>
      </c>
      <c r="AE67" s="1147">
        <f t="shared" si="13"/>
        <v>1570.5011097756712</v>
      </c>
      <c r="AF67" s="1149">
        <f t="shared" si="14"/>
        <v>1047.0007398504474</v>
      </c>
      <c r="AH67" s="1145">
        <f>'Baseline data (from input)'!T55*'Baseline data (from input)'!U55</f>
        <v>44109.518155389938</v>
      </c>
      <c r="AI67" s="1146">
        <f>Parameters!S170</f>
        <v>0.71500000000000008</v>
      </c>
      <c r="AJ67" s="1146">
        <f t="shared" si="15"/>
        <v>0.15</v>
      </c>
      <c r="AK67" s="1147">
        <f t="shared" si="16"/>
        <v>2365.3729110827858</v>
      </c>
      <c r="AL67" s="1147">
        <f t="shared" si="17"/>
        <v>2365.3729110827858</v>
      </c>
      <c r="AM67" s="1148">
        <f t="shared" si="18"/>
        <v>0</v>
      </c>
      <c r="AN67" s="1147">
        <f t="shared" si="19"/>
        <v>32996.688033692233</v>
      </c>
      <c r="AO67" s="1147">
        <f t="shared" si="20"/>
        <v>1570.5011097756712</v>
      </c>
      <c r="AP67" s="1149">
        <f t="shared" si="21"/>
        <v>1047.0007398504474</v>
      </c>
      <c r="AR67" s="1145">
        <f>V67*W67*X67</f>
        <v>0</v>
      </c>
      <c r="AS67" s="1152">
        <v>1</v>
      </c>
      <c r="AT67" s="1152">
        <f t="shared" si="22"/>
        <v>0.05</v>
      </c>
      <c r="AU67" s="1147">
        <f t="shared" si="23"/>
        <v>0</v>
      </c>
      <c r="AV67" s="1147">
        <f t="shared" si="24"/>
        <v>0</v>
      </c>
      <c r="AW67" s="1153">
        <f t="shared" si="25"/>
        <v>0</v>
      </c>
      <c r="AX67" s="1154">
        <f t="shared" si="42"/>
        <v>0</v>
      </c>
      <c r="AY67" s="1154">
        <f t="shared" si="27"/>
        <v>0</v>
      </c>
      <c r="AZ67" s="1149">
        <f t="shared" si="28"/>
        <v>0</v>
      </c>
      <c r="BB67" s="323">
        <f t="shared" si="29"/>
        <v>330.2037803209069</v>
      </c>
      <c r="BC67" s="324">
        <f t="shared" si="30"/>
        <v>1047.0007398504474</v>
      </c>
      <c r="BD67" s="1323">
        <f t="shared" si="31"/>
        <v>0</v>
      </c>
      <c r="BE67" s="324">
        <f t="shared" si="32"/>
        <v>1377.2045201713543</v>
      </c>
      <c r="BF67" s="104">
        <v>0</v>
      </c>
      <c r="BG67" s="325">
        <f t="shared" si="33"/>
        <v>1377.2045201713543</v>
      </c>
      <c r="BI67" s="323">
        <f t="shared" si="34"/>
        <v>330.2037803209069</v>
      </c>
      <c r="BJ67" s="324">
        <f t="shared" si="35"/>
        <v>1047.0007398504474</v>
      </c>
      <c r="BK67" s="1323">
        <f t="shared" si="36"/>
        <v>0</v>
      </c>
      <c r="BL67" s="324">
        <f t="shared" si="37"/>
        <v>1377.2045201713543</v>
      </c>
      <c r="BM67" s="104">
        <v>0</v>
      </c>
      <c r="BN67" s="325">
        <f t="shared" si="38"/>
        <v>1377.2045201713543</v>
      </c>
    </row>
    <row r="68" spans="1:66">
      <c r="A68" s="1099">
        <f>'Input data'!A98</f>
        <v>2000</v>
      </c>
      <c r="B68" s="1100">
        <f>'Input data'!B98</f>
        <v>44</v>
      </c>
      <c r="C68" s="1127">
        <f>'Baseline data (from input)'!B56</f>
        <v>578.73</v>
      </c>
      <c r="D68" s="1101">
        <f>'Baseline data (from input)'!L56</f>
        <v>0.8</v>
      </c>
      <c r="E68" s="1102">
        <f t="shared" ref="E68:K83" si="44">E67</f>
        <v>0.24001298204245269</v>
      </c>
      <c r="F68" s="1102">
        <f t="shared" si="44"/>
        <v>0.30440139352934503</v>
      </c>
      <c r="G68" s="1102">
        <f t="shared" si="44"/>
        <v>5.8998240613430578E-2</v>
      </c>
      <c r="H68" s="1102">
        <f t="shared" si="44"/>
        <v>0</v>
      </c>
      <c r="I68" s="1102">
        <f t="shared" si="44"/>
        <v>0</v>
      </c>
      <c r="J68" s="1102">
        <f t="shared" si="44"/>
        <v>0</v>
      </c>
      <c r="K68" s="1102">
        <f t="shared" si="44"/>
        <v>0.39658738381477154</v>
      </c>
      <c r="L68" s="1103">
        <f t="shared" si="40"/>
        <v>0.99999999999999989</v>
      </c>
      <c r="N68" s="1111">
        <f t="shared" si="1"/>
        <v>20371.296000000002</v>
      </c>
      <c r="O68" s="1105">
        <f>Parameters!R171</f>
        <v>0.73</v>
      </c>
      <c r="P68" s="1105">
        <f>E68*'MSW characteristics'!$B$28+'MSW characteristics'!$B$29*'4A SWD Case 2'!F68+'4A SWD Case 2'!G68*'MSW characteristics'!$B$30+'MSW characteristics'!$B$31*'4A SWD Case 2'!H68+'4A SWD Case 2'!I68*'MSW characteristics'!$B$32+'MSW characteristics'!$B$33*'4A SWD Case 2'!J68+'4A SWD Case 2'!K68*'MSW characteristics'!$B$35</f>
        <v>0.12048152225760915</v>
      </c>
      <c r="Q68" s="1104">
        <f t="shared" si="2"/>
        <v>895.84313464072579</v>
      </c>
      <c r="R68" s="1104">
        <f t="shared" si="3"/>
        <v>895.84313464072579</v>
      </c>
      <c r="S68" s="1106">
        <f t="shared" si="4"/>
        <v>0</v>
      </c>
      <c r="T68" s="1104">
        <f t="shared" si="5"/>
        <v>10841.695594175369</v>
      </c>
      <c r="U68" s="1104">
        <f t="shared" si="6"/>
        <v>509.93475999451641</v>
      </c>
      <c r="V68" s="1117">
        <f t="shared" si="7"/>
        <v>339.95650666301094</v>
      </c>
      <c r="X68" s="1107">
        <f>'Baseline data (from input)'!T56*'Baseline data (from input)'!U56</f>
        <v>45962.119451163169</v>
      </c>
      <c r="Y68" s="1108">
        <f>Parameters!S171</f>
        <v>0.71500000000000008</v>
      </c>
      <c r="Z68" s="1108">
        <f t="shared" si="8"/>
        <v>0.15</v>
      </c>
      <c r="AA68" s="1109">
        <f t="shared" si="9"/>
        <v>2464.7186555686253</v>
      </c>
      <c r="AB68" s="1109">
        <f t="shared" si="10"/>
        <v>2464.7186555686253</v>
      </c>
      <c r="AC68" s="1110">
        <f t="shared" si="11"/>
        <v>0</v>
      </c>
      <c r="AD68" s="1109">
        <f t="shared" si="12"/>
        <v>33852.139224287283</v>
      </c>
      <c r="AE68" s="1109">
        <f t="shared" si="13"/>
        <v>1609.2674649735734</v>
      </c>
      <c r="AF68" s="1116">
        <f t="shared" si="14"/>
        <v>1072.8449766490489</v>
      </c>
      <c r="AH68" s="1107">
        <f>'Baseline data (from input)'!T56*'Baseline data (from input)'!U56</f>
        <v>45962.119451163169</v>
      </c>
      <c r="AI68" s="1108">
        <f>Parameters!S171</f>
        <v>0.71500000000000008</v>
      </c>
      <c r="AJ68" s="1108">
        <f t="shared" si="15"/>
        <v>0.15</v>
      </c>
      <c r="AK68" s="1109">
        <f t="shared" si="16"/>
        <v>2464.7186555686253</v>
      </c>
      <c r="AL68" s="1109">
        <f t="shared" si="17"/>
        <v>2464.7186555686253</v>
      </c>
      <c r="AM68" s="1110">
        <f t="shared" si="18"/>
        <v>0</v>
      </c>
      <c r="AN68" s="1109">
        <f t="shared" si="19"/>
        <v>33852.139224287283</v>
      </c>
      <c r="AO68" s="1109">
        <f t="shared" si="20"/>
        <v>1609.2674649735734</v>
      </c>
      <c r="AP68" s="1116">
        <f t="shared" si="21"/>
        <v>1072.8449766490489</v>
      </c>
      <c r="AR68" s="1119">
        <v>501</v>
      </c>
      <c r="AS68" s="1105">
        <v>1</v>
      </c>
      <c r="AT68" s="1105">
        <f t="shared" si="22"/>
        <v>0.05</v>
      </c>
      <c r="AU68" s="1104">
        <f t="shared" si="23"/>
        <v>12.525</v>
      </c>
      <c r="AV68" s="1104">
        <f t="shared" si="24"/>
        <v>12.525</v>
      </c>
      <c r="AW68" s="1106">
        <f t="shared" si="25"/>
        <v>0</v>
      </c>
      <c r="AX68" s="1104">
        <f t="shared" si="42"/>
        <v>12.525</v>
      </c>
      <c r="AY68" s="1104">
        <f>AW68+AX67*(1-$E$8)</f>
        <v>0</v>
      </c>
      <c r="AZ68" s="1120">
        <f>AY68*16/12*$E$11</f>
        <v>0</v>
      </c>
      <c r="BB68" s="1320">
        <f t="shared" si="29"/>
        <v>339.95650666301094</v>
      </c>
      <c r="BC68" s="1123">
        <f t="shared" si="30"/>
        <v>1072.8449766490489</v>
      </c>
      <c r="BD68" s="1324">
        <f>AZ68</f>
        <v>0</v>
      </c>
      <c r="BE68" s="1123">
        <f t="shared" si="32"/>
        <v>1412.8014833120599</v>
      </c>
      <c r="BF68" s="115">
        <v>0</v>
      </c>
      <c r="BG68" s="1313">
        <f t="shared" si="33"/>
        <v>1412.8014833120599</v>
      </c>
      <c r="BI68" s="1320">
        <f t="shared" si="34"/>
        <v>339.95650666301094</v>
      </c>
      <c r="BJ68" s="1123">
        <f t="shared" si="35"/>
        <v>1072.8449766490489</v>
      </c>
      <c r="BK68" s="1324">
        <f t="shared" si="36"/>
        <v>0</v>
      </c>
      <c r="BL68" s="1123">
        <f t="shared" si="37"/>
        <v>1412.8014833120599</v>
      </c>
      <c r="BM68" s="115">
        <v>0</v>
      </c>
      <c r="BN68" s="1313">
        <f t="shared" si="38"/>
        <v>1412.8014833120599</v>
      </c>
    </row>
    <row r="69" spans="1:66">
      <c r="A69" s="1034">
        <f>'Input data'!A99</f>
        <v>2001</v>
      </c>
      <c r="B69" s="1083">
        <f>'Input data'!B99</f>
        <v>44.91</v>
      </c>
      <c r="C69" s="1128">
        <f>'Baseline data (from input)'!B57</f>
        <v>578.73</v>
      </c>
      <c r="D69" s="1084">
        <f>'Baseline data (from input)'!L57</f>
        <v>0.8</v>
      </c>
      <c r="E69" s="1085">
        <f t="shared" si="44"/>
        <v>0.24001298204245269</v>
      </c>
      <c r="F69" s="1085">
        <f t="shared" si="44"/>
        <v>0.30440139352934503</v>
      </c>
      <c r="G69" s="1085">
        <f t="shared" si="44"/>
        <v>5.8998240613430578E-2</v>
      </c>
      <c r="H69" s="1085">
        <f t="shared" si="44"/>
        <v>0</v>
      </c>
      <c r="I69" s="1085">
        <f t="shared" si="44"/>
        <v>0</v>
      </c>
      <c r="J69" s="1085">
        <f t="shared" si="44"/>
        <v>0</v>
      </c>
      <c r="K69" s="1085">
        <f t="shared" si="44"/>
        <v>0.39658738381477154</v>
      </c>
      <c r="L69" s="1093">
        <f t="shared" si="40"/>
        <v>0.99999999999999989</v>
      </c>
      <c r="N69" s="1111">
        <f t="shared" si="1"/>
        <v>20792.611440000001</v>
      </c>
      <c r="O69" s="1105">
        <f>Parameters!R172</f>
        <v>0.73</v>
      </c>
      <c r="P69" s="1105">
        <f>E69*'MSW characteristics'!$B$28+'MSW characteristics'!$B$29*'4A SWD Case 2'!F69+'4A SWD Case 2'!G69*'MSW characteristics'!$B$30+'MSW characteristics'!$B$31*'4A SWD Case 2'!H69+'4A SWD Case 2'!I69*'MSW characteristics'!$B$32+'MSW characteristics'!$B$33*'4A SWD Case 2'!J69+'4A SWD Case 2'!K69*'MSW characteristics'!$B$35</f>
        <v>0.12048152225760915</v>
      </c>
      <c r="Q69" s="1104">
        <f t="shared" si="2"/>
        <v>914.37079947079519</v>
      </c>
      <c r="R69" s="1104">
        <f t="shared" si="3"/>
        <v>914.37079947079519</v>
      </c>
      <c r="S69" s="1106">
        <f t="shared" si="4"/>
        <v>0</v>
      </c>
      <c r="T69" s="1104">
        <f t="shared" si="5"/>
        <v>11227.310660130159</v>
      </c>
      <c r="U69" s="1104">
        <f t="shared" si="6"/>
        <v>528.7557335160061</v>
      </c>
      <c r="V69" s="1117">
        <f t="shared" si="7"/>
        <v>352.50382234400405</v>
      </c>
      <c r="X69" s="1111">
        <f>'Baseline data (from input)'!T57*'Baseline data (from input)'!U57</f>
        <v>47203.094179222629</v>
      </c>
      <c r="Y69" s="1105">
        <f>Parameters!S172</f>
        <v>0.71500000000000008</v>
      </c>
      <c r="Z69" s="1105">
        <f t="shared" si="8"/>
        <v>0.15</v>
      </c>
      <c r="AA69" s="1104">
        <f t="shared" si="9"/>
        <v>2531.2659253608135</v>
      </c>
      <c r="AB69" s="1104">
        <f t="shared" si="10"/>
        <v>2531.2659253608135</v>
      </c>
      <c r="AC69" s="1106">
        <f t="shared" si="11"/>
        <v>0</v>
      </c>
      <c r="AD69" s="1104">
        <f t="shared" si="12"/>
        <v>34732.416837797653</v>
      </c>
      <c r="AE69" s="1104">
        <f t="shared" si="13"/>
        <v>1650.9883118504433</v>
      </c>
      <c r="AF69" s="1117">
        <f t="shared" si="14"/>
        <v>1100.6588745669621</v>
      </c>
      <c r="AH69" s="1111">
        <f>'Baseline data (from input)'!T57*'Baseline data (from input)'!U57</f>
        <v>47203.094179222629</v>
      </c>
      <c r="AI69" s="1105">
        <f>Parameters!S172</f>
        <v>0.71500000000000008</v>
      </c>
      <c r="AJ69" s="1105">
        <f t="shared" si="15"/>
        <v>0.15</v>
      </c>
      <c r="AK69" s="1104">
        <f t="shared" si="16"/>
        <v>2531.2659253608135</v>
      </c>
      <c r="AL69" s="1104">
        <f t="shared" si="17"/>
        <v>2531.2659253608135</v>
      </c>
      <c r="AM69" s="1106">
        <f t="shared" si="18"/>
        <v>0</v>
      </c>
      <c r="AN69" s="1104">
        <f t="shared" si="19"/>
        <v>34732.416837797653</v>
      </c>
      <c r="AO69" s="1104">
        <f t="shared" si="20"/>
        <v>1650.9883118504433</v>
      </c>
      <c r="AP69" s="1117">
        <f t="shared" si="21"/>
        <v>1100.6588745669621</v>
      </c>
      <c r="AR69" s="1119">
        <v>501</v>
      </c>
      <c r="AS69" s="1105">
        <v>1</v>
      </c>
      <c r="AT69" s="1105">
        <f t="shared" si="22"/>
        <v>0.05</v>
      </c>
      <c r="AU69" s="1104">
        <f t="shared" si="23"/>
        <v>12.525</v>
      </c>
      <c r="AV69" s="1104">
        <f t="shared" si="24"/>
        <v>12.525</v>
      </c>
      <c r="AW69" s="1106">
        <f t="shared" si="25"/>
        <v>0</v>
      </c>
      <c r="AX69" s="1104">
        <f t="shared" si="42"/>
        <v>24.320600783142716</v>
      </c>
      <c r="AY69" s="1104">
        <f>AW69+AX68*(1-$E$8)</f>
        <v>0.72939921685728482</v>
      </c>
      <c r="AZ69" s="1120">
        <f t="shared" ref="AZ69:AZ118" si="45">AY69*16/12*$E$11</f>
        <v>0.48626614457152323</v>
      </c>
      <c r="BB69" s="323">
        <f t="shared" si="29"/>
        <v>352.50382234400405</v>
      </c>
      <c r="BC69" s="324">
        <f t="shared" si="30"/>
        <v>1100.6588745669621</v>
      </c>
      <c r="BD69" s="1323">
        <f t="shared" ref="BD69:BD85" si="46">AZ69</f>
        <v>0.48626614457152323</v>
      </c>
      <c r="BE69" s="324">
        <f t="shared" si="32"/>
        <v>1453.6489630555377</v>
      </c>
      <c r="BF69" s="104">
        <v>0</v>
      </c>
      <c r="BG69" s="1314">
        <f t="shared" si="33"/>
        <v>1453.6489630555377</v>
      </c>
      <c r="BI69" s="323">
        <f t="shared" si="34"/>
        <v>352.50382234400405</v>
      </c>
      <c r="BJ69" s="324">
        <f t="shared" si="35"/>
        <v>1100.6588745669621</v>
      </c>
      <c r="BK69" s="1323">
        <f t="shared" si="36"/>
        <v>0.48626614457152323</v>
      </c>
      <c r="BL69" s="324">
        <f t="shared" si="37"/>
        <v>1453.6489630555377</v>
      </c>
      <c r="BM69" s="104">
        <v>0</v>
      </c>
      <c r="BN69" s="1314">
        <f t="shared" si="38"/>
        <v>1453.6489630555377</v>
      </c>
    </row>
    <row r="70" spans="1:66">
      <c r="A70" s="1034">
        <f>'Input data'!A100</f>
        <v>2002</v>
      </c>
      <c r="B70" s="1083">
        <f>'Input data'!B100</f>
        <v>45.533000000000001</v>
      </c>
      <c r="C70" s="1128">
        <f>'Baseline data (from input)'!B58</f>
        <v>578.73</v>
      </c>
      <c r="D70" s="1084">
        <f>'Baseline data (from input)'!L58</f>
        <v>0.8</v>
      </c>
      <c r="E70" s="1085">
        <f t="shared" si="44"/>
        <v>0.24001298204245269</v>
      </c>
      <c r="F70" s="1085">
        <f t="shared" si="44"/>
        <v>0.30440139352934503</v>
      </c>
      <c r="G70" s="1085">
        <f t="shared" si="44"/>
        <v>5.8998240613430578E-2</v>
      </c>
      <c r="H70" s="1085">
        <f t="shared" si="44"/>
        <v>0</v>
      </c>
      <c r="I70" s="1085">
        <f t="shared" si="44"/>
        <v>0</v>
      </c>
      <c r="J70" s="1085">
        <f t="shared" si="44"/>
        <v>0</v>
      </c>
      <c r="K70" s="1085">
        <f t="shared" si="44"/>
        <v>0.39658738381477154</v>
      </c>
      <c r="L70" s="1093">
        <f t="shared" si="40"/>
        <v>0.99999999999999989</v>
      </c>
      <c r="N70" s="1111">
        <f t="shared" si="1"/>
        <v>21081.050472000003</v>
      </c>
      <c r="O70" s="1105">
        <f>Parameters!R173</f>
        <v>0.73</v>
      </c>
      <c r="P70" s="1105">
        <f>E70*'MSW characteristics'!$B$28+'MSW characteristics'!$B$29*'4A SWD Case 2'!F70+'4A SWD Case 2'!G70*'MSW characteristics'!$B$30+'MSW characteristics'!$B$31*'4A SWD Case 2'!H70+'4A SWD Case 2'!I70*'MSW characteristics'!$B$32+'MSW characteristics'!$B$33*'4A SWD Case 2'!J70+'4A SWD Case 2'!K70*'MSW characteristics'!$B$35</f>
        <v>0.12048152225760915</v>
      </c>
      <c r="Q70" s="1104">
        <f t="shared" si="2"/>
        <v>927.05512385445832</v>
      </c>
      <c r="R70" s="1104">
        <f t="shared" si="3"/>
        <v>927.05512385445832</v>
      </c>
      <c r="S70" s="1106">
        <f t="shared" si="4"/>
        <v>0</v>
      </c>
      <c r="T70" s="1104">
        <f t="shared" si="5"/>
        <v>11606.803381780801</v>
      </c>
      <c r="U70" s="1104">
        <f t="shared" si="6"/>
        <v>547.5624022038163</v>
      </c>
      <c r="V70" s="1117">
        <f t="shared" si="7"/>
        <v>365.04160146921089</v>
      </c>
      <c r="X70" s="1111">
        <f>'Baseline data (from input)'!T58*'Baseline data (from input)'!U58</f>
        <v>48949.789145828523</v>
      </c>
      <c r="Y70" s="1105">
        <f>Parameters!S173</f>
        <v>0.71500000000000008</v>
      </c>
      <c r="Z70" s="1105">
        <f t="shared" si="8"/>
        <v>0.15</v>
      </c>
      <c r="AA70" s="1104">
        <f t="shared" si="9"/>
        <v>2624.9324429450548</v>
      </c>
      <c r="AB70" s="1104">
        <f t="shared" si="10"/>
        <v>2624.9324429450548</v>
      </c>
      <c r="AC70" s="1106">
        <f t="shared" si="11"/>
        <v>0</v>
      </c>
      <c r="AD70" s="1104">
        <f t="shared" si="12"/>
        <v>35663.42932308223</v>
      </c>
      <c r="AE70" s="1104">
        <f t="shared" si="13"/>
        <v>1693.9199576604822</v>
      </c>
      <c r="AF70" s="1117">
        <f t="shared" si="14"/>
        <v>1129.2799717736548</v>
      </c>
      <c r="AH70" s="1111">
        <f>'Baseline data (from input)'!T58*'Baseline data (from input)'!U58</f>
        <v>48949.789145828523</v>
      </c>
      <c r="AI70" s="1105">
        <f>Parameters!S173</f>
        <v>0.71500000000000008</v>
      </c>
      <c r="AJ70" s="1105">
        <f t="shared" si="15"/>
        <v>0.15</v>
      </c>
      <c r="AK70" s="1104">
        <f t="shared" si="16"/>
        <v>2624.9324429450548</v>
      </c>
      <c r="AL70" s="1104">
        <f t="shared" si="17"/>
        <v>2624.9324429450548</v>
      </c>
      <c r="AM70" s="1106">
        <f t="shared" si="18"/>
        <v>0</v>
      </c>
      <c r="AN70" s="1104">
        <f t="shared" si="19"/>
        <v>35663.42932308223</v>
      </c>
      <c r="AO70" s="1104">
        <f t="shared" si="20"/>
        <v>1693.9199576604822</v>
      </c>
      <c r="AP70" s="1117">
        <f t="shared" si="21"/>
        <v>1129.2799717736548</v>
      </c>
      <c r="AR70" s="1119">
        <v>501</v>
      </c>
      <c r="AS70" s="1105">
        <v>1</v>
      </c>
      <c r="AT70" s="1105">
        <f t="shared" si="22"/>
        <v>0.05</v>
      </c>
      <c r="AU70" s="1104">
        <f t="shared" si="23"/>
        <v>12.525</v>
      </c>
      <c r="AV70" s="1104">
        <f t="shared" si="24"/>
        <v>12.525</v>
      </c>
      <c r="AW70" s="1106">
        <f t="shared" si="25"/>
        <v>0</v>
      </c>
      <c r="AX70" s="1104">
        <f t="shared" si="42"/>
        <v>35.429279253025115</v>
      </c>
      <c r="AY70" s="1104">
        <f t="shared" ref="AY70:AY118" si="47">AW70+AX69*(1-$E$8)</f>
        <v>1.416321530117602</v>
      </c>
      <c r="AZ70" s="1120">
        <f t="shared" si="45"/>
        <v>0.94421435341173465</v>
      </c>
      <c r="BB70" s="323">
        <f t="shared" si="29"/>
        <v>365.04160146921089</v>
      </c>
      <c r="BC70" s="324">
        <f t="shared" si="30"/>
        <v>1129.2799717736548</v>
      </c>
      <c r="BD70" s="1323">
        <f t="shared" si="46"/>
        <v>0.94421435341173465</v>
      </c>
      <c r="BE70" s="324">
        <f t="shared" si="32"/>
        <v>1495.2657875962775</v>
      </c>
      <c r="BF70" s="104">
        <v>0</v>
      </c>
      <c r="BG70" s="1314">
        <f t="shared" si="33"/>
        <v>1495.2657875962775</v>
      </c>
      <c r="BI70" s="323">
        <f t="shared" si="34"/>
        <v>365.04160146921089</v>
      </c>
      <c r="BJ70" s="324">
        <f t="shared" si="35"/>
        <v>1129.2799717736548</v>
      </c>
      <c r="BK70" s="1323">
        <f t="shared" si="36"/>
        <v>0.94421435341173465</v>
      </c>
      <c r="BL70" s="324">
        <f t="shared" si="37"/>
        <v>1495.2657875962775</v>
      </c>
      <c r="BM70" s="104">
        <v>0</v>
      </c>
      <c r="BN70" s="1314">
        <f t="shared" si="38"/>
        <v>1495.2657875962775</v>
      </c>
    </row>
    <row r="71" spans="1:66">
      <c r="A71" s="1034">
        <f>'Input data'!A101</f>
        <v>2003</v>
      </c>
      <c r="B71" s="1083">
        <f>'Input data'!B101</f>
        <v>46.116</v>
      </c>
      <c r="C71" s="1128">
        <f>'Baseline data (from input)'!B59</f>
        <v>578.73</v>
      </c>
      <c r="D71" s="1084">
        <f>'Baseline data (from input)'!L59</f>
        <v>0.8</v>
      </c>
      <c r="E71" s="1085">
        <f t="shared" si="44"/>
        <v>0.24001298204245269</v>
      </c>
      <c r="F71" s="1085">
        <f t="shared" si="44"/>
        <v>0.30440139352934503</v>
      </c>
      <c r="G71" s="1085">
        <f t="shared" si="44"/>
        <v>5.8998240613430578E-2</v>
      </c>
      <c r="H71" s="1085">
        <f t="shared" si="44"/>
        <v>0</v>
      </c>
      <c r="I71" s="1085">
        <f t="shared" si="44"/>
        <v>0</v>
      </c>
      <c r="J71" s="1085">
        <f t="shared" si="44"/>
        <v>0</v>
      </c>
      <c r="K71" s="1085">
        <f t="shared" si="44"/>
        <v>0.39658738381477154</v>
      </c>
      <c r="L71" s="1093">
        <f t="shared" si="40"/>
        <v>0.99999999999999989</v>
      </c>
      <c r="N71" s="1111">
        <f t="shared" si="1"/>
        <v>21350.970144000003</v>
      </c>
      <c r="O71" s="1105">
        <f>Parameters!R174</f>
        <v>0.73</v>
      </c>
      <c r="P71" s="1105">
        <f>E71*'MSW characteristics'!$B$28+'MSW characteristics'!$B$29*'4A SWD Case 2'!F71+'4A SWD Case 2'!G71*'MSW characteristics'!$B$30+'MSW characteristics'!$B$31*'4A SWD Case 2'!H71+'4A SWD Case 2'!I71*'MSW characteristics'!$B$32+'MSW characteristics'!$B$33*'4A SWD Case 2'!J71+'4A SWD Case 2'!K71*'MSW characteristics'!$B$35</f>
        <v>0.12048152225760915</v>
      </c>
      <c r="Q71" s="1104">
        <f t="shared" si="2"/>
        <v>938.92504538844787</v>
      </c>
      <c r="R71" s="1104">
        <f t="shared" si="3"/>
        <v>938.92504538844787</v>
      </c>
      <c r="S71" s="1106">
        <f t="shared" si="4"/>
        <v>0</v>
      </c>
      <c r="T71" s="1104">
        <f t="shared" si="5"/>
        <v>11979.657946532741</v>
      </c>
      <c r="U71" s="1104">
        <f t="shared" si="6"/>
        <v>566.07048063650848</v>
      </c>
      <c r="V71" s="1117">
        <f t="shared" si="7"/>
        <v>377.380320424339</v>
      </c>
      <c r="X71" s="1111">
        <f>'Baseline data (from input)'!T59*'Baseline data (from input)'!U59</f>
        <v>50393.357165133653</v>
      </c>
      <c r="Y71" s="1105">
        <f>Parameters!S174</f>
        <v>0.71500000000000008</v>
      </c>
      <c r="Z71" s="1105">
        <f t="shared" si="8"/>
        <v>0.15</v>
      </c>
      <c r="AA71" s="1104">
        <f t="shared" si="9"/>
        <v>2702.3437779802925</v>
      </c>
      <c r="AB71" s="1104">
        <f t="shared" si="10"/>
        <v>2702.3437779802925</v>
      </c>
      <c r="AC71" s="1106">
        <f t="shared" si="11"/>
        <v>0</v>
      </c>
      <c r="AD71" s="1104">
        <f t="shared" si="12"/>
        <v>36626.447128697691</v>
      </c>
      <c r="AE71" s="1104">
        <f t="shared" si="13"/>
        <v>1739.3259723648316</v>
      </c>
      <c r="AF71" s="1117">
        <f t="shared" si="14"/>
        <v>1159.5506482432211</v>
      </c>
      <c r="AH71" s="1111">
        <f>'Baseline data (from input)'!T59*'Baseline data (from input)'!U59</f>
        <v>50393.357165133653</v>
      </c>
      <c r="AI71" s="1105">
        <f>Parameters!S174</f>
        <v>0.71500000000000008</v>
      </c>
      <c r="AJ71" s="1105">
        <f t="shared" si="15"/>
        <v>0.15</v>
      </c>
      <c r="AK71" s="1104">
        <f t="shared" si="16"/>
        <v>2702.3437779802925</v>
      </c>
      <c r="AL71" s="1104">
        <f t="shared" si="17"/>
        <v>2702.3437779802925</v>
      </c>
      <c r="AM71" s="1106">
        <f t="shared" si="18"/>
        <v>0</v>
      </c>
      <c r="AN71" s="1104">
        <f t="shared" si="19"/>
        <v>36626.447128697691</v>
      </c>
      <c r="AO71" s="1104">
        <f t="shared" si="20"/>
        <v>1739.3259723648316</v>
      </c>
      <c r="AP71" s="1117">
        <f t="shared" si="21"/>
        <v>1159.5506482432211</v>
      </c>
      <c r="AR71" s="1119">
        <v>501</v>
      </c>
      <c r="AS71" s="1105">
        <v>1</v>
      </c>
      <c r="AT71" s="1105">
        <f t="shared" si="22"/>
        <v>0.05</v>
      </c>
      <c r="AU71" s="1104">
        <f t="shared" si="23"/>
        <v>12.525</v>
      </c>
      <c r="AV71" s="1104">
        <f t="shared" si="24"/>
        <v>12.525</v>
      </c>
      <c r="AW71" s="1106">
        <f t="shared" si="25"/>
        <v>0</v>
      </c>
      <c r="AX71" s="1104">
        <f t="shared" si="42"/>
        <v>45.891038650951295</v>
      </c>
      <c r="AY71" s="1104">
        <f t="shared" si="47"/>
        <v>2.0632406020738179</v>
      </c>
      <c r="AZ71" s="1120">
        <f t="shared" si="45"/>
        <v>1.3754937347158787</v>
      </c>
      <c r="BB71" s="323">
        <f t="shared" si="29"/>
        <v>377.380320424339</v>
      </c>
      <c r="BC71" s="324">
        <f t="shared" si="30"/>
        <v>1159.5506482432211</v>
      </c>
      <c r="BD71" s="1323">
        <f t="shared" si="46"/>
        <v>1.3754937347158787</v>
      </c>
      <c r="BE71" s="324">
        <f t="shared" si="32"/>
        <v>1538.3064624022761</v>
      </c>
      <c r="BF71" s="104">
        <v>0</v>
      </c>
      <c r="BG71" s="1314">
        <f t="shared" si="33"/>
        <v>1538.3064624022761</v>
      </c>
      <c r="BI71" s="323">
        <f t="shared" si="34"/>
        <v>377.380320424339</v>
      </c>
      <c r="BJ71" s="324">
        <f t="shared" si="35"/>
        <v>1159.5506482432211</v>
      </c>
      <c r="BK71" s="1323">
        <f t="shared" si="36"/>
        <v>1.3754937347158787</v>
      </c>
      <c r="BL71" s="324">
        <f t="shared" si="37"/>
        <v>1538.3064624022761</v>
      </c>
      <c r="BM71" s="104">
        <v>0</v>
      </c>
      <c r="BN71" s="1314">
        <f t="shared" si="38"/>
        <v>1538.3064624022761</v>
      </c>
    </row>
    <row r="72" spans="1:66">
      <c r="A72" s="1034">
        <f>'Input data'!A102</f>
        <v>2004</v>
      </c>
      <c r="B72" s="1083">
        <f>'Input data'!B102</f>
        <v>46.664999999999999</v>
      </c>
      <c r="C72" s="1128">
        <f>'Baseline data (from input)'!B60</f>
        <v>578.73</v>
      </c>
      <c r="D72" s="1084">
        <f>'Baseline data (from input)'!L60</f>
        <v>0.8</v>
      </c>
      <c r="E72" s="1085">
        <f t="shared" si="44"/>
        <v>0.24001298204245269</v>
      </c>
      <c r="F72" s="1085">
        <f t="shared" si="44"/>
        <v>0.30440139352934503</v>
      </c>
      <c r="G72" s="1085">
        <f t="shared" si="44"/>
        <v>5.8998240613430578E-2</v>
      </c>
      <c r="H72" s="1085">
        <f t="shared" si="44"/>
        <v>0</v>
      </c>
      <c r="I72" s="1085">
        <f t="shared" si="44"/>
        <v>0</v>
      </c>
      <c r="J72" s="1085">
        <f t="shared" si="44"/>
        <v>0</v>
      </c>
      <c r="K72" s="1085">
        <f t="shared" si="44"/>
        <v>0.39658738381477154</v>
      </c>
      <c r="L72" s="1093">
        <f t="shared" si="40"/>
        <v>0.99999999999999989</v>
      </c>
      <c r="N72" s="1111">
        <f t="shared" si="1"/>
        <v>21605.148360000003</v>
      </c>
      <c r="O72" s="1105">
        <f>Parameters!R175</f>
        <v>0.73</v>
      </c>
      <c r="P72" s="1105">
        <f>E72*'MSW characteristics'!$B$28+'MSW characteristics'!$B$29*'4A SWD Case 2'!F72+'4A SWD Case 2'!G72*'MSW characteristics'!$B$30+'MSW characteristics'!$B$31*'4A SWD Case 2'!H72+'4A SWD Case 2'!I72*'MSW characteristics'!$B$32+'MSW characteristics'!$B$33*'4A SWD Case 2'!J72+'4A SWD Case 2'!K72*'MSW characteristics'!$B$35</f>
        <v>0.12048152225760915</v>
      </c>
      <c r="Q72" s="1104">
        <f t="shared" si="2"/>
        <v>950.10272450021512</v>
      </c>
      <c r="R72" s="1104">
        <f t="shared" si="3"/>
        <v>950.10272450021512</v>
      </c>
      <c r="S72" s="1106">
        <f t="shared" si="4"/>
        <v>0</v>
      </c>
      <c r="T72" s="1104">
        <f t="shared" si="5"/>
        <v>12345.50585869596</v>
      </c>
      <c r="U72" s="1104">
        <f t="shared" si="6"/>
        <v>584.25481233699634</v>
      </c>
      <c r="V72" s="1117">
        <f t="shared" si="7"/>
        <v>389.50320822466421</v>
      </c>
      <c r="X72" s="1111">
        <f>'Baseline data (from input)'!T60*'Baseline data (from input)'!U60</f>
        <v>52688.549197195905</v>
      </c>
      <c r="Y72" s="1105">
        <f>Parameters!S175</f>
        <v>0.71500000000000008</v>
      </c>
      <c r="Z72" s="1105">
        <f t="shared" si="8"/>
        <v>0.15</v>
      </c>
      <c r="AA72" s="1104">
        <f t="shared" si="9"/>
        <v>2825.4234506996308</v>
      </c>
      <c r="AB72" s="1104">
        <f t="shared" si="10"/>
        <v>2825.4234506996308</v>
      </c>
      <c r="AC72" s="1106">
        <f t="shared" si="11"/>
        <v>0</v>
      </c>
      <c r="AD72" s="1104">
        <f t="shared" si="12"/>
        <v>37665.577674436565</v>
      </c>
      <c r="AE72" s="1104">
        <f t="shared" si="13"/>
        <v>1786.2929049607571</v>
      </c>
      <c r="AF72" s="1117">
        <f t="shared" si="14"/>
        <v>1190.8619366405048</v>
      </c>
      <c r="AH72" s="1111">
        <f>'Baseline data (from input)'!T60*'Baseline data (from input)'!U60</f>
        <v>52688.549197195905</v>
      </c>
      <c r="AI72" s="1105">
        <f>Parameters!S175</f>
        <v>0.71500000000000008</v>
      </c>
      <c r="AJ72" s="1105">
        <f t="shared" si="15"/>
        <v>0.15</v>
      </c>
      <c r="AK72" s="1104">
        <f t="shared" si="16"/>
        <v>2825.4234506996308</v>
      </c>
      <c r="AL72" s="1104">
        <f t="shared" si="17"/>
        <v>2825.4234506996308</v>
      </c>
      <c r="AM72" s="1106">
        <f t="shared" si="18"/>
        <v>0</v>
      </c>
      <c r="AN72" s="1104">
        <f t="shared" si="19"/>
        <v>37665.577674436565</v>
      </c>
      <c r="AO72" s="1104">
        <f t="shared" si="20"/>
        <v>1786.2929049607571</v>
      </c>
      <c r="AP72" s="1117">
        <f t="shared" si="21"/>
        <v>1190.8619366405048</v>
      </c>
      <c r="AR72" s="1119">
        <v>501</v>
      </c>
      <c r="AS72" s="1105">
        <v>1</v>
      </c>
      <c r="AT72" s="1105">
        <f t="shared" si="22"/>
        <v>0.05</v>
      </c>
      <c r="AU72" s="1104">
        <f t="shared" si="23"/>
        <v>12.525</v>
      </c>
      <c r="AV72" s="1104">
        <f t="shared" si="24"/>
        <v>12.525</v>
      </c>
      <c r="AW72" s="1106">
        <f t="shared" si="25"/>
        <v>0</v>
      </c>
      <c r="AX72" s="1104">
        <f t="shared" si="42"/>
        <v>55.743552610809878</v>
      </c>
      <c r="AY72" s="1104">
        <f t="shared" si="47"/>
        <v>2.6724860401414179</v>
      </c>
      <c r="AZ72" s="1120">
        <f t="shared" si="45"/>
        <v>1.7816573600942787</v>
      </c>
      <c r="BB72" s="323">
        <f t="shared" si="29"/>
        <v>389.50320822466421</v>
      </c>
      <c r="BC72" s="324">
        <f t="shared" si="30"/>
        <v>1190.8619366405048</v>
      </c>
      <c r="BD72" s="1323">
        <f t="shared" si="46"/>
        <v>1.7816573600942787</v>
      </c>
      <c r="BE72" s="324">
        <f t="shared" si="32"/>
        <v>1582.1468022252632</v>
      </c>
      <c r="BF72" s="104">
        <v>0</v>
      </c>
      <c r="BG72" s="1314">
        <f t="shared" si="33"/>
        <v>1582.1468022252632</v>
      </c>
      <c r="BI72" s="323">
        <f t="shared" si="34"/>
        <v>389.50320822466421</v>
      </c>
      <c r="BJ72" s="324">
        <f t="shared" si="35"/>
        <v>1190.8619366405048</v>
      </c>
      <c r="BK72" s="1323">
        <f t="shared" si="36"/>
        <v>1.7816573600942787</v>
      </c>
      <c r="BL72" s="324">
        <f t="shared" si="37"/>
        <v>1582.1468022252632</v>
      </c>
      <c r="BM72" s="104">
        <v>0</v>
      </c>
      <c r="BN72" s="1314">
        <f t="shared" si="38"/>
        <v>1582.1468022252632</v>
      </c>
    </row>
    <row r="73" spans="1:66">
      <c r="A73" s="1034">
        <f>'Input data'!A103</f>
        <v>2005</v>
      </c>
      <c r="B73" s="1083">
        <f>'Input data'!B103</f>
        <v>47.198</v>
      </c>
      <c r="C73" s="1128">
        <f>'Baseline data (from input)'!B61</f>
        <v>578.73</v>
      </c>
      <c r="D73" s="1084">
        <f>'Baseline data (from input)'!L61</f>
        <v>0.8</v>
      </c>
      <c r="E73" s="1085">
        <f t="shared" si="44"/>
        <v>0.24001298204245269</v>
      </c>
      <c r="F73" s="1085">
        <f t="shared" si="44"/>
        <v>0.30440139352934503</v>
      </c>
      <c r="G73" s="1085">
        <f t="shared" si="44"/>
        <v>5.8998240613430578E-2</v>
      </c>
      <c r="H73" s="1085">
        <f t="shared" si="44"/>
        <v>0</v>
      </c>
      <c r="I73" s="1085">
        <f t="shared" si="44"/>
        <v>0</v>
      </c>
      <c r="J73" s="1085">
        <f t="shared" si="44"/>
        <v>0</v>
      </c>
      <c r="K73" s="1085">
        <f t="shared" si="44"/>
        <v>0.39658738381477154</v>
      </c>
      <c r="L73" s="1093">
        <f t="shared" si="40"/>
        <v>0.99999999999999989</v>
      </c>
      <c r="N73" s="1111">
        <f t="shared" si="1"/>
        <v>21851.918832000003</v>
      </c>
      <c r="O73" s="1105">
        <f>Parameters!R176</f>
        <v>0.73</v>
      </c>
      <c r="P73" s="1105">
        <f>E73*'MSW characteristics'!$B$28+'MSW characteristics'!$B$29*'4A SWD Case 2'!F73+'4A SWD Case 2'!G73*'MSW characteristics'!$B$30+'MSW characteristics'!$B$31*'4A SWD Case 2'!H73+'4A SWD Case 2'!I73*'MSW characteristics'!$B$32+'MSW characteristics'!$B$33*'4A SWD Case 2'!J73+'4A SWD Case 2'!K73*'MSW characteristics'!$B$35</f>
        <v>0.12048152225760915</v>
      </c>
      <c r="Q73" s="1104">
        <f t="shared" si="2"/>
        <v>960.95464247211305</v>
      </c>
      <c r="R73" s="1104">
        <f t="shared" si="3"/>
        <v>960.95464247211305</v>
      </c>
      <c r="S73" s="1106">
        <f t="shared" si="4"/>
        <v>0</v>
      </c>
      <c r="T73" s="1104">
        <f t="shared" si="5"/>
        <v>12704.363075609665</v>
      </c>
      <c r="U73" s="1104">
        <f t="shared" si="6"/>
        <v>602.09742555840876</v>
      </c>
      <c r="V73" s="1117">
        <f t="shared" si="7"/>
        <v>401.39828370560582</v>
      </c>
      <c r="X73" s="1111">
        <f>'Baseline data (from input)'!T61*'Baseline data (from input)'!U61</f>
        <v>55468.953608307747</v>
      </c>
      <c r="Y73" s="1105">
        <f>Parameters!S176</f>
        <v>0.71500000000000008</v>
      </c>
      <c r="Z73" s="1105">
        <f t="shared" si="8"/>
        <v>0.15</v>
      </c>
      <c r="AA73" s="1104">
        <f t="shared" si="9"/>
        <v>2974.5226372455031</v>
      </c>
      <c r="AB73" s="1104">
        <f t="shared" si="10"/>
        <v>2974.5226372455031</v>
      </c>
      <c r="AC73" s="1106">
        <f t="shared" si="11"/>
        <v>0</v>
      </c>
      <c r="AD73" s="1104">
        <f t="shared" si="12"/>
        <v>38803.128411986734</v>
      </c>
      <c r="AE73" s="1104">
        <f t="shared" si="13"/>
        <v>1836.9718996953291</v>
      </c>
      <c r="AF73" s="1117">
        <f t="shared" si="14"/>
        <v>1224.6479331302194</v>
      </c>
      <c r="AH73" s="1111">
        <f>'Baseline data (from input)'!T61*'Baseline data (from input)'!U61</f>
        <v>55468.953608307747</v>
      </c>
      <c r="AI73" s="1105">
        <f>Parameters!S176</f>
        <v>0.71500000000000008</v>
      </c>
      <c r="AJ73" s="1105">
        <f t="shared" si="15"/>
        <v>0.15</v>
      </c>
      <c r="AK73" s="1104">
        <f t="shared" si="16"/>
        <v>2974.5226372455031</v>
      </c>
      <c r="AL73" s="1104">
        <f t="shared" si="17"/>
        <v>2974.5226372455031</v>
      </c>
      <c r="AM73" s="1106">
        <f t="shared" si="18"/>
        <v>0</v>
      </c>
      <c r="AN73" s="1104">
        <f t="shared" si="19"/>
        <v>38803.128411986734</v>
      </c>
      <c r="AO73" s="1104">
        <f t="shared" si="20"/>
        <v>1836.9718996953291</v>
      </c>
      <c r="AP73" s="1117">
        <f t="shared" si="21"/>
        <v>1224.6479331302194</v>
      </c>
      <c r="AR73" s="1119">
        <v>501</v>
      </c>
      <c r="AS73" s="1105">
        <v>1</v>
      </c>
      <c r="AT73" s="1105">
        <f t="shared" si="22"/>
        <v>0.05</v>
      </c>
      <c r="AU73" s="1104">
        <f t="shared" si="23"/>
        <v>12.525</v>
      </c>
      <c r="AV73" s="1104">
        <f t="shared" si="24"/>
        <v>12.525</v>
      </c>
      <c r="AW73" s="1106">
        <f t="shared" si="25"/>
        <v>0</v>
      </c>
      <c r="AX73" s="1104">
        <f t="shared" si="42"/>
        <v>65.022300824848401</v>
      </c>
      <c r="AY73" s="1104">
        <f t="shared" si="47"/>
        <v>3.2462517859614834</v>
      </c>
      <c r="AZ73" s="1120">
        <f t="shared" si="45"/>
        <v>2.1641678573076555</v>
      </c>
      <c r="BB73" s="323">
        <f t="shared" si="29"/>
        <v>401.39828370560582</v>
      </c>
      <c r="BC73" s="324">
        <f t="shared" si="30"/>
        <v>1224.6479331302194</v>
      </c>
      <c r="BD73" s="1323">
        <f t="shared" si="46"/>
        <v>2.1641678573076555</v>
      </c>
      <c r="BE73" s="324">
        <f t="shared" si="32"/>
        <v>1628.2103846931327</v>
      </c>
      <c r="BF73" s="104">
        <v>0</v>
      </c>
      <c r="BG73" s="1314">
        <f t="shared" si="33"/>
        <v>1628.2103846931327</v>
      </c>
      <c r="BI73" s="323">
        <f t="shared" si="34"/>
        <v>401.39828370560582</v>
      </c>
      <c r="BJ73" s="324">
        <f t="shared" si="35"/>
        <v>1224.6479331302194</v>
      </c>
      <c r="BK73" s="1323">
        <f t="shared" si="36"/>
        <v>2.1641678573076555</v>
      </c>
      <c r="BL73" s="324">
        <f t="shared" si="37"/>
        <v>1628.2103846931327</v>
      </c>
      <c r="BM73" s="104">
        <v>0</v>
      </c>
      <c r="BN73" s="1314">
        <f t="shared" si="38"/>
        <v>1628.2103846931327</v>
      </c>
    </row>
    <row r="74" spans="1:66">
      <c r="A74" s="1034">
        <f>'Input data'!A104</f>
        <v>2006</v>
      </c>
      <c r="B74" s="1083">
        <f>'Input data'!B104</f>
        <v>47.731000000000002</v>
      </c>
      <c r="C74" s="1128">
        <f>'Baseline data (from input)'!B62</f>
        <v>578.73</v>
      </c>
      <c r="D74" s="1084">
        <f>'Baseline data (from input)'!L62</f>
        <v>0.8</v>
      </c>
      <c r="E74" s="1085">
        <f t="shared" si="44"/>
        <v>0.24001298204245269</v>
      </c>
      <c r="F74" s="1085">
        <f t="shared" si="44"/>
        <v>0.30440139352934503</v>
      </c>
      <c r="G74" s="1085">
        <f t="shared" si="44"/>
        <v>5.8998240613430578E-2</v>
      </c>
      <c r="H74" s="1085">
        <f t="shared" si="44"/>
        <v>0</v>
      </c>
      <c r="I74" s="1085">
        <f t="shared" si="44"/>
        <v>0</v>
      </c>
      <c r="J74" s="1085">
        <f t="shared" si="44"/>
        <v>0</v>
      </c>
      <c r="K74" s="1085">
        <f t="shared" si="44"/>
        <v>0.39658738381477154</v>
      </c>
      <c r="L74" s="1093">
        <f t="shared" si="40"/>
        <v>0.99999999999999989</v>
      </c>
      <c r="N74" s="1111">
        <f t="shared" si="1"/>
        <v>22098.689304000003</v>
      </c>
      <c r="O74" s="1105">
        <f>Parameters!R177</f>
        <v>0.73</v>
      </c>
      <c r="P74" s="1105">
        <f>E74*'MSW characteristics'!$B$28+'MSW characteristics'!$B$29*'4A SWD Case 2'!F74+'4A SWD Case 2'!G74*'MSW characteristics'!$B$30+'MSW characteristics'!$B$31*'4A SWD Case 2'!H74+'4A SWD Case 2'!I74*'MSW characteristics'!$B$32+'MSW characteristics'!$B$33*'4A SWD Case 2'!J74+'4A SWD Case 2'!K74*'MSW characteristics'!$B$35</f>
        <v>0.12048152225760915</v>
      </c>
      <c r="Q74" s="1104">
        <f t="shared" si="2"/>
        <v>971.80656044401098</v>
      </c>
      <c r="R74" s="1104">
        <f t="shared" si="3"/>
        <v>971.80656044401098</v>
      </c>
      <c r="S74" s="1106">
        <f t="shared" si="4"/>
        <v>0</v>
      </c>
      <c r="T74" s="1104">
        <f t="shared" si="5"/>
        <v>13056.570537504313</v>
      </c>
      <c r="U74" s="1104">
        <f t="shared" si="6"/>
        <v>619.59909854936222</v>
      </c>
      <c r="V74" s="1117">
        <f t="shared" si="7"/>
        <v>413.06606569957484</v>
      </c>
      <c r="X74" s="1111">
        <f>'Baseline data (from input)'!T62*'Baseline data (from input)'!U62</f>
        <v>58577.321530972527</v>
      </c>
      <c r="Y74" s="1105">
        <f>Parameters!S177</f>
        <v>0.71500000000000008</v>
      </c>
      <c r="Z74" s="1105">
        <f t="shared" si="8"/>
        <v>0.15</v>
      </c>
      <c r="AA74" s="1104">
        <f t="shared" si="9"/>
        <v>3141.2088670984022</v>
      </c>
      <c r="AB74" s="1104">
        <f t="shared" si="10"/>
        <v>3141.2088670984022</v>
      </c>
      <c r="AC74" s="1106">
        <f t="shared" si="11"/>
        <v>0</v>
      </c>
      <c r="AD74" s="1104">
        <f t="shared" si="12"/>
        <v>40051.886375259848</v>
      </c>
      <c r="AE74" s="1104">
        <f t="shared" si="13"/>
        <v>1892.4509038252882</v>
      </c>
      <c r="AF74" s="1117">
        <f t="shared" si="14"/>
        <v>1261.6339358835255</v>
      </c>
      <c r="AH74" s="1111">
        <f>'Baseline data (from input)'!T62*'Baseline data (from input)'!U62</f>
        <v>58577.321530972527</v>
      </c>
      <c r="AI74" s="1105">
        <f>Parameters!S177</f>
        <v>0.71500000000000008</v>
      </c>
      <c r="AJ74" s="1105">
        <f t="shared" si="15"/>
        <v>0.15</v>
      </c>
      <c r="AK74" s="1104">
        <f t="shared" si="16"/>
        <v>3141.2088670984022</v>
      </c>
      <c r="AL74" s="1104">
        <f t="shared" si="17"/>
        <v>3141.2088670984022</v>
      </c>
      <c r="AM74" s="1106">
        <f t="shared" si="18"/>
        <v>0</v>
      </c>
      <c r="AN74" s="1104">
        <f t="shared" si="19"/>
        <v>40051.886375259848</v>
      </c>
      <c r="AO74" s="1104">
        <f t="shared" si="20"/>
        <v>1892.4509038252882</v>
      </c>
      <c r="AP74" s="1117">
        <f t="shared" si="21"/>
        <v>1261.6339358835255</v>
      </c>
      <c r="AR74" s="1119">
        <v>501</v>
      </c>
      <c r="AS74" s="1105">
        <v>1</v>
      </c>
      <c r="AT74" s="1105">
        <f t="shared" si="22"/>
        <v>0.05</v>
      </c>
      <c r="AU74" s="1104">
        <f t="shared" si="23"/>
        <v>12.525</v>
      </c>
      <c r="AV74" s="1104">
        <f t="shared" si="24"/>
        <v>12.525</v>
      </c>
      <c r="AW74" s="1106">
        <f t="shared" si="25"/>
        <v>0</v>
      </c>
      <c r="AX74" s="1104">
        <f t="shared" si="42"/>
        <v>73.760696808888071</v>
      </c>
      <c r="AY74" s="1104">
        <f t="shared" si="47"/>
        <v>3.7866040159603358</v>
      </c>
      <c r="AZ74" s="1120">
        <f t="shared" si="45"/>
        <v>2.5244026773068904</v>
      </c>
      <c r="BB74" s="323">
        <f t="shared" si="29"/>
        <v>413.06606569957484</v>
      </c>
      <c r="BC74" s="324">
        <f t="shared" si="30"/>
        <v>1261.6339358835255</v>
      </c>
      <c r="BD74" s="1323">
        <f t="shared" si="46"/>
        <v>2.5244026773068904</v>
      </c>
      <c r="BE74" s="324">
        <f t="shared" si="32"/>
        <v>1677.2244042604073</v>
      </c>
      <c r="BF74" s="104">
        <v>0</v>
      </c>
      <c r="BG74" s="1314">
        <f t="shared" si="33"/>
        <v>1677.2244042604073</v>
      </c>
      <c r="BI74" s="323">
        <f t="shared" si="34"/>
        <v>413.06606569957484</v>
      </c>
      <c r="BJ74" s="324">
        <f t="shared" si="35"/>
        <v>1261.6339358835255</v>
      </c>
      <c r="BK74" s="1323">
        <f t="shared" si="36"/>
        <v>2.5244026773068904</v>
      </c>
      <c r="BL74" s="324">
        <f t="shared" si="37"/>
        <v>1677.2244042604073</v>
      </c>
      <c r="BM74" s="104">
        <v>0</v>
      </c>
      <c r="BN74" s="1314">
        <f t="shared" si="38"/>
        <v>1677.2244042604073</v>
      </c>
    </row>
    <row r="75" spans="1:66">
      <c r="A75" s="1034">
        <f>'Input data'!A105</f>
        <v>2007</v>
      </c>
      <c r="B75" s="1083">
        <f>'Input data'!B105</f>
        <v>48.256999999999998</v>
      </c>
      <c r="C75" s="1128">
        <f>'Baseline data (from input)'!B63</f>
        <v>578.73</v>
      </c>
      <c r="D75" s="1084">
        <f>'Baseline data (from input)'!L63</f>
        <v>0.8</v>
      </c>
      <c r="E75" s="1085">
        <f t="shared" si="44"/>
        <v>0.24001298204245269</v>
      </c>
      <c r="F75" s="1085">
        <f t="shared" si="44"/>
        <v>0.30440139352934503</v>
      </c>
      <c r="G75" s="1085">
        <f t="shared" si="44"/>
        <v>5.8998240613430578E-2</v>
      </c>
      <c r="H75" s="1085">
        <f t="shared" si="44"/>
        <v>0</v>
      </c>
      <c r="I75" s="1085">
        <f t="shared" si="44"/>
        <v>0</v>
      </c>
      <c r="J75" s="1085">
        <f t="shared" si="44"/>
        <v>0</v>
      </c>
      <c r="K75" s="1085">
        <f t="shared" si="44"/>
        <v>0.39658738381477154</v>
      </c>
      <c r="L75" s="1093">
        <f t="shared" si="40"/>
        <v>0.99999999999999989</v>
      </c>
      <c r="N75" s="1111">
        <f t="shared" si="1"/>
        <v>22342.218888000003</v>
      </c>
      <c r="O75" s="1105">
        <f>Parameters!R178</f>
        <v>0.73</v>
      </c>
      <c r="P75" s="1105">
        <f>E75*'MSW characteristics'!$B$28+'MSW characteristics'!$B$29*'4A SWD Case 2'!F75+'4A SWD Case 2'!G75*'MSW characteristics'!$B$30+'MSW characteristics'!$B$31*'4A SWD Case 2'!H75+'4A SWD Case 2'!I75*'MSW characteristics'!$B$32+'MSW characteristics'!$B$33*'4A SWD Case 2'!J75+'4A SWD Case 2'!K75*'MSW characteristics'!$B$35</f>
        <v>0.12048152225760915</v>
      </c>
      <c r="Q75" s="1104">
        <f t="shared" si="2"/>
        <v>982.51595791721593</v>
      </c>
      <c r="R75" s="1104">
        <f t="shared" si="3"/>
        <v>982.51595791721593</v>
      </c>
      <c r="S75" s="1106">
        <f t="shared" si="4"/>
        <v>0</v>
      </c>
      <c r="T75" s="1104">
        <f t="shared" si="5"/>
        <v>13402.310036260422</v>
      </c>
      <c r="U75" s="1104">
        <f t="shared" si="6"/>
        <v>636.77645916110703</v>
      </c>
      <c r="V75" s="1117">
        <f t="shared" si="7"/>
        <v>424.51763944073804</v>
      </c>
      <c r="X75" s="1111">
        <f>'Baseline data (from input)'!T63*'Baseline data (from input)'!U63</f>
        <v>61717.344729233853</v>
      </c>
      <c r="Y75" s="1105">
        <f>Parameters!S178</f>
        <v>0.71500000000000008</v>
      </c>
      <c r="Z75" s="1105">
        <f t="shared" si="8"/>
        <v>0.15</v>
      </c>
      <c r="AA75" s="1104">
        <f t="shared" si="9"/>
        <v>3309.5926111051654</v>
      </c>
      <c r="AB75" s="1104">
        <f t="shared" si="10"/>
        <v>3309.5926111051654</v>
      </c>
      <c r="AC75" s="1106">
        <f t="shared" si="11"/>
        <v>0</v>
      </c>
      <c r="AD75" s="1104">
        <f t="shared" si="12"/>
        <v>41408.125438011579</v>
      </c>
      <c r="AE75" s="1104">
        <f t="shared" si="13"/>
        <v>1953.353548353434</v>
      </c>
      <c r="AF75" s="1117">
        <f t="shared" si="14"/>
        <v>1302.2356989022894</v>
      </c>
      <c r="AH75" s="1111">
        <f>'Baseline data (from input)'!T63*'Baseline data (from input)'!U63</f>
        <v>61717.344729233853</v>
      </c>
      <c r="AI75" s="1105">
        <f>Parameters!S178</f>
        <v>0.71500000000000008</v>
      </c>
      <c r="AJ75" s="1105">
        <f t="shared" si="15"/>
        <v>0.15</v>
      </c>
      <c r="AK75" s="1104">
        <f t="shared" si="16"/>
        <v>3309.5926111051654</v>
      </c>
      <c r="AL75" s="1104">
        <f t="shared" si="17"/>
        <v>3309.5926111051654</v>
      </c>
      <c r="AM75" s="1106">
        <f t="shared" si="18"/>
        <v>0</v>
      </c>
      <c r="AN75" s="1104">
        <f t="shared" si="19"/>
        <v>41408.125438011579</v>
      </c>
      <c r="AO75" s="1104">
        <f t="shared" si="20"/>
        <v>1953.353548353434</v>
      </c>
      <c r="AP75" s="1117">
        <f t="shared" si="21"/>
        <v>1302.2356989022894</v>
      </c>
      <c r="AR75" s="1119">
        <v>501</v>
      </c>
      <c r="AS75" s="1105">
        <v>1</v>
      </c>
      <c r="AT75" s="1105">
        <f t="shared" si="22"/>
        <v>0.05</v>
      </c>
      <c r="AU75" s="1104">
        <f t="shared" si="23"/>
        <v>12.525</v>
      </c>
      <c r="AV75" s="1104">
        <f t="shared" si="24"/>
        <v>12.525</v>
      </c>
      <c r="AW75" s="1106">
        <f t="shared" si="25"/>
        <v>0</v>
      </c>
      <c r="AX75" s="1104">
        <f t="shared" si="42"/>
        <v>81.990208227071662</v>
      </c>
      <c r="AY75" s="1104">
        <f t="shared" si="47"/>
        <v>4.2954885818164135</v>
      </c>
      <c r="AZ75" s="1120">
        <f t="shared" si="45"/>
        <v>2.8636590545442755</v>
      </c>
      <c r="BB75" s="323">
        <f t="shared" si="29"/>
        <v>424.51763944073804</v>
      </c>
      <c r="BC75" s="324">
        <f t="shared" si="30"/>
        <v>1302.2356989022894</v>
      </c>
      <c r="BD75" s="1323">
        <f t="shared" si="46"/>
        <v>2.8636590545442755</v>
      </c>
      <c r="BE75" s="324">
        <f t="shared" si="32"/>
        <v>1729.6169973975718</v>
      </c>
      <c r="BF75" s="104">
        <v>0</v>
      </c>
      <c r="BG75" s="1314">
        <f t="shared" si="33"/>
        <v>1729.6169973975718</v>
      </c>
      <c r="BI75" s="323">
        <f t="shared" si="34"/>
        <v>424.51763944073804</v>
      </c>
      <c r="BJ75" s="324">
        <f t="shared" si="35"/>
        <v>1302.2356989022894</v>
      </c>
      <c r="BK75" s="1323">
        <f t="shared" si="36"/>
        <v>2.8636590545442755</v>
      </c>
      <c r="BL75" s="324">
        <f t="shared" si="37"/>
        <v>1729.6169973975718</v>
      </c>
      <c r="BM75" s="104">
        <v>0</v>
      </c>
      <c r="BN75" s="1314">
        <f t="shared" si="38"/>
        <v>1729.6169973975718</v>
      </c>
    </row>
    <row r="76" spans="1:66">
      <c r="A76" s="1034">
        <f>'Input data'!A106</f>
        <v>2008</v>
      </c>
      <c r="B76" s="1083">
        <f>'Input data'!B106</f>
        <v>48.792999999999999</v>
      </c>
      <c r="C76" s="1128">
        <f>'Baseline data (from input)'!B64</f>
        <v>578.73</v>
      </c>
      <c r="D76" s="1084">
        <f>'Baseline data (from input)'!L64</f>
        <v>0.8</v>
      </c>
      <c r="E76" s="1085">
        <f t="shared" si="44"/>
        <v>0.24001298204245269</v>
      </c>
      <c r="F76" s="1085">
        <f t="shared" si="44"/>
        <v>0.30440139352934503</v>
      </c>
      <c r="G76" s="1085">
        <f t="shared" si="44"/>
        <v>5.8998240613430578E-2</v>
      </c>
      <c r="H76" s="1085">
        <f t="shared" si="44"/>
        <v>0</v>
      </c>
      <c r="I76" s="1085">
        <f t="shared" si="44"/>
        <v>0</v>
      </c>
      <c r="J76" s="1085">
        <f t="shared" si="44"/>
        <v>0</v>
      </c>
      <c r="K76" s="1085">
        <f t="shared" si="44"/>
        <v>0.39658738381477154</v>
      </c>
      <c r="L76" s="1093">
        <f t="shared" si="40"/>
        <v>0.99999999999999989</v>
      </c>
      <c r="N76" s="1111">
        <f t="shared" si="1"/>
        <v>22590.378312000001</v>
      </c>
      <c r="O76" s="1105">
        <f>Parameters!R179</f>
        <v>0.73</v>
      </c>
      <c r="P76" s="1105">
        <f>E76*'MSW characteristics'!$B$28+'MSW characteristics'!$B$29*'4A SWD Case 2'!F76+'4A SWD Case 2'!G76*'MSW characteristics'!$B$30+'MSW characteristics'!$B$31*'4A SWD Case 2'!H76+'4A SWD Case 2'!I76*'MSW characteristics'!$B$32+'MSW characteristics'!$B$33*'4A SWD Case 2'!J76+'4A SWD Case 2'!K76*'MSW characteristics'!$B$35</f>
        <v>0.12048152225760915</v>
      </c>
      <c r="Q76" s="1104">
        <f t="shared" si="2"/>
        <v>993.42895610283927</v>
      </c>
      <c r="R76" s="1104">
        <f t="shared" si="3"/>
        <v>993.42895610283927</v>
      </c>
      <c r="S76" s="1106">
        <f t="shared" si="4"/>
        <v>0</v>
      </c>
      <c r="T76" s="1104">
        <f t="shared" si="5"/>
        <v>13742.100618874985</v>
      </c>
      <c r="U76" s="1104">
        <f t="shared" si="6"/>
        <v>653.63837348827713</v>
      </c>
      <c r="V76" s="1117">
        <f t="shared" si="7"/>
        <v>435.75891565885144</v>
      </c>
      <c r="X76" s="1111">
        <f>'Baseline data (from input)'!T64*'Baseline data (from input)'!U64</f>
        <v>63686.774046847793</v>
      </c>
      <c r="Y76" s="1105">
        <f>Parameters!S179</f>
        <v>0.71500000000000008</v>
      </c>
      <c r="Z76" s="1105">
        <f t="shared" si="8"/>
        <v>0.15</v>
      </c>
      <c r="AA76" s="1104">
        <f t="shared" si="9"/>
        <v>3415.2032582622128</v>
      </c>
      <c r="AB76" s="1104">
        <f t="shared" si="10"/>
        <v>3415.2032582622128</v>
      </c>
      <c r="AC76" s="1106">
        <f t="shared" si="11"/>
        <v>0</v>
      </c>
      <c r="AD76" s="1104">
        <f t="shared" si="12"/>
        <v>42803.830588315344</v>
      </c>
      <c r="AE76" s="1104">
        <f t="shared" si="13"/>
        <v>2019.4981079584481</v>
      </c>
      <c r="AF76" s="1117">
        <f t="shared" si="14"/>
        <v>1346.3320719722988</v>
      </c>
      <c r="AH76" s="1111">
        <f>'Baseline data (from input)'!T64*'Baseline data (from input)'!U64</f>
        <v>63686.774046847793</v>
      </c>
      <c r="AI76" s="1105">
        <f>Parameters!S179</f>
        <v>0.71500000000000008</v>
      </c>
      <c r="AJ76" s="1105">
        <f t="shared" si="15"/>
        <v>0.15</v>
      </c>
      <c r="AK76" s="1104">
        <f t="shared" si="16"/>
        <v>3415.2032582622128</v>
      </c>
      <c r="AL76" s="1104">
        <f t="shared" si="17"/>
        <v>3415.2032582622128</v>
      </c>
      <c r="AM76" s="1106">
        <f t="shared" si="18"/>
        <v>0</v>
      </c>
      <c r="AN76" s="1104">
        <f t="shared" si="19"/>
        <v>42803.830588315344</v>
      </c>
      <c r="AO76" s="1104">
        <f t="shared" si="20"/>
        <v>2019.4981079584481</v>
      </c>
      <c r="AP76" s="1117">
        <f t="shared" si="21"/>
        <v>1346.3320719722988</v>
      </c>
      <c r="AR76" s="1119">
        <v>501</v>
      </c>
      <c r="AS76" s="1105">
        <v>1</v>
      </c>
      <c r="AT76" s="1105">
        <f t="shared" si="22"/>
        <v>0.05</v>
      </c>
      <c r="AU76" s="1104">
        <f t="shared" si="23"/>
        <v>12.525</v>
      </c>
      <c r="AV76" s="1104">
        <f t="shared" si="24"/>
        <v>12.525</v>
      </c>
      <c r="AW76" s="1106">
        <f t="shared" si="25"/>
        <v>0</v>
      </c>
      <c r="AX76" s="1104">
        <f t="shared" si="42"/>
        <v>89.740470209443586</v>
      </c>
      <c r="AY76" s="1104">
        <f t="shared" si="47"/>
        <v>4.7747380176280858</v>
      </c>
      <c r="AZ76" s="1120">
        <f t="shared" si="45"/>
        <v>3.183158678418724</v>
      </c>
      <c r="BB76" s="323">
        <f t="shared" si="29"/>
        <v>435.75891565885144</v>
      </c>
      <c r="BC76" s="324">
        <f t="shared" si="30"/>
        <v>1346.3320719722988</v>
      </c>
      <c r="BD76" s="1323">
        <f t="shared" si="46"/>
        <v>3.183158678418724</v>
      </c>
      <c r="BE76" s="324">
        <f t="shared" si="32"/>
        <v>1785.274146309569</v>
      </c>
      <c r="BF76" s="104">
        <v>0</v>
      </c>
      <c r="BG76" s="1314">
        <f t="shared" si="33"/>
        <v>1785.274146309569</v>
      </c>
      <c r="BI76" s="323">
        <f t="shared" si="34"/>
        <v>435.75891565885144</v>
      </c>
      <c r="BJ76" s="324">
        <f t="shared" si="35"/>
        <v>1346.3320719722988</v>
      </c>
      <c r="BK76" s="1323">
        <f t="shared" si="36"/>
        <v>3.183158678418724</v>
      </c>
      <c r="BL76" s="324">
        <f t="shared" si="37"/>
        <v>1785.274146309569</v>
      </c>
      <c r="BM76" s="104">
        <v>0</v>
      </c>
      <c r="BN76" s="1314">
        <f t="shared" si="38"/>
        <v>1785.274146309569</v>
      </c>
    </row>
    <row r="77" spans="1:66">
      <c r="A77" s="1034">
        <f>'Input data'!A107</f>
        <v>2009</v>
      </c>
      <c r="B77" s="1083">
        <f>'Input data'!B107</f>
        <v>49.32</v>
      </c>
      <c r="C77" s="1128">
        <f>'Baseline data (from input)'!B65</f>
        <v>578.73</v>
      </c>
      <c r="D77" s="1084">
        <f>'Baseline data (from input)'!L65</f>
        <v>0.8</v>
      </c>
      <c r="E77" s="1085">
        <f t="shared" si="44"/>
        <v>0.24001298204245269</v>
      </c>
      <c r="F77" s="1085">
        <f t="shared" si="44"/>
        <v>0.30440139352934503</v>
      </c>
      <c r="G77" s="1085">
        <f t="shared" si="44"/>
        <v>5.8998240613430578E-2</v>
      </c>
      <c r="H77" s="1085">
        <f t="shared" si="44"/>
        <v>0</v>
      </c>
      <c r="I77" s="1085">
        <f t="shared" si="44"/>
        <v>0</v>
      </c>
      <c r="J77" s="1085">
        <f t="shared" si="44"/>
        <v>0</v>
      </c>
      <c r="K77" s="1085">
        <f t="shared" si="44"/>
        <v>0.39658738381477154</v>
      </c>
      <c r="L77" s="1093">
        <f t="shared" si="40"/>
        <v>0.99999999999999989</v>
      </c>
      <c r="N77" s="1111">
        <f t="shared" si="1"/>
        <v>22834.370880000002</v>
      </c>
      <c r="O77" s="1105">
        <f>Parameters!R180</f>
        <v>0.73</v>
      </c>
      <c r="P77" s="1105">
        <f>E77*'MSW characteristics'!$B$28+'MSW characteristics'!$B$29*'4A SWD Case 2'!F77+'4A SWD Case 2'!G77*'MSW characteristics'!$B$30+'MSW characteristics'!$B$31*'4A SWD Case 2'!H77+'4A SWD Case 2'!I77*'MSW characteristics'!$B$32+'MSW characteristics'!$B$33*'4A SWD Case 2'!J77+'4A SWD Case 2'!K77*'MSW characteristics'!$B$35</f>
        <v>0.12048152225760915</v>
      </c>
      <c r="Q77" s="1104">
        <f t="shared" si="2"/>
        <v>1004.1587136472863</v>
      </c>
      <c r="R77" s="1104">
        <f t="shared" si="3"/>
        <v>1004.1587136472863</v>
      </c>
      <c r="S77" s="1106">
        <f t="shared" si="4"/>
        <v>0</v>
      </c>
      <c r="T77" s="1104">
        <f t="shared" si="5"/>
        <v>14076.049176770644</v>
      </c>
      <c r="U77" s="1104">
        <f t="shared" si="6"/>
        <v>670.2101557516271</v>
      </c>
      <c r="V77" s="1117">
        <f t="shared" si="7"/>
        <v>446.80677050108471</v>
      </c>
      <c r="X77" s="1111">
        <f>'Baseline data (from input)'!T65*'Baseline data (from input)'!U65</f>
        <v>62707.214568064555</v>
      </c>
      <c r="Y77" s="1105">
        <f>Parameters!S180</f>
        <v>0.71500000000000008</v>
      </c>
      <c r="Z77" s="1105">
        <f t="shared" si="8"/>
        <v>0.15</v>
      </c>
      <c r="AA77" s="1104">
        <f t="shared" si="9"/>
        <v>3362.6743812124623</v>
      </c>
      <c r="AB77" s="1104">
        <f t="shared" si="10"/>
        <v>3362.6743812124623</v>
      </c>
      <c r="AC77" s="1106">
        <f t="shared" si="11"/>
        <v>0</v>
      </c>
      <c r="AD77" s="1104">
        <f t="shared" si="12"/>
        <v>44078.937518161729</v>
      </c>
      <c r="AE77" s="1104">
        <f t="shared" si="13"/>
        <v>2087.5674513660801</v>
      </c>
      <c r="AF77" s="1117">
        <f t="shared" si="14"/>
        <v>1391.7116342440534</v>
      </c>
      <c r="AH77" s="1111">
        <f>'Baseline data (from input)'!T65*'Baseline data (from input)'!U65</f>
        <v>62707.214568064555</v>
      </c>
      <c r="AI77" s="1105">
        <f>Parameters!S180</f>
        <v>0.71500000000000008</v>
      </c>
      <c r="AJ77" s="1105">
        <f t="shared" si="15"/>
        <v>0.15</v>
      </c>
      <c r="AK77" s="1104">
        <f t="shared" si="16"/>
        <v>3362.6743812124623</v>
      </c>
      <c r="AL77" s="1104">
        <f t="shared" si="17"/>
        <v>3362.6743812124623</v>
      </c>
      <c r="AM77" s="1106">
        <f t="shared" si="18"/>
        <v>0</v>
      </c>
      <c r="AN77" s="1104">
        <f t="shared" si="19"/>
        <v>44078.937518161729</v>
      </c>
      <c r="AO77" s="1104">
        <f t="shared" si="20"/>
        <v>2087.5674513660801</v>
      </c>
      <c r="AP77" s="1117">
        <f t="shared" si="21"/>
        <v>1391.7116342440534</v>
      </c>
      <c r="AR77" s="1119">
        <v>501</v>
      </c>
      <c r="AS77" s="1105">
        <v>1</v>
      </c>
      <c r="AT77" s="1105">
        <f t="shared" si="22"/>
        <v>0.05</v>
      </c>
      <c r="AU77" s="1104">
        <f t="shared" si="23"/>
        <v>12.525</v>
      </c>
      <c r="AV77" s="1104">
        <f t="shared" si="24"/>
        <v>12.525</v>
      </c>
      <c r="AW77" s="1106">
        <f t="shared" si="25"/>
        <v>0</v>
      </c>
      <c r="AX77" s="1104">
        <f t="shared" si="42"/>
        <v>97.039392070427809</v>
      </c>
      <c r="AY77" s="1104">
        <f t="shared" si="47"/>
        <v>5.2260781390157804</v>
      </c>
      <c r="AZ77" s="1120">
        <f t="shared" si="45"/>
        <v>3.484052092677187</v>
      </c>
      <c r="BB77" s="323">
        <f t="shared" si="29"/>
        <v>446.80677050108471</v>
      </c>
      <c r="BC77" s="324">
        <f t="shared" si="30"/>
        <v>1391.7116342440534</v>
      </c>
      <c r="BD77" s="1323">
        <f t="shared" si="46"/>
        <v>3.484052092677187</v>
      </c>
      <c r="BE77" s="324">
        <f t="shared" si="32"/>
        <v>1842.0024568378151</v>
      </c>
      <c r="BF77" s="104">
        <v>0</v>
      </c>
      <c r="BG77" s="1314">
        <f t="shared" si="33"/>
        <v>1842.0024568378151</v>
      </c>
      <c r="BI77" s="323">
        <f t="shared" si="34"/>
        <v>446.80677050108471</v>
      </c>
      <c r="BJ77" s="324">
        <f t="shared" si="35"/>
        <v>1391.7116342440534</v>
      </c>
      <c r="BK77" s="1323">
        <f t="shared" si="36"/>
        <v>3.484052092677187</v>
      </c>
      <c r="BL77" s="324">
        <f t="shared" si="37"/>
        <v>1842.0024568378151</v>
      </c>
      <c r="BM77" s="104">
        <v>0</v>
      </c>
      <c r="BN77" s="1314">
        <f t="shared" si="38"/>
        <v>1842.0024568378151</v>
      </c>
    </row>
    <row r="78" spans="1:66">
      <c r="A78" s="1034">
        <f>'Input data'!A108</f>
        <v>2010</v>
      </c>
      <c r="B78" s="1083">
        <f>'Input data'!B108</f>
        <v>49.87</v>
      </c>
      <c r="C78" s="1128">
        <f>'Baseline data (from input)'!B66</f>
        <v>559.42164173673609</v>
      </c>
      <c r="D78" s="1084">
        <f>'Baseline data (from input)'!L66</f>
        <v>0.75808980601378384</v>
      </c>
      <c r="E78" s="1085">
        <f t="shared" si="44"/>
        <v>0.24001298204245269</v>
      </c>
      <c r="F78" s="1085">
        <f t="shared" si="44"/>
        <v>0.30440139352934503</v>
      </c>
      <c r="G78" s="1085">
        <f t="shared" si="44"/>
        <v>5.8998240613430578E-2</v>
      </c>
      <c r="H78" s="1085">
        <f t="shared" si="44"/>
        <v>0</v>
      </c>
      <c r="I78" s="1085">
        <f t="shared" si="44"/>
        <v>0</v>
      </c>
      <c r="J78" s="1085">
        <f t="shared" si="44"/>
        <v>0</v>
      </c>
      <c r="K78" s="1085">
        <f t="shared" si="44"/>
        <v>0.39658738381477154</v>
      </c>
      <c r="L78" s="1093">
        <f t="shared" si="40"/>
        <v>0.99999999999999989</v>
      </c>
      <c r="N78" s="1111">
        <f t="shared" si="1"/>
        <v>21149.460253503403</v>
      </c>
      <c r="O78" s="1105">
        <f>Parameters!R181</f>
        <v>0.73</v>
      </c>
      <c r="P78" s="1105">
        <f>E78*'MSW characteristics'!$B$28+'MSW characteristics'!$B$29*'4A SWD Case 2'!F78+'4A SWD Case 2'!G78*'MSW characteristics'!$B$30+'MSW characteristics'!$B$31*'4A SWD Case 2'!H78+'4A SWD Case 2'!I78*'MSW characteristics'!$B$32+'MSW characteristics'!$B$33*'4A SWD Case 2'!J78+'4A SWD Case 2'!K78*'MSW characteristics'!$B$35</f>
        <v>0.12048152225760915</v>
      </c>
      <c r="Q78" s="1104">
        <f t="shared" si="2"/>
        <v>930.06349568814494</v>
      </c>
      <c r="R78" s="1104">
        <f t="shared" si="3"/>
        <v>930.06349568814494</v>
      </c>
      <c r="S78" s="1106">
        <f t="shared" si="4"/>
        <v>0</v>
      </c>
      <c r="T78" s="1104">
        <f t="shared" si="5"/>
        <v>14319.615653351433</v>
      </c>
      <c r="U78" s="1104">
        <f t="shared" si="6"/>
        <v>686.49701910735507</v>
      </c>
      <c r="V78" s="1117">
        <f t="shared" si="7"/>
        <v>457.66467940490338</v>
      </c>
      <c r="X78" s="1111">
        <f>'Baseline data (from input)'!T66*'Baseline data (from input)'!U66</f>
        <v>64613.345091891104</v>
      </c>
      <c r="Y78" s="1105">
        <f>Parameters!S181</f>
        <v>0.71500000000000008</v>
      </c>
      <c r="Z78" s="1105">
        <f t="shared" si="8"/>
        <v>0.15</v>
      </c>
      <c r="AA78" s="1104">
        <f t="shared" si="9"/>
        <v>3464.8906305526602</v>
      </c>
      <c r="AB78" s="1104">
        <f t="shared" si="10"/>
        <v>3464.8906305526602</v>
      </c>
      <c r="AC78" s="1106">
        <f t="shared" si="11"/>
        <v>0</v>
      </c>
      <c r="AD78" s="1104">
        <f t="shared" si="12"/>
        <v>45394.072998556578</v>
      </c>
      <c r="AE78" s="1104">
        <f t="shared" si="13"/>
        <v>2149.7551501578159</v>
      </c>
      <c r="AF78" s="1117">
        <f t="shared" si="14"/>
        <v>1433.1701001052106</v>
      </c>
      <c r="AH78" s="1111">
        <f>'Baseline data (from input)'!T66*'Baseline data (from input)'!U66</f>
        <v>64613.345091891104</v>
      </c>
      <c r="AI78" s="1105">
        <f>Parameters!S181</f>
        <v>0.71500000000000008</v>
      </c>
      <c r="AJ78" s="1105">
        <f t="shared" si="15"/>
        <v>0.15</v>
      </c>
      <c r="AK78" s="1104">
        <f t="shared" si="16"/>
        <v>3464.8906305526602</v>
      </c>
      <c r="AL78" s="1104">
        <f t="shared" si="17"/>
        <v>3464.8906305526602</v>
      </c>
      <c r="AM78" s="1106">
        <f t="shared" si="18"/>
        <v>0</v>
      </c>
      <c r="AN78" s="1104">
        <f t="shared" si="19"/>
        <v>45394.072998556578</v>
      </c>
      <c r="AO78" s="1104">
        <f t="shared" si="20"/>
        <v>2149.7551501578159</v>
      </c>
      <c r="AP78" s="1117">
        <f t="shared" si="21"/>
        <v>1433.1701001052106</v>
      </c>
      <c r="AR78" s="1119">
        <v>501</v>
      </c>
      <c r="AS78" s="1105">
        <v>1</v>
      </c>
      <c r="AT78" s="1105">
        <f t="shared" si="22"/>
        <v>0.05</v>
      </c>
      <c r="AU78" s="1104">
        <f t="shared" si="23"/>
        <v>12.525</v>
      </c>
      <c r="AV78" s="1104">
        <f t="shared" si="24"/>
        <v>12.525</v>
      </c>
      <c r="AW78" s="1106">
        <f t="shared" si="25"/>
        <v>0</v>
      </c>
      <c r="AX78" s="1104">
        <f t="shared" si="42"/>
        <v>103.91325781250549</v>
      </c>
      <c r="AY78" s="1104">
        <f t="shared" si="47"/>
        <v>5.6511342579223198</v>
      </c>
      <c r="AZ78" s="1120">
        <f t="shared" si="45"/>
        <v>3.76742283861488</v>
      </c>
      <c r="BB78" s="323">
        <f t="shared" si="29"/>
        <v>457.66467940490338</v>
      </c>
      <c r="BC78" s="324">
        <f t="shared" si="30"/>
        <v>1433.1701001052106</v>
      </c>
      <c r="BD78" s="1323">
        <f t="shared" si="46"/>
        <v>3.76742283861488</v>
      </c>
      <c r="BE78" s="324">
        <f t="shared" si="32"/>
        <v>1894.602202348729</v>
      </c>
      <c r="BF78" s="104">
        <v>0</v>
      </c>
      <c r="BG78" s="1314">
        <f t="shared" si="33"/>
        <v>1894.602202348729</v>
      </c>
      <c r="BI78" s="323">
        <f t="shared" si="34"/>
        <v>457.66467940490338</v>
      </c>
      <c r="BJ78" s="324">
        <f t="shared" si="35"/>
        <v>1433.1701001052106</v>
      </c>
      <c r="BK78" s="1323">
        <f t="shared" si="36"/>
        <v>3.76742283861488</v>
      </c>
      <c r="BL78" s="324">
        <f t="shared" si="37"/>
        <v>1894.602202348729</v>
      </c>
      <c r="BM78" s="104">
        <v>0</v>
      </c>
      <c r="BN78" s="1314">
        <f t="shared" si="38"/>
        <v>1894.602202348729</v>
      </c>
    </row>
    <row r="79" spans="1:66">
      <c r="A79" s="1034">
        <f>'Input data'!A109</f>
        <v>2011</v>
      </c>
      <c r="B79" s="1083">
        <f>'Input data'!B109</f>
        <v>51.771000000000001</v>
      </c>
      <c r="C79" s="1128">
        <f>'Baseline data (from input)'!B67</f>
        <v>540.11328347347217</v>
      </c>
      <c r="D79" s="1084">
        <f>'Baseline data (from input)'!L67</f>
        <v>0.71617961202756764</v>
      </c>
      <c r="E79" s="1085">
        <f t="shared" si="44"/>
        <v>0.24001298204245269</v>
      </c>
      <c r="F79" s="1085">
        <f t="shared" si="44"/>
        <v>0.30440139352934503</v>
      </c>
      <c r="G79" s="1085">
        <f t="shared" si="44"/>
        <v>5.8998240613430578E-2</v>
      </c>
      <c r="H79" s="1085">
        <f t="shared" si="44"/>
        <v>0</v>
      </c>
      <c r="I79" s="1085">
        <f t="shared" si="44"/>
        <v>0</v>
      </c>
      <c r="J79" s="1085">
        <f t="shared" si="44"/>
        <v>0</v>
      </c>
      <c r="K79" s="1085">
        <f t="shared" si="44"/>
        <v>0.39658738381477154</v>
      </c>
      <c r="L79" s="1093">
        <f t="shared" si="40"/>
        <v>0.99999999999999989</v>
      </c>
      <c r="N79" s="1111">
        <f t="shared" si="1"/>
        <v>20025.960984172027</v>
      </c>
      <c r="O79" s="1105">
        <f>Parameters!R182</f>
        <v>0.73</v>
      </c>
      <c r="P79" s="1105">
        <f>E79*'MSW characteristics'!$B$28+'MSW characteristics'!$B$29*'4A SWD Case 2'!F79+'4A SWD Case 2'!G79*'MSW characteristics'!$B$30+'MSW characteristics'!$B$31*'4A SWD Case 2'!H79+'4A SWD Case 2'!I79*'MSW characteristics'!$B$32+'MSW characteristics'!$B$33*'4A SWD Case 2'!J79+'4A SWD Case 2'!K79*'MSW characteristics'!$B$35</f>
        <v>0.12048152225760915</v>
      </c>
      <c r="Q79" s="1104">
        <f t="shared" si="2"/>
        <v>880.65676637625506</v>
      </c>
      <c r="R79" s="1104">
        <f t="shared" si="3"/>
        <v>880.65676637625506</v>
      </c>
      <c r="S79" s="1106">
        <f t="shared" si="4"/>
        <v>0</v>
      </c>
      <c r="T79" s="1104">
        <f t="shared" si="5"/>
        <v>14501.896523385154</v>
      </c>
      <c r="U79" s="1104">
        <f t="shared" si="6"/>
        <v>698.37589634253345</v>
      </c>
      <c r="V79" s="1117">
        <f t="shared" si="7"/>
        <v>465.58393089502232</v>
      </c>
      <c r="X79" s="1111">
        <f>'Baseline data (from input)'!T67*'Baseline data (from input)'!U67</f>
        <v>66735.355986879513</v>
      </c>
      <c r="Y79" s="1105">
        <f>Parameters!S182</f>
        <v>0.71500000000000008</v>
      </c>
      <c r="Z79" s="1105">
        <f t="shared" si="8"/>
        <v>0.15</v>
      </c>
      <c r="AA79" s="1104">
        <f t="shared" si="9"/>
        <v>3578.6834647964142</v>
      </c>
      <c r="AB79" s="1104">
        <f t="shared" si="10"/>
        <v>3578.6834647964142</v>
      </c>
      <c r="AC79" s="1106">
        <f t="shared" si="11"/>
        <v>0</v>
      </c>
      <c r="AD79" s="1104">
        <f t="shared" si="12"/>
        <v>46758.861398956789</v>
      </c>
      <c r="AE79" s="1104">
        <f t="shared" si="13"/>
        <v>2213.895064396203</v>
      </c>
      <c r="AF79" s="1117">
        <f t="shared" si="14"/>
        <v>1475.9300429308021</v>
      </c>
      <c r="AH79" s="1111">
        <f>'Baseline data (from input)'!T67*'Baseline data (from input)'!U67</f>
        <v>66735.355986879513</v>
      </c>
      <c r="AI79" s="1105">
        <f>Parameters!S182</f>
        <v>0.71500000000000008</v>
      </c>
      <c r="AJ79" s="1105">
        <f t="shared" si="15"/>
        <v>0.15</v>
      </c>
      <c r="AK79" s="1104">
        <f t="shared" si="16"/>
        <v>3578.6834647964142</v>
      </c>
      <c r="AL79" s="1104">
        <f t="shared" si="17"/>
        <v>3578.6834647964142</v>
      </c>
      <c r="AM79" s="1106">
        <f t="shared" si="18"/>
        <v>0</v>
      </c>
      <c r="AN79" s="1104">
        <f t="shared" si="19"/>
        <v>46758.861398956789</v>
      </c>
      <c r="AO79" s="1104">
        <f t="shared" si="20"/>
        <v>2213.895064396203</v>
      </c>
      <c r="AP79" s="1117">
        <f t="shared" si="21"/>
        <v>1475.9300429308021</v>
      </c>
      <c r="AR79" s="1119">
        <v>501</v>
      </c>
      <c r="AS79" s="1105">
        <v>1</v>
      </c>
      <c r="AT79" s="1105">
        <f t="shared" si="22"/>
        <v>0.05</v>
      </c>
      <c r="AU79" s="1104">
        <f t="shared" si="23"/>
        <v>12.525</v>
      </c>
      <c r="AV79" s="1104">
        <f t="shared" si="24"/>
        <v>12.525</v>
      </c>
      <c r="AW79" s="1106">
        <f t="shared" si="25"/>
        <v>0</v>
      </c>
      <c r="AX79" s="1104">
        <f t="shared" si="42"/>
        <v>110.38682077701402</v>
      </c>
      <c r="AY79" s="1104">
        <f t="shared" si="47"/>
        <v>6.0514370354914675</v>
      </c>
      <c r="AZ79" s="1120">
        <f t="shared" si="45"/>
        <v>4.034291356994312</v>
      </c>
      <c r="BB79" s="323">
        <f t="shared" si="29"/>
        <v>465.58393089502232</v>
      </c>
      <c r="BC79" s="324">
        <f t="shared" si="30"/>
        <v>1475.9300429308021</v>
      </c>
      <c r="BD79" s="1323">
        <f t="shared" si="46"/>
        <v>4.034291356994312</v>
      </c>
      <c r="BE79" s="324">
        <f t="shared" si="32"/>
        <v>1945.5482651828188</v>
      </c>
      <c r="BF79" s="104">
        <v>0</v>
      </c>
      <c r="BG79" s="1314">
        <f t="shared" si="33"/>
        <v>1945.5482651828188</v>
      </c>
      <c r="BI79" s="323">
        <f t="shared" si="34"/>
        <v>465.58393089502232</v>
      </c>
      <c r="BJ79" s="324">
        <f t="shared" si="35"/>
        <v>1475.9300429308021</v>
      </c>
      <c r="BK79" s="1323">
        <f t="shared" si="36"/>
        <v>4.034291356994312</v>
      </c>
      <c r="BL79" s="324">
        <f t="shared" si="37"/>
        <v>1945.5482651828188</v>
      </c>
      <c r="BM79" s="104">
        <v>0</v>
      </c>
      <c r="BN79" s="1314">
        <f t="shared" si="38"/>
        <v>1945.5482651828188</v>
      </c>
    </row>
    <row r="80" spans="1:66">
      <c r="A80" s="1034">
        <f>'Input data'!A110</f>
        <v>2012</v>
      </c>
      <c r="B80" s="1083">
        <f>'Input data'!B110</f>
        <v>52.325000000000003</v>
      </c>
      <c r="C80" s="1128">
        <f>'Baseline data (from input)'!B68</f>
        <v>520.80492521020824</v>
      </c>
      <c r="D80" s="1084">
        <f>'Baseline data (from input)'!L68</f>
        <v>0.67426941804135143</v>
      </c>
      <c r="E80" s="1085">
        <f t="shared" si="44"/>
        <v>0.24001298204245269</v>
      </c>
      <c r="F80" s="1085">
        <f t="shared" si="44"/>
        <v>0.30440139352934503</v>
      </c>
      <c r="G80" s="1085">
        <f t="shared" si="44"/>
        <v>5.8998240613430578E-2</v>
      </c>
      <c r="H80" s="1085">
        <f t="shared" si="44"/>
        <v>0</v>
      </c>
      <c r="I80" s="1085">
        <f t="shared" si="44"/>
        <v>0</v>
      </c>
      <c r="J80" s="1085">
        <f t="shared" si="44"/>
        <v>0</v>
      </c>
      <c r="K80" s="1085">
        <f t="shared" si="44"/>
        <v>0.39658738381477154</v>
      </c>
      <c r="L80" s="1093">
        <f t="shared" si="40"/>
        <v>0.99999999999999989</v>
      </c>
      <c r="N80" s="1111">
        <f t="shared" si="1"/>
        <v>18374.59528039318</v>
      </c>
      <c r="O80" s="1105">
        <f>Parameters!R183</f>
        <v>0.73</v>
      </c>
      <c r="P80" s="1105">
        <f>E80*'MSW characteristics'!$B$28+'MSW characteristics'!$B$29*'4A SWD Case 2'!F80+'4A SWD Case 2'!G80*'MSW characteristics'!$B$30+'MSW characteristics'!$B$31*'4A SWD Case 2'!H80+'4A SWD Case 2'!I80*'MSW characteristics'!$B$32+'MSW characteristics'!$B$33*'4A SWD Case 2'!J80+'4A SWD Case 2'!K80*'MSW characteristics'!$B$35</f>
        <v>0.12048152225760915</v>
      </c>
      <c r="Q80" s="1104">
        <f t="shared" si="2"/>
        <v>808.03671174097656</v>
      </c>
      <c r="R80" s="1104">
        <f t="shared" si="3"/>
        <v>808.03671174097656</v>
      </c>
      <c r="S80" s="1106">
        <f t="shared" si="4"/>
        <v>0</v>
      </c>
      <c r="T80" s="1104">
        <f t="shared" si="5"/>
        <v>14602.667395849543</v>
      </c>
      <c r="U80" s="1104">
        <f t="shared" si="6"/>
        <v>707.26583927658862</v>
      </c>
      <c r="V80" s="1117">
        <f t="shared" si="7"/>
        <v>471.51055951772577</v>
      </c>
      <c r="X80" s="1111">
        <f>'Baseline data (from input)'!T68*'Baseline data (from input)'!U68</f>
        <v>68212.799804891765</v>
      </c>
      <c r="Y80" s="1105">
        <f>Parameters!S183</f>
        <v>0.71500000000000008</v>
      </c>
      <c r="Z80" s="1105">
        <f t="shared" si="8"/>
        <v>0.15</v>
      </c>
      <c r="AA80" s="1104">
        <f t="shared" si="9"/>
        <v>3657.9113895373212</v>
      </c>
      <c r="AB80" s="1104">
        <f t="shared" si="10"/>
        <v>3657.9113895373212</v>
      </c>
      <c r="AC80" s="1106">
        <f t="shared" si="11"/>
        <v>0</v>
      </c>
      <c r="AD80" s="1104">
        <f t="shared" si="12"/>
        <v>48136.31620837564</v>
      </c>
      <c r="AE80" s="1104">
        <f t="shared" si="13"/>
        <v>2280.4565801184713</v>
      </c>
      <c r="AF80" s="1117">
        <f t="shared" si="14"/>
        <v>1520.3043867456474</v>
      </c>
      <c r="AH80" s="1111">
        <f>'Baseline data (from input)'!T68*'Baseline data (from input)'!U68</f>
        <v>68212.799804891765</v>
      </c>
      <c r="AI80" s="1105">
        <f>Parameters!S183</f>
        <v>0.71500000000000008</v>
      </c>
      <c r="AJ80" s="1105">
        <f t="shared" si="15"/>
        <v>0.15</v>
      </c>
      <c r="AK80" s="1104">
        <f t="shared" si="16"/>
        <v>3657.9113895373212</v>
      </c>
      <c r="AL80" s="1104">
        <f t="shared" si="17"/>
        <v>3657.9113895373212</v>
      </c>
      <c r="AM80" s="1106">
        <f t="shared" si="18"/>
        <v>0</v>
      </c>
      <c r="AN80" s="1104">
        <f t="shared" si="19"/>
        <v>48136.31620837564</v>
      </c>
      <c r="AO80" s="1104">
        <f t="shared" si="20"/>
        <v>2280.4565801184713</v>
      </c>
      <c r="AP80" s="1117">
        <f t="shared" si="21"/>
        <v>1520.3043867456474</v>
      </c>
      <c r="AR80" s="1119">
        <v>501</v>
      </c>
      <c r="AS80" s="1105">
        <v>1</v>
      </c>
      <c r="AT80" s="1105">
        <f t="shared" si="22"/>
        <v>0.05</v>
      </c>
      <c r="AU80" s="1104">
        <f t="shared" si="23"/>
        <v>12.525</v>
      </c>
      <c r="AV80" s="1104">
        <f t="shared" si="24"/>
        <v>12.525</v>
      </c>
      <c r="AW80" s="1106">
        <f t="shared" si="25"/>
        <v>0</v>
      </c>
      <c r="AX80" s="1104">
        <f t="shared" si="42"/>
        <v>116.48339278291267</v>
      </c>
      <c r="AY80" s="1104">
        <f t="shared" si="47"/>
        <v>6.428427994101356</v>
      </c>
      <c r="AZ80" s="1120">
        <f t="shared" si="45"/>
        <v>4.2856186627342376</v>
      </c>
      <c r="BB80" s="323">
        <f t="shared" si="29"/>
        <v>471.51055951772577</v>
      </c>
      <c r="BC80" s="324">
        <f t="shared" si="30"/>
        <v>1520.3043867456474</v>
      </c>
      <c r="BD80" s="1323">
        <f t="shared" si="46"/>
        <v>4.2856186627342376</v>
      </c>
      <c r="BE80" s="324">
        <f t="shared" si="32"/>
        <v>1996.1005649261076</v>
      </c>
      <c r="BF80" s="104">
        <v>0</v>
      </c>
      <c r="BG80" s="1314">
        <f t="shared" si="33"/>
        <v>1996.1005649261076</v>
      </c>
      <c r="BI80" s="323">
        <f t="shared" si="34"/>
        <v>471.51055951772577</v>
      </c>
      <c r="BJ80" s="324">
        <f t="shared" si="35"/>
        <v>1520.3043867456474</v>
      </c>
      <c r="BK80" s="1323">
        <f t="shared" si="36"/>
        <v>4.2856186627342376</v>
      </c>
      <c r="BL80" s="324">
        <f t="shared" si="37"/>
        <v>1996.1005649261076</v>
      </c>
      <c r="BM80" s="104">
        <v>0</v>
      </c>
      <c r="BN80" s="1314">
        <f t="shared" si="38"/>
        <v>1996.1005649261076</v>
      </c>
    </row>
    <row r="81" spans="1:66">
      <c r="A81" s="1034">
        <f>'Input data'!A111</f>
        <v>2013</v>
      </c>
      <c r="B81" s="1083">
        <f>'Input data'!B111</f>
        <v>53.103999999999999</v>
      </c>
      <c r="C81" s="1128">
        <f>'Baseline data (from input)'!B69</f>
        <v>501.49656694694431</v>
      </c>
      <c r="D81" s="1084">
        <f>'Baseline data (from input)'!L69</f>
        <v>0.63235922405513523</v>
      </c>
      <c r="E81" s="1085">
        <f t="shared" si="44"/>
        <v>0.24001298204245269</v>
      </c>
      <c r="F81" s="1085">
        <f t="shared" si="44"/>
        <v>0.30440139352934503</v>
      </c>
      <c r="G81" s="1085">
        <f t="shared" si="44"/>
        <v>5.8998240613430578E-2</v>
      </c>
      <c r="H81" s="1085">
        <f t="shared" si="44"/>
        <v>0</v>
      </c>
      <c r="I81" s="1085">
        <f t="shared" si="44"/>
        <v>0</v>
      </c>
      <c r="J81" s="1085">
        <f t="shared" si="44"/>
        <v>0</v>
      </c>
      <c r="K81" s="1085">
        <f t="shared" si="44"/>
        <v>0.39658738381477154</v>
      </c>
      <c r="L81" s="1093">
        <f t="shared" si="40"/>
        <v>0.99999999999999989</v>
      </c>
      <c r="N81" s="1111">
        <f t="shared" si="1"/>
        <v>16840.658038780697</v>
      </c>
      <c r="O81" s="1105">
        <f>Parameters!R184</f>
        <v>0.73</v>
      </c>
      <c r="P81" s="1105">
        <f>E81*'MSW characteristics'!$B$28+'MSW characteristics'!$B$29*'4A SWD Case 2'!F81+'4A SWD Case 2'!G81*'MSW characteristics'!$B$30+'MSW characteristics'!$B$31*'4A SWD Case 2'!H81+'4A SWD Case 2'!I81*'MSW characteristics'!$B$32+'MSW characteristics'!$B$33*'4A SWD Case 2'!J81+'4A SWD Case 2'!K81*'MSW characteristics'!$B$35</f>
        <v>0.12048152225760915</v>
      </c>
      <c r="Q81" s="1104">
        <f t="shared" si="2"/>
        <v>740.58066246123144</v>
      </c>
      <c r="R81" s="1104">
        <f t="shared" si="3"/>
        <v>740.58066246123144</v>
      </c>
      <c r="S81" s="1106">
        <f t="shared" si="4"/>
        <v>0</v>
      </c>
      <c r="T81" s="1104">
        <f t="shared" si="5"/>
        <v>14631.067565590532</v>
      </c>
      <c r="U81" s="1104">
        <f t="shared" si="6"/>
        <v>712.180492720242</v>
      </c>
      <c r="V81" s="1117">
        <f t="shared" si="7"/>
        <v>474.78699514682802</v>
      </c>
      <c r="X81" s="1111">
        <f>'Baseline data (from input)'!T69*'Baseline data (from input)'!U69</f>
        <v>69902.808589170294</v>
      </c>
      <c r="Y81" s="1105">
        <f>Parameters!S184</f>
        <v>0.71500000000000008</v>
      </c>
      <c r="Z81" s="1105">
        <f t="shared" si="8"/>
        <v>0.15</v>
      </c>
      <c r="AA81" s="1104">
        <f t="shared" si="9"/>
        <v>3748.5381105942574</v>
      </c>
      <c r="AB81" s="1104">
        <f t="shared" si="10"/>
        <v>3748.5381105942574</v>
      </c>
      <c r="AC81" s="1106">
        <f t="shared" si="11"/>
        <v>0</v>
      </c>
      <c r="AD81" s="1104">
        <f t="shared" si="12"/>
        <v>49537.218475071808</v>
      </c>
      <c r="AE81" s="1104">
        <f t="shared" si="13"/>
        <v>2347.6358438980878</v>
      </c>
      <c r="AF81" s="1117">
        <f t="shared" si="14"/>
        <v>1565.0905625987252</v>
      </c>
      <c r="AH81" s="1111">
        <f>'Baseline data (from input)'!T69*'Baseline data (from input)'!U69</f>
        <v>69902.808589170294</v>
      </c>
      <c r="AI81" s="1105">
        <f>Parameters!S184</f>
        <v>0.71500000000000008</v>
      </c>
      <c r="AJ81" s="1105">
        <f t="shared" si="15"/>
        <v>0.15</v>
      </c>
      <c r="AK81" s="1104">
        <f t="shared" si="16"/>
        <v>3748.5381105942574</v>
      </c>
      <c r="AL81" s="1104">
        <f t="shared" si="17"/>
        <v>3748.5381105942574</v>
      </c>
      <c r="AM81" s="1106">
        <f t="shared" si="18"/>
        <v>0</v>
      </c>
      <c r="AN81" s="1104">
        <f t="shared" si="19"/>
        <v>49537.218475071808</v>
      </c>
      <c r="AO81" s="1104">
        <f t="shared" si="20"/>
        <v>2347.6358438980878</v>
      </c>
      <c r="AP81" s="1117">
        <f t="shared" si="21"/>
        <v>1565.0905625987252</v>
      </c>
      <c r="AR81" s="1119">
        <v>501</v>
      </c>
      <c r="AS81" s="1105">
        <v>1</v>
      </c>
      <c r="AT81" s="1105">
        <f t="shared" si="22"/>
        <v>0.05</v>
      </c>
      <c r="AU81" s="1104">
        <f t="shared" si="23"/>
        <v>12.525</v>
      </c>
      <c r="AV81" s="1104">
        <f t="shared" si="24"/>
        <v>12.525</v>
      </c>
      <c r="AW81" s="1106">
        <f t="shared" si="25"/>
        <v>0</v>
      </c>
      <c r="AX81" s="1104">
        <f t="shared" si="42"/>
        <v>122.2249280745106</v>
      </c>
      <c r="AY81" s="1104">
        <f t="shared" si="47"/>
        <v>6.783464708402076</v>
      </c>
      <c r="AZ81" s="1120">
        <f t="shared" si="45"/>
        <v>4.5223098056013837</v>
      </c>
      <c r="BB81" s="323">
        <f t="shared" si="29"/>
        <v>474.78699514682802</v>
      </c>
      <c r="BC81" s="324">
        <f t="shared" si="30"/>
        <v>1565.0905625987252</v>
      </c>
      <c r="BD81" s="1323">
        <f t="shared" si="46"/>
        <v>4.5223098056013837</v>
      </c>
      <c r="BE81" s="324">
        <f t="shared" si="32"/>
        <v>2044.3998675511548</v>
      </c>
      <c r="BF81" s="104">
        <v>0</v>
      </c>
      <c r="BG81" s="1314">
        <f t="shared" si="33"/>
        <v>2044.3998675511548</v>
      </c>
      <c r="BI81" s="323">
        <f t="shared" si="34"/>
        <v>474.78699514682802</v>
      </c>
      <c r="BJ81" s="324">
        <f t="shared" si="35"/>
        <v>1565.0905625987252</v>
      </c>
      <c r="BK81" s="1323">
        <f t="shared" si="36"/>
        <v>4.5223098056013837</v>
      </c>
      <c r="BL81" s="324">
        <f t="shared" si="37"/>
        <v>2044.3998675511548</v>
      </c>
      <c r="BM81" s="104">
        <v>0</v>
      </c>
      <c r="BN81" s="1314">
        <f t="shared" si="38"/>
        <v>2044.3998675511548</v>
      </c>
    </row>
    <row r="82" spans="1:66">
      <c r="A82" s="1034">
        <f>'Input data'!A112</f>
        <v>2014</v>
      </c>
      <c r="B82" s="1083">
        <f>'Input data'!B112</f>
        <v>53.911999999999999</v>
      </c>
      <c r="C82" s="1128">
        <f>'Baseline data (from input)'!B70</f>
        <v>482.18820868368039</v>
      </c>
      <c r="D82" s="1084">
        <f>'Baseline data (from input)'!L70</f>
        <v>0.59044903006891902</v>
      </c>
      <c r="E82" s="1085">
        <f t="shared" si="44"/>
        <v>0.24001298204245269</v>
      </c>
      <c r="F82" s="1085">
        <f t="shared" si="44"/>
        <v>0.30440139352934503</v>
      </c>
      <c r="G82" s="1085">
        <f t="shared" si="44"/>
        <v>5.8998240613430578E-2</v>
      </c>
      <c r="H82" s="1085">
        <f t="shared" si="44"/>
        <v>0</v>
      </c>
      <c r="I82" s="1085">
        <f t="shared" si="44"/>
        <v>0</v>
      </c>
      <c r="J82" s="1085">
        <f t="shared" si="44"/>
        <v>0</v>
      </c>
      <c r="K82" s="1085">
        <f t="shared" si="44"/>
        <v>0.39658738381477154</v>
      </c>
      <c r="L82" s="1093">
        <f t="shared" si="40"/>
        <v>0.99999999999999989</v>
      </c>
      <c r="N82" s="1111">
        <f t="shared" si="1"/>
        <v>15349.153981617965</v>
      </c>
      <c r="O82" s="1105">
        <f>Parameters!R185</f>
        <v>0.73</v>
      </c>
      <c r="P82" s="1105">
        <f>E82*'MSW characteristics'!$B$28+'MSW characteristics'!$B$29*'4A SWD Case 2'!F82+'4A SWD Case 2'!G82*'MSW characteristics'!$B$30+'MSW characteristics'!$B$31*'4A SWD Case 2'!H82+'4A SWD Case 2'!I82*'MSW characteristics'!$B$32+'MSW characteristics'!$B$33*'4A SWD Case 2'!J82+'4A SWD Case 2'!K82*'MSW characteristics'!$B$35</f>
        <v>0.12048152225760915</v>
      </c>
      <c r="Q82" s="1104">
        <f t="shared" si="2"/>
        <v>674.99064453119786</v>
      </c>
      <c r="R82" s="1104">
        <f t="shared" si="3"/>
        <v>674.99064453119786</v>
      </c>
      <c r="S82" s="1106">
        <f t="shared" si="4"/>
        <v>0</v>
      </c>
      <c r="T82" s="1104">
        <f t="shared" si="5"/>
        <v>14592.492624778943</v>
      </c>
      <c r="U82" s="1104">
        <f t="shared" si="6"/>
        <v>713.56558534278747</v>
      </c>
      <c r="V82" s="1117">
        <f t="shared" si="7"/>
        <v>475.710390228525</v>
      </c>
      <c r="X82" s="1111">
        <f>'Baseline data (from input)'!T70*'Baseline data (from input)'!U70</f>
        <v>71215.63588999986</v>
      </c>
      <c r="Y82" s="1105">
        <f>Parameters!S185</f>
        <v>0.71500000000000008</v>
      </c>
      <c r="Z82" s="1105">
        <f t="shared" si="8"/>
        <v>0.15</v>
      </c>
      <c r="AA82" s="1104">
        <f t="shared" si="9"/>
        <v>3818.9384746012424</v>
      </c>
      <c r="AB82" s="1104">
        <f t="shared" si="10"/>
        <v>3818.9384746012424</v>
      </c>
      <c r="AC82" s="1106">
        <f t="shared" si="11"/>
        <v>0</v>
      </c>
      <c r="AD82" s="1104">
        <f t="shared" si="12"/>
        <v>50940.198296009934</v>
      </c>
      <c r="AE82" s="1104">
        <f t="shared" si="13"/>
        <v>2415.9586536631141</v>
      </c>
      <c r="AF82" s="1117">
        <f t="shared" si="14"/>
        <v>1610.6391024420761</v>
      </c>
      <c r="AH82" s="1111">
        <f>'Baseline data (from input)'!T70*'Baseline data (from input)'!U70</f>
        <v>71215.63588999986</v>
      </c>
      <c r="AI82" s="1105">
        <f>Parameters!S185</f>
        <v>0.71500000000000008</v>
      </c>
      <c r="AJ82" s="1105">
        <f t="shared" si="15"/>
        <v>0.15</v>
      </c>
      <c r="AK82" s="1104">
        <f t="shared" si="16"/>
        <v>3818.9384746012424</v>
      </c>
      <c r="AL82" s="1104">
        <f t="shared" si="17"/>
        <v>3818.9384746012424</v>
      </c>
      <c r="AM82" s="1106">
        <f t="shared" si="18"/>
        <v>0</v>
      </c>
      <c r="AN82" s="1104">
        <f t="shared" si="19"/>
        <v>50940.198296009934</v>
      </c>
      <c r="AO82" s="1104">
        <f t="shared" si="20"/>
        <v>2415.9586536631141</v>
      </c>
      <c r="AP82" s="1117">
        <f t="shared" si="21"/>
        <v>1610.6391024420761</v>
      </c>
      <c r="AR82" s="1119">
        <v>501</v>
      </c>
      <c r="AS82" s="1105">
        <v>1</v>
      </c>
      <c r="AT82" s="1105">
        <f t="shared" si="22"/>
        <v>0.05</v>
      </c>
      <c r="AU82" s="1104">
        <f t="shared" si="23"/>
        <v>12.525</v>
      </c>
      <c r="AV82" s="1104">
        <f t="shared" si="24"/>
        <v>12.525</v>
      </c>
      <c r="AW82" s="1106">
        <f t="shared" si="25"/>
        <v>0</v>
      </c>
      <c r="AX82" s="1104">
        <f t="shared" si="42"/>
        <v>127.63210238045983</v>
      </c>
      <c r="AY82" s="1104">
        <f t="shared" si="47"/>
        <v>7.1178256940507776</v>
      </c>
      <c r="AZ82" s="1120">
        <f t="shared" si="45"/>
        <v>4.7452171293671848</v>
      </c>
      <c r="BB82" s="323">
        <f t="shared" si="29"/>
        <v>475.710390228525</v>
      </c>
      <c r="BC82" s="324">
        <f t="shared" si="30"/>
        <v>1610.6391024420761</v>
      </c>
      <c r="BD82" s="1323">
        <f t="shared" si="46"/>
        <v>4.7452171293671848</v>
      </c>
      <c r="BE82" s="324">
        <f t="shared" ref="BE82:BE118" si="48">SUM(BB82:BD82)</f>
        <v>2091.0947097999683</v>
      </c>
      <c r="BF82" s="104">
        <v>0</v>
      </c>
      <c r="BG82" s="1314">
        <f t="shared" si="33"/>
        <v>2091.0947097999683</v>
      </c>
      <c r="BI82" s="323">
        <f t="shared" si="34"/>
        <v>475.710390228525</v>
      </c>
      <c r="BJ82" s="324">
        <f t="shared" si="35"/>
        <v>1610.6391024420761</v>
      </c>
      <c r="BK82" s="1323">
        <f t="shared" si="36"/>
        <v>4.7452171293671848</v>
      </c>
      <c r="BL82" s="324">
        <f t="shared" ref="BL82:BL118" si="49">SUM(BI82:BK82)</f>
        <v>2091.0947097999683</v>
      </c>
      <c r="BM82" s="104">
        <v>0</v>
      </c>
      <c r="BN82" s="1314">
        <f t="shared" si="38"/>
        <v>2091.0947097999683</v>
      </c>
    </row>
    <row r="83" spans="1:66">
      <c r="A83" s="1034">
        <f>'Input data'!A113</f>
        <v>2015</v>
      </c>
      <c r="B83" s="1083">
        <f>'Input data'!B113</f>
        <v>54.75</v>
      </c>
      <c r="C83" s="1128">
        <f>'Baseline data (from input)'!B71</f>
        <v>462.87985042041646</v>
      </c>
      <c r="D83" s="1084">
        <f>'Baseline data (from input)'!L71</f>
        <v>0.54853883608270282</v>
      </c>
      <c r="E83" s="1085">
        <f t="shared" si="44"/>
        <v>0.24001298204245269</v>
      </c>
      <c r="F83" s="1085">
        <f t="shared" si="44"/>
        <v>0.30440139352934503</v>
      </c>
      <c r="G83" s="1085">
        <f t="shared" si="44"/>
        <v>5.8998240613430578E-2</v>
      </c>
      <c r="H83" s="1085">
        <f t="shared" si="44"/>
        <v>0</v>
      </c>
      <c r="I83" s="1085">
        <f t="shared" si="44"/>
        <v>0</v>
      </c>
      <c r="J83" s="1085">
        <f t="shared" si="44"/>
        <v>0</v>
      </c>
      <c r="K83" s="1085">
        <f t="shared" si="44"/>
        <v>0.39658738381477154</v>
      </c>
      <c r="L83" s="1093">
        <f t="shared" si="40"/>
        <v>0.99999999999999989</v>
      </c>
      <c r="N83" s="1111">
        <f t="shared" ref="N83:N118" si="50">B83*C83*D83</f>
        <v>13901.439698167358</v>
      </c>
      <c r="O83" s="1105">
        <f>Parameters!R186</f>
        <v>0.73</v>
      </c>
      <c r="P83" s="1105">
        <f>E83*'MSW characteristics'!$B$28+'MSW characteristics'!$B$29*'4A SWD Case 2'!F83+'4A SWD Case 2'!G83*'MSW characteristics'!$B$30+'MSW characteristics'!$B$31*'4A SWD Case 2'!H83+'4A SWD Case 2'!I83*'MSW characteristics'!$B$32+'MSW characteristics'!$B$33*'4A SWD Case 2'!J83+'4A SWD Case 2'!K83*'MSW characteristics'!$B$35</f>
        <v>0.12048152225760915</v>
      </c>
      <c r="Q83" s="1104">
        <f t="shared" ref="Q83:Q118" si="51">N83*P83*O83*$C$4</f>
        <v>611.32631498876003</v>
      </c>
      <c r="R83" s="1104">
        <f t="shared" ref="R83:R118" si="52">Q83*$C$10</f>
        <v>611.32631498876003</v>
      </c>
      <c r="S83" s="1106">
        <f t="shared" ref="S83:S118" si="53">Q83*(1-$C$10)</f>
        <v>0</v>
      </c>
      <c r="T83" s="1104">
        <f t="shared" ref="T83:T113" si="54">R83+(T82*$C$8)</f>
        <v>14492.134676488147</v>
      </c>
      <c r="U83" s="1104">
        <f t="shared" ref="U83:U118" si="55">S83+T82*(1-$C$8)</f>
        <v>711.68426327955535</v>
      </c>
      <c r="V83" s="1117">
        <f t="shared" ref="V83:V118" si="56">U83*16/12*$C$11</f>
        <v>474.45617551970355</v>
      </c>
      <c r="X83" s="1111">
        <f>'Baseline data (from input)'!T71*'Baseline data (from input)'!U71</f>
        <v>72122.993096121791</v>
      </c>
      <c r="Y83" s="1105">
        <f>Parameters!S186</f>
        <v>0.71500000000000008</v>
      </c>
      <c r="Z83" s="1105">
        <f t="shared" ref="Z83:Z118" si="57">$D$3</f>
        <v>0.15</v>
      </c>
      <c r="AA83" s="1104">
        <f t="shared" ref="AA83:AA118" si="58">X83*Z83*Y83*$D$4</f>
        <v>3867.5955047795314</v>
      </c>
      <c r="AB83" s="1104">
        <f t="shared" ref="AB83:AB118" si="59">AA83*$D$10</f>
        <v>3867.5955047795314</v>
      </c>
      <c r="AC83" s="1106">
        <f t="shared" ref="AC83:AC118" si="60">AA83*(1-$D$10)</f>
        <v>0</v>
      </c>
      <c r="AD83" s="1104">
        <f t="shared" ref="AD83:AD118" si="61">AB83+(AD82*$D$8)</f>
        <v>52323.411013845311</v>
      </c>
      <c r="AE83" s="1104">
        <f t="shared" ref="AE83:AE118" si="62">AC83+AD82*(1-$D$8)</f>
        <v>2484.3827869441516</v>
      </c>
      <c r="AF83" s="1117">
        <f t="shared" ref="AF83:AF118" si="63">AE83*16/12*$D$11</f>
        <v>1656.255191296101</v>
      </c>
      <c r="AH83" s="1111">
        <f>'Baseline data (from input)'!T71*'Baseline data (from input)'!U71</f>
        <v>72122.993096121791</v>
      </c>
      <c r="AI83" s="1105">
        <f>Parameters!S186</f>
        <v>0.71500000000000008</v>
      </c>
      <c r="AJ83" s="1105">
        <f t="shared" ref="AJ83:AJ118" si="64">$D$3</f>
        <v>0.15</v>
      </c>
      <c r="AK83" s="1104">
        <f t="shared" ref="AK83:AK118" si="65">AH83*AJ83*AI83*$D$4</f>
        <v>3867.5955047795314</v>
      </c>
      <c r="AL83" s="1104">
        <f t="shared" ref="AL83:AL118" si="66">AK83*$D$10</f>
        <v>3867.5955047795314</v>
      </c>
      <c r="AM83" s="1106">
        <f t="shared" ref="AM83:AM118" si="67">AK83*(1-$D$10)</f>
        <v>0</v>
      </c>
      <c r="AN83" s="1104">
        <f t="shared" ref="AN83:AN118" si="68">AL83+(AN82*$D$8)</f>
        <v>52323.411013845311</v>
      </c>
      <c r="AO83" s="1104">
        <f t="shared" ref="AO83:AO118" si="69">AM83+AN82*(1-$D$8)</f>
        <v>2484.3827869441516</v>
      </c>
      <c r="AP83" s="1117">
        <f t="shared" ref="AP83:AP118" si="70">AO83*16/12*$D$11</f>
        <v>1656.255191296101</v>
      </c>
      <c r="AR83" s="1119">
        <v>501</v>
      </c>
      <c r="AS83" s="1105">
        <v>1</v>
      </c>
      <c r="AT83" s="1105">
        <f t="shared" ref="AT83:AT118" si="71">$E$3</f>
        <v>0.05</v>
      </c>
      <c r="AU83" s="1104">
        <f t="shared" ref="AU83:AU118" si="72">AR83*AT83*AS83*$E$4</f>
        <v>12.525</v>
      </c>
      <c r="AV83" s="1104">
        <f t="shared" ref="AV83:AV118" si="73">AU83*$E$10</f>
        <v>12.525</v>
      </c>
      <c r="AW83" s="1106">
        <f t="shared" ref="AW83:AW118" si="74">AU83*(1-$C$10)</f>
        <v>0</v>
      </c>
      <c r="AX83" s="1104">
        <f t="shared" si="42"/>
        <v>132.72438736871084</v>
      </c>
      <c r="AY83" s="1104">
        <f t="shared" si="47"/>
        <v>7.4327150117489973</v>
      </c>
      <c r="AZ83" s="1120">
        <f t="shared" si="45"/>
        <v>4.9551433411659982</v>
      </c>
      <c r="BB83" s="323">
        <f t="shared" ref="BB83:BB118" si="75">V83</f>
        <v>474.45617551970355</v>
      </c>
      <c r="BC83" s="324">
        <f t="shared" ref="BC83:BC118" si="76">AF83</f>
        <v>1656.255191296101</v>
      </c>
      <c r="BD83" s="1323">
        <f t="shared" si="46"/>
        <v>4.9551433411659982</v>
      </c>
      <c r="BE83" s="324">
        <f t="shared" si="48"/>
        <v>2135.6665101569706</v>
      </c>
      <c r="BF83" s="104">
        <v>0</v>
      </c>
      <c r="BG83" s="1314">
        <f t="shared" ref="BG83:BG118" si="77">BE83-BF83</f>
        <v>2135.6665101569706</v>
      </c>
      <c r="BI83" s="323">
        <f t="shared" ref="BI83:BI118" si="78">V83</f>
        <v>474.45617551970355</v>
      </c>
      <c r="BJ83" s="324">
        <f t="shared" ref="BJ83:BJ118" si="79">AP83</f>
        <v>1656.255191296101</v>
      </c>
      <c r="BK83" s="1323">
        <f t="shared" ref="BK83:BK118" si="80">AZ83</f>
        <v>4.9551433411659982</v>
      </c>
      <c r="BL83" s="324">
        <f t="shared" si="49"/>
        <v>2135.6665101569706</v>
      </c>
      <c r="BM83" s="104">
        <v>0</v>
      </c>
      <c r="BN83" s="1314">
        <f t="shared" ref="BN83:BN118" si="81">BL83-BM83</f>
        <v>2135.6665101569706</v>
      </c>
    </row>
    <row r="84" spans="1:66">
      <c r="A84" s="1034">
        <f>'Input data'!A114</f>
        <v>2016</v>
      </c>
      <c r="B84" s="1083">
        <f>'Input data'!B114</f>
        <v>55.62</v>
      </c>
      <c r="C84" s="1128">
        <f>'Baseline data (from input)'!B72</f>
        <v>443.57149215715253</v>
      </c>
      <c r="D84" s="1084">
        <f>'Baseline data (from input)'!L72</f>
        <v>0.50662864209648661</v>
      </c>
      <c r="E84" s="1085">
        <f t="shared" ref="E84:K85" si="82">E83</f>
        <v>0.24001298204245269</v>
      </c>
      <c r="F84" s="1085">
        <f t="shared" si="82"/>
        <v>0.30440139352934503</v>
      </c>
      <c r="G84" s="1085">
        <f t="shared" si="82"/>
        <v>5.8998240613430578E-2</v>
      </c>
      <c r="H84" s="1085">
        <f t="shared" si="82"/>
        <v>0</v>
      </c>
      <c r="I84" s="1085">
        <f t="shared" si="82"/>
        <v>0</v>
      </c>
      <c r="J84" s="1085">
        <f t="shared" si="82"/>
        <v>0</v>
      </c>
      <c r="K84" s="1085">
        <f t="shared" si="82"/>
        <v>0.39658738381477154</v>
      </c>
      <c r="L84" s="1093">
        <f t="shared" ref="L84:L118" si="83">SUM(E84:K84)</f>
        <v>0.99999999999999989</v>
      </c>
      <c r="N84" s="1111">
        <f t="shared" si="50"/>
        <v>12499.261385037438</v>
      </c>
      <c r="O84" s="1105">
        <f>Parameters!R187</f>
        <v>0.73</v>
      </c>
      <c r="P84" s="1105">
        <f>E84*'MSW characteristics'!$B$28+'MSW characteristics'!$B$29*'4A SWD Case 2'!F84+'4A SWD Case 2'!G84*'MSW characteristics'!$B$30+'MSW characteristics'!$B$31*'4A SWD Case 2'!H84+'4A SWD Case 2'!I84*'MSW characteristics'!$B$32+'MSW characteristics'!$B$33*'4A SWD Case 2'!J84+'4A SWD Case 2'!K84*'MSW characteristics'!$B$35</f>
        <v>0.12048152225760915</v>
      </c>
      <c r="Q84" s="1104">
        <f t="shared" si="51"/>
        <v>549.66446414924781</v>
      </c>
      <c r="R84" s="1104">
        <f t="shared" si="52"/>
        <v>549.66446414924781</v>
      </c>
      <c r="S84" s="1106">
        <f t="shared" si="53"/>
        <v>0</v>
      </c>
      <c r="T84" s="1104">
        <f t="shared" si="54"/>
        <v>14335.00939225191</v>
      </c>
      <c r="U84" s="1104">
        <f t="shared" si="55"/>
        <v>706.78974838548561</v>
      </c>
      <c r="V84" s="1117">
        <f t="shared" si="56"/>
        <v>471.19316559032376</v>
      </c>
      <c r="X84" s="1111">
        <f>'Baseline data (from input)'!T72*'Baseline data (from input)'!U72</f>
        <v>72699.845027371557</v>
      </c>
      <c r="Y84" s="1105">
        <f>Parameters!S187</f>
        <v>0.71500000000000008</v>
      </c>
      <c r="Z84" s="1105">
        <f t="shared" si="57"/>
        <v>0.15</v>
      </c>
      <c r="AA84" s="1104">
        <f t="shared" si="58"/>
        <v>3898.5291895928003</v>
      </c>
      <c r="AB84" s="1104">
        <f t="shared" si="59"/>
        <v>3898.5291895928003</v>
      </c>
      <c r="AC84" s="1106">
        <f t="shared" si="60"/>
        <v>0</v>
      </c>
      <c r="AD84" s="1104">
        <f t="shared" si="61"/>
        <v>53670.097336207196</v>
      </c>
      <c r="AE84" s="1104">
        <f t="shared" si="62"/>
        <v>2551.8428672309146</v>
      </c>
      <c r="AF84" s="1117">
        <f t="shared" si="63"/>
        <v>1701.2285781539431</v>
      </c>
      <c r="AH84" s="1111">
        <f>'Baseline data (from input)'!T72*'Baseline data (from input)'!U72</f>
        <v>72699.845027371557</v>
      </c>
      <c r="AI84" s="1105">
        <f>Parameters!S187</f>
        <v>0.71500000000000008</v>
      </c>
      <c r="AJ84" s="1105">
        <f t="shared" si="64"/>
        <v>0.15</v>
      </c>
      <c r="AK84" s="1104">
        <f t="shared" si="65"/>
        <v>3898.5291895928003</v>
      </c>
      <c r="AL84" s="1104">
        <f t="shared" si="66"/>
        <v>3898.5291895928003</v>
      </c>
      <c r="AM84" s="1106">
        <f t="shared" si="67"/>
        <v>0</v>
      </c>
      <c r="AN84" s="1104">
        <f t="shared" si="68"/>
        <v>53670.097336207196</v>
      </c>
      <c r="AO84" s="1104">
        <f t="shared" si="69"/>
        <v>2551.8428672309146</v>
      </c>
      <c r="AP84" s="1117">
        <f t="shared" si="70"/>
        <v>1701.2285781539431</v>
      </c>
      <c r="AR84" s="1119">
        <v>501</v>
      </c>
      <c r="AS84" s="1105">
        <v>1</v>
      </c>
      <c r="AT84" s="1105">
        <f t="shared" si="71"/>
        <v>0.05</v>
      </c>
      <c r="AU84" s="1104">
        <f t="shared" si="72"/>
        <v>12.525</v>
      </c>
      <c r="AV84" s="1104">
        <f t="shared" si="73"/>
        <v>12.525</v>
      </c>
      <c r="AW84" s="1106">
        <f t="shared" si="74"/>
        <v>0</v>
      </c>
      <c r="AX84" s="1104">
        <f t="shared" si="42"/>
        <v>137.52012076554911</v>
      </c>
      <c r="AY84" s="1104">
        <f t="shared" si="47"/>
        <v>7.7292666031617232</v>
      </c>
      <c r="AZ84" s="1120">
        <f t="shared" si="45"/>
        <v>5.1528444021078155</v>
      </c>
      <c r="BB84" s="323">
        <f t="shared" si="75"/>
        <v>471.19316559032376</v>
      </c>
      <c r="BC84" s="324">
        <f t="shared" si="76"/>
        <v>1701.2285781539431</v>
      </c>
      <c r="BD84" s="1323">
        <f t="shared" si="46"/>
        <v>5.1528444021078155</v>
      </c>
      <c r="BE84" s="324">
        <f t="shared" si="48"/>
        <v>2177.5745881463745</v>
      </c>
      <c r="BF84" s="104">
        <v>0</v>
      </c>
      <c r="BG84" s="1314">
        <f t="shared" si="77"/>
        <v>2177.5745881463745</v>
      </c>
      <c r="BI84" s="323">
        <f t="shared" si="78"/>
        <v>471.19316559032376</v>
      </c>
      <c r="BJ84" s="324">
        <f t="shared" si="79"/>
        <v>1701.2285781539431</v>
      </c>
      <c r="BK84" s="1323">
        <f t="shared" si="80"/>
        <v>5.1528444021078155</v>
      </c>
      <c r="BL84" s="324">
        <f t="shared" si="49"/>
        <v>2177.5745881463745</v>
      </c>
      <c r="BM84" s="104">
        <v>0</v>
      </c>
      <c r="BN84" s="1314">
        <f t="shared" si="81"/>
        <v>2177.5745881463745</v>
      </c>
    </row>
    <row r="85" spans="1:66" ht="13.15" customHeight="1" thickBot="1">
      <c r="A85" s="1034">
        <f>'Input data'!A115</f>
        <v>2017</v>
      </c>
      <c r="B85" s="1083">
        <f>'Input data'!B115</f>
        <v>56.521999999999998</v>
      </c>
      <c r="C85" s="1128">
        <f>'Baseline data (from input)'!B73</f>
        <v>424.26313389388866</v>
      </c>
      <c r="D85" s="1084">
        <f>'Baseline data (from input)'!L73</f>
        <v>0.46471844811027063</v>
      </c>
      <c r="E85" s="1085">
        <f t="shared" si="82"/>
        <v>0.24001298204245269</v>
      </c>
      <c r="F85" s="1085">
        <f t="shared" si="82"/>
        <v>0.30440139352934503</v>
      </c>
      <c r="G85" s="1085">
        <f t="shared" si="82"/>
        <v>5.8998240613430578E-2</v>
      </c>
      <c r="H85" s="1085">
        <f t="shared" si="82"/>
        <v>0</v>
      </c>
      <c r="I85" s="1085">
        <f t="shared" si="82"/>
        <v>0</v>
      </c>
      <c r="J85" s="1085">
        <f t="shared" si="82"/>
        <v>0</v>
      </c>
      <c r="K85" s="1085">
        <f t="shared" si="82"/>
        <v>0.39658738381477154</v>
      </c>
      <c r="L85" s="1093">
        <f t="shared" si="83"/>
        <v>0.99999999999999989</v>
      </c>
      <c r="N85" s="1112">
        <f t="shared" si="50"/>
        <v>11144.041726220405</v>
      </c>
      <c r="O85" s="1113">
        <f>Parameters!R188</f>
        <v>0.73</v>
      </c>
      <c r="P85" s="1113">
        <f>E85*'MSW characteristics'!$B$28+'MSW characteristics'!$B$29*'4A SWD Case 2'!F85+'4A SWD Case 2'!G85*'MSW characteristics'!$B$30+'MSW characteristics'!$B$31*'4A SWD Case 2'!H85+'4A SWD Case 2'!I85*'MSW characteristics'!$B$32+'MSW characteristics'!$B$33*'4A SWD Case 2'!J85+'4A SWD Case 2'!K85*'MSW characteristics'!$B$35</f>
        <v>0.12048152225760915</v>
      </c>
      <c r="Q85" s="1114">
        <f t="shared" si="51"/>
        <v>490.06765561623229</v>
      </c>
      <c r="R85" s="1114">
        <f t="shared" si="52"/>
        <v>490.06765561623229</v>
      </c>
      <c r="S85" s="1115">
        <f t="shared" si="53"/>
        <v>0</v>
      </c>
      <c r="T85" s="1114">
        <f t="shared" si="54"/>
        <v>14125.950390020347</v>
      </c>
      <c r="U85" s="1114">
        <f t="shared" si="55"/>
        <v>699.12665784779551</v>
      </c>
      <c r="V85" s="1118">
        <f t="shared" si="56"/>
        <v>466.08443856519699</v>
      </c>
      <c r="X85" s="1112">
        <f>'Baseline data (from input)'!T73*'Baseline data (from input)'!U73</f>
        <v>73563.119147615391</v>
      </c>
      <c r="Y85" s="1113">
        <f>Parameters!S188</f>
        <v>0.71500000000000008</v>
      </c>
      <c r="Z85" s="1113">
        <f t="shared" si="57"/>
        <v>0.15</v>
      </c>
      <c r="AA85" s="1114">
        <f t="shared" si="58"/>
        <v>3944.8222642908754</v>
      </c>
      <c r="AB85" s="1114">
        <f t="shared" si="59"/>
        <v>3944.8222642908754</v>
      </c>
      <c r="AC85" s="1115">
        <f t="shared" si="60"/>
        <v>0</v>
      </c>
      <c r="AD85" s="1114">
        <f t="shared" si="61"/>
        <v>54997.398066308546</v>
      </c>
      <c r="AE85" s="1114">
        <f t="shared" si="62"/>
        <v>2617.5215341895205</v>
      </c>
      <c r="AF85" s="1118">
        <f t="shared" si="63"/>
        <v>1745.0143561263469</v>
      </c>
      <c r="AH85" s="1112">
        <f>'Baseline data (from input)'!T73*'Baseline data (from input)'!U73</f>
        <v>73563.119147615391</v>
      </c>
      <c r="AI85" s="1113">
        <f>Parameters!S188</f>
        <v>0.71500000000000008</v>
      </c>
      <c r="AJ85" s="1113">
        <f t="shared" si="64"/>
        <v>0.15</v>
      </c>
      <c r="AK85" s="1114">
        <f t="shared" si="65"/>
        <v>3944.8222642908754</v>
      </c>
      <c r="AL85" s="1114">
        <f t="shared" si="66"/>
        <v>3944.8222642908754</v>
      </c>
      <c r="AM85" s="1115">
        <f t="shared" si="67"/>
        <v>0</v>
      </c>
      <c r="AN85" s="1114">
        <f t="shared" si="68"/>
        <v>54997.398066308546</v>
      </c>
      <c r="AO85" s="1114">
        <f t="shared" si="69"/>
        <v>2617.5215341895205</v>
      </c>
      <c r="AP85" s="1118">
        <f t="shared" si="70"/>
        <v>1745.0143561263469</v>
      </c>
      <c r="AR85" s="1121">
        <v>501</v>
      </c>
      <c r="AS85" s="1113">
        <v>1</v>
      </c>
      <c r="AT85" s="1113">
        <f t="shared" si="71"/>
        <v>0.05</v>
      </c>
      <c r="AU85" s="1114">
        <f t="shared" si="72"/>
        <v>12.525</v>
      </c>
      <c r="AV85" s="1114">
        <f t="shared" si="73"/>
        <v>12.525</v>
      </c>
      <c r="AW85" s="1115">
        <f t="shared" si="74"/>
        <v>0</v>
      </c>
      <c r="AX85" s="1114">
        <f t="shared" si="42"/>
        <v>142.03657239121691</v>
      </c>
      <c r="AY85" s="1114">
        <f t="shared" si="47"/>
        <v>8.0085483743321948</v>
      </c>
      <c r="AZ85" s="1122">
        <f t="shared" si="45"/>
        <v>5.3390322495547968</v>
      </c>
      <c r="BB85" s="1145">
        <f t="shared" si="75"/>
        <v>466.08443856519699</v>
      </c>
      <c r="BC85" s="326">
        <f t="shared" si="76"/>
        <v>1745.0143561263469</v>
      </c>
      <c r="BD85" s="1325">
        <f t="shared" si="46"/>
        <v>5.3390322495547968</v>
      </c>
      <c r="BE85" s="326">
        <f t="shared" si="48"/>
        <v>2216.4378269410986</v>
      </c>
      <c r="BF85" s="163">
        <v>0</v>
      </c>
      <c r="BG85" s="1315">
        <f t="shared" si="77"/>
        <v>2216.4378269410986</v>
      </c>
      <c r="BI85" s="1145">
        <f t="shared" si="78"/>
        <v>466.08443856519699</v>
      </c>
      <c r="BJ85" s="326">
        <f t="shared" si="79"/>
        <v>1745.0143561263469</v>
      </c>
      <c r="BK85" s="1325">
        <f t="shared" si="80"/>
        <v>5.3390322495547968</v>
      </c>
      <c r="BL85" s="326">
        <f t="shared" si="49"/>
        <v>2216.4378269410986</v>
      </c>
      <c r="BM85" s="163">
        <v>0</v>
      </c>
      <c r="BN85" s="1315">
        <f t="shared" si="81"/>
        <v>2216.4378269410986</v>
      </c>
    </row>
    <row r="86" spans="1:66">
      <c r="A86" s="1155">
        <f>'Input data'!A116</f>
        <v>2018</v>
      </c>
      <c r="B86" s="1035">
        <f>'Input data'!B116</f>
        <v>57.436</v>
      </c>
      <c r="C86" s="1129">
        <f>'Recycling - Case 2'!AD96</f>
        <v>2.4602355132358533E-2</v>
      </c>
      <c r="D86" s="1036">
        <f>'Recycling - Case 2'!AM96</f>
        <v>0.44785359440039618</v>
      </c>
      <c r="E86" s="1037">
        <f>'Recycling - Case 2'!BE96</f>
        <v>0.23492828183802922</v>
      </c>
      <c r="F86" s="1037">
        <f>'Recycling - Case 2'!BF96</f>
        <v>0.30174137217960728</v>
      </c>
      <c r="G86" s="1037">
        <f>'Recycling - Case 2'!BG96</f>
        <v>5.9380849168749056E-2</v>
      </c>
      <c r="H86" s="1037">
        <f>'Recycling - Case 2'!BH96</f>
        <v>0</v>
      </c>
      <c r="I86" s="1037">
        <f>'Recycling - Case 2'!BI96</f>
        <v>0</v>
      </c>
      <c r="J86" s="1037">
        <f>'Recycling - Case 2'!BJ96</f>
        <v>0</v>
      </c>
      <c r="K86" s="1037">
        <f>'Recycling - Case 2'!BK96</f>
        <v>0.40394949681361447</v>
      </c>
      <c r="L86" s="1038">
        <f t="shared" si="83"/>
        <v>1</v>
      </c>
      <c r="M86" s="4"/>
      <c r="N86" s="1053">
        <f>B86*C86*D86</f>
        <v>0.63284438945934229</v>
      </c>
      <c r="O86" s="1048">
        <f>Parameters!R224</f>
        <v>0.75076923076923086</v>
      </c>
      <c r="P86" s="1049">
        <f>E86*'MSW characteristics'!$B$28+'MSW characteristics'!$B$29*'4A SWD Case 2'!F86+'4A SWD Case 2'!G86*'MSW characteristics'!$B$30+'MSW characteristics'!$B$31*'4A SWD Case 2'!H86+'4A SWD Case 2'!I86*'MSW characteristics'!$B$32+'MSW characteristics'!$B$33*'4A SWD Case 2'!J86+'4A SWD Case 2'!K86*'MSW characteristics'!$B$35</f>
        <v>0.11933985637912546</v>
      </c>
      <c r="Q86" s="1047">
        <f t="shared" si="51"/>
        <v>2.8350381978173592E-2</v>
      </c>
      <c r="R86" s="1047">
        <f t="shared" si="52"/>
        <v>2.8350381978173592E-2</v>
      </c>
      <c r="S86" s="1050">
        <f t="shared" si="53"/>
        <v>0</v>
      </c>
      <c r="T86" s="1047">
        <f t="shared" si="54"/>
        <v>13437.048010406668</v>
      </c>
      <c r="U86" s="1047">
        <f t="shared" si="55"/>
        <v>688.93072999565561</v>
      </c>
      <c r="V86" s="1054">
        <f t="shared" si="56"/>
        <v>459.28715333043709</v>
      </c>
      <c r="X86" s="1067">
        <f>'Recycling - Case 2'!C136*'Recycling - Case 2'!W136*'Recycling - Case 2'!AE136</f>
        <v>69851.785363996736</v>
      </c>
      <c r="Y86" s="1068">
        <f>Parameters!S223</f>
        <v>0.71500000000000008</v>
      </c>
      <c r="Z86" s="1068">
        <f t="shared" si="57"/>
        <v>0.15</v>
      </c>
      <c r="AA86" s="1069">
        <f t="shared" si="58"/>
        <v>3745.8019901443254</v>
      </c>
      <c r="AB86" s="1069">
        <f t="shared" si="59"/>
        <v>3745.8019901443254</v>
      </c>
      <c r="AC86" s="1070">
        <f t="shared" si="60"/>
        <v>0</v>
      </c>
      <c r="AD86" s="1069">
        <f t="shared" si="61"/>
        <v>56060.945301795684</v>
      </c>
      <c r="AE86" s="1069">
        <f t="shared" si="62"/>
        <v>2682.2547546571859</v>
      </c>
      <c r="AF86" s="1071">
        <f t="shared" si="63"/>
        <v>1788.1698364381239</v>
      </c>
      <c r="AH86" s="1067">
        <f>'Recycling - Case 2'!C176*'Recycling - Case 2'!W176*'Recycling - Case 2'!AE176</f>
        <v>69851.785363996736</v>
      </c>
      <c r="AI86" s="1068">
        <f>Parameters!S223</f>
        <v>0.71500000000000008</v>
      </c>
      <c r="AJ86" s="1068">
        <f t="shared" si="64"/>
        <v>0.15</v>
      </c>
      <c r="AK86" s="1069">
        <f t="shared" si="65"/>
        <v>3745.8019901443254</v>
      </c>
      <c r="AL86" s="1069">
        <f t="shared" si="66"/>
        <v>3745.8019901443254</v>
      </c>
      <c r="AM86" s="1070">
        <f t="shared" si="67"/>
        <v>0</v>
      </c>
      <c r="AN86" s="1069">
        <f t="shared" si="68"/>
        <v>56060.945301795684</v>
      </c>
      <c r="AO86" s="1069">
        <f t="shared" si="69"/>
        <v>2682.2547546571859</v>
      </c>
      <c r="AP86" s="1071">
        <f t="shared" si="70"/>
        <v>1788.1698364381239</v>
      </c>
      <c r="AR86" s="1276">
        <f>'Recycling - Case 2'!G96</f>
        <v>519.60187202830946</v>
      </c>
      <c r="AS86" s="1277">
        <v>1</v>
      </c>
      <c r="AT86" s="1277">
        <f t="shared" si="71"/>
        <v>0.05</v>
      </c>
      <c r="AU86" s="1278">
        <f t="shared" si="72"/>
        <v>12.990046800707738</v>
      </c>
      <c r="AV86" s="1278">
        <f t="shared" si="73"/>
        <v>12.990046800707738</v>
      </c>
      <c r="AW86" s="1279">
        <f t="shared" si="74"/>
        <v>0</v>
      </c>
      <c r="AX86" s="1278">
        <f t="shared" si="42"/>
        <v>146.7550531506275</v>
      </c>
      <c r="AY86" s="1278">
        <f t="shared" si="47"/>
        <v>8.2715660412971381</v>
      </c>
      <c r="AZ86" s="1280">
        <f t="shared" si="45"/>
        <v>5.514377360864759</v>
      </c>
      <c r="BA86" s="4"/>
      <c r="BB86" s="1291">
        <f t="shared" si="75"/>
        <v>459.28715333043709</v>
      </c>
      <c r="BC86" s="1292">
        <f t="shared" si="76"/>
        <v>1788.1698364381239</v>
      </c>
      <c r="BD86" s="1326">
        <f>AZ86</f>
        <v>5.514377360864759</v>
      </c>
      <c r="BE86" s="1292">
        <f t="shared" si="48"/>
        <v>2252.9713671294257</v>
      </c>
      <c r="BF86" s="1293">
        <v>0</v>
      </c>
      <c r="BG86" s="1316">
        <f t="shared" si="77"/>
        <v>2252.9713671294257</v>
      </c>
      <c r="BI86" s="1291">
        <f t="shared" si="78"/>
        <v>459.28715333043709</v>
      </c>
      <c r="BJ86" s="1292">
        <f>AP86</f>
        <v>1788.1698364381239</v>
      </c>
      <c r="BK86" s="1326">
        <f t="shared" si="80"/>
        <v>5.514377360864759</v>
      </c>
      <c r="BL86" s="1292">
        <f t="shared" si="49"/>
        <v>2252.9713671294257</v>
      </c>
      <c r="BM86" s="1293">
        <v>0</v>
      </c>
      <c r="BN86" s="1316">
        <f t="shared" si="81"/>
        <v>2252.9713671294257</v>
      </c>
    </row>
    <row r="87" spans="1:66">
      <c r="A87" s="1156">
        <f>'Input data'!A117</f>
        <v>2019</v>
      </c>
      <c r="B87" s="1039">
        <f>'Input data'!B117</f>
        <v>58.365000000000002</v>
      </c>
      <c r="C87" s="1130">
        <f>'Recycling - Case 2'!AD97</f>
        <v>4.0347508485998995E-2</v>
      </c>
      <c r="D87" s="1040">
        <f>'Recycling - Case 2'!AM97</f>
        <v>0.43098874069052173</v>
      </c>
      <c r="E87" s="1041">
        <f>'Recycling - Case 2'!BE97</f>
        <v>0.22944564675962828</v>
      </c>
      <c r="F87" s="1041">
        <f>'Recycling - Case 2'!BF97</f>
        <v>0.29887317429673499</v>
      </c>
      <c r="G87" s="1041">
        <f>'Recycling - Case 2'!BG97</f>
        <v>5.9793401138845577E-2</v>
      </c>
      <c r="H87" s="1041">
        <f>'Recycling - Case 2'!BH97</f>
        <v>0</v>
      </c>
      <c r="I87" s="1041">
        <f>'Recycling - Case 2'!BI97</f>
        <v>0</v>
      </c>
      <c r="J87" s="1041">
        <f>'Recycling - Case 2'!BJ97</f>
        <v>0</v>
      </c>
      <c r="K87" s="1041">
        <f>'Recycling - Case 2'!BK97</f>
        <v>0.41188777780479113</v>
      </c>
      <c r="L87" s="1042">
        <f t="shared" si="83"/>
        <v>1</v>
      </c>
      <c r="M87" s="4"/>
      <c r="N87" s="1053">
        <f t="shared" si="50"/>
        <v>1.0149277710815081</v>
      </c>
      <c r="O87" s="1048">
        <f>Parameters!R225</f>
        <v>0.77153846153846162</v>
      </c>
      <c r="P87" s="1049">
        <f>E87*'MSW characteristics'!$B$28+'MSW characteristics'!$B$29*'4A SWD Case 2'!F87+'4A SWD Case 2'!G87*'MSW characteristics'!$B$30+'MSW characteristics'!$B$31*'4A SWD Case 2'!H87+'4A SWD Case 2'!I87*'MSW characteristics'!$B$32+'MSW characteristics'!$B$33*'4A SWD Case 2'!J87+'4A SWD Case 2'!K87*'MSW characteristics'!$B$35</f>
        <v>0.11810884232882947</v>
      </c>
      <c r="Q87" s="1047">
        <f t="shared" si="51"/>
        <v>4.6242907662340627E-2</v>
      </c>
      <c r="R87" s="1047">
        <f t="shared" si="52"/>
        <v>4.6242907662340627E-2</v>
      </c>
      <c r="S87" s="1050">
        <f t="shared" si="53"/>
        <v>0</v>
      </c>
      <c r="T87" s="1047">
        <f t="shared" si="54"/>
        <v>12781.76168883526</v>
      </c>
      <c r="U87" s="1047">
        <f t="shared" si="55"/>
        <v>655.33256447906888</v>
      </c>
      <c r="V87" s="1054">
        <f t="shared" si="56"/>
        <v>436.88837631937923</v>
      </c>
      <c r="X87" s="1067">
        <f>'Recycling - Case 2'!C137*'Recycling - Case 2'!W137*'Recycling - Case 2'!AE137</f>
        <v>66703.793342367542</v>
      </c>
      <c r="Y87" s="1068">
        <f>Parameters!S224</f>
        <v>0.71500000000000008</v>
      </c>
      <c r="Z87" s="1068">
        <f t="shared" si="57"/>
        <v>0.15</v>
      </c>
      <c r="AA87" s="1069">
        <f t="shared" si="58"/>
        <v>3576.9909179844594</v>
      </c>
      <c r="AB87" s="1069">
        <f t="shared" si="59"/>
        <v>3576.9909179844594</v>
      </c>
      <c r="AC87" s="1070">
        <f t="shared" si="60"/>
        <v>0</v>
      </c>
      <c r="AD87" s="1069">
        <f t="shared" si="61"/>
        <v>56903.811654377576</v>
      </c>
      <c r="AE87" s="1069">
        <f t="shared" si="62"/>
        <v>2734.1245654025684</v>
      </c>
      <c r="AF87" s="1071">
        <f t="shared" si="63"/>
        <v>1822.749710268379</v>
      </c>
      <c r="AH87" s="1067">
        <f>'Recycling - Case 2'!C177*'Recycling - Case 2'!W177*'Recycling - Case 2'!AE177</f>
        <v>66703.793342367571</v>
      </c>
      <c r="AI87" s="1068">
        <f>Parameters!S224</f>
        <v>0.71500000000000008</v>
      </c>
      <c r="AJ87" s="1068">
        <f t="shared" si="64"/>
        <v>0.15</v>
      </c>
      <c r="AK87" s="1069">
        <f t="shared" si="65"/>
        <v>3576.9909179844612</v>
      </c>
      <c r="AL87" s="1069">
        <f t="shared" si="66"/>
        <v>3576.9909179844612</v>
      </c>
      <c r="AM87" s="1070">
        <f t="shared" si="67"/>
        <v>0</v>
      </c>
      <c r="AN87" s="1069">
        <f t="shared" si="68"/>
        <v>56903.811654377576</v>
      </c>
      <c r="AO87" s="1069">
        <f t="shared" si="69"/>
        <v>2734.1245654025684</v>
      </c>
      <c r="AP87" s="1071">
        <f t="shared" si="70"/>
        <v>1822.749710268379</v>
      </c>
      <c r="AR87" s="1281">
        <f>'Recycling - Case 2'!G97</f>
        <v>538.6763776064397</v>
      </c>
      <c r="AS87" s="1282">
        <v>1</v>
      </c>
      <c r="AT87" s="1282">
        <f t="shared" si="71"/>
        <v>0.05</v>
      </c>
      <c r="AU87" s="1283">
        <f t="shared" si="72"/>
        <v>13.466909440160993</v>
      </c>
      <c r="AV87" s="1283">
        <f t="shared" si="73"/>
        <v>13.466909440160993</v>
      </c>
      <c r="AW87" s="1284">
        <f t="shared" si="74"/>
        <v>0</v>
      </c>
      <c r="AX87" s="1283">
        <f t="shared" si="42"/>
        <v>151.67561362169334</v>
      </c>
      <c r="AY87" s="1283">
        <f t="shared" si="47"/>
        <v>8.5463489690951615</v>
      </c>
      <c r="AZ87" s="1285">
        <f t="shared" si="45"/>
        <v>5.6975659793967743</v>
      </c>
      <c r="BA87" s="4"/>
      <c r="BB87" s="1294">
        <f t="shared" si="75"/>
        <v>436.88837631937923</v>
      </c>
      <c r="BC87" s="1295">
        <f t="shared" si="76"/>
        <v>1822.749710268379</v>
      </c>
      <c r="BD87" s="1327">
        <f t="shared" ref="BD87:BD118" si="84">AZ87</f>
        <v>5.6975659793967743</v>
      </c>
      <c r="BE87" s="1295">
        <f t="shared" si="48"/>
        <v>2265.3356525671547</v>
      </c>
      <c r="BF87" s="167">
        <v>0</v>
      </c>
      <c r="BG87" s="1317">
        <f t="shared" si="77"/>
        <v>2265.3356525671547</v>
      </c>
      <c r="BI87" s="1294">
        <f t="shared" si="78"/>
        <v>436.88837631937923</v>
      </c>
      <c r="BJ87" s="1295">
        <f t="shared" si="79"/>
        <v>1822.749710268379</v>
      </c>
      <c r="BK87" s="1327">
        <f t="shared" si="80"/>
        <v>5.6975659793967743</v>
      </c>
      <c r="BL87" s="1295">
        <f t="shared" si="49"/>
        <v>2265.3356525671547</v>
      </c>
      <c r="BM87" s="167">
        <v>0</v>
      </c>
      <c r="BN87" s="1317">
        <f t="shared" si="81"/>
        <v>2265.3356525671547</v>
      </c>
    </row>
    <row r="88" spans="1:66">
      <c r="A88" s="1156">
        <f>'Input data'!A118</f>
        <v>2020</v>
      </c>
      <c r="B88" s="1039">
        <f>'Input data'!B118</f>
        <v>59.308999999999997</v>
      </c>
      <c r="C88" s="1130">
        <f>'Recycling - Case 2'!AD98</f>
        <v>6.2400003527468412E-2</v>
      </c>
      <c r="D88" s="1040">
        <f>'Recycling - Case 2'!AM98</f>
        <v>0.40147391679341488</v>
      </c>
      <c r="E88" s="1041">
        <f>'Recycling - Case 2'!BE98</f>
        <v>0.21480478945036316</v>
      </c>
      <c r="F88" s="1041">
        <f>'Recycling - Case 2'!BF98</f>
        <v>0.28933636276268687</v>
      </c>
      <c r="G88" s="1041">
        <f>'Recycling - Case 2'!BG98</f>
        <v>6.2137632196248523E-2</v>
      </c>
      <c r="H88" s="1041">
        <f>'Recycling - Case 2'!BH98</f>
        <v>0</v>
      </c>
      <c r="I88" s="1041">
        <f>'Recycling - Case 2'!BI98</f>
        <v>0</v>
      </c>
      <c r="J88" s="1041">
        <f>'Recycling - Case 2'!BJ98</f>
        <v>0</v>
      </c>
      <c r="K88" s="1041">
        <f>'Recycling - Case 2'!BK98</f>
        <v>0.43372121559070159</v>
      </c>
      <c r="L88" s="1042">
        <f t="shared" si="83"/>
        <v>1.0000000000000002</v>
      </c>
      <c r="M88" s="4"/>
      <c r="N88" s="1053">
        <f t="shared" si="50"/>
        <v>1.4858075155332886</v>
      </c>
      <c r="O88" s="1048">
        <f>Parameters!R226</f>
        <v>0.79230769230769238</v>
      </c>
      <c r="P88" s="1049">
        <f>E88*'MSW characteristics'!$B$28+'MSW characteristics'!$B$29*'4A SWD Case 2'!F88+'4A SWD Case 2'!G88*'MSW characteristics'!$B$30+'MSW characteristics'!$B$31*'4A SWD Case 2'!H88+'4A SWD Case 2'!I88*'MSW characteristics'!$B$32+'MSW characteristics'!$B$33*'4A SWD Case 2'!J88+'4A SWD Case 2'!K88*'MSW characteristics'!$B$35</f>
        <v>0.11494304384859126</v>
      </c>
      <c r="Q88" s="1047">
        <f t="shared" si="51"/>
        <v>6.7656436754140195E-2</v>
      </c>
      <c r="R88" s="1047">
        <f t="shared" si="52"/>
        <v>6.7656436754140195E-2</v>
      </c>
      <c r="S88" s="1050">
        <f t="shared" si="53"/>
        <v>0</v>
      </c>
      <c r="T88" s="1047">
        <f t="shared" si="54"/>
        <v>12158.455471812795</v>
      </c>
      <c r="U88" s="1047">
        <f t="shared" si="55"/>
        <v>623.37387345922116</v>
      </c>
      <c r="V88" s="1054">
        <f t="shared" si="56"/>
        <v>415.58258230614746</v>
      </c>
      <c r="X88" s="1067">
        <f>'Recycling - Case 2'!C138*'Recycling - Case 2'!W138*'Recycling - Case 2'!AE138</f>
        <v>56309.07477122439</v>
      </c>
      <c r="Y88" s="1068">
        <f>Parameters!S225</f>
        <v>0.71500000000000008</v>
      </c>
      <c r="Z88" s="1068">
        <f t="shared" si="57"/>
        <v>0.15</v>
      </c>
      <c r="AA88" s="1069">
        <f t="shared" si="58"/>
        <v>3019.5741346069085</v>
      </c>
      <c r="AB88" s="1069">
        <f t="shared" si="59"/>
        <v>3019.5741346069085</v>
      </c>
      <c r="AC88" s="1070">
        <f t="shared" si="60"/>
        <v>0</v>
      </c>
      <c r="AD88" s="1069">
        <f t="shared" si="61"/>
        <v>57148.154146497516</v>
      </c>
      <c r="AE88" s="1069">
        <f t="shared" si="62"/>
        <v>2775.2316424869714</v>
      </c>
      <c r="AF88" s="1071">
        <f t="shared" si="63"/>
        <v>1850.1544283246476</v>
      </c>
      <c r="AH88" s="1067">
        <f>'Recycling - Case 2'!C178*'Recycling - Case 2'!W178*'Recycling - Case 2'!AE178</f>
        <v>56309.07477122439</v>
      </c>
      <c r="AI88" s="1068">
        <f>Parameters!S225</f>
        <v>0.71500000000000008</v>
      </c>
      <c r="AJ88" s="1068">
        <f t="shared" si="64"/>
        <v>0.15</v>
      </c>
      <c r="AK88" s="1069">
        <f t="shared" si="65"/>
        <v>3019.5741346069085</v>
      </c>
      <c r="AL88" s="1069">
        <f t="shared" si="66"/>
        <v>3019.5741346069085</v>
      </c>
      <c r="AM88" s="1070">
        <f t="shared" si="67"/>
        <v>0</v>
      </c>
      <c r="AN88" s="1069">
        <f t="shared" si="68"/>
        <v>57148.154146497516</v>
      </c>
      <c r="AO88" s="1069">
        <f t="shared" si="69"/>
        <v>2775.2316424869714</v>
      </c>
      <c r="AP88" s="1071">
        <f t="shared" si="70"/>
        <v>1850.1544283246476</v>
      </c>
      <c r="AR88" s="1281">
        <f>'Recycling - Case 2'!G98</f>
        <v>558.23174355958042</v>
      </c>
      <c r="AS88" s="1282">
        <v>1</v>
      </c>
      <c r="AT88" s="1282">
        <f t="shared" si="71"/>
        <v>0.05</v>
      </c>
      <c r="AU88" s="1283">
        <f t="shared" si="72"/>
        <v>13.955793588989511</v>
      </c>
      <c r="AV88" s="1283">
        <f t="shared" si="73"/>
        <v>13.955793588989511</v>
      </c>
      <c r="AW88" s="1284">
        <f t="shared" si="74"/>
        <v>0</v>
      </c>
      <c r="AX88" s="1283">
        <f t="shared" si="42"/>
        <v>156.79850710752825</v>
      </c>
      <c r="AY88" s="1283">
        <f t="shared" si="47"/>
        <v>8.8329001031545893</v>
      </c>
      <c r="AZ88" s="1285">
        <f t="shared" si="45"/>
        <v>5.8886000687697262</v>
      </c>
      <c r="BA88" s="4"/>
      <c r="BB88" s="1294">
        <f t="shared" si="75"/>
        <v>415.58258230614746</v>
      </c>
      <c r="BC88" s="1295">
        <f t="shared" si="76"/>
        <v>1850.1544283246476</v>
      </c>
      <c r="BD88" s="1327">
        <f t="shared" si="84"/>
        <v>5.8886000687697262</v>
      </c>
      <c r="BE88" s="1295">
        <f t="shared" si="48"/>
        <v>2271.6256106995647</v>
      </c>
      <c r="BF88" s="167">
        <v>0</v>
      </c>
      <c r="BG88" s="1317">
        <f t="shared" si="77"/>
        <v>2271.6256106995647</v>
      </c>
      <c r="BI88" s="1294">
        <f t="shared" si="78"/>
        <v>415.58258230614746</v>
      </c>
      <c r="BJ88" s="1295">
        <f t="shared" si="79"/>
        <v>1850.1544283246476</v>
      </c>
      <c r="BK88" s="1327">
        <f t="shared" si="80"/>
        <v>5.8886000687697262</v>
      </c>
      <c r="BL88" s="1295">
        <f t="shared" si="49"/>
        <v>2271.6256106995647</v>
      </c>
      <c r="BM88" s="167">
        <v>0</v>
      </c>
      <c r="BN88" s="1317">
        <f t="shared" si="81"/>
        <v>2271.6256106995647</v>
      </c>
    </row>
    <row r="89" spans="1:66">
      <c r="A89" s="1156">
        <f>'Input data'!A119</f>
        <v>2021</v>
      </c>
      <c r="B89" s="1039">
        <f>'Input data'!B119</f>
        <v>59.991999999999997</v>
      </c>
      <c r="C89" s="1130">
        <f>'Recycling - Case 2'!AD99</f>
        <v>0.12863402257166001</v>
      </c>
      <c r="D89" s="1040">
        <f>'Recycling - Case 2'!AM99</f>
        <v>0.34665915252184321</v>
      </c>
      <c r="E89" s="1041">
        <f>'Recycling - Case 2'!BE99</f>
        <v>0.17578817506720093</v>
      </c>
      <c r="F89" s="1041">
        <f>'Recycling - Case 2'!BF99</f>
        <v>0.26210489985233038</v>
      </c>
      <c r="G89" s="1041">
        <f>'Recycling - Case 2'!BG99</f>
        <v>6.9587069380026595E-2</v>
      </c>
      <c r="H89" s="1041">
        <f>'Recycling - Case 2'!BH99</f>
        <v>0</v>
      </c>
      <c r="I89" s="1041">
        <f>'Recycling - Case 2'!BI99</f>
        <v>0</v>
      </c>
      <c r="J89" s="1041">
        <f>'Recycling - Case 2'!BJ99</f>
        <v>0</v>
      </c>
      <c r="K89" s="1041">
        <f>'Recycling - Case 2'!BK99</f>
        <v>0.49251985570044204</v>
      </c>
      <c r="L89" s="1042">
        <f t="shared" si="83"/>
        <v>1</v>
      </c>
      <c r="M89" s="4"/>
      <c r="N89" s="1053">
        <f t="shared" si="50"/>
        <v>2.6751729377200371</v>
      </c>
      <c r="O89" s="1048">
        <f>Parameters!R227</f>
        <v>0.81307692307692303</v>
      </c>
      <c r="P89" s="1049">
        <f>E89*'MSW characteristics'!$B$28+'MSW characteristics'!$B$29*'4A SWD Case 2'!F89+'4A SWD Case 2'!G89*'MSW characteristics'!$B$30+'MSW characteristics'!$B$31*'4A SWD Case 2'!H89+'4A SWD Case 2'!I89*'MSW characteristics'!$B$32+'MSW characteristics'!$B$33*'4A SWD Case 2'!J89+'4A SWD Case 2'!K89*'MSW characteristics'!$B$35</f>
        <v>0.10662403398255686</v>
      </c>
      <c r="Q89" s="1047">
        <f t="shared" si="51"/>
        <v>0.11596010801663705</v>
      </c>
      <c r="R89" s="1047">
        <f t="shared" si="52"/>
        <v>0.11596010801663705</v>
      </c>
      <c r="S89" s="1050">
        <f t="shared" si="53"/>
        <v>0</v>
      </c>
      <c r="T89" s="1047">
        <f t="shared" si="54"/>
        <v>11565.596561378059</v>
      </c>
      <c r="U89" s="1047">
        <f t="shared" si="55"/>
        <v>592.97487054275268</v>
      </c>
      <c r="V89" s="1054">
        <f t="shared" si="56"/>
        <v>395.31658036183512</v>
      </c>
      <c r="W89" s="4"/>
      <c r="X89" s="1067">
        <f>'Recycling - Case 2'!C139*'Recycling - Case 2'!W139*'Recycling - Case 2'!AE139</f>
        <v>46189.33800320547</v>
      </c>
      <c r="Y89" s="1068">
        <f>Parameters!S226</f>
        <v>0.71500000000000008</v>
      </c>
      <c r="Z89" s="1068">
        <f t="shared" si="57"/>
        <v>0.15</v>
      </c>
      <c r="AA89" s="1069">
        <f t="shared" si="58"/>
        <v>2476.9032504218935</v>
      </c>
      <c r="AB89" s="1069">
        <f t="shared" si="59"/>
        <v>2476.9032504218935</v>
      </c>
      <c r="AC89" s="1070">
        <f t="shared" si="60"/>
        <v>0</v>
      </c>
      <c r="AD89" s="1069">
        <f t="shared" si="61"/>
        <v>56837.909030472816</v>
      </c>
      <c r="AE89" s="1069">
        <f t="shared" si="62"/>
        <v>2787.1483664465904</v>
      </c>
      <c r="AF89" s="1071">
        <f t="shared" si="63"/>
        <v>1858.0989109643936</v>
      </c>
      <c r="AG89" s="4"/>
      <c r="AH89" s="1067">
        <f>'Recycling - Case 2'!C179*'Recycling - Case 2'!W179*'Recycling - Case 2'!AE179</f>
        <v>46189.338003205456</v>
      </c>
      <c r="AI89" s="1068">
        <f>Parameters!S226</f>
        <v>0.71500000000000008</v>
      </c>
      <c r="AJ89" s="1068">
        <f t="shared" si="64"/>
        <v>0.15</v>
      </c>
      <c r="AK89" s="1069">
        <f t="shared" si="65"/>
        <v>2476.9032504218926</v>
      </c>
      <c r="AL89" s="1069">
        <f t="shared" si="66"/>
        <v>2476.9032504218926</v>
      </c>
      <c r="AM89" s="1070">
        <f t="shared" si="67"/>
        <v>0</v>
      </c>
      <c r="AN89" s="1069">
        <f t="shared" si="68"/>
        <v>56837.909030472816</v>
      </c>
      <c r="AO89" s="1069">
        <f t="shared" si="69"/>
        <v>2787.1483664465904</v>
      </c>
      <c r="AP89" s="1071">
        <f t="shared" si="70"/>
        <v>1858.0989109643936</v>
      </c>
      <c r="AR89" s="1281">
        <f>'Recycling - Case 2'!G99</f>
        <v>575.62795502093263</v>
      </c>
      <c r="AS89" s="1282">
        <v>1</v>
      </c>
      <c r="AT89" s="1282">
        <f t="shared" si="71"/>
        <v>0.05</v>
      </c>
      <c r="AU89" s="1283">
        <f t="shared" si="72"/>
        <v>14.390698875523317</v>
      </c>
      <c r="AV89" s="1283">
        <f t="shared" si="73"/>
        <v>14.390698875523317</v>
      </c>
      <c r="AW89" s="1284">
        <f t="shared" si="74"/>
        <v>0</v>
      </c>
      <c r="AX89" s="1283">
        <f t="shared" si="42"/>
        <v>162.05797178835118</v>
      </c>
      <c r="AY89" s="1283">
        <f t="shared" si="47"/>
        <v>9.1312341947004008</v>
      </c>
      <c r="AZ89" s="1285">
        <f t="shared" si="45"/>
        <v>6.0874894631336005</v>
      </c>
      <c r="BA89" s="4"/>
      <c r="BB89" s="1294">
        <f t="shared" si="75"/>
        <v>395.31658036183512</v>
      </c>
      <c r="BC89" s="1295">
        <f t="shared" si="76"/>
        <v>1858.0989109643936</v>
      </c>
      <c r="BD89" s="1327">
        <f t="shared" si="84"/>
        <v>6.0874894631336005</v>
      </c>
      <c r="BE89" s="1295">
        <f t="shared" si="48"/>
        <v>2259.5029807893625</v>
      </c>
      <c r="BF89" s="167">
        <v>0</v>
      </c>
      <c r="BG89" s="1317">
        <f t="shared" si="77"/>
        <v>2259.5029807893625</v>
      </c>
      <c r="BI89" s="1294">
        <f t="shared" si="78"/>
        <v>395.31658036183512</v>
      </c>
      <c r="BJ89" s="1295">
        <f t="shared" si="79"/>
        <v>1858.0989109643936</v>
      </c>
      <c r="BK89" s="1327">
        <f t="shared" si="80"/>
        <v>6.0874894631336005</v>
      </c>
      <c r="BL89" s="1295">
        <f t="shared" si="49"/>
        <v>2259.5029807893625</v>
      </c>
      <c r="BM89" s="167">
        <v>0</v>
      </c>
      <c r="BN89" s="1317">
        <f t="shared" si="81"/>
        <v>2259.5029807893625</v>
      </c>
    </row>
    <row r="90" spans="1:66">
      <c r="A90" s="1156">
        <f>'Input data'!A120</f>
        <v>2022</v>
      </c>
      <c r="B90" s="1039">
        <f>'Input data'!B120</f>
        <v>60.682000000000002</v>
      </c>
      <c r="C90" s="1130">
        <f>'Recycling - Case 2'!AD100</f>
        <v>0.26733917941166707</v>
      </c>
      <c r="D90" s="1040">
        <f>'Recycling - Case 2'!AM100</f>
        <v>0.3171443286247364</v>
      </c>
      <c r="E90" s="1041">
        <f>'Recycling - Case 2'!BE100</f>
        <v>0.15226067517689335</v>
      </c>
      <c r="F90" s="1041">
        <f>'Recycling - Case 2'!BF100</f>
        <v>0.24661040796962494</v>
      </c>
      <c r="G90" s="1041">
        <f>'Recycling - Case 2'!BG100</f>
        <v>7.3466079366628398E-2</v>
      </c>
      <c r="H90" s="1041">
        <f>'Recycling - Case 2'!BH100</f>
        <v>0</v>
      </c>
      <c r="I90" s="1041">
        <f>'Recycling - Case 2'!BI100</f>
        <v>0</v>
      </c>
      <c r="J90" s="1041">
        <f>'Recycling - Case 2'!BJ100</f>
        <v>0</v>
      </c>
      <c r="K90" s="1041">
        <f>'Recycling - Case 2'!BK100</f>
        <v>0.52766283748685339</v>
      </c>
      <c r="L90" s="1042">
        <f t="shared" si="83"/>
        <v>1</v>
      </c>
      <c r="M90" s="4"/>
      <c r="N90" s="1053">
        <f t="shared" si="50"/>
        <v>5.1449297154925349</v>
      </c>
      <c r="O90" s="1048">
        <f>Parameters!R228</f>
        <v>0.83384615384615368</v>
      </c>
      <c r="P90" s="1049">
        <f>E90*'MSW characteristics'!$B$28+'MSW characteristics'!$B$29*'4A SWD Case 2'!F90+'4A SWD Case 2'!G90*'MSW characteristics'!$B$30+'MSW characteristics'!$B$31*'4A SWD Case 2'!H90+'4A SWD Case 2'!I90*'MSW characteristics'!$B$32+'MSW characteristics'!$B$33*'4A SWD Case 2'!J90+'4A SWD Case 2'!K90*'MSW characteristics'!$B$35</f>
        <v>0.10154761461711034</v>
      </c>
      <c r="Q90" s="1047">
        <f t="shared" si="51"/>
        <v>0.21782368789975198</v>
      </c>
      <c r="R90" s="1047">
        <f t="shared" si="52"/>
        <v>0.21782368789975198</v>
      </c>
      <c r="S90" s="1050">
        <f t="shared" si="53"/>
        <v>0</v>
      </c>
      <c r="T90" s="1047">
        <f t="shared" si="54"/>
        <v>11001.753584774988</v>
      </c>
      <c r="U90" s="1047">
        <f t="shared" si="55"/>
        <v>564.06080029097097</v>
      </c>
      <c r="V90" s="1054">
        <f t="shared" si="56"/>
        <v>376.04053352731398</v>
      </c>
      <c r="W90" s="4"/>
      <c r="X90" s="1067">
        <f>'Recycling - Case 2'!C140*'Recycling - Case 2'!W140*'Recycling - Case 2'!AE140</f>
        <v>40208.107037406837</v>
      </c>
      <c r="Y90" s="1068">
        <f>Parameters!S227</f>
        <v>0.71500000000000008</v>
      </c>
      <c r="Z90" s="1068">
        <f t="shared" si="57"/>
        <v>0.15</v>
      </c>
      <c r="AA90" s="1069">
        <f t="shared" si="58"/>
        <v>2156.1597398809417</v>
      </c>
      <c r="AB90" s="1069">
        <f t="shared" si="59"/>
        <v>2156.1597398809417</v>
      </c>
      <c r="AC90" s="1070">
        <f t="shared" si="60"/>
        <v>0</v>
      </c>
      <c r="AD90" s="1069">
        <f t="shared" si="61"/>
        <v>56222.05123676153</v>
      </c>
      <c r="AE90" s="1069">
        <f t="shared" si="62"/>
        <v>2772.0175335922231</v>
      </c>
      <c r="AF90" s="1071">
        <f t="shared" si="63"/>
        <v>1848.011689061482</v>
      </c>
      <c r="AG90" s="4"/>
      <c r="AH90" s="1067">
        <f>'Recycling - Case 2'!C180*'Recycling - Case 2'!W180*'Recycling - Case 2'!AE180</f>
        <v>42821.697303123481</v>
      </c>
      <c r="AI90" s="1068">
        <f>Parameters!S227</f>
        <v>0.71500000000000008</v>
      </c>
      <c r="AJ90" s="1068">
        <f t="shared" si="64"/>
        <v>0.15</v>
      </c>
      <c r="AK90" s="1069">
        <f t="shared" si="65"/>
        <v>2296.3135178799967</v>
      </c>
      <c r="AL90" s="1069">
        <f t="shared" si="66"/>
        <v>2296.3135178799967</v>
      </c>
      <c r="AM90" s="1070">
        <f t="shared" si="67"/>
        <v>0</v>
      </c>
      <c r="AN90" s="1069">
        <f t="shared" si="68"/>
        <v>56362.205014760591</v>
      </c>
      <c r="AO90" s="1069">
        <f t="shared" si="69"/>
        <v>2772.0175335922231</v>
      </c>
      <c r="AP90" s="1071">
        <f t="shared" si="70"/>
        <v>1848.011689061482</v>
      </c>
      <c r="AR90" s="1281">
        <f>'Recycling - Case 2'!G100</f>
        <v>593.34234160989524</v>
      </c>
      <c r="AS90" s="1282">
        <v>1</v>
      </c>
      <c r="AT90" s="1282">
        <f t="shared" si="71"/>
        <v>0.05</v>
      </c>
      <c r="AU90" s="1283">
        <f t="shared" si="72"/>
        <v>14.833558540247381</v>
      </c>
      <c r="AV90" s="1283">
        <f t="shared" si="73"/>
        <v>14.833558540247381</v>
      </c>
      <c r="AW90" s="1284">
        <f t="shared" si="74"/>
        <v>0</v>
      </c>
      <c r="AX90" s="1283">
        <f t="shared" si="42"/>
        <v>167.45400875511325</v>
      </c>
      <c r="AY90" s="1283">
        <f t="shared" si="47"/>
        <v>9.4375215734852933</v>
      </c>
      <c r="AZ90" s="1285">
        <f t="shared" si="45"/>
        <v>6.2916810489901955</v>
      </c>
      <c r="BA90" s="4"/>
      <c r="BB90" s="1294">
        <f t="shared" si="75"/>
        <v>376.04053352731398</v>
      </c>
      <c r="BC90" s="1295">
        <f t="shared" si="76"/>
        <v>1848.011689061482</v>
      </c>
      <c r="BD90" s="1327">
        <f t="shared" si="84"/>
        <v>6.2916810489901955</v>
      </c>
      <c r="BE90" s="1295">
        <f t="shared" si="48"/>
        <v>2230.3439036377863</v>
      </c>
      <c r="BF90" s="167">
        <v>0</v>
      </c>
      <c r="BG90" s="1317">
        <f t="shared" si="77"/>
        <v>2230.3439036377863</v>
      </c>
      <c r="BI90" s="1294">
        <f t="shared" si="78"/>
        <v>376.04053352731398</v>
      </c>
      <c r="BJ90" s="1295">
        <f t="shared" si="79"/>
        <v>1848.011689061482</v>
      </c>
      <c r="BK90" s="1327">
        <f t="shared" si="80"/>
        <v>6.2916810489901955</v>
      </c>
      <c r="BL90" s="1295">
        <f t="shared" si="49"/>
        <v>2230.3439036377863</v>
      </c>
      <c r="BM90" s="167">
        <v>0</v>
      </c>
      <c r="BN90" s="1317">
        <f t="shared" si="81"/>
        <v>2230.3439036377863</v>
      </c>
    </row>
    <row r="91" spans="1:66">
      <c r="A91" s="1156">
        <f>'Input data'!A121</f>
        <v>2023</v>
      </c>
      <c r="B91" s="1039">
        <f>'Input data'!B121</f>
        <v>61.381</v>
      </c>
      <c r="C91" s="1130">
        <f>'Recycling - Case 2'!AD101</f>
        <v>0.30202263152140379</v>
      </c>
      <c r="D91" s="1040">
        <f>'Recycling - Case 2'!AM101</f>
        <v>0.31292944510209436</v>
      </c>
      <c r="E91" s="1041">
        <f>'Recycling - Case 2'!BE101</f>
        <v>0.15431149212938583</v>
      </c>
      <c r="F91" s="1041">
        <f>'Recycling - Case 2'!BF101</f>
        <v>0.2499320325764883</v>
      </c>
      <c r="G91" s="1041">
        <f>'Recycling - Case 2'!BG101</f>
        <v>7.1823558597211609E-2</v>
      </c>
      <c r="H91" s="1041">
        <f>'Recycling - Case 2'!BH101</f>
        <v>0</v>
      </c>
      <c r="I91" s="1041">
        <f>'Recycling - Case 2'!BI101</f>
        <v>0</v>
      </c>
      <c r="J91" s="1041">
        <f>'Recycling - Case 2'!BJ101</f>
        <v>0</v>
      </c>
      <c r="K91" s="1041">
        <f>'Recycling - Case 2'!BK101</f>
        <v>0.52393291669691444</v>
      </c>
      <c r="L91" s="1042">
        <f t="shared" si="83"/>
        <v>1.0000000000000002</v>
      </c>
      <c r="M91" s="4"/>
      <c r="N91" s="1053">
        <f t="shared" si="50"/>
        <v>5.8012272299870915</v>
      </c>
      <c r="O91" s="1048">
        <f>Parameters!R229</f>
        <v>0.85461538461538455</v>
      </c>
      <c r="P91" s="1049">
        <f>E91*'MSW characteristics'!$B$28+'MSW characteristics'!$B$29*'4A SWD Case 2'!F91+'4A SWD Case 2'!G91*'MSW characteristics'!$B$30+'MSW characteristics'!$B$31*'4A SWD Case 2'!H91+'4A SWD Case 2'!I91*'MSW characteristics'!$B$32+'MSW characteristics'!$B$33*'4A SWD Case 2'!J91+'4A SWD Case 2'!K91*'MSW characteristics'!$B$35</f>
        <v>0.10186255377359017</v>
      </c>
      <c r="Q91" s="1047">
        <f t="shared" si="51"/>
        <v>0.25250800336979012</v>
      </c>
      <c r="R91" s="1047">
        <f t="shared" si="52"/>
        <v>0.25250800336979012</v>
      </c>
      <c r="S91" s="1050">
        <f t="shared" si="53"/>
        <v>0</v>
      </c>
      <c r="T91" s="1047">
        <f t="shared" si="54"/>
        <v>10465.44423894755</v>
      </c>
      <c r="U91" s="1047">
        <f t="shared" si="55"/>
        <v>536.56185383080879</v>
      </c>
      <c r="V91" s="1054">
        <f t="shared" si="56"/>
        <v>357.70790255387254</v>
      </c>
      <c r="W91" s="4"/>
      <c r="X91" s="1067">
        <f>'Recycling - Case 2'!C141*'Recycling - Case 2'!W141*'Recycling - Case 2'!AE141</f>
        <v>39178.134672881104</v>
      </c>
      <c r="Y91" s="1068">
        <f>Parameters!S228</f>
        <v>0.71500000000000008</v>
      </c>
      <c r="Z91" s="1068">
        <f t="shared" si="57"/>
        <v>0.15</v>
      </c>
      <c r="AA91" s="1069">
        <f t="shared" si="58"/>
        <v>2100.9274718332495</v>
      </c>
      <c r="AB91" s="1069">
        <f t="shared" si="59"/>
        <v>2100.9274718332495</v>
      </c>
      <c r="AC91" s="1070">
        <f t="shared" si="60"/>
        <v>0</v>
      </c>
      <c r="AD91" s="1069">
        <f t="shared" si="61"/>
        <v>55580.996914027579</v>
      </c>
      <c r="AE91" s="1069">
        <f t="shared" si="62"/>
        <v>2741.981794567203</v>
      </c>
      <c r="AF91" s="1071">
        <f t="shared" si="63"/>
        <v>1827.987863044802</v>
      </c>
      <c r="AG91" s="4"/>
      <c r="AH91" s="1067">
        <f>'Recycling - Case 2'!C181*'Recycling - Case 2'!W181*'Recycling - Case 2'!AE181</f>
        <v>41625.305187523605</v>
      </c>
      <c r="AI91" s="1068">
        <f>Parameters!S228</f>
        <v>0.71500000000000008</v>
      </c>
      <c r="AJ91" s="1068">
        <f t="shared" si="64"/>
        <v>0.15</v>
      </c>
      <c r="AK91" s="1069">
        <f t="shared" si="65"/>
        <v>2232.1569906809536</v>
      </c>
      <c r="AL91" s="1069">
        <f t="shared" si="66"/>
        <v>2232.1569906809536</v>
      </c>
      <c r="AM91" s="1070">
        <f t="shared" si="67"/>
        <v>0</v>
      </c>
      <c r="AN91" s="1069">
        <f t="shared" si="68"/>
        <v>55845.544830462924</v>
      </c>
      <c r="AO91" s="1069">
        <f t="shared" si="69"/>
        <v>2748.8171749786165</v>
      </c>
      <c r="AP91" s="1071">
        <f t="shared" si="70"/>
        <v>1832.5447833190776</v>
      </c>
      <c r="AQ91" s="4"/>
      <c r="AR91" s="1281">
        <f>'Recycling - Case 2'!G101</f>
        <v>611.39866394209514</v>
      </c>
      <c r="AS91" s="1282">
        <v>1</v>
      </c>
      <c r="AT91" s="1282">
        <f t="shared" si="71"/>
        <v>0.05</v>
      </c>
      <c r="AU91" s="1283">
        <f t="shared" si="72"/>
        <v>15.28496659855238</v>
      </c>
      <c r="AV91" s="1283">
        <f t="shared" si="73"/>
        <v>15.28496659855238</v>
      </c>
      <c r="AW91" s="1284">
        <f t="shared" si="74"/>
        <v>0</v>
      </c>
      <c r="AX91" s="1283">
        <f t="shared" si="42"/>
        <v>172.98721305062432</v>
      </c>
      <c r="AY91" s="1283">
        <f t="shared" si="47"/>
        <v>9.7517623030413194</v>
      </c>
      <c r="AZ91" s="1285">
        <f t="shared" si="45"/>
        <v>6.5011748686942132</v>
      </c>
      <c r="BA91" s="4"/>
      <c r="BB91" s="1294">
        <f t="shared" si="75"/>
        <v>357.70790255387254</v>
      </c>
      <c r="BC91" s="1295">
        <f t="shared" si="76"/>
        <v>1827.987863044802</v>
      </c>
      <c r="BD91" s="1327">
        <f t="shared" si="84"/>
        <v>6.5011748686942132</v>
      </c>
      <c r="BE91" s="1295">
        <f t="shared" si="48"/>
        <v>2192.1969404673687</v>
      </c>
      <c r="BF91" s="167">
        <v>0</v>
      </c>
      <c r="BG91" s="1317">
        <f t="shared" si="77"/>
        <v>2192.1969404673687</v>
      </c>
      <c r="BI91" s="1294">
        <f t="shared" si="78"/>
        <v>357.70790255387254</v>
      </c>
      <c r="BJ91" s="1295">
        <f t="shared" si="79"/>
        <v>1832.5447833190776</v>
      </c>
      <c r="BK91" s="1327">
        <f t="shared" si="80"/>
        <v>6.5011748686942132</v>
      </c>
      <c r="BL91" s="1295">
        <f t="shared" si="49"/>
        <v>2196.7538607416445</v>
      </c>
      <c r="BM91" s="167">
        <v>0</v>
      </c>
      <c r="BN91" s="1317">
        <f t="shared" si="81"/>
        <v>2196.7538607416445</v>
      </c>
    </row>
    <row r="92" spans="1:66">
      <c r="A92" s="1156">
        <f>'Input data'!A122</f>
        <v>2024</v>
      </c>
      <c r="B92" s="1039">
        <f>'Input data'!B122</f>
        <v>62.088000000000001</v>
      </c>
      <c r="C92" s="1130">
        <f>'Recycling - Case 2'!AD102</f>
        <v>0.33765315078636471</v>
      </c>
      <c r="D92" s="1040">
        <f>'Recycling - Case 2'!AM102</f>
        <v>0.30871456157945232</v>
      </c>
      <c r="E92" s="1041">
        <f>'Recycling - Case 2'!BE102</f>
        <v>0.15641830873759127</v>
      </c>
      <c r="F92" s="1041">
        <f>'Recycling - Case 2'!BF102</f>
        <v>0.25334435754262352</v>
      </c>
      <c r="G92" s="1041">
        <f>'Recycling - Case 2'!BG102</f>
        <v>7.0136187117214879E-2</v>
      </c>
      <c r="H92" s="1041">
        <f>'Recycling - Case 2'!BH102</f>
        <v>0</v>
      </c>
      <c r="I92" s="1041">
        <f>'Recycling - Case 2'!BI102</f>
        <v>0</v>
      </c>
      <c r="J92" s="1041">
        <f>'Recycling - Case 2'!BJ102</f>
        <v>0</v>
      </c>
      <c r="K92" s="1041">
        <f>'Recycling - Case 2'!BK102</f>
        <v>0.52010114660257045</v>
      </c>
      <c r="L92" s="1042">
        <f t="shared" si="83"/>
        <v>1</v>
      </c>
      <c r="M92" s="4"/>
      <c r="N92" s="1053">
        <f t="shared" si="50"/>
        <v>6.4719565365860268</v>
      </c>
      <c r="O92" s="1048">
        <f>Parameters!R230</f>
        <v>0.87538461538461509</v>
      </c>
      <c r="P92" s="1049">
        <f>E92*'MSW characteristics'!$B$28+'MSW characteristics'!$B$29*'4A SWD Case 2'!F92+'4A SWD Case 2'!G92*'MSW characteristics'!$B$30+'MSW characteristics'!$B$31*'4A SWD Case 2'!H92+'4A SWD Case 2'!I92*'MSW characteristics'!$B$32+'MSW characteristics'!$B$33*'4A SWD Case 2'!J92+'4A SWD Case 2'!K92*'MSW characteristics'!$B$35</f>
        <v>0.10218609266604936</v>
      </c>
      <c r="Q92" s="1047">
        <f t="shared" si="51"/>
        <v>0.28946515981939158</v>
      </c>
      <c r="R92" s="1047">
        <f t="shared" si="52"/>
        <v>0.28946515981939158</v>
      </c>
      <c r="S92" s="1050">
        <f t="shared" si="53"/>
        <v>0</v>
      </c>
      <c r="T92" s="1047">
        <f t="shared" si="54"/>
        <v>9955.3279657182102</v>
      </c>
      <c r="U92" s="1047">
        <f t="shared" si="55"/>
        <v>510.40573838915901</v>
      </c>
      <c r="V92" s="1054">
        <f t="shared" si="56"/>
        <v>340.27049225943932</v>
      </c>
      <c r="W92" s="4"/>
      <c r="X92" s="1067">
        <f>'Recycling - Case 2'!C142*'Recycling - Case 2'!W142*'Recycling - Case 2'!AE142</f>
        <v>38049.117602452425</v>
      </c>
      <c r="Y92" s="1068">
        <f>Parameters!S229</f>
        <v>0.71500000000000008</v>
      </c>
      <c r="Z92" s="1068">
        <f t="shared" si="57"/>
        <v>0.15</v>
      </c>
      <c r="AA92" s="1069">
        <f t="shared" si="58"/>
        <v>2040.3839314315114</v>
      </c>
      <c r="AB92" s="1069">
        <f t="shared" si="59"/>
        <v>2040.3839314315114</v>
      </c>
      <c r="AC92" s="1070">
        <f t="shared" si="60"/>
        <v>0</v>
      </c>
      <c r="AD92" s="1069">
        <f t="shared" si="61"/>
        <v>54910.663639137929</v>
      </c>
      <c r="AE92" s="1069">
        <f t="shared" si="62"/>
        <v>2710.7172063211633</v>
      </c>
      <c r="AF92" s="1071">
        <f t="shared" si="63"/>
        <v>1807.1448042141089</v>
      </c>
      <c r="AG92" s="4"/>
      <c r="AH92" s="1067">
        <f>'Recycling - Case 2'!C182*'Recycling - Case 2'!W182*'Recycling - Case 2'!AE182</f>
        <v>40426.381000038884</v>
      </c>
      <c r="AI92" s="1068">
        <f>Parameters!S229</f>
        <v>0.71500000000000008</v>
      </c>
      <c r="AJ92" s="1068">
        <f t="shared" si="64"/>
        <v>0.15</v>
      </c>
      <c r="AK92" s="1069">
        <f t="shared" si="65"/>
        <v>2167.8646811270855</v>
      </c>
      <c r="AL92" s="1069">
        <f t="shared" si="66"/>
        <v>2167.8646811270855</v>
      </c>
      <c r="AM92" s="1070">
        <f t="shared" si="67"/>
        <v>0</v>
      </c>
      <c r="AN92" s="1069">
        <f t="shared" si="68"/>
        <v>55289.79015113716</v>
      </c>
      <c r="AO92" s="1069">
        <f t="shared" si="69"/>
        <v>2723.6193604528521</v>
      </c>
      <c r="AP92" s="1071">
        <f t="shared" si="70"/>
        <v>1815.7462403019015</v>
      </c>
      <c r="AQ92" s="4"/>
      <c r="AR92" s="1281">
        <f>'Recycling - Case 2'!G102</f>
        <v>629.79171457903931</v>
      </c>
      <c r="AS92" s="1282">
        <v>1</v>
      </c>
      <c r="AT92" s="1282">
        <f t="shared" si="71"/>
        <v>0.05</v>
      </c>
      <c r="AU92" s="1283">
        <f t="shared" si="72"/>
        <v>15.744792864475983</v>
      </c>
      <c r="AV92" s="1283">
        <f t="shared" si="73"/>
        <v>15.744792864475983</v>
      </c>
      <c r="AW92" s="1284">
        <f t="shared" si="74"/>
        <v>0</v>
      </c>
      <c r="AX92" s="1283">
        <f t="shared" si="42"/>
        <v>178.65801487913626</v>
      </c>
      <c r="AY92" s="1283">
        <f t="shared" si="47"/>
        <v>10.073991035964044</v>
      </c>
      <c r="AZ92" s="1285">
        <f t="shared" si="45"/>
        <v>6.7159940239760294</v>
      </c>
      <c r="BA92" s="4"/>
      <c r="BB92" s="1294">
        <f t="shared" si="75"/>
        <v>340.27049225943932</v>
      </c>
      <c r="BC92" s="1295">
        <f t="shared" si="76"/>
        <v>1807.1448042141089</v>
      </c>
      <c r="BD92" s="1327">
        <f t="shared" si="84"/>
        <v>6.7159940239760294</v>
      </c>
      <c r="BE92" s="1295">
        <f t="shared" si="48"/>
        <v>2154.1312904975243</v>
      </c>
      <c r="BF92" s="167">
        <v>0</v>
      </c>
      <c r="BG92" s="1317">
        <f t="shared" si="77"/>
        <v>2154.1312904975243</v>
      </c>
      <c r="BI92" s="1294">
        <f t="shared" si="78"/>
        <v>340.27049225943932</v>
      </c>
      <c r="BJ92" s="1295">
        <f t="shared" si="79"/>
        <v>1815.7462403019015</v>
      </c>
      <c r="BK92" s="1327">
        <f t="shared" si="80"/>
        <v>6.7159940239760294</v>
      </c>
      <c r="BL92" s="1295">
        <f t="shared" si="49"/>
        <v>2162.7327265853169</v>
      </c>
      <c r="BM92" s="167">
        <v>0</v>
      </c>
      <c r="BN92" s="1317">
        <f t="shared" si="81"/>
        <v>2162.7327265853169</v>
      </c>
    </row>
    <row r="93" spans="1:66">
      <c r="A93" s="1156">
        <f>'Input data'!A123</f>
        <v>2025</v>
      </c>
      <c r="B93" s="1039">
        <f>'Input data'!B123</f>
        <v>62.802999999999997</v>
      </c>
      <c r="C93" s="1130">
        <f>'Recycling - Case 2'!AD103</f>
        <v>0.37427006510771088</v>
      </c>
      <c r="D93" s="1040">
        <f>'Recycling - Case 2'!AM103</f>
        <v>0.30449967805681033</v>
      </c>
      <c r="E93" s="1041">
        <f>'Recycling - Case 2'!BE103</f>
        <v>0.15858345044264952</v>
      </c>
      <c r="F93" s="1041">
        <f>'Recycling - Case 2'!BF103</f>
        <v>0.25685114929023756</v>
      </c>
      <c r="G93" s="1041">
        <f>'Recycling - Case 2'!BG103</f>
        <v>6.8402102456481775E-2</v>
      </c>
      <c r="H93" s="1041">
        <f>'Recycling - Case 2'!BH103</f>
        <v>0</v>
      </c>
      <c r="I93" s="1041">
        <f>'Recycling - Case 2'!BI103</f>
        <v>0</v>
      </c>
      <c r="J93" s="1041">
        <f>'Recycling - Case 2'!BJ103</f>
        <v>0</v>
      </c>
      <c r="K93" s="1041">
        <f>'Recycling - Case 2'!BK103</f>
        <v>0.51616329781063119</v>
      </c>
      <c r="L93" s="1042">
        <f t="shared" si="83"/>
        <v>1</v>
      </c>
      <c r="M93" s="4"/>
      <c r="N93" s="1053">
        <f t="shared" si="50"/>
        <v>7.157351075367437</v>
      </c>
      <c r="O93" s="1048">
        <f>Parameters!R231</f>
        <v>0.89615384615384586</v>
      </c>
      <c r="P93" s="1049">
        <f>E93*'MSW characteristics'!$B$28+'MSW characteristics'!$B$29*'4A SWD Case 2'!F93+'4A SWD Case 2'!G93*'MSW characteristics'!$B$30+'MSW characteristics'!$B$31*'4A SWD Case 2'!H93+'4A SWD Case 2'!I93*'MSW characteristics'!$B$32+'MSW characteristics'!$B$33*'4A SWD Case 2'!J93+'4A SWD Case 2'!K93*'MSW characteristics'!$B$35</f>
        <v>0.10251858840703765</v>
      </c>
      <c r="Q93" s="1047">
        <f t="shared" si="51"/>
        <v>0.32878160817769447</v>
      </c>
      <c r="R93" s="1047">
        <f t="shared" si="52"/>
        <v>0.32878160817769447</v>
      </c>
      <c r="S93" s="1050">
        <f t="shared" si="53"/>
        <v>0</v>
      </c>
      <c r="T93" s="1047">
        <f t="shared" si="54"/>
        <v>9470.1296731541752</v>
      </c>
      <c r="U93" s="1047">
        <f t="shared" si="55"/>
        <v>485.52707417221313</v>
      </c>
      <c r="V93" s="1054">
        <f t="shared" si="56"/>
        <v>323.68471611480874</v>
      </c>
      <c r="W93" s="4"/>
      <c r="X93" s="1067">
        <f>'Recycling - Case 2'!C143*'Recycling - Case 2'!W143*'Recycling - Case 2'!AE143</f>
        <v>37562.686783480669</v>
      </c>
      <c r="Y93" s="1068">
        <f>Parameters!S230</f>
        <v>0.71500000000000008</v>
      </c>
      <c r="Z93" s="1068">
        <f t="shared" si="57"/>
        <v>0.15</v>
      </c>
      <c r="AA93" s="1069">
        <f t="shared" si="58"/>
        <v>2014.2990787641511</v>
      </c>
      <c r="AB93" s="1069">
        <f t="shared" si="59"/>
        <v>2014.2990787641511</v>
      </c>
      <c r="AC93" s="1070">
        <f t="shared" si="60"/>
        <v>0</v>
      </c>
      <c r="AD93" s="1069">
        <f t="shared" si="61"/>
        <v>54246.938051173609</v>
      </c>
      <c r="AE93" s="1069">
        <f t="shared" si="62"/>
        <v>2678.0246667284741</v>
      </c>
      <c r="AF93" s="1071">
        <f t="shared" si="63"/>
        <v>1785.3497778189828</v>
      </c>
      <c r="AG93" s="4"/>
      <c r="AH93" s="1067">
        <f>'Recycling - Case 2'!C183*'Recycling - Case 2'!W183*'Recycling - Case 2'!AE183</f>
        <v>39230.394015940583</v>
      </c>
      <c r="AI93" s="1068">
        <f>Parameters!S230</f>
        <v>0.71500000000000008</v>
      </c>
      <c r="AJ93" s="1068">
        <f t="shared" si="64"/>
        <v>0.15</v>
      </c>
      <c r="AK93" s="1069">
        <f t="shared" si="65"/>
        <v>2103.7298791048138</v>
      </c>
      <c r="AL93" s="1069">
        <f t="shared" si="66"/>
        <v>2103.7298791048138</v>
      </c>
      <c r="AM93" s="1070">
        <f t="shared" si="67"/>
        <v>0</v>
      </c>
      <c r="AN93" s="1069">
        <f t="shared" si="68"/>
        <v>54697.005145336261</v>
      </c>
      <c r="AO93" s="1069">
        <f t="shared" si="69"/>
        <v>2696.5148849057136</v>
      </c>
      <c r="AP93" s="1071">
        <f t="shared" si="70"/>
        <v>1797.6765899371424</v>
      </c>
      <c r="AQ93" s="4"/>
      <c r="AR93" s="1281">
        <f>'Recycling - Case 2'!G103</f>
        <v>648.52588116082893</v>
      </c>
      <c r="AS93" s="1282">
        <v>1</v>
      </c>
      <c r="AT93" s="1282">
        <f t="shared" si="71"/>
        <v>0.05</v>
      </c>
      <c r="AU93" s="1283">
        <f t="shared" si="72"/>
        <v>16.213147029020725</v>
      </c>
      <c r="AV93" s="1283">
        <f t="shared" si="73"/>
        <v>16.213147029020725</v>
      </c>
      <c r="AW93" s="1284">
        <f t="shared" si="74"/>
        <v>0</v>
      </c>
      <c r="AX93" s="1283">
        <f t="shared" si="42"/>
        <v>184.46692908275824</v>
      </c>
      <c r="AY93" s="1283">
        <f t="shared" si="47"/>
        <v>10.404232825398733</v>
      </c>
      <c r="AZ93" s="1285">
        <f t="shared" si="45"/>
        <v>6.9361552169324883</v>
      </c>
      <c r="BA93" s="4"/>
      <c r="BB93" s="1294">
        <f t="shared" si="75"/>
        <v>323.68471611480874</v>
      </c>
      <c r="BC93" s="1295">
        <f t="shared" si="76"/>
        <v>1785.3497778189828</v>
      </c>
      <c r="BD93" s="1327">
        <f t="shared" si="84"/>
        <v>6.9361552169324883</v>
      </c>
      <c r="BE93" s="1295">
        <f t="shared" si="48"/>
        <v>2115.9706491507241</v>
      </c>
      <c r="BF93" s="167">
        <v>0</v>
      </c>
      <c r="BG93" s="1317">
        <f t="shared" si="77"/>
        <v>2115.9706491507241</v>
      </c>
      <c r="BI93" s="1294">
        <f t="shared" si="78"/>
        <v>323.68471611480874</v>
      </c>
      <c r="BJ93" s="1295">
        <f t="shared" si="79"/>
        <v>1797.6765899371424</v>
      </c>
      <c r="BK93" s="1327">
        <f t="shared" si="80"/>
        <v>6.9361552169324883</v>
      </c>
      <c r="BL93" s="1295">
        <f t="shared" si="49"/>
        <v>2128.2974612688836</v>
      </c>
      <c r="BM93" s="167">
        <v>0</v>
      </c>
      <c r="BN93" s="1317">
        <f t="shared" si="81"/>
        <v>2128.2974612688836</v>
      </c>
    </row>
    <row r="94" spans="1:66">
      <c r="A94" s="1156">
        <f>'Input data'!A124</f>
        <v>2026</v>
      </c>
      <c r="B94" s="1039">
        <f>'Input data'!B124</f>
        <v>63.420999999999999</v>
      </c>
      <c r="C94" s="1130">
        <f>'Recycling - Case 2'!AD104</f>
        <v>0.41191491045741591</v>
      </c>
      <c r="D94" s="1040">
        <f>'Recycling - Case 2'!AM104</f>
        <v>0.30028479453416823</v>
      </c>
      <c r="E94" s="1041">
        <f>'Recycling - Case 2'!BE104</f>
        <v>0.16080937324793626</v>
      </c>
      <c r="F94" s="1041">
        <f>'Recycling - Case 2'!BF104</f>
        <v>0.26045638570786744</v>
      </c>
      <c r="G94" s="1041">
        <f>'Recycling - Case 2'!BG104</f>
        <v>6.6619337576194218E-2</v>
      </c>
      <c r="H94" s="1041">
        <f>'Recycling - Case 2'!BH104</f>
        <v>0</v>
      </c>
      <c r="I94" s="1041">
        <f>'Recycling - Case 2'!BI104</f>
        <v>0</v>
      </c>
      <c r="J94" s="1041">
        <f>'Recycling - Case 2'!BJ104</f>
        <v>0</v>
      </c>
      <c r="K94" s="1041">
        <f>'Recycling - Case 2'!BK104</f>
        <v>0.51211490346800204</v>
      </c>
      <c r="L94" s="1042">
        <f t="shared" si="83"/>
        <v>1</v>
      </c>
      <c r="M94" s="4"/>
      <c r="N94" s="1053">
        <f t="shared" si="50"/>
        <v>7.8446566490629257</v>
      </c>
      <c r="O94" s="1048">
        <f>Parameters!R232</f>
        <v>0.91692307692307662</v>
      </c>
      <c r="P94" s="1049">
        <f>E94*'MSW characteristics'!$B$28+'MSW characteristics'!$B$29*'4A SWD Case 2'!F94+'4A SWD Case 2'!G94*'MSW characteristics'!$B$30+'MSW characteristics'!$B$31*'4A SWD Case 2'!H94+'4A SWD Case 2'!I94*'MSW characteristics'!$B$32+'MSW characteristics'!$B$33*'4A SWD Case 2'!J94+'4A SWD Case 2'!K94*'MSW characteristics'!$B$35</f>
        <v>0.10286041815924163</v>
      </c>
      <c r="Q94" s="1047">
        <f t="shared" si="51"/>
        <v>0.36993475330001491</v>
      </c>
      <c r="R94" s="1047">
        <f t="shared" si="52"/>
        <v>0.36993475330001491</v>
      </c>
      <c r="S94" s="1050">
        <f t="shared" si="53"/>
        <v>0</v>
      </c>
      <c r="T94" s="1047">
        <f t="shared" si="54"/>
        <v>9008.6359336948808</v>
      </c>
      <c r="U94" s="1047">
        <f t="shared" si="55"/>
        <v>461.86367421259422</v>
      </c>
      <c r="V94" s="1054">
        <f t="shared" si="56"/>
        <v>307.9091161417295</v>
      </c>
      <c r="W94" s="4"/>
      <c r="X94" s="1067">
        <f>'Recycling - Case 2'!C144*'Recycling - Case 2'!W144*'Recycling - Case 2'!AE144</f>
        <v>36519.627847712531</v>
      </c>
      <c r="Y94" s="1068">
        <f>Parameters!S231</f>
        <v>0.71500000000000008</v>
      </c>
      <c r="Z94" s="1068">
        <f t="shared" si="57"/>
        <v>0.15</v>
      </c>
      <c r="AA94" s="1069">
        <f t="shared" si="58"/>
        <v>1958.3650433335845</v>
      </c>
      <c r="AB94" s="1069">
        <f t="shared" si="59"/>
        <v>1958.3650433335845</v>
      </c>
      <c r="AC94" s="1070">
        <f t="shared" si="60"/>
        <v>0</v>
      </c>
      <c r="AD94" s="1069">
        <f t="shared" si="61"/>
        <v>53559.648706677341</v>
      </c>
      <c r="AE94" s="1069">
        <f t="shared" si="62"/>
        <v>2645.6543878298521</v>
      </c>
      <c r="AF94" s="1071">
        <f t="shared" si="63"/>
        <v>1763.7695918865682</v>
      </c>
      <c r="AG94" s="4"/>
      <c r="AH94" s="1067">
        <f>'Recycling - Case 2'!C184*'Recycling - Case 2'!W184*'Recycling - Case 2'!AE184</f>
        <v>38047.877654269701</v>
      </c>
      <c r="AI94" s="1068">
        <f>Parameters!S231</f>
        <v>0.71500000000000008</v>
      </c>
      <c r="AJ94" s="1068">
        <f t="shared" si="64"/>
        <v>0.15</v>
      </c>
      <c r="AK94" s="1069">
        <f t="shared" si="65"/>
        <v>2040.3174392102128</v>
      </c>
      <c r="AL94" s="1069">
        <f t="shared" si="66"/>
        <v>2040.3174392102128</v>
      </c>
      <c r="AM94" s="1070">
        <f t="shared" si="67"/>
        <v>0</v>
      </c>
      <c r="AN94" s="1069">
        <f t="shared" si="68"/>
        <v>54069.718165521022</v>
      </c>
      <c r="AO94" s="1069">
        <f t="shared" si="69"/>
        <v>2667.6044190254561</v>
      </c>
      <c r="AP94" s="1071">
        <f t="shared" si="70"/>
        <v>1778.4029460169706</v>
      </c>
      <c r="AQ94" s="4"/>
      <c r="AR94" s="1281">
        <f>'Recycling - Case 2'!G104</f>
        <v>666.50208844796612</v>
      </c>
      <c r="AS94" s="1282">
        <v>1</v>
      </c>
      <c r="AT94" s="1282">
        <f t="shared" si="71"/>
        <v>0.05</v>
      </c>
      <c r="AU94" s="1283">
        <f t="shared" si="72"/>
        <v>16.662552211199152</v>
      </c>
      <c r="AV94" s="1283">
        <f t="shared" si="73"/>
        <v>16.662552211199152</v>
      </c>
      <c r="AW94" s="1284">
        <f t="shared" si="74"/>
        <v>0</v>
      </c>
      <c r="AX94" s="1283">
        <f t="shared" si="42"/>
        <v>190.38696364054164</v>
      </c>
      <c r="AY94" s="1283">
        <f t="shared" si="47"/>
        <v>10.74251765341574</v>
      </c>
      <c r="AZ94" s="1285">
        <f t="shared" si="45"/>
        <v>7.1616784356104937</v>
      </c>
      <c r="BA94" s="4"/>
      <c r="BB94" s="1294">
        <f t="shared" si="75"/>
        <v>307.9091161417295</v>
      </c>
      <c r="BC94" s="1295">
        <f t="shared" si="76"/>
        <v>1763.7695918865682</v>
      </c>
      <c r="BD94" s="1327">
        <f t="shared" si="84"/>
        <v>7.1616784356104937</v>
      </c>
      <c r="BE94" s="1295">
        <f t="shared" si="48"/>
        <v>2078.8403864639081</v>
      </c>
      <c r="BF94" s="167">
        <v>0</v>
      </c>
      <c r="BG94" s="1317">
        <f t="shared" si="77"/>
        <v>2078.8403864639081</v>
      </c>
      <c r="BI94" s="1294">
        <f t="shared" si="78"/>
        <v>307.9091161417295</v>
      </c>
      <c r="BJ94" s="1295">
        <f t="shared" si="79"/>
        <v>1778.4029460169706</v>
      </c>
      <c r="BK94" s="1327">
        <f t="shared" si="80"/>
        <v>7.1616784356104937</v>
      </c>
      <c r="BL94" s="1295">
        <f t="shared" si="49"/>
        <v>2093.4737405943106</v>
      </c>
      <c r="BM94" s="167">
        <v>0</v>
      </c>
      <c r="BN94" s="1317">
        <f t="shared" si="81"/>
        <v>2093.4737405943106</v>
      </c>
    </row>
    <row r="95" spans="1:66">
      <c r="A95" s="1156">
        <f>'Input data'!A125</f>
        <v>2027</v>
      </c>
      <c r="B95" s="1039">
        <f>'Input data'!B125</f>
        <v>64.046000000000006</v>
      </c>
      <c r="C95" s="1130">
        <f>'Recycling - Case 2'!AD105</f>
        <v>0.45063158804995024</v>
      </c>
      <c r="D95" s="1040">
        <f>'Recycling - Case 2'!AM105</f>
        <v>0.29606991101152619</v>
      </c>
      <c r="E95" s="1041">
        <f>'Recycling - Case 2'!BE105</f>
        <v>0.16309867301255412</v>
      </c>
      <c r="F95" s="1041">
        <f>'Recycling - Case 2'!BF105</f>
        <v>0.2641642712026695</v>
      </c>
      <c r="G95" s="1041">
        <f>'Recycling - Case 2'!BG105</f>
        <v>6.4785813425618149E-2</v>
      </c>
      <c r="H95" s="1041">
        <f>'Recycling - Case 2'!BH105</f>
        <v>0</v>
      </c>
      <c r="I95" s="1041">
        <f>'Recycling - Case 2'!BI105</f>
        <v>0</v>
      </c>
      <c r="J95" s="1041">
        <f>'Recycling - Case 2'!BJ105</f>
        <v>0</v>
      </c>
      <c r="K95" s="1041">
        <f>'Recycling - Case 2'!BK105</f>
        <v>0.50795124235915801</v>
      </c>
      <c r="L95" s="1042">
        <f t="shared" si="83"/>
        <v>0.99999999999999978</v>
      </c>
      <c r="M95" s="4"/>
      <c r="N95" s="1053">
        <f t="shared" si="50"/>
        <v>8.5449183159595705</v>
      </c>
      <c r="O95" s="1048">
        <f>Parameters!R233</f>
        <v>0.93769230769230727</v>
      </c>
      <c r="P95" s="1049">
        <f>E95*'MSW characteristics'!$B$28+'MSW characteristics'!$B$29*'4A SWD Case 2'!F95+'4A SWD Case 2'!G95*'MSW characteristics'!$B$30+'MSW characteristics'!$B$31*'4A SWD Case 2'!H95+'4A SWD Case 2'!I95*'MSW characteristics'!$B$32+'MSW characteristics'!$B$33*'4A SWD Case 2'!J95+'4A SWD Case 2'!K95*'MSW characteristics'!$B$35</f>
        <v>0.10321198056266428</v>
      </c>
      <c r="Q95" s="1047">
        <f t="shared" si="51"/>
        <v>0.41349321257047633</v>
      </c>
      <c r="R95" s="1047">
        <f t="shared" si="52"/>
        <v>0.41349321257047633</v>
      </c>
      <c r="S95" s="1050">
        <f t="shared" si="53"/>
        <v>0</v>
      </c>
      <c r="T95" s="1047">
        <f t="shared" si="54"/>
        <v>8569.6930679576053</v>
      </c>
      <c r="U95" s="1047">
        <f t="shared" si="55"/>
        <v>439.35635894984688</v>
      </c>
      <c r="V95" s="1054">
        <f t="shared" si="56"/>
        <v>292.90423929989794</v>
      </c>
      <c r="W95" s="4"/>
      <c r="X95" s="1067">
        <f>'Recycling - Case 2'!C145*'Recycling - Case 2'!W145*'Recycling - Case 2'!AE145</f>
        <v>35468.670932693924</v>
      </c>
      <c r="Y95" s="1068">
        <f>Parameters!S232</f>
        <v>0.71500000000000008</v>
      </c>
      <c r="Z95" s="1068">
        <f t="shared" si="57"/>
        <v>0.15</v>
      </c>
      <c r="AA95" s="1069">
        <f t="shared" si="58"/>
        <v>1902.007478765712</v>
      </c>
      <c r="AB95" s="1069">
        <f t="shared" si="59"/>
        <v>1902.007478765712</v>
      </c>
      <c r="AC95" s="1070">
        <f t="shared" si="60"/>
        <v>0</v>
      </c>
      <c r="AD95" s="1069">
        <f t="shared" si="61"/>
        <v>52849.521294478815</v>
      </c>
      <c r="AE95" s="1069">
        <f t="shared" si="62"/>
        <v>2612.134890964242</v>
      </c>
      <c r="AF95" s="1071">
        <f t="shared" si="63"/>
        <v>1741.4232606428279</v>
      </c>
      <c r="AG95" s="4"/>
      <c r="AH95" s="1067">
        <f>'Recycling - Case 2'!C185*'Recycling - Case 2'!W185*'Recycling - Case 2'!AE185</f>
        <v>36864.528522290035</v>
      </c>
      <c r="AI95" s="1068">
        <f>Parameters!S232</f>
        <v>0.71500000000000008</v>
      </c>
      <c r="AJ95" s="1068">
        <f t="shared" si="64"/>
        <v>0.15</v>
      </c>
      <c r="AK95" s="1069">
        <f t="shared" si="65"/>
        <v>1976.8603420078032</v>
      </c>
      <c r="AL95" s="1069">
        <f t="shared" si="66"/>
        <v>1976.8603420078032</v>
      </c>
      <c r="AM95" s="1070">
        <f t="shared" si="67"/>
        <v>0</v>
      </c>
      <c r="AN95" s="1069">
        <f t="shared" si="68"/>
        <v>53409.567235512164</v>
      </c>
      <c r="AO95" s="1069">
        <f t="shared" si="69"/>
        <v>2637.011272016658</v>
      </c>
      <c r="AP95" s="1071">
        <f t="shared" si="70"/>
        <v>1758.007514677772</v>
      </c>
      <c r="AQ95" s="4"/>
      <c r="AR95" s="1281">
        <f>'Recycling - Case 2'!G105</f>
        <v>684.77910312064694</v>
      </c>
      <c r="AS95" s="1282">
        <v>1</v>
      </c>
      <c r="AT95" s="1282">
        <f t="shared" si="71"/>
        <v>0.05</v>
      </c>
      <c r="AU95" s="1283">
        <f t="shared" si="72"/>
        <v>17.119477578016173</v>
      </c>
      <c r="AV95" s="1283">
        <f t="shared" si="73"/>
        <v>17.119477578016173</v>
      </c>
      <c r="AW95" s="1284">
        <f t="shared" si="74"/>
        <v>0</v>
      </c>
      <c r="AX95" s="1283">
        <f t="shared" si="42"/>
        <v>196.41916759147216</v>
      </c>
      <c r="AY95" s="1283">
        <f t="shared" si="47"/>
        <v>11.087273627085622</v>
      </c>
      <c r="AZ95" s="1285">
        <f t="shared" si="45"/>
        <v>7.3915157513904148</v>
      </c>
      <c r="BA95" s="4"/>
      <c r="BB95" s="1294">
        <f t="shared" si="75"/>
        <v>292.90423929989794</v>
      </c>
      <c r="BC95" s="1295">
        <f t="shared" si="76"/>
        <v>1741.4232606428279</v>
      </c>
      <c r="BD95" s="1327">
        <f t="shared" si="84"/>
        <v>7.3915157513904148</v>
      </c>
      <c r="BE95" s="1295">
        <f t="shared" si="48"/>
        <v>2041.7190156941163</v>
      </c>
      <c r="BF95" s="167">
        <v>0</v>
      </c>
      <c r="BG95" s="1317">
        <f t="shared" si="77"/>
        <v>2041.7190156941163</v>
      </c>
      <c r="BI95" s="1294">
        <f t="shared" si="78"/>
        <v>292.90423929989794</v>
      </c>
      <c r="BJ95" s="1295">
        <f t="shared" si="79"/>
        <v>1758.007514677772</v>
      </c>
      <c r="BK95" s="1327">
        <f t="shared" si="80"/>
        <v>7.3915157513904148</v>
      </c>
      <c r="BL95" s="1295">
        <f t="shared" si="49"/>
        <v>2058.30326972906</v>
      </c>
      <c r="BM95" s="167">
        <v>0</v>
      </c>
      <c r="BN95" s="1317">
        <f t="shared" si="81"/>
        <v>2058.30326972906</v>
      </c>
    </row>
    <row r="96" spans="1:66">
      <c r="A96" s="1156">
        <f>'Input data'!A126</f>
        <v>2028</v>
      </c>
      <c r="B96" s="1039">
        <f>'Input data'!B126</f>
        <v>64.676000000000002</v>
      </c>
      <c r="C96" s="1130">
        <f>'Recycling - Case 2'!AD106</f>
        <v>0.49046653513292493</v>
      </c>
      <c r="D96" s="1040">
        <f>'Recycling - Case 2'!AM106</f>
        <v>0.29185502748888414</v>
      </c>
      <c r="E96" s="1041">
        <f>'Recycling - Case 2'!BE106</f>
        <v>0.16545409555010687</v>
      </c>
      <c r="F96" s="1041">
        <f>'Recycling - Case 2'!BF106</f>
        <v>0.267979253056992</v>
      </c>
      <c r="G96" s="1041">
        <f>'Recycling - Case 2'!BG106</f>
        <v>6.2899330853889504E-2</v>
      </c>
      <c r="H96" s="1041">
        <f>'Recycling - Case 2'!BH106</f>
        <v>0</v>
      </c>
      <c r="I96" s="1041">
        <f>'Recycling - Case 2'!BI106</f>
        <v>0</v>
      </c>
      <c r="J96" s="1041">
        <f>'Recycling - Case 2'!BJ106</f>
        <v>0</v>
      </c>
      <c r="K96" s="1041">
        <f>'Recycling - Case 2'!BK106</f>
        <v>0.50366732053901153</v>
      </c>
      <c r="L96" s="1042">
        <f t="shared" si="83"/>
        <v>0.99999999999999989</v>
      </c>
      <c r="M96" s="4"/>
      <c r="N96" s="1053">
        <f t="shared" si="50"/>
        <v>9.2580540458775165</v>
      </c>
      <c r="O96" s="1048">
        <f>Parameters!R234</f>
        <v>0.95846153846153803</v>
      </c>
      <c r="P96" s="1049">
        <f>E96*'MSW characteristics'!$B$28+'MSW characteristics'!$B$29*'4A SWD Case 2'!F96+'4A SWD Case 2'!G96*'MSW characteristics'!$B$30+'MSW characteristics'!$B$31*'4A SWD Case 2'!H96+'4A SWD Case 2'!I96*'MSW characteristics'!$B$32+'MSW characteristics'!$B$33*'4A SWD Case 2'!J96+'4A SWD Case 2'!K96*'MSW characteristics'!$B$35</f>
        <v>0.10357369728547024</v>
      </c>
      <c r="Q96" s="1047">
        <f t="shared" si="51"/>
        <v>0.45953001748134598</v>
      </c>
      <c r="R96" s="1047">
        <f t="shared" si="52"/>
        <v>0.45953001748134598</v>
      </c>
      <c r="S96" s="1050">
        <f t="shared" si="53"/>
        <v>0</v>
      </c>
      <c r="T96" s="1047">
        <f t="shared" si="54"/>
        <v>8152.2037351985527</v>
      </c>
      <c r="U96" s="1047">
        <f t="shared" si="55"/>
        <v>417.9488627765341</v>
      </c>
      <c r="V96" s="1054">
        <f t="shared" si="56"/>
        <v>278.63257518435609</v>
      </c>
      <c r="W96" s="4"/>
      <c r="X96" s="1067">
        <f>'Recycling - Case 2'!C146*'Recycling - Case 2'!W146*'Recycling - Case 2'!AE146</f>
        <v>34415.938213751222</v>
      </c>
      <c r="Y96" s="1068">
        <f>Parameters!S233</f>
        <v>0.71500000000000008</v>
      </c>
      <c r="Z96" s="1068">
        <f t="shared" si="57"/>
        <v>0.15</v>
      </c>
      <c r="AA96" s="1069">
        <f t="shared" si="58"/>
        <v>1845.5546867124094</v>
      </c>
      <c r="AB96" s="1069">
        <f t="shared" si="59"/>
        <v>1845.5546867124094</v>
      </c>
      <c r="AC96" s="1070">
        <f t="shared" si="60"/>
        <v>0</v>
      </c>
      <c r="AD96" s="1069">
        <f t="shared" si="61"/>
        <v>52117.574412797723</v>
      </c>
      <c r="AE96" s="1069">
        <f t="shared" si="62"/>
        <v>2577.5015683935012</v>
      </c>
      <c r="AF96" s="1071">
        <f t="shared" si="63"/>
        <v>1718.3343789290009</v>
      </c>
      <c r="AG96" s="4"/>
      <c r="AH96" s="1067">
        <f>'Recycling - Case 2'!C186*'Recycling - Case 2'!W186*'Recycling - Case 2'!AE186</f>
        <v>35685.230705326125</v>
      </c>
      <c r="AI96" s="1068">
        <f>Parameters!S233</f>
        <v>0.71500000000000008</v>
      </c>
      <c r="AJ96" s="1068">
        <f t="shared" si="64"/>
        <v>0.15</v>
      </c>
      <c r="AK96" s="1069">
        <f t="shared" si="65"/>
        <v>1913.6204965731135</v>
      </c>
      <c r="AL96" s="1069">
        <f t="shared" si="66"/>
        <v>1913.6204965731135</v>
      </c>
      <c r="AM96" s="1070">
        <f t="shared" si="67"/>
        <v>0</v>
      </c>
      <c r="AN96" s="1069">
        <f t="shared" si="68"/>
        <v>52718.372400841545</v>
      </c>
      <c r="AO96" s="1069">
        <f t="shared" si="69"/>
        <v>2604.8153312437371</v>
      </c>
      <c r="AP96" s="1071">
        <f t="shared" si="70"/>
        <v>1736.5435541624913</v>
      </c>
      <c r="AQ96" s="4"/>
      <c r="AR96" s="1281">
        <f>'Recycling - Case 2'!G106</f>
        <v>703.33901475004564</v>
      </c>
      <c r="AS96" s="1282">
        <v>1</v>
      </c>
      <c r="AT96" s="1282">
        <f t="shared" si="71"/>
        <v>0.05</v>
      </c>
      <c r="AU96" s="1283">
        <f t="shared" si="72"/>
        <v>17.583475368751142</v>
      </c>
      <c r="AV96" s="1283">
        <f t="shared" si="73"/>
        <v>17.583475368751142</v>
      </c>
      <c r="AW96" s="1284">
        <f t="shared" si="74"/>
        <v>0</v>
      </c>
      <c r="AX96" s="1283">
        <f t="shared" si="42"/>
        <v>202.5640811225403</v>
      </c>
      <c r="AY96" s="1283">
        <f t="shared" si="47"/>
        <v>11.438561837682999</v>
      </c>
      <c r="AZ96" s="1285">
        <f t="shared" si="45"/>
        <v>7.6257078917886654</v>
      </c>
      <c r="BA96" s="4"/>
      <c r="BB96" s="1294">
        <f t="shared" si="75"/>
        <v>278.63257518435609</v>
      </c>
      <c r="BC96" s="1295">
        <f t="shared" si="76"/>
        <v>1718.3343789290009</v>
      </c>
      <c r="BD96" s="1327">
        <f t="shared" si="84"/>
        <v>7.6257078917886654</v>
      </c>
      <c r="BE96" s="1295">
        <f t="shared" si="48"/>
        <v>2004.5926620051455</v>
      </c>
      <c r="BF96" s="167">
        <v>0</v>
      </c>
      <c r="BG96" s="1317">
        <f t="shared" si="77"/>
        <v>2004.5926620051455</v>
      </c>
      <c r="BI96" s="1294">
        <f t="shared" si="78"/>
        <v>278.63257518435609</v>
      </c>
      <c r="BJ96" s="1295">
        <f t="shared" si="79"/>
        <v>1736.5435541624913</v>
      </c>
      <c r="BK96" s="1327">
        <f t="shared" si="80"/>
        <v>7.6257078917886654</v>
      </c>
      <c r="BL96" s="1295">
        <f t="shared" si="49"/>
        <v>2022.8018372386359</v>
      </c>
      <c r="BM96" s="167">
        <v>0</v>
      </c>
      <c r="BN96" s="1317">
        <f t="shared" si="81"/>
        <v>2022.8018372386359</v>
      </c>
    </row>
    <row r="97" spans="1:66">
      <c r="A97" s="1156">
        <f>'Input data'!A127</f>
        <v>2029</v>
      </c>
      <c r="B97" s="1039">
        <f>'Input data'!B127</f>
        <v>65.313000000000002</v>
      </c>
      <c r="C97" s="1130">
        <f>'Recycling - Case 2'!AD107</f>
        <v>0.53146891079363701</v>
      </c>
      <c r="D97" s="1040">
        <f>'Recycling - Case 2'!AM107</f>
        <v>0.28764014396624216</v>
      </c>
      <c r="E97" s="1041">
        <f>'Recycling - Case 2'!BE107</f>
        <v>0.16787854761535698</v>
      </c>
      <c r="F97" s="1041">
        <f>'Recycling - Case 2'!BF107</f>
        <v>0.27190603922301615</v>
      </c>
      <c r="G97" s="1041">
        <f>'Recycling - Case 2'!BG107</f>
        <v>6.0957561810685137E-2</v>
      </c>
      <c r="H97" s="1041">
        <f>'Recycling - Case 2'!BH107</f>
        <v>0</v>
      </c>
      <c r="I97" s="1041">
        <f>'Recycling - Case 2'!BI107</f>
        <v>0</v>
      </c>
      <c r="J97" s="1041">
        <f>'Recycling - Case 2'!BJ107</f>
        <v>0</v>
      </c>
      <c r="K97" s="1041">
        <f>'Recycling - Case 2'!BK107</f>
        <v>0.49925785135094164</v>
      </c>
      <c r="L97" s="1042">
        <f t="shared" si="83"/>
        <v>1</v>
      </c>
      <c r="M97" s="4"/>
      <c r="N97" s="1053">
        <f t="shared" si="50"/>
        <v>9.9845154824536042</v>
      </c>
      <c r="O97" s="1048">
        <f>Parameters!R235</f>
        <v>0.97923076923076879</v>
      </c>
      <c r="P97" s="1049">
        <f>E97*'MSW characteristics'!$B$28+'MSW characteristics'!$B$29*'4A SWD Case 2'!F97+'4A SWD Case 2'!G97*'MSW characteristics'!$B$30+'MSW characteristics'!$B$31*'4A SWD Case 2'!H97+'4A SWD Case 2'!I97*'MSW characteristics'!$B$32+'MSW characteristics'!$B$33*'4A SWD Case 2'!J97+'4A SWD Case 2'!K97*'MSW characteristics'!$B$35</f>
        <v>0.10394601471118084</v>
      </c>
      <c r="Q97" s="1047">
        <f t="shared" si="51"/>
        <v>0.50814761737425018</v>
      </c>
      <c r="R97" s="1047">
        <f t="shared" si="52"/>
        <v>0.50814761737425018</v>
      </c>
      <c r="S97" s="1050">
        <f t="shared" si="53"/>
        <v>0</v>
      </c>
      <c r="T97" s="1047">
        <f t="shared" si="54"/>
        <v>7755.124215062865</v>
      </c>
      <c r="U97" s="1047">
        <f t="shared" si="55"/>
        <v>397.58766775306225</v>
      </c>
      <c r="V97" s="1054">
        <f t="shared" si="56"/>
        <v>265.05844516870815</v>
      </c>
      <c r="W97" s="4"/>
      <c r="X97" s="1067">
        <f>'Recycling - Case 2'!C147*'Recycling - Case 2'!W147*'Recycling - Case 2'!AE147</f>
        <v>33361.365836242294</v>
      </c>
      <c r="Y97" s="1068">
        <f>Parameters!S234</f>
        <v>0.71500000000000008</v>
      </c>
      <c r="Z97" s="1068">
        <f t="shared" si="57"/>
        <v>0.15</v>
      </c>
      <c r="AA97" s="1069">
        <f t="shared" si="58"/>
        <v>1789.0032429684932</v>
      </c>
      <c r="AB97" s="1069">
        <f t="shared" si="59"/>
        <v>1789.0032429684932</v>
      </c>
      <c r="AC97" s="1070">
        <f t="shared" si="60"/>
        <v>0</v>
      </c>
      <c r="AD97" s="1069">
        <f t="shared" si="61"/>
        <v>51364.773558027213</v>
      </c>
      <c r="AE97" s="1069">
        <f t="shared" si="62"/>
        <v>2541.8040977390069</v>
      </c>
      <c r="AF97" s="1071">
        <f t="shared" si="63"/>
        <v>1694.536065159338</v>
      </c>
      <c r="AG97" s="4"/>
      <c r="AH97" s="1067">
        <f>'Recycling - Case 2'!C187*'Recycling - Case 2'!W187*'Recycling - Case 2'!AE187</f>
        <v>34508.858838095824</v>
      </c>
      <c r="AI97" s="1068">
        <f>Parameters!S234</f>
        <v>0.71500000000000008</v>
      </c>
      <c r="AJ97" s="1068">
        <f t="shared" si="64"/>
        <v>0.15</v>
      </c>
      <c r="AK97" s="1069">
        <f t="shared" si="65"/>
        <v>1850.5375551928887</v>
      </c>
      <c r="AL97" s="1069">
        <f t="shared" si="66"/>
        <v>1850.5375551928887</v>
      </c>
      <c r="AM97" s="1070">
        <f t="shared" si="67"/>
        <v>0</v>
      </c>
      <c r="AN97" s="1069">
        <f t="shared" si="68"/>
        <v>51997.804594659719</v>
      </c>
      <c r="AO97" s="1069">
        <f t="shared" si="69"/>
        <v>2571.1053613747172</v>
      </c>
      <c r="AP97" s="1071">
        <f t="shared" si="70"/>
        <v>1714.070240916478</v>
      </c>
      <c r="AQ97" s="4"/>
      <c r="AR97" s="1281">
        <f>'Recycling - Case 2'!G107</f>
        <v>722.20668086181445</v>
      </c>
      <c r="AS97" s="1282">
        <v>1</v>
      </c>
      <c r="AT97" s="1282">
        <f t="shared" si="71"/>
        <v>0.05</v>
      </c>
      <c r="AU97" s="1283">
        <f t="shared" si="72"/>
        <v>18.055167021545362</v>
      </c>
      <c r="AV97" s="1283">
        <f t="shared" si="73"/>
        <v>18.055167021545362</v>
      </c>
      <c r="AW97" s="1284">
        <f t="shared" si="74"/>
        <v>0</v>
      </c>
      <c r="AX97" s="1283">
        <f t="shared" si="42"/>
        <v>208.82283440083646</v>
      </c>
      <c r="AY97" s="1283">
        <f t="shared" si="47"/>
        <v>11.796413743249214</v>
      </c>
      <c r="AZ97" s="1285">
        <f t="shared" si="45"/>
        <v>7.8642758288328096</v>
      </c>
      <c r="BA97" s="4"/>
      <c r="BB97" s="1294">
        <f t="shared" si="75"/>
        <v>265.05844516870815</v>
      </c>
      <c r="BC97" s="1295">
        <f t="shared" si="76"/>
        <v>1694.536065159338</v>
      </c>
      <c r="BD97" s="1327">
        <f t="shared" si="84"/>
        <v>7.8642758288328096</v>
      </c>
      <c r="BE97" s="1295">
        <f t="shared" si="48"/>
        <v>1967.4587861568791</v>
      </c>
      <c r="BF97" s="167">
        <v>0</v>
      </c>
      <c r="BG97" s="1317">
        <f t="shared" si="77"/>
        <v>1967.4587861568791</v>
      </c>
      <c r="BI97" s="1294">
        <f t="shared" si="78"/>
        <v>265.05844516870815</v>
      </c>
      <c r="BJ97" s="1295">
        <f t="shared" si="79"/>
        <v>1714.070240916478</v>
      </c>
      <c r="BK97" s="1327">
        <f t="shared" si="80"/>
        <v>7.8642758288328096</v>
      </c>
      <c r="BL97" s="1295">
        <f t="shared" si="49"/>
        <v>1986.9929619140191</v>
      </c>
      <c r="BM97" s="167">
        <v>0</v>
      </c>
      <c r="BN97" s="1317">
        <f t="shared" si="81"/>
        <v>1986.9929619140191</v>
      </c>
    </row>
    <row r="98" spans="1:66">
      <c r="A98" s="1156">
        <f>'Input data'!A128</f>
        <v>2030</v>
      </c>
      <c r="B98" s="1039">
        <f>'Input data'!B128</f>
        <v>65.956000000000003</v>
      </c>
      <c r="C98" s="1130">
        <f>'Recycling - Case 2'!AD108</f>
        <v>0.57369079834465153</v>
      </c>
      <c r="D98" s="1040">
        <f>'Recycling - Case 2'!AM108</f>
        <v>0.2834252604436</v>
      </c>
      <c r="E98" s="1041">
        <f>'Recycling - Case 2'!BE108</f>
        <v>0.17037510887119423</v>
      </c>
      <c r="F98" s="1041">
        <f>'Recycling - Case 2'!BF108</f>
        <v>0.2759496177051679</v>
      </c>
      <c r="G98" s="1041">
        <f>'Recycling - Case 2'!BG108</f>
        <v>5.8958039761752561E-2</v>
      </c>
      <c r="H98" s="1041">
        <f>'Recycling - Case 2'!BH108</f>
        <v>0</v>
      </c>
      <c r="I98" s="1041">
        <f>'Recycling - Case 2'!BI108</f>
        <v>0</v>
      </c>
      <c r="J98" s="1041">
        <f>'Recycling - Case 2'!BJ108</f>
        <v>0</v>
      </c>
      <c r="K98" s="1041">
        <f>'Recycling - Case 2'!BK108</f>
        <v>0.49471723366188541</v>
      </c>
      <c r="L98" s="1042">
        <f t="shared" si="83"/>
        <v>1</v>
      </c>
      <c r="M98" s="4"/>
      <c r="N98" s="1053">
        <f t="shared" si="50"/>
        <v>10.724344287292222</v>
      </c>
      <c r="O98" s="1048">
        <f>Parameters!R236</f>
        <v>1</v>
      </c>
      <c r="P98" s="1049">
        <f>E98*'MSW characteristics'!$B$28+'MSW characteristics'!$B$29*'4A SWD Case 2'!F98+'4A SWD Case 2'!G98*'MSW characteristics'!$B$30+'MSW characteristics'!$B$31*'4A SWD Case 2'!H98+'4A SWD Case 2'!I98*'MSW characteristics'!$B$32+'MSW characteristics'!$B$33*'4A SWD Case 2'!J98+'4A SWD Case 2'!K98*'MSW characteristics'!$B$35</f>
        <v>0.10432940577641374</v>
      </c>
      <c r="Q98" s="1047">
        <f t="shared" si="51"/>
        <v>0.55943223341743742</v>
      </c>
      <c r="R98" s="1047">
        <f t="shared" si="52"/>
        <v>0.55943223341743742</v>
      </c>
      <c r="S98" s="1050">
        <f t="shared" si="53"/>
        <v>0</v>
      </c>
      <c r="T98" s="1047">
        <f t="shared" si="54"/>
        <v>7377.4617762592179</v>
      </c>
      <c r="U98" s="1047">
        <f t="shared" si="55"/>
        <v>378.22187103706443</v>
      </c>
      <c r="V98" s="1054">
        <f t="shared" si="56"/>
        <v>252.14791402470962</v>
      </c>
      <c r="W98" s="4"/>
      <c r="X98" s="1067">
        <f>'Recycling - Case 2'!C148*'Recycling - Case 2'!W148*'Recycling - Case 2'!AE148</f>
        <v>32303.056721714362</v>
      </c>
      <c r="Y98" s="1068">
        <f>Parameters!S235</f>
        <v>0.71500000000000008</v>
      </c>
      <c r="Z98" s="1068">
        <f t="shared" si="57"/>
        <v>0.15</v>
      </c>
      <c r="AA98" s="1069">
        <f t="shared" si="58"/>
        <v>1732.2514167019326</v>
      </c>
      <c r="AB98" s="1069">
        <f t="shared" si="59"/>
        <v>1732.2514167019326</v>
      </c>
      <c r="AC98" s="1070">
        <f t="shared" si="60"/>
        <v>0</v>
      </c>
      <c r="AD98" s="1069">
        <f t="shared" si="61"/>
        <v>50591.935407913654</v>
      </c>
      <c r="AE98" s="1069">
        <f t="shared" si="62"/>
        <v>2505.0895668154944</v>
      </c>
      <c r="AF98" s="1071">
        <f t="shared" si="63"/>
        <v>1670.0597112103296</v>
      </c>
      <c r="AG98" s="4"/>
      <c r="AH98" s="1067">
        <f>'Recycling - Case 2'!C188*'Recycling - Case 2'!W188*'Recycling - Case 2'!AE188</f>
        <v>33335.683008266838</v>
      </c>
      <c r="AI98" s="1068">
        <f>Parameters!S235</f>
        <v>0.71500000000000008</v>
      </c>
      <c r="AJ98" s="1068">
        <f t="shared" si="64"/>
        <v>0.15</v>
      </c>
      <c r="AK98" s="1069">
        <f t="shared" si="65"/>
        <v>1787.6260013183094</v>
      </c>
      <c r="AL98" s="1069">
        <f t="shared" si="66"/>
        <v>1787.6260013183094</v>
      </c>
      <c r="AM98" s="1070">
        <f t="shared" si="67"/>
        <v>0</v>
      </c>
      <c r="AN98" s="1069">
        <f t="shared" si="68"/>
        <v>51249.467741197062</v>
      </c>
      <c r="AO98" s="1069">
        <f t="shared" si="69"/>
        <v>2535.9628547809716</v>
      </c>
      <c r="AP98" s="1071">
        <f t="shared" si="70"/>
        <v>1690.6419031873145</v>
      </c>
      <c r="AQ98" s="4"/>
      <c r="AR98" s="1281">
        <f>'Recycling - Case 2'!G108</f>
        <v>741.37470019741022</v>
      </c>
      <c r="AS98" s="1282">
        <v>1</v>
      </c>
      <c r="AT98" s="1282">
        <f t="shared" si="71"/>
        <v>0.05</v>
      </c>
      <c r="AU98" s="1283">
        <f t="shared" si="72"/>
        <v>18.534367504935258</v>
      </c>
      <c r="AV98" s="1283">
        <f t="shared" si="73"/>
        <v>18.534367504935258</v>
      </c>
      <c r="AW98" s="1284">
        <f t="shared" si="74"/>
        <v>0</v>
      </c>
      <c r="AX98" s="1283">
        <f t="shared" si="42"/>
        <v>215.1963067461798</v>
      </c>
      <c r="AY98" s="1283">
        <f t="shared" si="47"/>
        <v>12.160895159591902</v>
      </c>
      <c r="AZ98" s="1285">
        <f t="shared" si="45"/>
        <v>8.1072634397279355</v>
      </c>
      <c r="BA98" s="4"/>
      <c r="BB98" s="1294">
        <f t="shared" si="75"/>
        <v>252.14791402470962</v>
      </c>
      <c r="BC98" s="1295">
        <f t="shared" si="76"/>
        <v>1670.0597112103296</v>
      </c>
      <c r="BD98" s="1327">
        <f t="shared" si="84"/>
        <v>8.1072634397279355</v>
      </c>
      <c r="BE98" s="1295">
        <f t="shared" si="48"/>
        <v>1930.3148886747672</v>
      </c>
      <c r="BF98" s="167">
        <v>0</v>
      </c>
      <c r="BG98" s="1317">
        <f t="shared" si="77"/>
        <v>1930.3148886747672</v>
      </c>
      <c r="BI98" s="1294">
        <f t="shared" si="78"/>
        <v>252.14791402470962</v>
      </c>
      <c r="BJ98" s="1295">
        <f t="shared" si="79"/>
        <v>1690.6419031873145</v>
      </c>
      <c r="BK98" s="1327">
        <f t="shared" si="80"/>
        <v>8.1072634397279355</v>
      </c>
      <c r="BL98" s="1295">
        <f t="shared" si="49"/>
        <v>1950.8970806517518</v>
      </c>
      <c r="BM98" s="167">
        <v>0</v>
      </c>
      <c r="BN98" s="1317">
        <f t="shared" si="81"/>
        <v>1950.8970806517518</v>
      </c>
    </row>
    <row r="99" spans="1:66">
      <c r="A99" s="1156">
        <f>'Input data'!A129</f>
        <v>2031</v>
      </c>
      <c r="B99" s="1039">
        <f>'Input data'!B129</f>
        <v>66.519000000000005</v>
      </c>
      <c r="C99" s="1130">
        <f>'Recycling - Case 2'!AD109</f>
        <v>0.62288032161257645</v>
      </c>
      <c r="D99" s="1040">
        <f>'Recycling - Case 2'!AM109</f>
        <v>0.28342526044359995</v>
      </c>
      <c r="E99" s="1041">
        <f>'Recycling - Case 2'!BE109</f>
        <v>0.1703751088711942</v>
      </c>
      <c r="F99" s="1041">
        <f>'Recycling - Case 2'!BF109</f>
        <v>0.2759496177051679</v>
      </c>
      <c r="G99" s="1041">
        <f>'Recycling - Case 2'!BG109</f>
        <v>5.8958039761752561E-2</v>
      </c>
      <c r="H99" s="1041">
        <f>'Recycling - Case 2'!BH109</f>
        <v>0</v>
      </c>
      <c r="I99" s="1041">
        <f>'Recycling - Case 2'!BI109</f>
        <v>0</v>
      </c>
      <c r="J99" s="1041">
        <f>'Recycling - Case 2'!BJ109</f>
        <v>0</v>
      </c>
      <c r="K99" s="1041">
        <f>'Recycling - Case 2'!BK109</f>
        <v>0.49471723366188547</v>
      </c>
      <c r="L99" s="1042">
        <f t="shared" si="83"/>
        <v>1</v>
      </c>
      <c r="M99" s="4"/>
      <c r="N99" s="1053">
        <f t="shared" si="50"/>
        <v>11.743265415982998</v>
      </c>
      <c r="O99" s="1048">
        <f>Parameters!R237</f>
        <v>1</v>
      </c>
      <c r="P99" s="1049">
        <f>E99*'MSW characteristics'!$B$28+'MSW characteristics'!$B$29*'4A SWD Case 2'!F99+'4A SWD Case 2'!G99*'MSW characteristics'!$B$30+'MSW characteristics'!$B$31*'4A SWD Case 2'!H99+'4A SWD Case 2'!I99*'MSW characteristics'!$B$32+'MSW characteristics'!$B$33*'4A SWD Case 2'!J99+'4A SWD Case 2'!K99*'MSW characteristics'!$B$35</f>
        <v>0.10432940577641374</v>
      </c>
      <c r="Q99" s="1047">
        <f t="shared" si="51"/>
        <v>0.61258395136210819</v>
      </c>
      <c r="R99" s="1047">
        <f t="shared" si="52"/>
        <v>0.61258395136210819</v>
      </c>
      <c r="S99" s="1050">
        <f t="shared" si="53"/>
        <v>0</v>
      </c>
      <c r="T99" s="1047">
        <f t="shared" si="54"/>
        <v>7018.2713036584337</v>
      </c>
      <c r="U99" s="1047">
        <f t="shared" si="55"/>
        <v>359.80305655214664</v>
      </c>
      <c r="V99" s="1054">
        <f t="shared" si="56"/>
        <v>239.86870436809775</v>
      </c>
      <c r="W99" s="4"/>
      <c r="X99" s="1067">
        <f>'Recycling - Case 2'!C149*'Recycling - Case 2'!W149*'Recycling - Case 2'!AE149</f>
        <v>31290.393392224916</v>
      </c>
      <c r="Y99" s="1068">
        <f>Parameters!S236</f>
        <v>0.71500000000000008</v>
      </c>
      <c r="Z99" s="1068">
        <f t="shared" si="57"/>
        <v>0.15</v>
      </c>
      <c r="AA99" s="1069">
        <f t="shared" si="58"/>
        <v>1677.9473456580613</v>
      </c>
      <c r="AB99" s="1069">
        <f t="shared" si="59"/>
        <v>1677.9473456580613</v>
      </c>
      <c r="AC99" s="1070">
        <f t="shared" si="60"/>
        <v>0</v>
      </c>
      <c r="AD99" s="1069">
        <f t="shared" si="61"/>
        <v>49802.484948105062</v>
      </c>
      <c r="AE99" s="1069">
        <f t="shared" si="62"/>
        <v>2467.3978054666527</v>
      </c>
      <c r="AF99" s="1071">
        <f t="shared" si="63"/>
        <v>1644.9318703111019</v>
      </c>
      <c r="AG99" s="4"/>
      <c r="AH99" s="1067">
        <f>'Recycling - Case 2'!C189*'Recycling - Case 2'!W189*'Recycling - Case 2'!AE189</f>
        <v>33449.243618889304</v>
      </c>
      <c r="AI99" s="1068">
        <f>Parameters!S236</f>
        <v>0.71500000000000008</v>
      </c>
      <c r="AJ99" s="1068">
        <f t="shared" si="64"/>
        <v>0.15</v>
      </c>
      <c r="AK99" s="1069">
        <f t="shared" si="65"/>
        <v>1793.7156890629392</v>
      </c>
      <c r="AL99" s="1069">
        <f t="shared" si="66"/>
        <v>1793.7156890629392</v>
      </c>
      <c r="AM99" s="1070">
        <f t="shared" si="67"/>
        <v>0</v>
      </c>
      <c r="AN99" s="1069">
        <f t="shared" si="68"/>
        <v>50543.717394489729</v>
      </c>
      <c r="AO99" s="1069">
        <f t="shared" si="69"/>
        <v>2499.4660357702728</v>
      </c>
      <c r="AP99" s="1071">
        <f t="shared" si="70"/>
        <v>1666.3106905135153</v>
      </c>
      <c r="AQ99" s="4"/>
      <c r="AR99" s="1281">
        <f>'Recycling - Case 2'!G109</f>
        <v>747.70306996227077</v>
      </c>
      <c r="AS99" s="1282">
        <v>1</v>
      </c>
      <c r="AT99" s="1282">
        <f t="shared" si="71"/>
        <v>0.05</v>
      </c>
      <c r="AU99" s="1283">
        <f t="shared" si="72"/>
        <v>18.692576749056769</v>
      </c>
      <c r="AV99" s="1283">
        <f t="shared" si="73"/>
        <v>18.692576749056769</v>
      </c>
      <c r="AW99" s="1284">
        <f t="shared" si="74"/>
        <v>0</v>
      </c>
      <c r="AX99" s="1283">
        <f t="shared" si="42"/>
        <v>221.3568262009257</v>
      </c>
      <c r="AY99" s="1283">
        <f t="shared" si="47"/>
        <v>12.532057294310864</v>
      </c>
      <c r="AZ99" s="1285">
        <f t="shared" si="45"/>
        <v>8.3547048628739091</v>
      </c>
      <c r="BA99" s="4"/>
      <c r="BB99" s="1294">
        <f t="shared" si="75"/>
        <v>239.86870436809775</v>
      </c>
      <c r="BC99" s="1295">
        <f t="shared" si="76"/>
        <v>1644.9318703111019</v>
      </c>
      <c r="BD99" s="1327">
        <f t="shared" si="84"/>
        <v>8.3547048628739091</v>
      </c>
      <c r="BE99" s="1295">
        <f t="shared" si="48"/>
        <v>1893.1552795420735</v>
      </c>
      <c r="BF99" s="167">
        <v>0</v>
      </c>
      <c r="BG99" s="1317">
        <f t="shared" si="77"/>
        <v>1893.1552795420735</v>
      </c>
      <c r="BI99" s="1294">
        <f t="shared" si="78"/>
        <v>239.86870436809775</v>
      </c>
      <c r="BJ99" s="1295">
        <f t="shared" si="79"/>
        <v>1666.3106905135153</v>
      </c>
      <c r="BK99" s="1327">
        <f t="shared" si="80"/>
        <v>8.3547048628739091</v>
      </c>
      <c r="BL99" s="1295">
        <f t="shared" si="49"/>
        <v>1914.5340997444869</v>
      </c>
      <c r="BM99" s="167">
        <v>0</v>
      </c>
      <c r="BN99" s="1317">
        <f t="shared" si="81"/>
        <v>1914.5340997444869</v>
      </c>
    </row>
    <row r="100" spans="1:66">
      <c r="A100" s="1156">
        <f>'Input data'!A130</f>
        <v>2032</v>
      </c>
      <c r="B100" s="1039">
        <f>'Input data'!B130</f>
        <v>67.087000000000003</v>
      </c>
      <c r="C100" s="1130">
        <f>'Recycling - Case 2'!AD110</f>
        <v>0.67206984488050125</v>
      </c>
      <c r="D100" s="1040">
        <f>'Recycling - Case 2'!AM110</f>
        <v>0.2834252604436</v>
      </c>
      <c r="E100" s="1041">
        <f>'Recycling - Case 2'!BE110</f>
        <v>0.17037510887119423</v>
      </c>
      <c r="F100" s="1041">
        <f>'Recycling - Case 2'!BF110</f>
        <v>0.2759496177051679</v>
      </c>
      <c r="G100" s="1041">
        <f>'Recycling - Case 2'!BG110</f>
        <v>5.8958039761752561E-2</v>
      </c>
      <c r="H100" s="1041">
        <f>'Recycling - Case 2'!BH110</f>
        <v>0</v>
      </c>
      <c r="I100" s="1041">
        <f>'Recycling - Case 2'!BI110</f>
        <v>0</v>
      </c>
      <c r="J100" s="1041">
        <f>'Recycling - Case 2'!BJ110</f>
        <v>0</v>
      </c>
      <c r="K100" s="1041">
        <f>'Recycling - Case 2'!BK110</f>
        <v>0.49471723366188552</v>
      </c>
      <c r="L100" s="1042">
        <f t="shared" si="83"/>
        <v>1.0000000000000002</v>
      </c>
      <c r="M100" s="4"/>
      <c r="N100" s="1053">
        <f t="shared" si="50"/>
        <v>12.778837141705052</v>
      </c>
      <c r="O100" s="1048">
        <f>Parameters!R238</f>
        <v>1</v>
      </c>
      <c r="P100" s="1049">
        <f>E100*'MSW characteristics'!$B$28+'MSW characteristics'!$B$29*'4A SWD Case 2'!F100+'4A SWD Case 2'!G100*'MSW characteristics'!$B$30+'MSW characteristics'!$B$31*'4A SWD Case 2'!H100+'4A SWD Case 2'!I100*'MSW characteristics'!$B$32+'MSW characteristics'!$B$33*'4A SWD Case 2'!J100+'4A SWD Case 2'!K100*'MSW characteristics'!$B$35</f>
        <v>0.10432940577641374</v>
      </c>
      <c r="Q100" s="1047">
        <f t="shared" si="51"/>
        <v>0.66660424275382679</v>
      </c>
      <c r="R100" s="1047">
        <f t="shared" si="52"/>
        <v>0.66660424275382679</v>
      </c>
      <c r="S100" s="1050">
        <f t="shared" si="53"/>
        <v>0</v>
      </c>
      <c r="T100" s="1047">
        <f t="shared" si="54"/>
        <v>6676.6527774116421</v>
      </c>
      <c r="U100" s="1047">
        <f t="shared" si="55"/>
        <v>342.28513048954591</v>
      </c>
      <c r="V100" s="1054">
        <f t="shared" si="56"/>
        <v>228.1900869930306</v>
      </c>
      <c r="W100" s="4"/>
      <c r="X100" s="1067">
        <f>'Recycling - Case 2'!C150*'Recycling - Case 2'!W150*'Recycling - Case 2'!AE150</f>
        <v>30270.361099698912</v>
      </c>
      <c r="Y100" s="1068">
        <f>Parameters!S237</f>
        <v>0.71500000000000008</v>
      </c>
      <c r="Z100" s="1068">
        <f t="shared" si="57"/>
        <v>0.15</v>
      </c>
      <c r="AA100" s="1069">
        <f t="shared" si="58"/>
        <v>1623.2481139713543</v>
      </c>
      <c r="AB100" s="1069">
        <f t="shared" si="59"/>
        <v>1623.2481139713543</v>
      </c>
      <c r="AC100" s="1070">
        <f t="shared" si="60"/>
        <v>0</v>
      </c>
      <c r="AD100" s="1069">
        <f t="shared" si="61"/>
        <v>48996.83720986281</v>
      </c>
      <c r="AE100" s="1069">
        <f t="shared" si="62"/>
        <v>2428.8958522136118</v>
      </c>
      <c r="AF100" s="1071">
        <f t="shared" si="63"/>
        <v>1619.2639014757412</v>
      </c>
      <c r="AG100" s="4"/>
      <c r="AH100" s="1067">
        <f>'Recycling - Case 2'!C190*'Recycling - Case 2'!W190*'Recycling - Case 2'!AE190</f>
        <v>33557.469998074353</v>
      </c>
      <c r="AI100" s="1068">
        <f>Parameters!S237</f>
        <v>0.71500000000000008</v>
      </c>
      <c r="AJ100" s="1068">
        <f t="shared" si="64"/>
        <v>0.15</v>
      </c>
      <c r="AK100" s="1069">
        <f t="shared" si="65"/>
        <v>1799.5193286467372</v>
      </c>
      <c r="AL100" s="1069">
        <f t="shared" si="66"/>
        <v>1799.5193286467372</v>
      </c>
      <c r="AM100" s="1070">
        <f t="shared" si="67"/>
        <v>0</v>
      </c>
      <c r="AN100" s="1069">
        <f t="shared" si="68"/>
        <v>49878.190537933937</v>
      </c>
      <c r="AO100" s="1069">
        <f t="shared" si="69"/>
        <v>2465.0461852025355</v>
      </c>
      <c r="AP100" s="1071">
        <f t="shared" si="70"/>
        <v>1643.3641234683571</v>
      </c>
      <c r="AQ100" s="4"/>
      <c r="AR100" s="1281">
        <f>'Recycling - Case 2'!G110</f>
        <v>754.08764194529181</v>
      </c>
      <c r="AS100" s="1282">
        <v>1</v>
      </c>
      <c r="AT100" s="1282">
        <f t="shared" si="71"/>
        <v>0.05</v>
      </c>
      <c r="AU100" s="1283">
        <f t="shared" si="72"/>
        <v>18.852191048632296</v>
      </c>
      <c r="AV100" s="1283">
        <f t="shared" si="73"/>
        <v>18.852191048632296</v>
      </c>
      <c r="AW100" s="1284">
        <f t="shared" si="74"/>
        <v>0</v>
      </c>
      <c r="AX100" s="1283">
        <f t="shared" si="42"/>
        <v>227.31819923143669</v>
      </c>
      <c r="AY100" s="1283">
        <f t="shared" si="47"/>
        <v>12.890818018121301</v>
      </c>
      <c r="AZ100" s="1285">
        <f t="shared" si="45"/>
        <v>8.5938786787475347</v>
      </c>
      <c r="BA100" s="4"/>
      <c r="BB100" s="1294">
        <f t="shared" si="75"/>
        <v>228.1900869930306</v>
      </c>
      <c r="BC100" s="1295">
        <f t="shared" si="76"/>
        <v>1619.2639014757412</v>
      </c>
      <c r="BD100" s="1327">
        <f t="shared" si="84"/>
        <v>8.5938786787475347</v>
      </c>
      <c r="BE100" s="1295">
        <f t="shared" si="48"/>
        <v>1856.0478671475196</v>
      </c>
      <c r="BF100" s="167">
        <v>0</v>
      </c>
      <c r="BG100" s="1317">
        <f t="shared" si="77"/>
        <v>1856.0478671475196</v>
      </c>
      <c r="BI100" s="1294">
        <f t="shared" si="78"/>
        <v>228.1900869930306</v>
      </c>
      <c r="BJ100" s="1295">
        <f t="shared" si="79"/>
        <v>1643.3641234683571</v>
      </c>
      <c r="BK100" s="1327">
        <f t="shared" si="80"/>
        <v>8.5938786787475347</v>
      </c>
      <c r="BL100" s="1295">
        <f t="shared" si="49"/>
        <v>1880.1480891401354</v>
      </c>
      <c r="BM100" s="167">
        <v>0</v>
      </c>
      <c r="BN100" s="1317">
        <f t="shared" si="81"/>
        <v>1880.1480891401354</v>
      </c>
    </row>
    <row r="101" spans="1:66">
      <c r="A101" s="1156">
        <f>'Input data'!A131</f>
        <v>2033</v>
      </c>
      <c r="B101" s="1039">
        <f>'Input data'!B131</f>
        <v>67.659000000000006</v>
      </c>
      <c r="C101" s="1130">
        <f>'Recycling - Case 2'!AD111</f>
        <v>0.67206984488050125</v>
      </c>
      <c r="D101" s="1040">
        <f>'Recycling - Case 2'!AM111</f>
        <v>0.2834252604436</v>
      </c>
      <c r="E101" s="1041">
        <f>'Recycling - Case 2'!BE111</f>
        <v>0.17037510887119423</v>
      </c>
      <c r="F101" s="1041">
        <f>'Recycling - Case 2'!BF111</f>
        <v>0.2759496177051679</v>
      </c>
      <c r="G101" s="1041">
        <f>'Recycling - Case 2'!BG111</f>
        <v>5.8958039761752561E-2</v>
      </c>
      <c r="H101" s="1041">
        <f>'Recycling - Case 2'!BH111</f>
        <v>0</v>
      </c>
      <c r="I101" s="1041">
        <f>'Recycling - Case 2'!BI111</f>
        <v>0</v>
      </c>
      <c r="J101" s="1041">
        <f>'Recycling - Case 2'!BJ111</f>
        <v>0</v>
      </c>
      <c r="K101" s="1041">
        <f>'Recycling - Case 2'!BK111</f>
        <v>0.49471723366188552</v>
      </c>
      <c r="L101" s="1042">
        <f t="shared" si="83"/>
        <v>1.0000000000000002</v>
      </c>
      <c r="M101" s="4"/>
      <c r="N101" s="1053">
        <f t="shared" si="50"/>
        <v>12.887792600214977</v>
      </c>
      <c r="O101" s="1048">
        <f>Parameters!R239</f>
        <v>1</v>
      </c>
      <c r="P101" s="1049">
        <f>E101*'MSW characteristics'!$B$28+'MSW characteristics'!$B$29*'4A SWD Case 2'!F101+'4A SWD Case 2'!G101*'MSW characteristics'!$B$30+'MSW characteristics'!$B$31*'4A SWD Case 2'!H101+'4A SWD Case 2'!I101*'MSW characteristics'!$B$32+'MSW characteristics'!$B$33*'4A SWD Case 2'!J101+'4A SWD Case 2'!K101*'MSW characteristics'!$B$35</f>
        <v>0.10432940577641374</v>
      </c>
      <c r="Q101" s="1047">
        <f t="shared" si="51"/>
        <v>0.67228787187504535</v>
      </c>
      <c r="R101" s="1047">
        <f t="shared" si="52"/>
        <v>0.67228787187504535</v>
      </c>
      <c r="S101" s="1050">
        <f t="shared" si="53"/>
        <v>0</v>
      </c>
      <c r="T101" s="1047">
        <f t="shared" si="54"/>
        <v>6351.7008669202451</v>
      </c>
      <c r="U101" s="1047">
        <f t="shared" si="55"/>
        <v>325.62419836327194</v>
      </c>
      <c r="V101" s="1054">
        <f t="shared" si="56"/>
        <v>217.08279890884796</v>
      </c>
      <c r="W101" s="4"/>
      <c r="X101" s="1067">
        <f>'Recycling - Case 2'!C151*'Recycling - Case 2'!W151*'Recycling - Case 2'!AE151</f>
        <v>29263.320059574631</v>
      </c>
      <c r="Y101" s="1068">
        <f>Parameters!S238</f>
        <v>0.71500000000000008</v>
      </c>
      <c r="Z101" s="1068">
        <f t="shared" si="57"/>
        <v>0.15</v>
      </c>
      <c r="AA101" s="1069">
        <f t="shared" si="58"/>
        <v>1569.2455381946897</v>
      </c>
      <c r="AB101" s="1069">
        <f t="shared" si="59"/>
        <v>1569.2455381946897</v>
      </c>
      <c r="AC101" s="1070">
        <f t="shared" si="60"/>
        <v>0</v>
      </c>
      <c r="AD101" s="1069">
        <f t="shared" si="61"/>
        <v>48176.478799687662</v>
      </c>
      <c r="AE101" s="1069">
        <f t="shared" si="62"/>
        <v>2389.6039483698391</v>
      </c>
      <c r="AF101" s="1071">
        <f t="shared" si="63"/>
        <v>1593.069298913226</v>
      </c>
      <c r="AG101" s="4"/>
      <c r="AH101" s="1067">
        <f>'Recycling - Case 2'!C191*'Recycling - Case 2'!W191*'Recycling - Case 2'!AE191</f>
        <v>33677.670263861553</v>
      </c>
      <c r="AI101" s="1068">
        <f>Parameters!S238</f>
        <v>0.71500000000000008</v>
      </c>
      <c r="AJ101" s="1068">
        <f t="shared" si="64"/>
        <v>0.15</v>
      </c>
      <c r="AK101" s="1069">
        <f t="shared" si="65"/>
        <v>1805.9650678995758</v>
      </c>
      <c r="AL101" s="1069">
        <f t="shared" si="66"/>
        <v>1805.9650678995758</v>
      </c>
      <c r="AM101" s="1070">
        <f t="shared" si="67"/>
        <v>0</v>
      </c>
      <c r="AN101" s="1069">
        <f t="shared" si="68"/>
        <v>49251.567548435436</v>
      </c>
      <c r="AO101" s="1069">
        <f t="shared" si="69"/>
        <v>2432.5880573980789</v>
      </c>
      <c r="AP101" s="1071">
        <f t="shared" si="70"/>
        <v>1621.7253715987192</v>
      </c>
      <c r="AQ101" s="4"/>
      <c r="AR101" s="1281">
        <f>'Recycling - Case 2'!G111</f>
        <v>760.51717570284097</v>
      </c>
      <c r="AS101" s="1282">
        <v>1</v>
      </c>
      <c r="AT101" s="1282">
        <f t="shared" si="71"/>
        <v>0.05</v>
      </c>
      <c r="AU101" s="1283">
        <f t="shared" si="72"/>
        <v>19.012929392571024</v>
      </c>
      <c r="AV101" s="1283">
        <f t="shared" si="73"/>
        <v>19.012929392571024</v>
      </c>
      <c r="AW101" s="1284">
        <f t="shared" si="74"/>
        <v>0</v>
      </c>
      <c r="AX101" s="1283">
        <f t="shared" si="42"/>
        <v>233.0931472669763</v>
      </c>
      <c r="AY101" s="1283">
        <f t="shared" si="47"/>
        <v>13.237981357031391</v>
      </c>
      <c r="AZ101" s="1285">
        <f t="shared" si="45"/>
        <v>8.8253209046875938</v>
      </c>
      <c r="BA101" s="4"/>
      <c r="BB101" s="1294">
        <f t="shared" si="75"/>
        <v>217.08279890884796</v>
      </c>
      <c r="BC101" s="1295">
        <f t="shared" si="76"/>
        <v>1593.069298913226</v>
      </c>
      <c r="BD101" s="1327">
        <f t="shared" si="84"/>
        <v>8.8253209046875938</v>
      </c>
      <c r="BE101" s="1295">
        <f t="shared" si="48"/>
        <v>1818.9774187267615</v>
      </c>
      <c r="BF101" s="167">
        <v>0</v>
      </c>
      <c r="BG101" s="1317">
        <f t="shared" si="77"/>
        <v>1818.9774187267615</v>
      </c>
      <c r="BI101" s="1294">
        <f t="shared" si="78"/>
        <v>217.08279890884796</v>
      </c>
      <c r="BJ101" s="1295">
        <f t="shared" si="79"/>
        <v>1621.7253715987192</v>
      </c>
      <c r="BK101" s="1327">
        <f t="shared" si="80"/>
        <v>8.8253209046875938</v>
      </c>
      <c r="BL101" s="1295">
        <f t="shared" si="49"/>
        <v>1847.6334914122547</v>
      </c>
      <c r="BM101" s="167">
        <v>0</v>
      </c>
      <c r="BN101" s="1317">
        <f t="shared" si="81"/>
        <v>1847.6334914122547</v>
      </c>
    </row>
    <row r="102" spans="1:66">
      <c r="A102" s="1156">
        <f>'Input data'!A132</f>
        <v>2034</v>
      </c>
      <c r="B102" s="1039">
        <f>'Input data'!B132</f>
        <v>68.236999999999995</v>
      </c>
      <c r="C102" s="1130">
        <f>'Recycling - Case 2'!AD112</f>
        <v>0.67206984488050125</v>
      </c>
      <c r="D102" s="1040">
        <f>'Recycling - Case 2'!AM112</f>
        <v>0.2834252604436</v>
      </c>
      <c r="E102" s="1041">
        <f>'Recycling - Case 2'!BE112</f>
        <v>0.17037510887119423</v>
      </c>
      <c r="F102" s="1041">
        <f>'Recycling - Case 2'!BF112</f>
        <v>0.2759496177051679</v>
      </c>
      <c r="G102" s="1041">
        <f>'Recycling - Case 2'!BG112</f>
        <v>5.8958039761752561E-2</v>
      </c>
      <c r="H102" s="1041">
        <f>'Recycling - Case 2'!BH112</f>
        <v>0</v>
      </c>
      <c r="I102" s="1041">
        <f>'Recycling - Case 2'!BI112</f>
        <v>0</v>
      </c>
      <c r="J102" s="1041">
        <f>'Recycling - Case 2'!BJ112</f>
        <v>0</v>
      </c>
      <c r="K102" s="1041">
        <f>'Recycling - Case 2'!BK112</f>
        <v>0.49471723366188552</v>
      </c>
      <c r="L102" s="1042">
        <f t="shared" si="83"/>
        <v>1.0000000000000002</v>
      </c>
      <c r="M102" s="4"/>
      <c r="N102" s="1053">
        <f t="shared" si="50"/>
        <v>12.997890948149827</v>
      </c>
      <c r="O102" s="1048">
        <f>Parameters!R240</f>
        <v>1</v>
      </c>
      <c r="P102" s="1049">
        <f>E102*'MSW characteristics'!$B$28+'MSW characteristics'!$B$29*'4A SWD Case 2'!F102+'4A SWD Case 2'!G102*'MSW characteristics'!$B$30+'MSW characteristics'!$B$31*'4A SWD Case 2'!H102+'4A SWD Case 2'!I102*'MSW characteristics'!$B$32+'MSW characteristics'!$B$33*'4A SWD Case 2'!J102+'4A SWD Case 2'!K102*'MSW characteristics'!$B$35</f>
        <v>0.10432940577641374</v>
      </c>
      <c r="Q102" s="1047">
        <f t="shared" si="51"/>
        <v>0.67803111948354922</v>
      </c>
      <c r="R102" s="1047">
        <f t="shared" si="52"/>
        <v>0.67803111948354922</v>
      </c>
      <c r="S102" s="1050">
        <f t="shared" si="53"/>
        <v>0</v>
      </c>
      <c r="T102" s="1047">
        <f t="shared" si="54"/>
        <v>6042.602791360714</v>
      </c>
      <c r="U102" s="1047">
        <f t="shared" si="55"/>
        <v>309.77610667901405</v>
      </c>
      <c r="V102" s="1054">
        <f t="shared" si="56"/>
        <v>206.51740445267603</v>
      </c>
      <c r="W102" s="4"/>
      <c r="X102" s="1067">
        <f>'Recycling - Case 2'!C152*'Recycling - Case 2'!W152*'Recycling - Case 2'!AE152</f>
        <v>28264.606722538312</v>
      </c>
      <c r="Y102" s="1068">
        <f>Parameters!S239</f>
        <v>0.71500000000000008</v>
      </c>
      <c r="Z102" s="1068">
        <f t="shared" si="57"/>
        <v>0.15</v>
      </c>
      <c r="AA102" s="1069">
        <f t="shared" si="58"/>
        <v>1515.6895354961173</v>
      </c>
      <c r="AB102" s="1069">
        <f t="shared" si="59"/>
        <v>1515.6895354961173</v>
      </c>
      <c r="AC102" s="1070">
        <f t="shared" si="60"/>
        <v>0</v>
      </c>
      <c r="AD102" s="1069">
        <f t="shared" si="61"/>
        <v>47342.573738593863</v>
      </c>
      <c r="AE102" s="1069">
        <f t="shared" si="62"/>
        <v>2349.5945965899177</v>
      </c>
      <c r="AF102" s="1071">
        <f t="shared" si="63"/>
        <v>1566.3963977266119</v>
      </c>
      <c r="AG102" s="4"/>
      <c r="AH102" s="1067">
        <f>'Recycling - Case 2'!C192*'Recycling - Case 2'!W192*'Recycling - Case 2'!AE192</f>
        <v>33806.1982327367</v>
      </c>
      <c r="AI102" s="1068">
        <f>Parameters!S239</f>
        <v>0.71500000000000008</v>
      </c>
      <c r="AJ102" s="1068">
        <f t="shared" si="64"/>
        <v>0.15</v>
      </c>
      <c r="AK102" s="1069">
        <f t="shared" si="65"/>
        <v>1812.8573802305057</v>
      </c>
      <c r="AL102" s="1069">
        <f t="shared" si="66"/>
        <v>1812.8573802305057</v>
      </c>
      <c r="AM102" s="1070">
        <f t="shared" si="67"/>
        <v>0</v>
      </c>
      <c r="AN102" s="1069">
        <f t="shared" si="68"/>
        <v>48662.397635086789</v>
      </c>
      <c r="AO102" s="1069">
        <f t="shared" si="69"/>
        <v>2402.027293579154</v>
      </c>
      <c r="AP102" s="1071">
        <f t="shared" si="70"/>
        <v>1601.3515290527694</v>
      </c>
      <c r="AQ102" s="4"/>
      <c r="AR102" s="1281">
        <f>'Recycling - Case 2'!G112</f>
        <v>767.01415212218251</v>
      </c>
      <c r="AS102" s="1282">
        <v>1</v>
      </c>
      <c r="AT102" s="1282">
        <f t="shared" si="71"/>
        <v>0.05</v>
      </c>
      <c r="AU102" s="1283">
        <f t="shared" si="72"/>
        <v>19.175353803054563</v>
      </c>
      <c r="AV102" s="1283">
        <f t="shared" si="73"/>
        <v>19.175353803054563</v>
      </c>
      <c r="AW102" s="1284">
        <f t="shared" si="74"/>
        <v>0</v>
      </c>
      <c r="AX102" s="1283">
        <f t="shared" si="42"/>
        <v>238.6942129206231</v>
      </c>
      <c r="AY102" s="1283">
        <f t="shared" si="47"/>
        <v>13.574288149407765</v>
      </c>
      <c r="AZ102" s="1285">
        <f t="shared" si="45"/>
        <v>9.0495254329385109</v>
      </c>
      <c r="BA102" s="4"/>
      <c r="BB102" s="1294">
        <f t="shared" si="75"/>
        <v>206.51740445267603</v>
      </c>
      <c r="BC102" s="1295">
        <f t="shared" si="76"/>
        <v>1566.3963977266119</v>
      </c>
      <c r="BD102" s="1327">
        <f t="shared" si="84"/>
        <v>9.0495254329385109</v>
      </c>
      <c r="BE102" s="1295">
        <f t="shared" si="48"/>
        <v>1781.9633276122263</v>
      </c>
      <c r="BF102" s="167">
        <v>0</v>
      </c>
      <c r="BG102" s="1317">
        <f t="shared" si="77"/>
        <v>1781.9633276122263</v>
      </c>
      <c r="BI102" s="1294">
        <f t="shared" si="78"/>
        <v>206.51740445267603</v>
      </c>
      <c r="BJ102" s="1295">
        <f t="shared" si="79"/>
        <v>1601.3515290527694</v>
      </c>
      <c r="BK102" s="1327">
        <f t="shared" si="80"/>
        <v>9.0495254329385109</v>
      </c>
      <c r="BL102" s="1295">
        <f t="shared" si="49"/>
        <v>1816.918458938384</v>
      </c>
      <c r="BM102" s="167">
        <v>0</v>
      </c>
      <c r="BN102" s="1317">
        <f t="shared" si="81"/>
        <v>1816.918458938384</v>
      </c>
    </row>
    <row r="103" spans="1:66">
      <c r="A103" s="1156">
        <f>'Input data'!A133</f>
        <v>2035</v>
      </c>
      <c r="B103" s="1039">
        <f>'Input data'!B133</f>
        <v>68.819000000000003</v>
      </c>
      <c r="C103" s="1130">
        <f>'Recycling - Case 2'!AD113</f>
        <v>0.67206984488050125</v>
      </c>
      <c r="D103" s="1040">
        <f>'Recycling - Case 2'!AM113</f>
        <v>0.2834252604436</v>
      </c>
      <c r="E103" s="1041">
        <f>'Recycling - Case 2'!BE113</f>
        <v>0.17037510887119423</v>
      </c>
      <c r="F103" s="1041">
        <f>'Recycling - Case 2'!BF113</f>
        <v>0.2759496177051679</v>
      </c>
      <c r="G103" s="1041">
        <f>'Recycling - Case 2'!BG113</f>
        <v>5.8958039761752561E-2</v>
      </c>
      <c r="H103" s="1041">
        <f>'Recycling - Case 2'!BH113</f>
        <v>0</v>
      </c>
      <c r="I103" s="1041">
        <f>'Recycling - Case 2'!BI113</f>
        <v>0</v>
      </c>
      <c r="J103" s="1041">
        <f>'Recycling - Case 2'!BJ113</f>
        <v>0</v>
      </c>
      <c r="K103" s="1041">
        <f>'Recycling - Case 2'!BK113</f>
        <v>0.49471723366188552</v>
      </c>
      <c r="L103" s="1042">
        <f t="shared" si="83"/>
        <v>1.0000000000000002</v>
      </c>
      <c r="M103" s="4"/>
      <c r="N103" s="1053">
        <f t="shared" si="50"/>
        <v>13.108751222367969</v>
      </c>
      <c r="O103" s="1048">
        <f>Parameters!R241</f>
        <v>1</v>
      </c>
      <c r="P103" s="1049">
        <f>E103*'MSW characteristics'!$B$28+'MSW characteristics'!$B$29*'4A SWD Case 2'!F103+'4A SWD Case 2'!G103*'MSW characteristics'!$B$30+'MSW characteristics'!$B$31*'4A SWD Case 2'!H103+'4A SWD Case 2'!I103*'MSW characteristics'!$B$32+'MSW characteristics'!$B$33*'4A SWD Case 2'!J103+'4A SWD Case 2'!K103*'MSW characteristics'!$B$35</f>
        <v>0.10432940577641374</v>
      </c>
      <c r="Q103" s="1047">
        <f t="shared" si="51"/>
        <v>0.68381411275024373</v>
      </c>
      <c r="R103" s="1047">
        <f t="shared" si="52"/>
        <v>0.68381411275024373</v>
      </c>
      <c r="S103" s="1050">
        <f t="shared" si="53"/>
        <v>0</v>
      </c>
      <c r="T103" s="1047">
        <f t="shared" si="54"/>
        <v>5748.5853898252099</v>
      </c>
      <c r="U103" s="1047">
        <f t="shared" si="55"/>
        <v>294.70121564825394</v>
      </c>
      <c r="V103" s="1054">
        <f t="shared" si="56"/>
        <v>196.46747709883596</v>
      </c>
      <c r="W103" s="4"/>
      <c r="X103" s="1067">
        <f>'Recycling - Case 2'!C153*'Recycling - Case 2'!W153*'Recycling - Case 2'!AE153</f>
        <v>27274.738756619743</v>
      </c>
      <c r="Y103" s="1068">
        <f>Parameters!S240</f>
        <v>0.71500000000000008</v>
      </c>
      <c r="Z103" s="1068">
        <f t="shared" si="57"/>
        <v>0.15</v>
      </c>
      <c r="AA103" s="1069">
        <f t="shared" si="58"/>
        <v>1462.6078658237338</v>
      </c>
      <c r="AB103" s="1069">
        <f t="shared" si="59"/>
        <v>1462.6078658237338</v>
      </c>
      <c r="AC103" s="1070">
        <f t="shared" si="60"/>
        <v>0</v>
      </c>
      <c r="AD103" s="1069">
        <f t="shared" si="61"/>
        <v>46496.25703756899</v>
      </c>
      <c r="AE103" s="1069">
        <f t="shared" si="62"/>
        <v>2308.924566848606</v>
      </c>
      <c r="AF103" s="1071">
        <f t="shared" si="63"/>
        <v>1539.2830445657373</v>
      </c>
      <c r="AG103" s="4"/>
      <c r="AH103" s="1067">
        <f>'Recycling - Case 2'!C193*'Recycling - Case 2'!W193*'Recycling - Case 2'!AE193</f>
        <v>33943.571572729619</v>
      </c>
      <c r="AI103" s="1068">
        <f>Parameters!S240</f>
        <v>0.71500000000000008</v>
      </c>
      <c r="AJ103" s="1068">
        <f t="shared" si="64"/>
        <v>0.15</v>
      </c>
      <c r="AK103" s="1069">
        <f t="shared" si="65"/>
        <v>1820.2240255876259</v>
      </c>
      <c r="AL103" s="1069">
        <f t="shared" si="66"/>
        <v>1820.2240255876259</v>
      </c>
      <c r="AM103" s="1070">
        <f t="shared" si="67"/>
        <v>0</v>
      </c>
      <c r="AN103" s="1069">
        <f t="shared" si="68"/>
        <v>48109.328522836135</v>
      </c>
      <c r="AO103" s="1069">
        <f t="shared" si="69"/>
        <v>2373.2931378382759</v>
      </c>
      <c r="AP103" s="1071">
        <f t="shared" si="70"/>
        <v>1582.1954252255173</v>
      </c>
      <c r="AQ103" s="4"/>
      <c r="AR103" s="1281">
        <f>'Recycling - Case 2'!G113</f>
        <v>773.55609031605263</v>
      </c>
      <c r="AS103" s="1282">
        <v>1</v>
      </c>
      <c r="AT103" s="1282">
        <f t="shared" si="71"/>
        <v>0.05</v>
      </c>
      <c r="AU103" s="1283">
        <f t="shared" si="72"/>
        <v>19.338902257901317</v>
      </c>
      <c r="AV103" s="1283">
        <f t="shared" si="73"/>
        <v>19.338902257901317</v>
      </c>
      <c r="AW103" s="1284">
        <f t="shared" si="74"/>
        <v>0</v>
      </c>
      <c r="AX103" s="1283">
        <f t="shared" si="42"/>
        <v>244.13264635835128</v>
      </c>
      <c r="AY103" s="1283">
        <f t="shared" si="47"/>
        <v>13.900468820173131</v>
      </c>
      <c r="AZ103" s="1285">
        <f t="shared" si="45"/>
        <v>9.2669792134487547</v>
      </c>
      <c r="BA103" s="4"/>
      <c r="BB103" s="1294">
        <f t="shared" si="75"/>
        <v>196.46747709883596</v>
      </c>
      <c r="BC103" s="1295">
        <f t="shared" si="76"/>
        <v>1539.2830445657373</v>
      </c>
      <c r="BD103" s="1327">
        <f t="shared" si="84"/>
        <v>9.2669792134487547</v>
      </c>
      <c r="BE103" s="1295">
        <f t="shared" si="48"/>
        <v>1745.017500878022</v>
      </c>
      <c r="BF103" s="167">
        <v>0</v>
      </c>
      <c r="BG103" s="1317">
        <f t="shared" si="77"/>
        <v>1745.017500878022</v>
      </c>
      <c r="BI103" s="1294">
        <f t="shared" si="78"/>
        <v>196.46747709883596</v>
      </c>
      <c r="BJ103" s="1295">
        <f t="shared" si="79"/>
        <v>1582.1954252255173</v>
      </c>
      <c r="BK103" s="1327">
        <f t="shared" si="80"/>
        <v>9.2669792134487547</v>
      </c>
      <c r="BL103" s="1295">
        <f t="shared" si="49"/>
        <v>1787.929881537802</v>
      </c>
      <c r="BM103" s="167">
        <v>0</v>
      </c>
      <c r="BN103" s="1317">
        <f t="shared" si="81"/>
        <v>1787.929881537802</v>
      </c>
    </row>
    <row r="104" spans="1:66">
      <c r="A104" s="1156">
        <f>'Input data'!A134</f>
        <v>2036</v>
      </c>
      <c r="B104" s="1039">
        <f>'Input data'!B134</f>
        <v>69.322999999999993</v>
      </c>
      <c r="C104" s="1130">
        <f>'Recycling - Case 2'!AD114</f>
        <v>0.67206984488050125</v>
      </c>
      <c r="D104" s="1040">
        <f>'Recycling - Case 2'!AM114</f>
        <v>0.2834252604436</v>
      </c>
      <c r="E104" s="1041">
        <f>'Recycling - Case 2'!BE114</f>
        <v>0.17037510887119423</v>
      </c>
      <c r="F104" s="1041">
        <f>'Recycling - Case 2'!BF114</f>
        <v>0.2759496177051679</v>
      </c>
      <c r="G104" s="1041">
        <f>'Recycling - Case 2'!BG114</f>
        <v>5.8958039761752561E-2</v>
      </c>
      <c r="H104" s="1041">
        <f>'Recycling - Case 2'!BH114</f>
        <v>0</v>
      </c>
      <c r="I104" s="1041">
        <f>'Recycling - Case 2'!BI114</f>
        <v>0</v>
      </c>
      <c r="J104" s="1041">
        <f>'Recycling - Case 2'!BJ114</f>
        <v>0</v>
      </c>
      <c r="K104" s="1041">
        <f>'Recycling - Case 2'!BK114</f>
        <v>0.49471723366188552</v>
      </c>
      <c r="L104" s="1042">
        <f t="shared" si="83"/>
        <v>1.0000000000000002</v>
      </c>
      <c r="M104" s="4"/>
      <c r="N104" s="1053">
        <f t="shared" si="50"/>
        <v>13.204753934062028</v>
      </c>
      <c r="O104" s="1048">
        <f>Parameters!R242</f>
        <v>1</v>
      </c>
      <c r="P104" s="1049">
        <f>E104*'MSW characteristics'!$B$28+'MSW characteristics'!$B$29*'4A SWD Case 2'!F104+'4A SWD Case 2'!G104*'MSW characteristics'!$B$30+'MSW characteristics'!$B$31*'4A SWD Case 2'!H104+'4A SWD Case 2'!I104*'MSW characteristics'!$B$32+'MSW characteristics'!$B$33*'4A SWD Case 2'!J104+'4A SWD Case 2'!K104*'MSW characteristics'!$B$35</f>
        <v>0.10432940577641374</v>
      </c>
      <c r="Q104" s="1047">
        <f t="shared" si="51"/>
        <v>0.68882206568222648</v>
      </c>
      <c r="R104" s="1047">
        <f t="shared" si="52"/>
        <v>0.68882206568222648</v>
      </c>
      <c r="S104" s="1050">
        <f t="shared" si="53"/>
        <v>0</v>
      </c>
      <c r="T104" s="1047">
        <f t="shared" si="54"/>
        <v>5468.9123941223288</v>
      </c>
      <c r="U104" s="1047">
        <f t="shared" si="55"/>
        <v>280.36181776856273</v>
      </c>
      <c r="V104" s="1054">
        <f t="shared" si="56"/>
        <v>186.90787851237516</v>
      </c>
      <c r="W104" s="4"/>
      <c r="X104" s="1067">
        <f>'Recycling - Case 2'!C154*'Recycling - Case 2'!W154*'Recycling - Case 2'!AE154</f>
        <v>25401.790382154224</v>
      </c>
      <c r="Y104" s="1068">
        <f>Parameters!S241</f>
        <v>0.71500000000000008</v>
      </c>
      <c r="Z104" s="1068">
        <f t="shared" si="57"/>
        <v>0.15</v>
      </c>
      <c r="AA104" s="1069">
        <f t="shared" si="58"/>
        <v>1362.1710092430203</v>
      </c>
      <c r="AB104" s="1069">
        <f t="shared" si="59"/>
        <v>1362.1710092430203</v>
      </c>
      <c r="AC104" s="1070">
        <f t="shared" si="60"/>
        <v>0</v>
      </c>
      <c r="AD104" s="1069">
        <f t="shared" si="61"/>
        <v>45590.778832527045</v>
      </c>
      <c r="AE104" s="1069">
        <f t="shared" si="62"/>
        <v>2267.6492142849656</v>
      </c>
      <c r="AF104" s="1071">
        <f t="shared" si="63"/>
        <v>1511.7661428566437</v>
      </c>
      <c r="AG104" s="4"/>
      <c r="AH104" s="1067">
        <f>'Recycling - Case 2'!C194*'Recycling - Case 2'!W194*'Recycling - Case 2'!AE194</f>
        <v>34085.007481391112</v>
      </c>
      <c r="AI104" s="1068">
        <f>Parameters!S241</f>
        <v>0.71500000000000008</v>
      </c>
      <c r="AJ104" s="1068">
        <f t="shared" si="64"/>
        <v>0.15</v>
      </c>
      <c r="AK104" s="1069">
        <f t="shared" si="65"/>
        <v>1827.8085261895985</v>
      </c>
      <c r="AL104" s="1069">
        <f t="shared" si="66"/>
        <v>1827.8085261895985</v>
      </c>
      <c r="AM104" s="1070">
        <f t="shared" si="67"/>
        <v>0</v>
      </c>
      <c r="AN104" s="1069">
        <f t="shared" si="68"/>
        <v>47590.817410082796</v>
      </c>
      <c r="AO104" s="1069">
        <f t="shared" si="69"/>
        <v>2346.3196389429322</v>
      </c>
      <c r="AP104" s="1071">
        <f t="shared" si="70"/>
        <v>1564.2130926286216</v>
      </c>
      <c r="AQ104" s="4"/>
      <c r="AR104" s="1281">
        <f>'Recycling - Case 2'!G114</f>
        <v>779.22127390662058</v>
      </c>
      <c r="AS104" s="1282">
        <v>1</v>
      </c>
      <c r="AT104" s="1282">
        <f t="shared" si="71"/>
        <v>0.05</v>
      </c>
      <c r="AU104" s="1283">
        <f t="shared" si="72"/>
        <v>19.480531847665517</v>
      </c>
      <c r="AV104" s="1283">
        <f t="shared" si="73"/>
        <v>19.480531847665517</v>
      </c>
      <c r="AW104" s="1284">
        <f t="shared" si="74"/>
        <v>0</v>
      </c>
      <c r="AX104" s="1283">
        <f t="shared" si="42"/>
        <v>249.39599967802656</v>
      </c>
      <c r="AY104" s="1283">
        <f t="shared" si="47"/>
        <v>14.217178527990249</v>
      </c>
      <c r="AZ104" s="1285">
        <f t="shared" si="45"/>
        <v>9.4781190186601663</v>
      </c>
      <c r="BA104" s="4"/>
      <c r="BB104" s="1294">
        <f t="shared" si="75"/>
        <v>186.90787851237516</v>
      </c>
      <c r="BC104" s="1295">
        <f t="shared" si="76"/>
        <v>1511.7661428566437</v>
      </c>
      <c r="BD104" s="1327">
        <f t="shared" si="84"/>
        <v>9.4781190186601663</v>
      </c>
      <c r="BE104" s="1295">
        <f t="shared" si="48"/>
        <v>1708.1521403876791</v>
      </c>
      <c r="BF104" s="167">
        <v>0</v>
      </c>
      <c r="BG104" s="1317">
        <f t="shared" si="77"/>
        <v>1708.1521403876791</v>
      </c>
      <c r="BI104" s="1294">
        <f t="shared" si="78"/>
        <v>186.90787851237516</v>
      </c>
      <c r="BJ104" s="1295">
        <f t="shared" si="79"/>
        <v>1564.2130926286216</v>
      </c>
      <c r="BK104" s="1327">
        <f t="shared" si="80"/>
        <v>9.4781190186601663</v>
      </c>
      <c r="BL104" s="1295">
        <f t="shared" si="49"/>
        <v>1760.599090159657</v>
      </c>
      <c r="BM104" s="167">
        <v>0</v>
      </c>
      <c r="BN104" s="1317">
        <f t="shared" si="81"/>
        <v>1760.599090159657</v>
      </c>
    </row>
    <row r="105" spans="1:66">
      <c r="A105" s="1156">
        <f>'Input data'!A135</f>
        <v>2037</v>
      </c>
      <c r="B105" s="1039">
        <f>'Input data'!B135</f>
        <v>69.83</v>
      </c>
      <c r="C105" s="1130">
        <f>'Recycling - Case 2'!AD115</f>
        <v>0.67206984488050125</v>
      </c>
      <c r="D105" s="1040">
        <f>'Recycling - Case 2'!AM115</f>
        <v>0.2834252604436</v>
      </c>
      <c r="E105" s="1041">
        <f>'Recycling - Case 2'!BE115</f>
        <v>0.17037510887119423</v>
      </c>
      <c r="F105" s="1041">
        <f>'Recycling - Case 2'!BF115</f>
        <v>0.2759496177051679</v>
      </c>
      <c r="G105" s="1041">
        <f>'Recycling - Case 2'!BG115</f>
        <v>5.8958039761752561E-2</v>
      </c>
      <c r="H105" s="1041">
        <f>'Recycling - Case 2'!BH115</f>
        <v>0</v>
      </c>
      <c r="I105" s="1041">
        <f>'Recycling - Case 2'!BI115</f>
        <v>0</v>
      </c>
      <c r="J105" s="1041">
        <f>'Recycling - Case 2'!BJ115</f>
        <v>0</v>
      </c>
      <c r="K105" s="1041">
        <f>'Recycling - Case 2'!BK115</f>
        <v>0.49471723366188552</v>
      </c>
      <c r="L105" s="1042">
        <f t="shared" si="83"/>
        <v>1.0000000000000002</v>
      </c>
      <c r="M105" s="4"/>
      <c r="N105" s="1053">
        <f t="shared" si="50"/>
        <v>13.30132809046855</v>
      </c>
      <c r="O105" s="1048">
        <f>Parameters!R243</f>
        <v>1</v>
      </c>
      <c r="P105" s="1049">
        <f>E105*'MSW characteristics'!$B$28+'MSW characteristics'!$B$29*'4A SWD Case 2'!F105+'4A SWD Case 2'!G105*'MSW characteristics'!$B$30+'MSW characteristics'!$B$31*'4A SWD Case 2'!H105+'4A SWD Case 2'!I105*'MSW characteristics'!$B$32+'MSW characteristics'!$B$33*'4A SWD Case 2'!J105+'4A SWD Case 2'!K105*'MSW characteristics'!$B$35</f>
        <v>0.10432940577641374</v>
      </c>
      <c r="Q105" s="1047">
        <f t="shared" si="51"/>
        <v>0.69385982785785194</v>
      </c>
      <c r="R105" s="1047">
        <f t="shared" si="52"/>
        <v>0.69385982785785194</v>
      </c>
      <c r="S105" s="1050">
        <f t="shared" si="53"/>
        <v>0</v>
      </c>
      <c r="T105" s="1047">
        <f t="shared" si="54"/>
        <v>5202.8842491336627</v>
      </c>
      <c r="U105" s="1047">
        <f t="shared" si="55"/>
        <v>266.72200481652391</v>
      </c>
      <c r="V105" s="1054">
        <f t="shared" si="56"/>
        <v>177.8146698776826</v>
      </c>
      <c r="W105" s="4"/>
      <c r="X105" s="1067">
        <f>'Recycling - Case 2'!C155*'Recycling - Case 2'!W155*'Recycling - Case 2'!AE155</f>
        <v>23534.862711948252</v>
      </c>
      <c r="Y105" s="1068">
        <f>Parameters!S242</f>
        <v>0.71500000000000008</v>
      </c>
      <c r="Z105" s="1068">
        <f t="shared" si="57"/>
        <v>0.15</v>
      </c>
      <c r="AA105" s="1069">
        <f t="shared" si="58"/>
        <v>1262.057012928225</v>
      </c>
      <c r="AB105" s="1069">
        <f t="shared" si="59"/>
        <v>1262.057012928225</v>
      </c>
      <c r="AC105" s="1070">
        <f t="shared" si="60"/>
        <v>0</v>
      </c>
      <c r="AD105" s="1069">
        <f t="shared" si="61"/>
        <v>44629.347324332266</v>
      </c>
      <c r="AE105" s="1069">
        <f t="shared" si="62"/>
        <v>2223.4885211230094</v>
      </c>
      <c r="AF105" s="1071">
        <f t="shared" si="63"/>
        <v>1482.325680748673</v>
      </c>
      <c r="AG105" s="4"/>
      <c r="AH105" s="1067">
        <f>'Recycling - Case 2'!C195*'Recycling - Case 2'!W195*'Recycling - Case 2'!AE195</f>
        <v>34232.464094312156</v>
      </c>
      <c r="AI105" s="1068">
        <f>Parameters!S242</f>
        <v>0.71500000000000008</v>
      </c>
      <c r="AJ105" s="1068">
        <f t="shared" si="64"/>
        <v>0.15</v>
      </c>
      <c r="AK105" s="1069">
        <f t="shared" si="65"/>
        <v>1835.7158870574897</v>
      </c>
      <c r="AL105" s="1069">
        <f t="shared" si="66"/>
        <v>1835.7158870574897</v>
      </c>
      <c r="AM105" s="1070">
        <f t="shared" si="67"/>
        <v>0</v>
      </c>
      <c r="AN105" s="1069">
        <f t="shared" si="68"/>
        <v>47105.501743569112</v>
      </c>
      <c r="AO105" s="1069">
        <f t="shared" si="69"/>
        <v>2321.031553571177</v>
      </c>
      <c r="AP105" s="1071">
        <f t="shared" si="70"/>
        <v>1547.3543690474514</v>
      </c>
      <c r="AQ105" s="4"/>
      <c r="AR105" s="1281">
        <f>'Recycling - Case 2'!G115</f>
        <v>784.92017882808466</v>
      </c>
      <c r="AS105" s="1282">
        <v>1</v>
      </c>
      <c r="AT105" s="1282">
        <f t="shared" si="71"/>
        <v>0.05</v>
      </c>
      <c r="AU105" s="1283">
        <f t="shared" si="72"/>
        <v>19.623004470702117</v>
      </c>
      <c r="AV105" s="1283">
        <f t="shared" si="73"/>
        <v>19.623004470702117</v>
      </c>
      <c r="AW105" s="1284">
        <f t="shared" si="74"/>
        <v>0</v>
      </c>
      <c r="AX105" s="1283">
        <f t="shared" si="42"/>
        <v>254.49531178525623</v>
      </c>
      <c r="AY105" s="1283">
        <f t="shared" si="47"/>
        <v>14.523692363472433</v>
      </c>
      <c r="AZ105" s="1285">
        <f t="shared" si="45"/>
        <v>9.6824615756482881</v>
      </c>
      <c r="BA105" s="4"/>
      <c r="BB105" s="1294">
        <f t="shared" si="75"/>
        <v>177.8146698776826</v>
      </c>
      <c r="BC105" s="1295">
        <f t="shared" si="76"/>
        <v>1482.325680748673</v>
      </c>
      <c r="BD105" s="1327">
        <f t="shared" si="84"/>
        <v>9.6824615756482881</v>
      </c>
      <c r="BE105" s="1295">
        <f t="shared" si="48"/>
        <v>1669.8228122020037</v>
      </c>
      <c r="BF105" s="167">
        <v>0</v>
      </c>
      <c r="BG105" s="1317">
        <f t="shared" si="77"/>
        <v>1669.8228122020037</v>
      </c>
      <c r="BI105" s="1294">
        <f t="shared" si="78"/>
        <v>177.8146698776826</v>
      </c>
      <c r="BJ105" s="1295">
        <f t="shared" si="79"/>
        <v>1547.3543690474514</v>
      </c>
      <c r="BK105" s="1327">
        <f t="shared" si="80"/>
        <v>9.6824615756482881</v>
      </c>
      <c r="BL105" s="1295">
        <f t="shared" si="49"/>
        <v>1734.8515005007821</v>
      </c>
      <c r="BM105" s="167">
        <v>0</v>
      </c>
      <c r="BN105" s="1317">
        <f t="shared" si="81"/>
        <v>1734.8515005007821</v>
      </c>
    </row>
    <row r="106" spans="1:66">
      <c r="A106" s="1156">
        <f>'Input data'!A136</f>
        <v>2038</v>
      </c>
      <c r="B106" s="1039">
        <f>'Input data'!B136</f>
        <v>70.341999999999999</v>
      </c>
      <c r="C106" s="1130">
        <f>'Recycling - Case 2'!AD116</f>
        <v>0.67206984488050125</v>
      </c>
      <c r="D106" s="1040">
        <f>'Recycling - Case 2'!AM116</f>
        <v>0.2834252604436</v>
      </c>
      <c r="E106" s="1041">
        <f>'Recycling - Case 2'!BE116</f>
        <v>0.17037510887119423</v>
      </c>
      <c r="F106" s="1041">
        <f>'Recycling - Case 2'!BF116</f>
        <v>0.2759496177051679</v>
      </c>
      <c r="G106" s="1041">
        <f>'Recycling - Case 2'!BG116</f>
        <v>5.8958039761752561E-2</v>
      </c>
      <c r="H106" s="1041">
        <f>'Recycling - Case 2'!BH116</f>
        <v>0</v>
      </c>
      <c r="I106" s="1041">
        <f>'Recycling - Case 2'!BI116</f>
        <v>0</v>
      </c>
      <c r="J106" s="1041">
        <f>'Recycling - Case 2'!BJ116</f>
        <v>0</v>
      </c>
      <c r="K106" s="1041">
        <f>'Recycling - Case 2'!BK116</f>
        <v>0.49471723366188552</v>
      </c>
      <c r="L106" s="1042">
        <f t="shared" si="83"/>
        <v>1.0000000000000002</v>
      </c>
      <c r="M106" s="4"/>
      <c r="N106" s="1053">
        <f t="shared" si="50"/>
        <v>13.398854654729183</v>
      </c>
      <c r="O106" s="1048">
        <f>Parameters!R244</f>
        <v>1</v>
      </c>
      <c r="P106" s="1049">
        <f>E106*'MSW characteristics'!$B$28+'MSW characteristics'!$B$29*'4A SWD Case 2'!F106+'4A SWD Case 2'!G106*'MSW characteristics'!$B$30+'MSW characteristics'!$B$31*'4A SWD Case 2'!H106+'4A SWD Case 2'!I106*'MSW characteristics'!$B$32+'MSW characteristics'!$B$33*'4A SWD Case 2'!J106+'4A SWD Case 2'!K106*'MSW characteristics'!$B$35</f>
        <v>0.10432940577641374</v>
      </c>
      <c r="Q106" s="1047">
        <f t="shared" si="51"/>
        <v>0.69894727210621543</v>
      </c>
      <c r="R106" s="1047">
        <f t="shared" si="52"/>
        <v>0.69894727210621543</v>
      </c>
      <c r="S106" s="1050">
        <f t="shared" si="53"/>
        <v>0</v>
      </c>
      <c r="T106" s="1047">
        <f t="shared" si="54"/>
        <v>4949.8355373193499</v>
      </c>
      <c r="U106" s="1047">
        <f t="shared" si="55"/>
        <v>253.74765908641916</v>
      </c>
      <c r="V106" s="1054">
        <f t="shared" si="56"/>
        <v>169.16510605761277</v>
      </c>
      <c r="W106" s="4"/>
      <c r="X106" s="1067">
        <f>'Recycling - Case 2'!C156*'Recycling - Case 2'!W156*'Recycling - Case 2'!AE156</f>
        <v>21670.185772306588</v>
      </c>
      <c r="Y106" s="1068">
        <f>Parameters!S243</f>
        <v>0.71500000000000008</v>
      </c>
      <c r="Z106" s="1068">
        <f t="shared" si="57"/>
        <v>0.15</v>
      </c>
      <c r="AA106" s="1069">
        <f t="shared" si="58"/>
        <v>1162.0637120399408</v>
      </c>
      <c r="AB106" s="1069">
        <f t="shared" si="59"/>
        <v>1162.0637120399408</v>
      </c>
      <c r="AC106" s="1070">
        <f t="shared" si="60"/>
        <v>0</v>
      </c>
      <c r="AD106" s="1069">
        <f t="shared" si="61"/>
        <v>43614.812083207005</v>
      </c>
      <c r="AE106" s="1069">
        <f t="shared" si="62"/>
        <v>2176.5989531652035</v>
      </c>
      <c r="AF106" s="1071">
        <f t="shared" si="63"/>
        <v>1451.0659687768023</v>
      </c>
      <c r="AG106" s="4"/>
      <c r="AH106" s="1067">
        <f>'Recycling - Case 2'!C196*'Recycling - Case 2'!W196*'Recycling - Case 2'!AE196</f>
        <v>34382.171437797508</v>
      </c>
      <c r="AI106" s="1068">
        <f>Parameters!S243</f>
        <v>0.71500000000000008</v>
      </c>
      <c r="AJ106" s="1068">
        <f t="shared" si="64"/>
        <v>0.15</v>
      </c>
      <c r="AK106" s="1069">
        <f t="shared" si="65"/>
        <v>1843.7439433518916</v>
      </c>
      <c r="AL106" s="1069">
        <f t="shared" si="66"/>
        <v>1843.7439433518916</v>
      </c>
      <c r="AM106" s="1070">
        <f t="shared" si="67"/>
        <v>0</v>
      </c>
      <c r="AN106" s="1069">
        <f t="shared" si="68"/>
        <v>46651.883257704518</v>
      </c>
      <c r="AO106" s="1069">
        <f t="shared" si="69"/>
        <v>2297.362429216485</v>
      </c>
      <c r="AP106" s="1071">
        <f t="shared" si="70"/>
        <v>1531.57495281099</v>
      </c>
      <c r="AQ106" s="4"/>
      <c r="AR106" s="1281">
        <f>'Recycling - Case 2'!G116</f>
        <v>790.6752859677091</v>
      </c>
      <c r="AS106" s="1282">
        <v>1</v>
      </c>
      <c r="AT106" s="1282">
        <f t="shared" si="71"/>
        <v>0.05</v>
      </c>
      <c r="AU106" s="1283">
        <f t="shared" si="72"/>
        <v>19.766882149192728</v>
      </c>
      <c r="AV106" s="1283">
        <f t="shared" si="73"/>
        <v>19.766882149192728</v>
      </c>
      <c r="AW106" s="1284">
        <f t="shared" si="74"/>
        <v>0</v>
      </c>
      <c r="AX106" s="1283">
        <f t="shared" si="42"/>
        <v>259.44154075201254</v>
      </c>
      <c r="AY106" s="1283">
        <f t="shared" si="47"/>
        <v>14.820653182436441</v>
      </c>
      <c r="AZ106" s="1285">
        <f t="shared" si="45"/>
        <v>9.8804354549576274</v>
      </c>
      <c r="BA106" s="4"/>
      <c r="BB106" s="1294">
        <f t="shared" si="75"/>
        <v>169.16510605761277</v>
      </c>
      <c r="BC106" s="1295">
        <f t="shared" si="76"/>
        <v>1451.0659687768023</v>
      </c>
      <c r="BD106" s="1327">
        <f t="shared" si="84"/>
        <v>9.8804354549576274</v>
      </c>
      <c r="BE106" s="1295">
        <f t="shared" si="48"/>
        <v>1630.1115102893727</v>
      </c>
      <c r="BF106" s="167">
        <v>0</v>
      </c>
      <c r="BG106" s="1317">
        <f t="shared" si="77"/>
        <v>1630.1115102893727</v>
      </c>
      <c r="BI106" s="1294">
        <f t="shared" si="78"/>
        <v>169.16510605761277</v>
      </c>
      <c r="BJ106" s="1295">
        <f t="shared" si="79"/>
        <v>1531.57495281099</v>
      </c>
      <c r="BK106" s="1327">
        <f t="shared" si="80"/>
        <v>9.8804354549576274</v>
      </c>
      <c r="BL106" s="1295">
        <f t="shared" si="49"/>
        <v>1710.6204943235605</v>
      </c>
      <c r="BM106" s="167">
        <v>0</v>
      </c>
      <c r="BN106" s="1317">
        <f t="shared" si="81"/>
        <v>1710.6204943235605</v>
      </c>
    </row>
    <row r="107" spans="1:66">
      <c r="A107" s="1156">
        <f>'Input data'!A137</f>
        <v>2039</v>
      </c>
      <c r="B107" s="1039">
        <f>'Input data'!B137</f>
        <v>70.856999999999999</v>
      </c>
      <c r="C107" s="1130">
        <f>'Recycling - Case 2'!AD117</f>
        <v>0.67206984488050125</v>
      </c>
      <c r="D107" s="1040">
        <f>'Recycling - Case 2'!AM117</f>
        <v>0.2834252604436</v>
      </c>
      <c r="E107" s="1041">
        <f>'Recycling - Case 2'!BE117</f>
        <v>0.17037510887119423</v>
      </c>
      <c r="F107" s="1041">
        <f>'Recycling - Case 2'!BF117</f>
        <v>0.2759496177051679</v>
      </c>
      <c r="G107" s="1041">
        <f>'Recycling - Case 2'!BG117</f>
        <v>5.8958039761752561E-2</v>
      </c>
      <c r="H107" s="1041">
        <f>'Recycling - Case 2'!BH117</f>
        <v>0</v>
      </c>
      <c r="I107" s="1041">
        <f>'Recycling - Case 2'!BI117</f>
        <v>0</v>
      </c>
      <c r="J107" s="1041">
        <f>'Recycling - Case 2'!BJ117</f>
        <v>0</v>
      </c>
      <c r="K107" s="1041">
        <f>'Recycling - Case 2'!BK117</f>
        <v>0.49471723366188552</v>
      </c>
      <c r="L107" s="1042">
        <f t="shared" si="83"/>
        <v>1.0000000000000002</v>
      </c>
      <c r="M107" s="4"/>
      <c r="N107" s="1053">
        <f t="shared" si="50"/>
        <v>13.496952663702279</v>
      </c>
      <c r="O107" s="1048">
        <f>Parameters!R245</f>
        <v>1</v>
      </c>
      <c r="P107" s="1049">
        <f>E107*'MSW characteristics'!$B$28+'MSW characteristics'!$B$29*'4A SWD Case 2'!F107+'4A SWD Case 2'!G107*'MSW characteristics'!$B$30+'MSW characteristics'!$B$31*'4A SWD Case 2'!H107+'4A SWD Case 2'!I107*'MSW characteristics'!$B$32+'MSW characteristics'!$B$33*'4A SWD Case 2'!J107+'4A SWD Case 2'!K107*'MSW characteristics'!$B$35</f>
        <v>0.10432940577641374</v>
      </c>
      <c r="Q107" s="1047">
        <f t="shared" si="51"/>
        <v>0.70406452559822164</v>
      </c>
      <c r="R107" s="1047">
        <f t="shared" si="52"/>
        <v>0.70406452559822164</v>
      </c>
      <c r="S107" s="1050">
        <f t="shared" si="53"/>
        <v>0</v>
      </c>
      <c r="T107" s="1047">
        <f t="shared" si="54"/>
        <v>4709.133274063066</v>
      </c>
      <c r="U107" s="1047">
        <f t="shared" si="55"/>
        <v>241.40632778188217</v>
      </c>
      <c r="V107" s="1054">
        <f t="shared" si="56"/>
        <v>160.93755185458812</v>
      </c>
      <c r="W107" s="4"/>
      <c r="X107" s="1067">
        <f>'Recycling - Case 2'!C157*'Recycling - Case 2'!W157*'Recycling - Case 2'!AE157</f>
        <v>22293.924499161927</v>
      </c>
      <c r="Y107" s="1068">
        <f>Parameters!S244</f>
        <v>0.71500000000000008</v>
      </c>
      <c r="Z107" s="1068">
        <f t="shared" si="57"/>
        <v>0.15</v>
      </c>
      <c r="AA107" s="1069">
        <f t="shared" si="58"/>
        <v>1195.5117012675585</v>
      </c>
      <c r="AB107" s="1069">
        <f t="shared" si="59"/>
        <v>1195.5117012675585</v>
      </c>
      <c r="AC107" s="1070">
        <f t="shared" si="60"/>
        <v>0</v>
      </c>
      <c r="AD107" s="1069">
        <f t="shared" si="61"/>
        <v>42683.204298883349</v>
      </c>
      <c r="AE107" s="1069">
        <f t="shared" si="62"/>
        <v>2127.1194855912177</v>
      </c>
      <c r="AF107" s="1071">
        <f t="shared" si="63"/>
        <v>1418.0796570608118</v>
      </c>
      <c r="AG107" s="4"/>
      <c r="AH107" s="1067">
        <f>'Recycling - Case 2'!C197*'Recycling - Case 2'!W197*'Recycling - Case 2'!AE197</f>
        <v>34538.034529376266</v>
      </c>
      <c r="AI107" s="1068">
        <f>Parameters!S244</f>
        <v>0.71500000000000008</v>
      </c>
      <c r="AJ107" s="1068">
        <f t="shared" si="64"/>
        <v>0.15</v>
      </c>
      <c r="AK107" s="1069">
        <f t="shared" si="65"/>
        <v>1852.1021016378024</v>
      </c>
      <c r="AL107" s="1069">
        <f t="shared" si="66"/>
        <v>1852.1021016378024</v>
      </c>
      <c r="AM107" s="1070">
        <f t="shared" si="67"/>
        <v>0</v>
      </c>
      <c r="AN107" s="1069">
        <f t="shared" si="68"/>
        <v>46228.746164738564</v>
      </c>
      <c r="AO107" s="1069">
        <f t="shared" si="69"/>
        <v>2275.2391946037537</v>
      </c>
      <c r="AP107" s="1071">
        <f t="shared" si="70"/>
        <v>1516.8261297358358</v>
      </c>
      <c r="AQ107" s="4"/>
      <c r="AR107" s="1281">
        <f>'Recycling - Case 2'!G117</f>
        <v>796.46411443823001</v>
      </c>
      <c r="AS107" s="1282">
        <v>1</v>
      </c>
      <c r="AT107" s="1282">
        <f t="shared" si="71"/>
        <v>0.05</v>
      </c>
      <c r="AU107" s="1283">
        <f t="shared" si="72"/>
        <v>19.911602860955753</v>
      </c>
      <c r="AV107" s="1283">
        <f t="shared" si="73"/>
        <v>19.911602860955753</v>
      </c>
      <c r="AW107" s="1284">
        <f t="shared" si="74"/>
        <v>0</v>
      </c>
      <c r="AX107" s="1283">
        <f t="shared" si="42"/>
        <v>264.24444447965368</v>
      </c>
      <c r="AY107" s="1283">
        <f t="shared" si="47"/>
        <v>15.108699133314593</v>
      </c>
      <c r="AZ107" s="1285">
        <f t="shared" si="45"/>
        <v>10.072466088876395</v>
      </c>
      <c r="BA107" s="4"/>
      <c r="BB107" s="1294">
        <f t="shared" si="75"/>
        <v>160.93755185458812</v>
      </c>
      <c r="BC107" s="1295">
        <f t="shared" si="76"/>
        <v>1418.0796570608118</v>
      </c>
      <c r="BD107" s="1327">
        <f t="shared" si="84"/>
        <v>10.072466088876395</v>
      </c>
      <c r="BE107" s="1295">
        <f t="shared" si="48"/>
        <v>1589.0896750042762</v>
      </c>
      <c r="BF107" s="167">
        <v>0</v>
      </c>
      <c r="BG107" s="1317">
        <f t="shared" si="77"/>
        <v>1589.0896750042762</v>
      </c>
      <c r="BI107" s="1294">
        <f t="shared" si="78"/>
        <v>160.93755185458812</v>
      </c>
      <c r="BJ107" s="1295">
        <f t="shared" si="79"/>
        <v>1516.8261297358358</v>
      </c>
      <c r="BK107" s="1327">
        <f t="shared" si="80"/>
        <v>10.072466088876395</v>
      </c>
      <c r="BL107" s="1295">
        <f t="shared" si="49"/>
        <v>1687.8361476793002</v>
      </c>
      <c r="BM107" s="167">
        <v>0</v>
      </c>
      <c r="BN107" s="1317">
        <f t="shared" si="81"/>
        <v>1687.8361476793002</v>
      </c>
    </row>
    <row r="108" spans="1:66">
      <c r="A108" s="1156">
        <f>'Input data'!A138</f>
        <v>2040</v>
      </c>
      <c r="B108" s="1039">
        <f>'Input data'!B138</f>
        <v>71.375</v>
      </c>
      <c r="C108" s="1130">
        <f>'Recycling - Case 2'!AD118</f>
        <v>0.67206984488050125</v>
      </c>
      <c r="D108" s="1040">
        <f>'Recycling - Case 2'!AM118</f>
        <v>0.2834252604436</v>
      </c>
      <c r="E108" s="1041">
        <f>'Recycling - Case 2'!BE118</f>
        <v>0.17037510887119423</v>
      </c>
      <c r="F108" s="1041">
        <f>'Recycling - Case 2'!BF118</f>
        <v>0.2759496177051679</v>
      </c>
      <c r="G108" s="1041">
        <f>'Recycling - Case 2'!BG118</f>
        <v>5.8958039761752561E-2</v>
      </c>
      <c r="H108" s="1041">
        <f>'Recycling - Case 2'!BH118</f>
        <v>0</v>
      </c>
      <c r="I108" s="1041">
        <f>'Recycling - Case 2'!BI118</f>
        <v>0</v>
      </c>
      <c r="J108" s="1041">
        <f>'Recycling - Case 2'!BJ118</f>
        <v>0</v>
      </c>
      <c r="K108" s="1041">
        <f>'Recycling - Case 2'!BK118</f>
        <v>0.49471723366188552</v>
      </c>
      <c r="L108" s="1042">
        <f t="shared" si="83"/>
        <v>1.0000000000000002</v>
      </c>
      <c r="M108" s="4"/>
      <c r="N108" s="1053">
        <f t="shared" si="50"/>
        <v>13.59562211738784</v>
      </c>
      <c r="O108" s="1048">
        <f>Parameters!R246</f>
        <v>1</v>
      </c>
      <c r="P108" s="1049">
        <f>E108*'MSW characteristics'!$B$28+'MSW characteristics'!$B$29*'4A SWD Case 2'!F108+'4A SWD Case 2'!G108*'MSW characteristics'!$B$30+'MSW characteristics'!$B$31*'4A SWD Case 2'!H108+'4A SWD Case 2'!I108*'MSW characteristics'!$B$32+'MSW characteristics'!$B$33*'4A SWD Case 2'!J108+'4A SWD Case 2'!K108*'MSW characteristics'!$B$35</f>
        <v>0.10432940577641374</v>
      </c>
      <c r="Q108" s="1047">
        <f t="shared" si="51"/>
        <v>0.70921158833387066</v>
      </c>
      <c r="R108" s="1047">
        <f t="shared" si="52"/>
        <v>0.70921158833387066</v>
      </c>
      <c r="S108" s="1050">
        <f t="shared" si="53"/>
        <v>0</v>
      </c>
      <c r="T108" s="1047">
        <f t="shared" si="54"/>
        <v>4480.1753457725081</v>
      </c>
      <c r="U108" s="1047">
        <f t="shared" si="55"/>
        <v>229.66713987889256</v>
      </c>
      <c r="V108" s="1054">
        <f t="shared" si="56"/>
        <v>153.11142658592837</v>
      </c>
      <c r="W108" s="4"/>
      <c r="X108" s="1067">
        <f>'Recycling - Case 2'!C158*'Recycling - Case 2'!W158*'Recycling - Case 2'!AE158</f>
        <v>22986.901179628545</v>
      </c>
      <c r="Y108" s="1068">
        <f>Parameters!S245</f>
        <v>0.71500000000000008</v>
      </c>
      <c r="Z108" s="1068">
        <f t="shared" si="57"/>
        <v>0.15</v>
      </c>
      <c r="AA108" s="1069">
        <f t="shared" si="58"/>
        <v>1232.6725757575809</v>
      </c>
      <c r="AB108" s="1069">
        <f t="shared" si="59"/>
        <v>1232.6725757575809</v>
      </c>
      <c r="AC108" s="1070">
        <f t="shared" si="60"/>
        <v>0</v>
      </c>
      <c r="AD108" s="1069">
        <f t="shared" si="61"/>
        <v>41834.192436830795</v>
      </c>
      <c r="AE108" s="1069">
        <f t="shared" si="62"/>
        <v>2081.6844378101387</v>
      </c>
      <c r="AF108" s="1071">
        <f t="shared" si="63"/>
        <v>1387.7896252067592</v>
      </c>
      <c r="AG108" s="4"/>
      <c r="AH108" s="1067">
        <f>'Recycling - Case 2'!C198*'Recycling - Case 2'!W198*'Recycling - Case 2'!AE198</f>
        <v>34703.440718547703</v>
      </c>
      <c r="AI108" s="1068">
        <f>Parameters!S245</f>
        <v>0.71500000000000008</v>
      </c>
      <c r="AJ108" s="1068">
        <f t="shared" si="64"/>
        <v>0.15</v>
      </c>
      <c r="AK108" s="1069">
        <f t="shared" si="65"/>
        <v>1860.9720085321205</v>
      </c>
      <c r="AL108" s="1069">
        <f t="shared" si="66"/>
        <v>1860.9720085321205</v>
      </c>
      <c r="AM108" s="1070">
        <f t="shared" si="67"/>
        <v>0</v>
      </c>
      <c r="AN108" s="1069">
        <f t="shared" si="68"/>
        <v>45835.115618205979</v>
      </c>
      <c r="AO108" s="1069">
        <f t="shared" si="69"/>
        <v>2254.6025550647096</v>
      </c>
      <c r="AP108" s="1071">
        <f t="shared" si="70"/>
        <v>1503.0683700431398</v>
      </c>
      <c r="AQ108" s="4"/>
      <c r="AR108" s="1281">
        <f>'Recycling - Case 2'!G118</f>
        <v>802.28666423964694</v>
      </c>
      <c r="AS108" s="1282">
        <v>1</v>
      </c>
      <c r="AT108" s="1282">
        <f t="shared" si="71"/>
        <v>0.05</v>
      </c>
      <c r="AU108" s="1283">
        <f t="shared" si="72"/>
        <v>20.057166605991174</v>
      </c>
      <c r="AV108" s="1283">
        <f t="shared" si="73"/>
        <v>20.057166605991174</v>
      </c>
      <c r="AW108" s="1284">
        <f t="shared" si="74"/>
        <v>0</v>
      </c>
      <c r="AX108" s="1283">
        <f t="shared" si="42"/>
        <v>268.91321261360116</v>
      </c>
      <c r="AY108" s="1283">
        <f t="shared" si="47"/>
        <v>15.388398472043725</v>
      </c>
      <c r="AZ108" s="1285">
        <f t="shared" si="45"/>
        <v>10.258932314695818</v>
      </c>
      <c r="BA108" s="4"/>
      <c r="BB108" s="1294">
        <f t="shared" si="75"/>
        <v>153.11142658592837</v>
      </c>
      <c r="BC108" s="1295">
        <f t="shared" si="76"/>
        <v>1387.7896252067592</v>
      </c>
      <c r="BD108" s="1327">
        <f t="shared" si="84"/>
        <v>10.258932314695818</v>
      </c>
      <c r="BE108" s="1295">
        <f t="shared" si="48"/>
        <v>1551.1599841073835</v>
      </c>
      <c r="BF108" s="167">
        <v>0</v>
      </c>
      <c r="BG108" s="1317">
        <f t="shared" si="77"/>
        <v>1551.1599841073835</v>
      </c>
      <c r="BI108" s="1294">
        <f t="shared" si="78"/>
        <v>153.11142658592837</v>
      </c>
      <c r="BJ108" s="1295">
        <f t="shared" si="79"/>
        <v>1503.0683700431398</v>
      </c>
      <c r="BK108" s="1327">
        <f t="shared" si="80"/>
        <v>10.258932314695818</v>
      </c>
      <c r="BL108" s="1295">
        <f t="shared" si="49"/>
        <v>1666.4387289437641</v>
      </c>
      <c r="BM108" s="167">
        <v>0</v>
      </c>
      <c r="BN108" s="1317">
        <f t="shared" si="81"/>
        <v>1666.4387289437641</v>
      </c>
    </row>
    <row r="109" spans="1:66">
      <c r="A109" s="1156">
        <f>'Input data'!A139</f>
        <v>2041</v>
      </c>
      <c r="B109" s="1039">
        <f>'Input data'!B139</f>
        <v>71.819000000000003</v>
      </c>
      <c r="C109" s="1130">
        <f>'Recycling - Case 2'!AD119</f>
        <v>0.67206984488050125</v>
      </c>
      <c r="D109" s="1040">
        <f>'Recycling - Case 2'!AM119</f>
        <v>0.2834252604436</v>
      </c>
      <c r="E109" s="1041">
        <f>'Recycling - Case 2'!BE119</f>
        <v>0.17037510887119423</v>
      </c>
      <c r="F109" s="1041">
        <f>'Recycling - Case 2'!BF119</f>
        <v>0.2759496177051679</v>
      </c>
      <c r="G109" s="1041">
        <f>'Recycling - Case 2'!BG119</f>
        <v>5.8958039761752561E-2</v>
      </c>
      <c r="H109" s="1041">
        <f>'Recycling - Case 2'!BH119</f>
        <v>0</v>
      </c>
      <c r="I109" s="1041">
        <f>'Recycling - Case 2'!BI119</f>
        <v>0</v>
      </c>
      <c r="J109" s="1041">
        <f>'Recycling - Case 2'!BJ119</f>
        <v>0</v>
      </c>
      <c r="K109" s="1041">
        <f>'Recycling - Case 2'!BK119</f>
        <v>0.49471723366188552</v>
      </c>
      <c r="L109" s="1042">
        <f t="shared" si="83"/>
        <v>1.0000000000000002</v>
      </c>
      <c r="M109" s="4"/>
      <c r="N109" s="1053">
        <f t="shared" si="50"/>
        <v>13.680195934832607</v>
      </c>
      <c r="O109" s="1048">
        <f>Parameters!R247</f>
        <v>1</v>
      </c>
      <c r="P109" s="1049">
        <f>E109*'MSW characteristics'!$B$28+'MSW characteristics'!$B$29*'4A SWD Case 2'!F109+'4A SWD Case 2'!G109*'MSW characteristics'!$B$30+'MSW characteristics'!$B$31*'4A SWD Case 2'!H109+'4A SWD Case 2'!I109*'MSW characteristics'!$B$32+'MSW characteristics'!$B$33*'4A SWD Case 2'!J109+'4A SWD Case 2'!K109*'MSW characteristics'!$B$35</f>
        <v>0.10432940577641374</v>
      </c>
      <c r="Q109" s="1047">
        <f t="shared" si="51"/>
        <v>0.71362335639299834</v>
      </c>
      <c r="R109" s="1047">
        <f t="shared" si="52"/>
        <v>0.71362335639299834</v>
      </c>
      <c r="S109" s="1050">
        <f t="shared" si="53"/>
        <v>0</v>
      </c>
      <c r="T109" s="1047">
        <f t="shared" si="54"/>
        <v>4262.3882391778634</v>
      </c>
      <c r="U109" s="1047">
        <f t="shared" si="55"/>
        <v>218.50072995103778</v>
      </c>
      <c r="V109" s="1054">
        <f t="shared" si="56"/>
        <v>145.66715330069187</v>
      </c>
      <c r="W109" s="4"/>
      <c r="X109" s="1067">
        <f>'Recycling - Case 2'!C159*'Recycling - Case 2'!W159*'Recycling - Case 2'!AE159</f>
        <v>23708.402209780983</v>
      </c>
      <c r="Y109" s="1068">
        <f>Parameters!S246</f>
        <v>0.71500000000000008</v>
      </c>
      <c r="Z109" s="1068">
        <f t="shared" si="57"/>
        <v>0.15</v>
      </c>
      <c r="AA109" s="1069">
        <f t="shared" si="58"/>
        <v>1271.3630684995053</v>
      </c>
      <c r="AB109" s="1069">
        <f t="shared" si="59"/>
        <v>1271.3630684995053</v>
      </c>
      <c r="AC109" s="1070">
        <f t="shared" si="60"/>
        <v>0</v>
      </c>
      <c r="AD109" s="1069">
        <f t="shared" si="61"/>
        <v>41065.277864638185</v>
      </c>
      <c r="AE109" s="1069">
        <f t="shared" si="62"/>
        <v>2040.277640692115</v>
      </c>
      <c r="AF109" s="1071">
        <f t="shared" si="63"/>
        <v>1360.1850937947434</v>
      </c>
      <c r="AG109" s="4"/>
      <c r="AH109" s="1067">
        <f>'Recycling - Case 2'!C199*'Recycling - Case 2'!W199*'Recycling - Case 2'!AE199</f>
        <v>34875.655367676191</v>
      </c>
      <c r="AI109" s="1068">
        <f>Parameters!S246</f>
        <v>0.71500000000000008</v>
      </c>
      <c r="AJ109" s="1068">
        <f t="shared" si="64"/>
        <v>0.15</v>
      </c>
      <c r="AK109" s="1069">
        <f t="shared" si="65"/>
        <v>1870.2070190916359</v>
      </c>
      <c r="AL109" s="1069">
        <f t="shared" si="66"/>
        <v>1870.2070190916359</v>
      </c>
      <c r="AM109" s="1070">
        <f t="shared" si="67"/>
        <v>0</v>
      </c>
      <c r="AN109" s="1069">
        <f t="shared" si="68"/>
        <v>45469.917670521398</v>
      </c>
      <c r="AO109" s="1069">
        <f t="shared" si="69"/>
        <v>2235.404966776217</v>
      </c>
      <c r="AP109" s="1071">
        <f t="shared" si="70"/>
        <v>1490.2699778508113</v>
      </c>
      <c r="AQ109" s="4"/>
      <c r="AR109" s="1281">
        <f>'Recycling - Case 2'!G119</f>
        <v>807.27742121229016</v>
      </c>
      <c r="AS109" s="1282">
        <v>1</v>
      </c>
      <c r="AT109" s="1282">
        <f t="shared" si="71"/>
        <v>0.05</v>
      </c>
      <c r="AU109" s="1283">
        <f t="shared" si="72"/>
        <v>20.181935530307257</v>
      </c>
      <c r="AV109" s="1283">
        <f t="shared" si="73"/>
        <v>20.181935530307257</v>
      </c>
      <c r="AW109" s="1284">
        <f t="shared" si="74"/>
        <v>0</v>
      </c>
      <c r="AX109" s="1283">
        <f t="shared" si="42"/>
        <v>273.43486178199726</v>
      </c>
      <c r="AY109" s="1283">
        <f t="shared" si="47"/>
        <v>15.660286361911155</v>
      </c>
      <c r="AZ109" s="1285">
        <f t="shared" si="45"/>
        <v>10.440190907940769</v>
      </c>
      <c r="BA109" s="4"/>
      <c r="BB109" s="1294">
        <f t="shared" si="75"/>
        <v>145.66715330069187</v>
      </c>
      <c r="BC109" s="1295">
        <f t="shared" si="76"/>
        <v>1360.1850937947434</v>
      </c>
      <c r="BD109" s="1327">
        <f t="shared" si="84"/>
        <v>10.440190907940769</v>
      </c>
      <c r="BE109" s="1295">
        <f t="shared" si="48"/>
        <v>1516.292438003376</v>
      </c>
      <c r="BF109" s="167">
        <v>0</v>
      </c>
      <c r="BG109" s="1317">
        <f t="shared" si="77"/>
        <v>1516.292438003376</v>
      </c>
      <c r="BI109" s="1294">
        <f t="shared" si="78"/>
        <v>145.66715330069187</v>
      </c>
      <c r="BJ109" s="1295">
        <f t="shared" si="79"/>
        <v>1490.2699778508113</v>
      </c>
      <c r="BK109" s="1327">
        <f t="shared" si="80"/>
        <v>10.440190907940769</v>
      </c>
      <c r="BL109" s="1295">
        <f t="shared" si="49"/>
        <v>1646.3773220594439</v>
      </c>
      <c r="BM109" s="167">
        <v>0</v>
      </c>
      <c r="BN109" s="1317">
        <f t="shared" si="81"/>
        <v>1646.3773220594439</v>
      </c>
    </row>
    <row r="110" spans="1:66">
      <c r="A110" s="1156">
        <f>'Input data'!A140</f>
        <v>2042</v>
      </c>
      <c r="B110" s="1039">
        <f>'Input data'!B140</f>
        <v>72.265000000000001</v>
      </c>
      <c r="C110" s="1130">
        <f>'Recycling - Case 2'!AD120</f>
        <v>0.67206984488050125</v>
      </c>
      <c r="D110" s="1040">
        <f>'Recycling - Case 2'!AM120</f>
        <v>0.2834252604436</v>
      </c>
      <c r="E110" s="1041">
        <f>'Recycling - Case 2'!BE120</f>
        <v>0.17037510887119423</v>
      </c>
      <c r="F110" s="1041">
        <f>'Recycling - Case 2'!BF120</f>
        <v>0.2759496177051679</v>
      </c>
      <c r="G110" s="1041">
        <f>'Recycling - Case 2'!BG120</f>
        <v>5.8958039761752561E-2</v>
      </c>
      <c r="H110" s="1041">
        <f>'Recycling - Case 2'!BH120</f>
        <v>0</v>
      </c>
      <c r="I110" s="1041">
        <f>'Recycling - Case 2'!BI120</f>
        <v>0</v>
      </c>
      <c r="J110" s="1041">
        <f>'Recycling - Case 2'!BJ120</f>
        <v>0</v>
      </c>
      <c r="K110" s="1041">
        <f>'Recycling - Case 2'!BK120</f>
        <v>0.49471723366188552</v>
      </c>
      <c r="L110" s="1042">
        <f t="shared" si="83"/>
        <v>1.0000000000000002</v>
      </c>
      <c r="M110" s="4"/>
      <c r="N110" s="1053">
        <f t="shared" si="50"/>
        <v>13.765150715419017</v>
      </c>
      <c r="O110" s="1048">
        <f>Parameters!R248</f>
        <v>1</v>
      </c>
      <c r="P110" s="1049">
        <f>E110*'MSW characteristics'!$B$28+'MSW characteristics'!$B$29*'4A SWD Case 2'!F110+'4A SWD Case 2'!G110*'MSW characteristics'!$B$30+'MSW characteristics'!$B$31*'4A SWD Case 2'!H110+'4A SWD Case 2'!I110*'MSW characteristics'!$B$32+'MSW characteristics'!$B$33*'4A SWD Case 2'!J110+'4A SWD Case 2'!K110*'MSW characteristics'!$B$35</f>
        <v>0.10432940577641374</v>
      </c>
      <c r="Q110" s="1047">
        <f t="shared" si="51"/>
        <v>0.71805499728122124</v>
      </c>
      <c r="R110" s="1047">
        <f t="shared" si="52"/>
        <v>0.71805499728122124</v>
      </c>
      <c r="S110" s="1050">
        <f t="shared" si="53"/>
        <v>0</v>
      </c>
      <c r="T110" s="1047">
        <f t="shared" si="54"/>
        <v>4055.2271667490522</v>
      </c>
      <c r="U110" s="1047">
        <f t="shared" si="55"/>
        <v>207.87912742609262</v>
      </c>
      <c r="V110" s="1054">
        <f t="shared" si="56"/>
        <v>138.58608495072841</v>
      </c>
      <c r="W110" s="4"/>
      <c r="X110" s="1067">
        <f>'Recycling - Case 2'!C160*'Recycling - Case 2'!W160*'Recycling - Case 2'!AE160</f>
        <v>24460.690678519964</v>
      </c>
      <c r="Y110" s="1068">
        <f>Parameters!S247</f>
        <v>0.71500000000000008</v>
      </c>
      <c r="Z110" s="1068">
        <f t="shared" si="57"/>
        <v>0.15</v>
      </c>
      <c r="AA110" s="1069">
        <f t="shared" si="58"/>
        <v>1311.7045376356332</v>
      </c>
      <c r="AB110" s="1069">
        <f t="shared" si="59"/>
        <v>1311.7045376356332</v>
      </c>
      <c r="AC110" s="1070">
        <f t="shared" si="60"/>
        <v>0</v>
      </c>
      <c r="AD110" s="1069">
        <f t="shared" si="61"/>
        <v>40374.205167777327</v>
      </c>
      <c r="AE110" s="1069">
        <f t="shared" si="62"/>
        <v>2002.7772344964942</v>
      </c>
      <c r="AF110" s="1071">
        <f t="shared" si="63"/>
        <v>1335.1848229976629</v>
      </c>
      <c r="AG110" s="4"/>
      <c r="AH110" s="1067">
        <f>'Recycling - Case 2'!C200*'Recycling - Case 2'!W200*'Recycling - Case 2'!AE200</f>
        <v>35055.218652097174</v>
      </c>
      <c r="AI110" s="1068">
        <f>Parameters!S247</f>
        <v>0.71500000000000008</v>
      </c>
      <c r="AJ110" s="1068">
        <f t="shared" si="64"/>
        <v>0.15</v>
      </c>
      <c r="AK110" s="1069">
        <f t="shared" si="65"/>
        <v>1879.8361002187112</v>
      </c>
      <c r="AL110" s="1069">
        <f t="shared" si="66"/>
        <v>1879.8361002187112</v>
      </c>
      <c r="AM110" s="1070">
        <f t="shared" si="67"/>
        <v>0</v>
      </c>
      <c r="AN110" s="1069">
        <f t="shared" si="68"/>
        <v>45132.159718043622</v>
      </c>
      <c r="AO110" s="1069">
        <f t="shared" si="69"/>
        <v>2217.5940526964819</v>
      </c>
      <c r="AP110" s="1071">
        <f t="shared" si="70"/>
        <v>1478.3960351309879</v>
      </c>
      <c r="AQ110" s="4"/>
      <c r="AR110" s="1281">
        <f>'Recycling - Case 2'!G120</f>
        <v>812.29065907219729</v>
      </c>
      <c r="AS110" s="1282">
        <v>1</v>
      </c>
      <c r="AT110" s="1282">
        <f t="shared" si="71"/>
        <v>0.05</v>
      </c>
      <c r="AU110" s="1283">
        <f t="shared" si="72"/>
        <v>20.307266476804934</v>
      </c>
      <c r="AV110" s="1283">
        <f t="shared" si="73"/>
        <v>20.307266476804934</v>
      </c>
      <c r="AW110" s="1284">
        <f t="shared" si="74"/>
        <v>0</v>
      </c>
      <c r="AX110" s="1283">
        <f t="shared" si="42"/>
        <v>277.8185215486011</v>
      </c>
      <c r="AY110" s="1283">
        <f t="shared" si="47"/>
        <v>15.923606710201094</v>
      </c>
      <c r="AZ110" s="1285">
        <f t="shared" si="45"/>
        <v>10.615737806800729</v>
      </c>
      <c r="BA110" s="4"/>
      <c r="BB110" s="1294">
        <f t="shared" si="75"/>
        <v>138.58608495072841</v>
      </c>
      <c r="BC110" s="1295">
        <f t="shared" si="76"/>
        <v>1335.1848229976629</v>
      </c>
      <c r="BD110" s="1327">
        <f t="shared" si="84"/>
        <v>10.615737806800729</v>
      </c>
      <c r="BE110" s="1295">
        <f t="shared" si="48"/>
        <v>1484.3866457551921</v>
      </c>
      <c r="BF110" s="167">
        <v>0</v>
      </c>
      <c r="BG110" s="1317">
        <f t="shared" si="77"/>
        <v>1484.3866457551921</v>
      </c>
      <c r="BI110" s="1294">
        <f t="shared" si="78"/>
        <v>138.58608495072841</v>
      </c>
      <c r="BJ110" s="1295">
        <f t="shared" si="79"/>
        <v>1478.3960351309879</v>
      </c>
      <c r="BK110" s="1327">
        <f t="shared" si="80"/>
        <v>10.615737806800729</v>
      </c>
      <c r="BL110" s="1295">
        <f t="shared" si="49"/>
        <v>1627.5978578885172</v>
      </c>
      <c r="BM110" s="167">
        <v>0</v>
      </c>
      <c r="BN110" s="1317">
        <f t="shared" si="81"/>
        <v>1627.5978578885172</v>
      </c>
    </row>
    <row r="111" spans="1:66">
      <c r="A111" s="1156">
        <f>'Input data'!A141</f>
        <v>2043</v>
      </c>
      <c r="B111" s="1039">
        <f>'Input data'!B141</f>
        <v>72.713999999999999</v>
      </c>
      <c r="C111" s="1130">
        <f>'Recycling - Case 2'!AD121</f>
        <v>0.67206984488050125</v>
      </c>
      <c r="D111" s="1040">
        <f>'Recycling - Case 2'!AM121</f>
        <v>0.2834252604436</v>
      </c>
      <c r="E111" s="1041">
        <f>'Recycling - Case 2'!BE121</f>
        <v>0.17037510887119423</v>
      </c>
      <c r="F111" s="1041">
        <f>'Recycling - Case 2'!BF121</f>
        <v>0.2759496177051679</v>
      </c>
      <c r="G111" s="1041">
        <f>'Recycling - Case 2'!BG121</f>
        <v>5.8958039761752561E-2</v>
      </c>
      <c r="H111" s="1041">
        <f>'Recycling - Case 2'!BH121</f>
        <v>0</v>
      </c>
      <c r="I111" s="1041">
        <f>'Recycling - Case 2'!BI121</f>
        <v>0</v>
      </c>
      <c r="J111" s="1041">
        <f>'Recycling - Case 2'!BJ121</f>
        <v>0</v>
      </c>
      <c r="K111" s="1041">
        <f>'Recycling - Case 2'!BK121</f>
        <v>0.49471723366188552</v>
      </c>
      <c r="L111" s="1042">
        <f t="shared" si="83"/>
        <v>1.0000000000000002</v>
      </c>
      <c r="M111" s="4"/>
      <c r="N111" s="1053">
        <f t="shared" si="50"/>
        <v>13.850676940717889</v>
      </c>
      <c r="O111" s="1048">
        <f>Parameters!R249</f>
        <v>1</v>
      </c>
      <c r="P111" s="1049">
        <f>E111*'MSW characteristics'!$B$28+'MSW characteristics'!$B$29*'4A SWD Case 2'!F111+'4A SWD Case 2'!G111*'MSW characteristics'!$B$30+'MSW characteristics'!$B$31*'4A SWD Case 2'!H111+'4A SWD Case 2'!I111*'MSW characteristics'!$B$32+'MSW characteristics'!$B$33*'4A SWD Case 2'!J111+'4A SWD Case 2'!K111*'MSW characteristics'!$B$35</f>
        <v>0.10432940577641374</v>
      </c>
      <c r="Q111" s="1047">
        <f t="shared" si="51"/>
        <v>0.72251644741308674</v>
      </c>
      <c r="R111" s="1047">
        <f t="shared" si="52"/>
        <v>0.72251644741308674</v>
      </c>
      <c r="S111" s="1050">
        <f t="shared" si="53"/>
        <v>0</v>
      </c>
      <c r="T111" s="1047">
        <f t="shared" si="54"/>
        <v>3858.1739204937749</v>
      </c>
      <c r="U111" s="1047">
        <f t="shared" si="55"/>
        <v>197.77576270269026</v>
      </c>
      <c r="V111" s="1054">
        <f t="shared" si="56"/>
        <v>131.85050846846016</v>
      </c>
      <c r="W111" s="4"/>
      <c r="X111" s="1067">
        <f>'Recycling - Case 2'!C161*'Recycling - Case 2'!W161*'Recycling - Case 2'!AE161</f>
        <v>25241.880678428199</v>
      </c>
      <c r="Y111" s="1068">
        <f>Parameters!S248</f>
        <v>0.71500000000000008</v>
      </c>
      <c r="Z111" s="1068">
        <f t="shared" si="57"/>
        <v>0.15</v>
      </c>
      <c r="AA111" s="1069">
        <f t="shared" si="58"/>
        <v>1353.5958513807122</v>
      </c>
      <c r="AB111" s="1069">
        <f t="shared" si="59"/>
        <v>1353.5958513807122</v>
      </c>
      <c r="AC111" s="1070">
        <f t="shared" si="60"/>
        <v>0</v>
      </c>
      <c r="AD111" s="1069">
        <f t="shared" si="61"/>
        <v>39758.727797799293</v>
      </c>
      <c r="AE111" s="1069">
        <f t="shared" si="62"/>
        <v>1969.0732213587464</v>
      </c>
      <c r="AF111" s="1071">
        <f t="shared" si="63"/>
        <v>1312.7154809058309</v>
      </c>
      <c r="AG111" s="4"/>
      <c r="AH111" s="1067">
        <f>'Recycling - Case 2'!C201*'Recycling - Case 2'!W201*'Recycling - Case 2'!AE201</f>
        <v>35241.68042569777</v>
      </c>
      <c r="AI111" s="1068">
        <f>Parameters!S248</f>
        <v>0.71500000000000008</v>
      </c>
      <c r="AJ111" s="1068">
        <f t="shared" si="64"/>
        <v>0.15</v>
      </c>
      <c r="AK111" s="1069">
        <f t="shared" si="65"/>
        <v>1889.8351128280433</v>
      </c>
      <c r="AL111" s="1069">
        <f t="shared" si="66"/>
        <v>1889.8351128280433</v>
      </c>
      <c r="AM111" s="1070">
        <f t="shared" si="67"/>
        <v>0</v>
      </c>
      <c r="AN111" s="1069">
        <f t="shared" si="68"/>
        <v>44820.873427896986</v>
      </c>
      <c r="AO111" s="1069">
        <f t="shared" si="69"/>
        <v>2201.1214029746802</v>
      </c>
      <c r="AP111" s="1071">
        <f t="shared" si="70"/>
        <v>1467.4142686497869</v>
      </c>
      <c r="AQ111" s="4"/>
      <c r="AR111" s="1281">
        <f>'Recycling - Case 2'!G121</f>
        <v>817.33761826300088</v>
      </c>
      <c r="AS111" s="1282">
        <v>1</v>
      </c>
      <c r="AT111" s="1282">
        <f t="shared" si="71"/>
        <v>0.05</v>
      </c>
      <c r="AU111" s="1283">
        <f t="shared" si="72"/>
        <v>20.433440456575024</v>
      </c>
      <c r="AV111" s="1283">
        <f t="shared" si="73"/>
        <v>20.433440456575024</v>
      </c>
      <c r="AW111" s="1284">
        <f t="shared" si="74"/>
        <v>0</v>
      </c>
      <c r="AX111" s="1283">
        <f t="shared" si="42"/>
        <v>282.07307082385887</v>
      </c>
      <c r="AY111" s="1283">
        <f t="shared" si="47"/>
        <v>16.178891181317233</v>
      </c>
      <c r="AZ111" s="1285">
        <f t="shared" si="45"/>
        <v>10.785927454211489</v>
      </c>
      <c r="BA111" s="4"/>
      <c r="BB111" s="1294">
        <f t="shared" si="75"/>
        <v>131.85050846846016</v>
      </c>
      <c r="BC111" s="1295">
        <f t="shared" si="76"/>
        <v>1312.7154809058309</v>
      </c>
      <c r="BD111" s="1327">
        <f t="shared" si="84"/>
        <v>10.785927454211489</v>
      </c>
      <c r="BE111" s="1295">
        <f t="shared" si="48"/>
        <v>1455.3519168285027</v>
      </c>
      <c r="BF111" s="167">
        <v>0</v>
      </c>
      <c r="BG111" s="1317">
        <f t="shared" si="77"/>
        <v>1455.3519168285027</v>
      </c>
      <c r="BI111" s="1294">
        <f t="shared" si="78"/>
        <v>131.85050846846016</v>
      </c>
      <c r="BJ111" s="1295">
        <f t="shared" si="79"/>
        <v>1467.4142686497869</v>
      </c>
      <c r="BK111" s="1327">
        <f t="shared" si="80"/>
        <v>10.785927454211489</v>
      </c>
      <c r="BL111" s="1295">
        <f t="shared" si="49"/>
        <v>1610.0507045724587</v>
      </c>
      <c r="BM111" s="167">
        <v>0</v>
      </c>
      <c r="BN111" s="1317">
        <f t="shared" si="81"/>
        <v>1610.0507045724587</v>
      </c>
    </row>
    <row r="112" spans="1:66">
      <c r="A112" s="1156">
        <f>'Input data'!A142</f>
        <v>2044</v>
      </c>
      <c r="B112" s="1039">
        <f>'Input data'!B142</f>
        <v>73.165000000000006</v>
      </c>
      <c r="C112" s="1130">
        <f>'Recycling - Case 2'!AD122</f>
        <v>0.67206984488050125</v>
      </c>
      <c r="D112" s="1040">
        <f>'Recycling - Case 2'!AM122</f>
        <v>0.2834252604436</v>
      </c>
      <c r="E112" s="1041">
        <f>'Recycling - Case 2'!BE122</f>
        <v>0.17037510887119423</v>
      </c>
      <c r="F112" s="1041">
        <f>'Recycling - Case 2'!BF122</f>
        <v>0.2759496177051679</v>
      </c>
      <c r="G112" s="1041">
        <f>'Recycling - Case 2'!BG122</f>
        <v>5.8958039761752561E-2</v>
      </c>
      <c r="H112" s="1041">
        <f>'Recycling - Case 2'!BH122</f>
        <v>0</v>
      </c>
      <c r="I112" s="1041">
        <f>'Recycling - Case 2'!BI122</f>
        <v>0</v>
      </c>
      <c r="J112" s="1041">
        <f>'Recycling - Case 2'!BJ122</f>
        <v>0</v>
      </c>
      <c r="K112" s="1041">
        <f>'Recycling - Case 2'!BK122</f>
        <v>0.49471723366188552</v>
      </c>
      <c r="L112" s="1042">
        <f t="shared" si="83"/>
        <v>1.0000000000000002</v>
      </c>
      <c r="M112" s="4"/>
      <c r="N112" s="1053">
        <f t="shared" si="50"/>
        <v>13.936584129158408</v>
      </c>
      <c r="O112" s="1048">
        <f>Parameters!R250</f>
        <v>1</v>
      </c>
      <c r="P112" s="1049">
        <f>E112*'MSW characteristics'!$B$28+'MSW characteristics'!$B$29*'4A SWD Case 2'!F112+'4A SWD Case 2'!G112*'MSW characteristics'!$B$30+'MSW characteristics'!$B$31*'4A SWD Case 2'!H112+'4A SWD Case 2'!I112*'MSW characteristics'!$B$32+'MSW characteristics'!$B$33*'4A SWD Case 2'!J112+'4A SWD Case 2'!K112*'MSW characteristics'!$B$35</f>
        <v>0.10432940577641374</v>
      </c>
      <c r="Q112" s="1047">
        <f t="shared" si="51"/>
        <v>0.72699777037404767</v>
      </c>
      <c r="R112" s="1047">
        <f t="shared" si="52"/>
        <v>0.72699777037404767</v>
      </c>
      <c r="S112" s="1050">
        <f t="shared" si="53"/>
        <v>0</v>
      </c>
      <c r="T112" s="1047">
        <f t="shared" si="54"/>
        <v>3670.7355557853311</v>
      </c>
      <c r="U112" s="1047">
        <f t="shared" si="55"/>
        <v>188.16536247881785</v>
      </c>
      <c r="V112" s="1054">
        <f t="shared" si="56"/>
        <v>125.44357498587857</v>
      </c>
      <c r="W112" s="4"/>
      <c r="X112" s="1067">
        <f>'Recycling - Case 2'!C162*'Recycling - Case 2'!W162*'Recycling - Case 2'!AE162</f>
        <v>26056.168353509111</v>
      </c>
      <c r="Y112" s="1068">
        <f>Parameters!S249</f>
        <v>0.71500000000000008</v>
      </c>
      <c r="Z112" s="1068">
        <f t="shared" si="57"/>
        <v>0.15</v>
      </c>
      <c r="AA112" s="1069">
        <f t="shared" si="58"/>
        <v>1397.2620279569262</v>
      </c>
      <c r="AB112" s="1069">
        <f t="shared" si="59"/>
        <v>1397.2620279569262</v>
      </c>
      <c r="AC112" s="1070">
        <f t="shared" si="60"/>
        <v>0</v>
      </c>
      <c r="AD112" s="1069">
        <f t="shared" si="61"/>
        <v>39216.933789938084</v>
      </c>
      <c r="AE112" s="1069">
        <f t="shared" si="62"/>
        <v>1939.0560358181308</v>
      </c>
      <c r="AF112" s="1071">
        <f t="shared" si="63"/>
        <v>1292.7040238787538</v>
      </c>
      <c r="AG112" s="4"/>
      <c r="AH112" s="1067">
        <f>'Recycling - Case 2'!C202*'Recycling - Case 2'!W202*'Recycling - Case 2'!AE202</f>
        <v>35436.042263579126</v>
      </c>
      <c r="AI112" s="1068">
        <f>Parameters!S249</f>
        <v>0.71500000000000008</v>
      </c>
      <c r="AJ112" s="1068">
        <f t="shared" si="64"/>
        <v>0.15</v>
      </c>
      <c r="AK112" s="1069">
        <f t="shared" si="65"/>
        <v>1900.2577663844306</v>
      </c>
      <c r="AL112" s="1069">
        <f t="shared" si="66"/>
        <v>1900.2577663844306</v>
      </c>
      <c r="AM112" s="1070">
        <f t="shared" si="67"/>
        <v>0</v>
      </c>
      <c r="AN112" s="1069">
        <f t="shared" si="68"/>
        <v>44535.191402822224</v>
      </c>
      <c r="AO112" s="1069">
        <f t="shared" si="69"/>
        <v>2185.9397914591909</v>
      </c>
      <c r="AP112" s="1071">
        <f t="shared" si="70"/>
        <v>1457.2931943061274</v>
      </c>
      <c r="AQ112" s="4"/>
      <c r="AR112" s="1281">
        <f>'Recycling - Case 2'!G122</f>
        <v>822.4070583410687</v>
      </c>
      <c r="AS112" s="1282">
        <v>1</v>
      </c>
      <c r="AT112" s="1282">
        <f t="shared" si="71"/>
        <v>0.05</v>
      </c>
      <c r="AU112" s="1283">
        <f t="shared" si="72"/>
        <v>20.560176458526719</v>
      </c>
      <c r="AV112" s="1283">
        <f t="shared" si="73"/>
        <v>20.560176458526719</v>
      </c>
      <c r="AW112" s="1284">
        <f t="shared" si="74"/>
        <v>0</v>
      </c>
      <c r="AX112" s="1283">
        <f t="shared" ref="AX112:AX118" si="85">AV112+(AX111*$E$8)</f>
        <v>286.20659043963491</v>
      </c>
      <c r="AY112" s="1283">
        <f t="shared" si="47"/>
        <v>16.426656842750667</v>
      </c>
      <c r="AZ112" s="1285">
        <f t="shared" si="45"/>
        <v>10.951104561833779</v>
      </c>
      <c r="BA112" s="4"/>
      <c r="BB112" s="1294">
        <f t="shared" si="75"/>
        <v>125.44357498587857</v>
      </c>
      <c r="BC112" s="1295">
        <f t="shared" si="76"/>
        <v>1292.7040238787538</v>
      </c>
      <c r="BD112" s="1327">
        <f t="shared" si="84"/>
        <v>10.951104561833779</v>
      </c>
      <c r="BE112" s="1295">
        <f t="shared" si="48"/>
        <v>1429.098703426466</v>
      </c>
      <c r="BF112" s="167">
        <v>0</v>
      </c>
      <c r="BG112" s="1317">
        <f t="shared" si="77"/>
        <v>1429.098703426466</v>
      </c>
      <c r="BI112" s="1294">
        <f t="shared" si="78"/>
        <v>125.44357498587857</v>
      </c>
      <c r="BJ112" s="1295">
        <f t="shared" si="79"/>
        <v>1457.2931943061274</v>
      </c>
      <c r="BK112" s="1327">
        <f t="shared" si="80"/>
        <v>10.951104561833779</v>
      </c>
      <c r="BL112" s="1295">
        <f t="shared" si="49"/>
        <v>1593.6878738538396</v>
      </c>
      <c r="BM112" s="167">
        <v>0</v>
      </c>
      <c r="BN112" s="1317">
        <f t="shared" si="81"/>
        <v>1593.6878738538396</v>
      </c>
    </row>
    <row r="113" spans="1:66">
      <c r="A113" s="1156">
        <f>'Input data'!A143</f>
        <v>2045</v>
      </c>
      <c r="B113" s="1039">
        <f>'Input data'!B143</f>
        <v>73.62</v>
      </c>
      <c r="C113" s="1130">
        <f>'Recycling - Case 2'!AD123</f>
        <v>0.67206984488050125</v>
      </c>
      <c r="D113" s="1040">
        <f>'Recycling - Case 2'!AM123</f>
        <v>0.2834252604436</v>
      </c>
      <c r="E113" s="1041">
        <f>'Recycling - Case 2'!BE123</f>
        <v>0.17037510887119423</v>
      </c>
      <c r="F113" s="1041">
        <f>'Recycling - Case 2'!BF123</f>
        <v>0.2759496177051679</v>
      </c>
      <c r="G113" s="1041">
        <f>'Recycling - Case 2'!BG123</f>
        <v>5.8958039761752561E-2</v>
      </c>
      <c r="H113" s="1041">
        <f>'Recycling - Case 2'!BH123</f>
        <v>0</v>
      </c>
      <c r="I113" s="1041">
        <f>'Recycling - Case 2'!BI123</f>
        <v>0</v>
      </c>
      <c r="J113" s="1041">
        <f>'Recycling - Case 2'!BJ123</f>
        <v>0</v>
      </c>
      <c r="K113" s="1041">
        <f>'Recycling - Case 2'!BK123</f>
        <v>0.49471723366188552</v>
      </c>
      <c r="L113" s="1042">
        <f t="shared" si="83"/>
        <v>1.0000000000000002</v>
      </c>
      <c r="M113" s="4"/>
      <c r="N113" s="1053">
        <f t="shared" si="50"/>
        <v>14.023253243882213</v>
      </c>
      <c r="O113" s="1048">
        <f>Parameters!R251</f>
        <v>1</v>
      </c>
      <c r="P113" s="1049">
        <f>E113*'MSW characteristics'!$B$28+'MSW characteristics'!$B$29*'4A SWD Case 2'!F113+'4A SWD Case 2'!G113*'MSW characteristics'!$B$30+'MSW characteristics'!$B$31*'4A SWD Case 2'!H113+'4A SWD Case 2'!I113*'MSW characteristics'!$B$32+'MSW characteristics'!$B$33*'4A SWD Case 2'!J113+'4A SWD Case 2'!K113*'MSW characteristics'!$B$35</f>
        <v>0.10432940577641374</v>
      </c>
      <c r="Q113" s="1047">
        <f t="shared" si="51"/>
        <v>0.73151883899319881</v>
      </c>
      <c r="R113" s="1047">
        <f t="shared" si="52"/>
        <v>0.73151883899319881</v>
      </c>
      <c r="S113" s="1050">
        <f t="shared" si="53"/>
        <v>0</v>
      </c>
      <c r="T113" s="1047">
        <f t="shared" si="54"/>
        <v>3492.4431890629821</v>
      </c>
      <c r="U113" s="1047">
        <f t="shared" si="55"/>
        <v>179.02388556134198</v>
      </c>
      <c r="V113" s="1054">
        <f t="shared" si="56"/>
        <v>119.34925704089466</v>
      </c>
      <c r="W113" s="4"/>
      <c r="X113" s="1067">
        <f>'Recycling - Case 2'!C163*'Recycling - Case 2'!W163*'Recycling - Case 2'!AE163</f>
        <v>26920.998347372151</v>
      </c>
      <c r="Y113" s="1068">
        <f>Parameters!S250</f>
        <v>0.71500000000000008</v>
      </c>
      <c r="Z113" s="1068">
        <f t="shared" si="57"/>
        <v>0.15</v>
      </c>
      <c r="AA113" s="1069">
        <f t="shared" si="58"/>
        <v>1443.6385363778318</v>
      </c>
      <c r="AB113" s="1069">
        <f t="shared" si="59"/>
        <v>1443.6385363778318</v>
      </c>
      <c r="AC113" s="1070">
        <f t="shared" si="60"/>
        <v>0</v>
      </c>
      <c r="AD113" s="1069">
        <f t="shared" si="61"/>
        <v>38747.939896063239</v>
      </c>
      <c r="AE113" s="1069">
        <f t="shared" si="62"/>
        <v>1912.632430252675</v>
      </c>
      <c r="AF113" s="1071">
        <f t="shared" si="63"/>
        <v>1275.0882868351166</v>
      </c>
      <c r="AG113" s="4"/>
      <c r="AH113" s="1067">
        <f>'Recycling - Case 2'!C203*'Recycling - Case 2'!W203*'Recycling - Case 2'!AE203</f>
        <v>35642.46801728518</v>
      </c>
      <c r="AI113" s="1068">
        <f>Parameters!S250</f>
        <v>0.71500000000000008</v>
      </c>
      <c r="AJ113" s="1068">
        <f t="shared" si="64"/>
        <v>0.15</v>
      </c>
      <c r="AK113" s="1069">
        <f t="shared" si="65"/>
        <v>1911.3273474269179</v>
      </c>
      <c r="AL113" s="1069">
        <f t="shared" si="66"/>
        <v>1911.3273474269179</v>
      </c>
      <c r="AM113" s="1070">
        <f t="shared" si="67"/>
        <v>0</v>
      </c>
      <c r="AN113" s="1069">
        <f t="shared" si="68"/>
        <v>44274.511835562647</v>
      </c>
      <c r="AO113" s="1069">
        <f t="shared" si="69"/>
        <v>2172.0069146864935</v>
      </c>
      <c r="AP113" s="1071">
        <f t="shared" si="70"/>
        <v>1448.0046097909956</v>
      </c>
      <c r="AQ113" s="4"/>
      <c r="AR113" s="1281">
        <f>'Recycling - Case 2'!G123</f>
        <v>827.52146019366455</v>
      </c>
      <c r="AS113" s="1282">
        <v>1</v>
      </c>
      <c r="AT113" s="1282">
        <f t="shared" si="71"/>
        <v>0.05</v>
      </c>
      <c r="AU113" s="1283">
        <f t="shared" si="72"/>
        <v>20.688036504841616</v>
      </c>
      <c r="AV113" s="1283">
        <f t="shared" si="73"/>
        <v>20.688036504841616</v>
      </c>
      <c r="AW113" s="1284">
        <f t="shared" si="74"/>
        <v>0</v>
      </c>
      <c r="AX113" s="1283">
        <f t="shared" si="85"/>
        <v>290.22725265896247</v>
      </c>
      <c r="AY113" s="1283">
        <f t="shared" si="47"/>
        <v>16.66737428551404</v>
      </c>
      <c r="AZ113" s="1285">
        <f t="shared" si="45"/>
        <v>11.11158285700936</v>
      </c>
      <c r="BA113" s="4"/>
      <c r="BB113" s="1294">
        <f t="shared" si="75"/>
        <v>119.34925704089466</v>
      </c>
      <c r="BC113" s="1295">
        <f t="shared" si="76"/>
        <v>1275.0882868351166</v>
      </c>
      <c r="BD113" s="1327">
        <f t="shared" si="84"/>
        <v>11.11158285700936</v>
      </c>
      <c r="BE113" s="1295">
        <f t="shared" si="48"/>
        <v>1405.5491267330206</v>
      </c>
      <c r="BF113" s="167">
        <v>0</v>
      </c>
      <c r="BG113" s="1317">
        <f t="shared" si="77"/>
        <v>1405.5491267330206</v>
      </c>
      <c r="BI113" s="1294">
        <f t="shared" si="78"/>
        <v>119.34925704089466</v>
      </c>
      <c r="BJ113" s="1295">
        <f t="shared" si="79"/>
        <v>1448.0046097909956</v>
      </c>
      <c r="BK113" s="1327">
        <f t="shared" si="80"/>
        <v>11.11158285700936</v>
      </c>
      <c r="BL113" s="1295">
        <f t="shared" si="49"/>
        <v>1578.4654496888995</v>
      </c>
      <c r="BM113" s="167">
        <v>0</v>
      </c>
      <c r="BN113" s="1317">
        <f t="shared" si="81"/>
        <v>1578.4654496888995</v>
      </c>
    </row>
    <row r="114" spans="1:66">
      <c r="A114" s="1156">
        <f>'Input data'!A144</f>
        <v>2046</v>
      </c>
      <c r="B114" s="1039">
        <f>'Input data'!B144</f>
        <v>73.995000000000005</v>
      </c>
      <c r="C114" s="1130">
        <f>'Recycling - Case 2'!AD124</f>
        <v>0.67206984488050125</v>
      </c>
      <c r="D114" s="1040">
        <f>'Recycling - Case 2'!AM124</f>
        <v>0.2834252604436</v>
      </c>
      <c r="E114" s="1041">
        <f>'Recycling - Case 2'!BE124</f>
        <v>0.17037510887119423</v>
      </c>
      <c r="F114" s="1041">
        <f>'Recycling - Case 2'!BF124</f>
        <v>0.2759496177051679</v>
      </c>
      <c r="G114" s="1041">
        <f>'Recycling - Case 2'!BG124</f>
        <v>5.8958039761752561E-2</v>
      </c>
      <c r="H114" s="1041">
        <f>'Recycling - Case 2'!BH124</f>
        <v>0</v>
      </c>
      <c r="I114" s="1041">
        <f>'Recycling - Case 2'!BI124</f>
        <v>0</v>
      </c>
      <c r="J114" s="1041">
        <f>'Recycling - Case 2'!BJ124</f>
        <v>0</v>
      </c>
      <c r="K114" s="1041">
        <f>'Recycling - Case 2'!BK124</f>
        <v>0.49471723366188552</v>
      </c>
      <c r="L114" s="1042">
        <f t="shared" si="83"/>
        <v>1.0000000000000002</v>
      </c>
      <c r="M114" s="4"/>
      <c r="N114" s="1053">
        <f t="shared" si="50"/>
        <v>14.094683832940293</v>
      </c>
      <c r="O114" s="1048">
        <f>Parameters!R252</f>
        <v>1</v>
      </c>
      <c r="P114" s="1049">
        <f>E114*'MSW characteristics'!$B$28+'MSW characteristics'!$B$29*'4A SWD Case 2'!F114+'4A SWD Case 2'!G114*'MSW characteristics'!$B$30+'MSW characteristics'!$B$31*'4A SWD Case 2'!H114+'4A SWD Case 2'!I114*'MSW characteristics'!$B$32+'MSW characteristics'!$B$33*'4A SWD Case 2'!J114+'4A SWD Case 2'!K114*'MSW characteristics'!$B$35</f>
        <v>0.10432940577641374</v>
      </c>
      <c r="Q114" s="1047">
        <f t="shared" si="51"/>
        <v>0.73524499444854319</v>
      </c>
      <c r="R114" s="1047">
        <f t="shared" si="52"/>
        <v>0.73524499444854319</v>
      </c>
      <c r="S114" s="1050">
        <f t="shared" si="53"/>
        <v>0</v>
      </c>
      <c r="T114" s="1047">
        <f>R114+(T113*$C$8)</f>
        <v>3322.8499698282676</v>
      </c>
      <c r="U114" s="1047">
        <f t="shared" si="55"/>
        <v>170.32846422916327</v>
      </c>
      <c r="V114" s="1054">
        <f t="shared" si="56"/>
        <v>113.55230948610885</v>
      </c>
      <c r="W114" s="4"/>
      <c r="X114" s="1067">
        <f>'Recycling - Case 2'!C164*'Recycling - Case 2'!W164*'Recycling - Case 2'!AE164</f>
        <v>27828.591291921239</v>
      </c>
      <c r="Y114" s="1068">
        <f>Parameters!S251</f>
        <v>0.71500000000000008</v>
      </c>
      <c r="Z114" s="1068">
        <f t="shared" si="57"/>
        <v>0.15</v>
      </c>
      <c r="AA114" s="1069">
        <f t="shared" si="58"/>
        <v>1492.3082080292766</v>
      </c>
      <c r="AB114" s="1069">
        <f t="shared" si="59"/>
        <v>1492.3082080292766</v>
      </c>
      <c r="AC114" s="1070">
        <f t="shared" si="60"/>
        <v>0</v>
      </c>
      <c r="AD114" s="1069">
        <f t="shared" si="61"/>
        <v>38350.488775949765</v>
      </c>
      <c r="AE114" s="1069">
        <f t="shared" si="62"/>
        <v>1889.7593281427478</v>
      </c>
      <c r="AF114" s="1071">
        <f t="shared" si="63"/>
        <v>1259.8395520951651</v>
      </c>
      <c r="AG114" s="4"/>
      <c r="AH114" s="1067">
        <f>'Recycling - Case 2'!C204*'Recycling - Case 2'!W204*'Recycling - Case 2'!AE204</f>
        <v>35859.10083410042</v>
      </c>
      <c r="AI114" s="1068">
        <f>Parameters!S251</f>
        <v>0.71500000000000008</v>
      </c>
      <c r="AJ114" s="1068">
        <f t="shared" si="64"/>
        <v>0.15</v>
      </c>
      <c r="AK114" s="1069">
        <f t="shared" si="65"/>
        <v>1922.9442822286353</v>
      </c>
      <c r="AL114" s="1069">
        <f t="shared" si="66"/>
        <v>1922.9442822286353</v>
      </c>
      <c r="AM114" s="1070">
        <f t="shared" si="67"/>
        <v>0</v>
      </c>
      <c r="AN114" s="1069">
        <f t="shared" si="68"/>
        <v>44038.162695620944</v>
      </c>
      <c r="AO114" s="1069">
        <f t="shared" si="69"/>
        <v>2159.293422170339</v>
      </c>
      <c r="AP114" s="1071">
        <f t="shared" si="70"/>
        <v>1439.5289481135594</v>
      </c>
      <c r="AQ114" s="4"/>
      <c r="AR114" s="1281">
        <f>'Recycling - Case 2'!G124</f>
        <v>831.73662655569433</v>
      </c>
      <c r="AS114" s="1282">
        <v>1</v>
      </c>
      <c r="AT114" s="1282">
        <f t="shared" si="71"/>
        <v>0.05</v>
      </c>
      <c r="AU114" s="1283">
        <f t="shared" si="72"/>
        <v>20.793415663892361</v>
      </c>
      <c r="AV114" s="1283">
        <f t="shared" si="73"/>
        <v>20.793415663892361</v>
      </c>
      <c r="AW114" s="1284">
        <f t="shared" si="74"/>
        <v>0</v>
      </c>
      <c r="AX114" s="1283">
        <f t="shared" si="85"/>
        <v>294.11914889769804</v>
      </c>
      <c r="AY114" s="1283">
        <f t="shared" si="47"/>
        <v>16.901519425156771</v>
      </c>
      <c r="AZ114" s="1285">
        <f t="shared" si="45"/>
        <v>11.267679616771181</v>
      </c>
      <c r="BA114" s="4"/>
      <c r="BB114" s="1294">
        <f t="shared" si="75"/>
        <v>113.55230948610885</v>
      </c>
      <c r="BC114" s="1295">
        <f t="shared" si="76"/>
        <v>1259.8395520951651</v>
      </c>
      <c r="BD114" s="1327">
        <f t="shared" si="84"/>
        <v>11.267679616771181</v>
      </c>
      <c r="BE114" s="1295">
        <f t="shared" si="48"/>
        <v>1384.6595411980452</v>
      </c>
      <c r="BF114" s="167">
        <v>0</v>
      </c>
      <c r="BG114" s="1317">
        <f t="shared" si="77"/>
        <v>1384.6595411980452</v>
      </c>
      <c r="BI114" s="1294">
        <f t="shared" si="78"/>
        <v>113.55230948610885</v>
      </c>
      <c r="BJ114" s="1295">
        <f t="shared" si="79"/>
        <v>1439.5289481135594</v>
      </c>
      <c r="BK114" s="1327">
        <f t="shared" si="80"/>
        <v>11.267679616771181</v>
      </c>
      <c r="BL114" s="1295">
        <f t="shared" si="49"/>
        <v>1564.3489372164395</v>
      </c>
      <c r="BM114" s="167">
        <v>0</v>
      </c>
      <c r="BN114" s="1317">
        <f t="shared" si="81"/>
        <v>1564.3489372164395</v>
      </c>
    </row>
    <row r="115" spans="1:66">
      <c r="A115" s="1156">
        <f>'Input data'!A145</f>
        <v>2047</v>
      </c>
      <c r="B115" s="1039">
        <f>'Input data'!B145</f>
        <v>74.373000000000005</v>
      </c>
      <c r="C115" s="1130">
        <f>'Recycling - Case 2'!AD125</f>
        <v>0.67206984488050125</v>
      </c>
      <c r="D115" s="1040">
        <f>'Recycling - Case 2'!AM125</f>
        <v>0.2834252604436</v>
      </c>
      <c r="E115" s="1041">
        <f>'Recycling - Case 2'!BE125</f>
        <v>0.17037510887119423</v>
      </c>
      <c r="F115" s="1041">
        <f>'Recycling - Case 2'!BF125</f>
        <v>0.2759496177051679</v>
      </c>
      <c r="G115" s="1041">
        <f>'Recycling - Case 2'!BG125</f>
        <v>5.8958039761752561E-2</v>
      </c>
      <c r="H115" s="1041">
        <f>'Recycling - Case 2'!BH125</f>
        <v>0</v>
      </c>
      <c r="I115" s="1041">
        <f>'Recycling - Case 2'!BI125</f>
        <v>0</v>
      </c>
      <c r="J115" s="1041">
        <f>'Recycling - Case 2'!BJ125</f>
        <v>0</v>
      </c>
      <c r="K115" s="1041">
        <f>'Recycling - Case 2'!BK125</f>
        <v>0.49471723366188552</v>
      </c>
      <c r="L115" s="1042">
        <f t="shared" si="83"/>
        <v>1.0000000000000002</v>
      </c>
      <c r="M115" s="4"/>
      <c r="N115" s="1053">
        <f t="shared" si="50"/>
        <v>14.166685866710836</v>
      </c>
      <c r="O115" s="1048">
        <f>Parameters!R253</f>
        <v>1</v>
      </c>
      <c r="P115" s="1049">
        <f>E115*'MSW characteristics'!$B$28+'MSW characteristics'!$B$29*'4A SWD Case 2'!F115+'4A SWD Case 2'!G115*'MSW characteristics'!$B$30+'MSW characteristics'!$B$31*'4A SWD Case 2'!H115+'4A SWD Case 2'!I115*'MSW characteristics'!$B$32+'MSW characteristics'!$B$33*'4A SWD Case 2'!J115+'4A SWD Case 2'!K115*'MSW characteristics'!$B$35</f>
        <v>0.10432940577641374</v>
      </c>
      <c r="Q115" s="1047">
        <f t="shared" si="51"/>
        <v>0.73900095914753017</v>
      </c>
      <c r="R115" s="1047">
        <f t="shared" si="52"/>
        <v>0.73900095914753017</v>
      </c>
      <c r="S115" s="1050">
        <f t="shared" si="53"/>
        <v>0</v>
      </c>
      <c r="T115" s="1047">
        <f t="shared" ref="T115:T118" si="86">R115+(T114*$C$8)</f>
        <v>3161.5316654611056</v>
      </c>
      <c r="U115" s="1047">
        <f t="shared" si="55"/>
        <v>162.05730532630969</v>
      </c>
      <c r="V115" s="1054">
        <f t="shared" si="56"/>
        <v>108.03820355087312</v>
      </c>
      <c r="W115" s="4"/>
      <c r="X115" s="1067">
        <f>'Recycling - Case 2'!C165*'Recycling - Case 2'!W165*'Recycling - Case 2'!AE165</f>
        <v>28779.512959381518</v>
      </c>
      <c r="Y115" s="1068">
        <f>Parameters!S252</f>
        <v>0.71500000000000008</v>
      </c>
      <c r="Z115" s="1068">
        <f t="shared" si="57"/>
        <v>0.15</v>
      </c>
      <c r="AA115" s="1069">
        <f t="shared" si="58"/>
        <v>1543.3013824468342</v>
      </c>
      <c r="AB115" s="1069">
        <f t="shared" si="59"/>
        <v>1543.3013824468342</v>
      </c>
      <c r="AC115" s="1070">
        <f t="shared" si="60"/>
        <v>0</v>
      </c>
      <c r="AD115" s="1069">
        <f t="shared" si="61"/>
        <v>38023.414750114622</v>
      </c>
      <c r="AE115" s="1069">
        <f t="shared" si="62"/>
        <v>1870.3754082819778</v>
      </c>
      <c r="AF115" s="1071">
        <f t="shared" si="63"/>
        <v>1246.9169388546518</v>
      </c>
      <c r="AG115" s="4"/>
      <c r="AH115" s="1067">
        <f>'Recycling - Case 2'!C205*'Recycling - Case 2'!W205*'Recycling - Case 2'!AE205</f>
        <v>36086.075757858671</v>
      </c>
      <c r="AI115" s="1068">
        <f>Parameters!S252</f>
        <v>0.71500000000000008</v>
      </c>
      <c r="AJ115" s="1068">
        <f t="shared" si="64"/>
        <v>0.15</v>
      </c>
      <c r="AK115" s="1069">
        <f t="shared" si="65"/>
        <v>1935.1158125151715</v>
      </c>
      <c r="AL115" s="1069">
        <f t="shared" si="66"/>
        <v>1935.1158125151715</v>
      </c>
      <c r="AM115" s="1070">
        <f t="shared" si="67"/>
        <v>0</v>
      </c>
      <c r="AN115" s="1069">
        <f t="shared" si="68"/>
        <v>43825.511969539497</v>
      </c>
      <c r="AO115" s="1069">
        <f t="shared" si="69"/>
        <v>2147.7665385966206</v>
      </c>
      <c r="AP115" s="1071">
        <f t="shared" si="70"/>
        <v>1431.8443590644138</v>
      </c>
      <c r="AQ115" s="4"/>
      <c r="AR115" s="1281">
        <f>'Recycling - Case 2'!G125</f>
        <v>835.98551424862012</v>
      </c>
      <c r="AS115" s="1282">
        <v>1</v>
      </c>
      <c r="AT115" s="1282">
        <f t="shared" si="71"/>
        <v>0.05</v>
      </c>
      <c r="AU115" s="1283">
        <f t="shared" si="72"/>
        <v>20.899637856215506</v>
      </c>
      <c r="AV115" s="1283">
        <f t="shared" si="73"/>
        <v>20.899637856215506</v>
      </c>
      <c r="AW115" s="1284">
        <f t="shared" si="74"/>
        <v>0</v>
      </c>
      <c r="AX115" s="1283">
        <f t="shared" si="85"/>
        <v>297.8906209360523</v>
      </c>
      <c r="AY115" s="1283">
        <f t="shared" si="47"/>
        <v>17.128165817861245</v>
      </c>
      <c r="AZ115" s="1285">
        <f t="shared" si="45"/>
        <v>11.418777211907496</v>
      </c>
      <c r="BA115" s="4"/>
      <c r="BB115" s="1294">
        <f t="shared" si="75"/>
        <v>108.03820355087312</v>
      </c>
      <c r="BC115" s="1295">
        <f t="shared" si="76"/>
        <v>1246.9169388546518</v>
      </c>
      <c r="BD115" s="1327">
        <f t="shared" si="84"/>
        <v>11.418777211907496</v>
      </c>
      <c r="BE115" s="1295">
        <f t="shared" si="48"/>
        <v>1366.3739196174324</v>
      </c>
      <c r="BF115" s="167">
        <v>0</v>
      </c>
      <c r="BG115" s="1317">
        <f t="shared" si="77"/>
        <v>1366.3739196174324</v>
      </c>
      <c r="BI115" s="1294">
        <f t="shared" si="78"/>
        <v>108.03820355087312</v>
      </c>
      <c r="BJ115" s="1295">
        <f t="shared" si="79"/>
        <v>1431.8443590644138</v>
      </c>
      <c r="BK115" s="1327">
        <f t="shared" si="80"/>
        <v>11.418777211907496</v>
      </c>
      <c r="BL115" s="1295">
        <f t="shared" si="49"/>
        <v>1551.3013398271944</v>
      </c>
      <c r="BM115" s="167">
        <v>0</v>
      </c>
      <c r="BN115" s="1317">
        <f t="shared" si="81"/>
        <v>1551.3013398271944</v>
      </c>
    </row>
    <row r="116" spans="1:66">
      <c r="A116" s="1156">
        <f>'Input data'!A146</f>
        <v>2048</v>
      </c>
      <c r="B116" s="1039">
        <f>'Input data'!B146</f>
        <v>74.753</v>
      </c>
      <c r="C116" s="1130">
        <f>'Recycling - Case 2'!AD126</f>
        <v>0.67206984488050125</v>
      </c>
      <c r="D116" s="1040">
        <f>'Recycling - Case 2'!AM126</f>
        <v>0.2834252604436</v>
      </c>
      <c r="E116" s="1041">
        <f>'Recycling - Case 2'!BE126</f>
        <v>0.17037510887119423</v>
      </c>
      <c r="F116" s="1041">
        <f>'Recycling - Case 2'!BF126</f>
        <v>0.2759496177051679</v>
      </c>
      <c r="G116" s="1041">
        <f>'Recycling - Case 2'!BG126</f>
        <v>5.8958039761752561E-2</v>
      </c>
      <c r="H116" s="1041">
        <f>'Recycling - Case 2'!BH126</f>
        <v>0</v>
      </c>
      <c r="I116" s="1041">
        <f>'Recycling - Case 2'!BI126</f>
        <v>0</v>
      </c>
      <c r="J116" s="1041">
        <f>'Recycling - Case 2'!BJ126</f>
        <v>0</v>
      </c>
      <c r="K116" s="1041">
        <f>'Recycling - Case 2'!BK126</f>
        <v>0.49471723366188552</v>
      </c>
      <c r="L116" s="1042">
        <f t="shared" si="83"/>
        <v>1.0000000000000002</v>
      </c>
      <c r="M116" s="4"/>
      <c r="N116" s="1053">
        <f t="shared" si="50"/>
        <v>14.239068863623022</v>
      </c>
      <c r="O116" s="1048">
        <f>Parameters!R254</f>
        <v>1</v>
      </c>
      <c r="P116" s="1049">
        <f>E116*'MSW characteristics'!$B$28+'MSW characteristics'!$B$29*'4A SWD Case 2'!F116+'4A SWD Case 2'!G116*'MSW characteristics'!$B$30+'MSW characteristics'!$B$31*'4A SWD Case 2'!H116+'4A SWD Case 2'!I116*'MSW characteristics'!$B$32+'MSW characteristics'!$B$33*'4A SWD Case 2'!J116+'4A SWD Case 2'!K116*'MSW characteristics'!$B$35</f>
        <v>0.10432940577641374</v>
      </c>
      <c r="Q116" s="1047">
        <f t="shared" si="51"/>
        <v>0.74277679667561236</v>
      </c>
      <c r="R116" s="1047">
        <f t="shared" si="52"/>
        <v>0.74277679667561236</v>
      </c>
      <c r="S116" s="1050">
        <f t="shared" si="53"/>
        <v>0</v>
      </c>
      <c r="T116" s="1047">
        <f t="shared" si="86"/>
        <v>3008.0847234740268</v>
      </c>
      <c r="U116" s="1047">
        <f t="shared" si="55"/>
        <v>154.18971878375422</v>
      </c>
      <c r="V116" s="1054">
        <f t="shared" si="56"/>
        <v>102.79314585583614</v>
      </c>
      <c r="W116" s="4"/>
      <c r="X116" s="1067">
        <f>'Recycling - Case 2'!C166*'Recycling - Case 2'!W166*'Recycling - Case 2'!AE166</f>
        <v>29741.372889861817</v>
      </c>
      <c r="Y116" s="1068">
        <f>Parameters!S253</f>
        <v>0.71500000000000008</v>
      </c>
      <c r="Z116" s="1068">
        <f t="shared" si="57"/>
        <v>0.15</v>
      </c>
      <c r="AA116" s="1069">
        <f t="shared" si="58"/>
        <v>1594.88112121884</v>
      </c>
      <c r="AB116" s="1069">
        <f t="shared" si="59"/>
        <v>1594.88112121884</v>
      </c>
      <c r="AC116" s="1070">
        <f t="shared" si="60"/>
        <v>0</v>
      </c>
      <c r="AD116" s="1069">
        <f t="shared" si="61"/>
        <v>37763.872051522332</v>
      </c>
      <c r="AE116" s="1069">
        <f t="shared" si="62"/>
        <v>1854.4238198111295</v>
      </c>
      <c r="AF116" s="1071">
        <f t="shared" si="63"/>
        <v>1236.2825465407529</v>
      </c>
      <c r="AG116" s="4"/>
      <c r="AH116" s="1067">
        <f>'Recycling - Case 2'!C206*'Recycling - Case 2'!W206*'Recycling - Case 2'!AE206</f>
        <v>36315.661529071534</v>
      </c>
      <c r="AI116" s="1068">
        <f>Parameters!S253</f>
        <v>0.71500000000000008</v>
      </c>
      <c r="AJ116" s="1068">
        <f t="shared" si="64"/>
        <v>0.15</v>
      </c>
      <c r="AK116" s="1069">
        <f t="shared" si="65"/>
        <v>1947.4273494964611</v>
      </c>
      <c r="AL116" s="1069">
        <f t="shared" si="66"/>
        <v>1947.4273494964611</v>
      </c>
      <c r="AM116" s="1070">
        <f t="shared" si="67"/>
        <v>0</v>
      </c>
      <c r="AN116" s="1069">
        <f t="shared" si="68"/>
        <v>43635.54387873067</v>
      </c>
      <c r="AO116" s="1069">
        <f t="shared" si="69"/>
        <v>2137.3954403052876</v>
      </c>
      <c r="AP116" s="1071">
        <f t="shared" si="70"/>
        <v>1424.9302935368585</v>
      </c>
      <c r="AQ116" s="4"/>
      <c r="AR116" s="1281">
        <f>'Recycling - Case 2'!G126</f>
        <v>840.25688282881026</v>
      </c>
      <c r="AS116" s="1282">
        <v>1</v>
      </c>
      <c r="AT116" s="1282">
        <f t="shared" si="71"/>
        <v>0.05</v>
      </c>
      <c r="AU116" s="1283">
        <f t="shared" si="72"/>
        <v>21.006422070720259</v>
      </c>
      <c r="AV116" s="1283">
        <f t="shared" si="73"/>
        <v>21.006422070720259</v>
      </c>
      <c r="AW116" s="1284">
        <f t="shared" si="74"/>
        <v>0</v>
      </c>
      <c r="AX116" s="1283">
        <f t="shared" si="85"/>
        <v>301.54924375568379</v>
      </c>
      <c r="AY116" s="1283">
        <f t="shared" si="47"/>
        <v>17.34779925108877</v>
      </c>
      <c r="AZ116" s="1285">
        <f t="shared" si="45"/>
        <v>11.565199500725846</v>
      </c>
      <c r="BA116" s="4"/>
      <c r="BB116" s="1294">
        <f t="shared" si="75"/>
        <v>102.79314585583614</v>
      </c>
      <c r="BC116" s="1295">
        <f t="shared" si="76"/>
        <v>1236.2825465407529</v>
      </c>
      <c r="BD116" s="1327">
        <f t="shared" si="84"/>
        <v>11.565199500725846</v>
      </c>
      <c r="BE116" s="1295">
        <f t="shared" si="48"/>
        <v>1350.640891897315</v>
      </c>
      <c r="BF116" s="167">
        <v>0</v>
      </c>
      <c r="BG116" s="1317">
        <f t="shared" si="77"/>
        <v>1350.640891897315</v>
      </c>
      <c r="BI116" s="1294">
        <f t="shared" si="78"/>
        <v>102.79314585583614</v>
      </c>
      <c r="BJ116" s="1295">
        <f t="shared" si="79"/>
        <v>1424.9302935368585</v>
      </c>
      <c r="BK116" s="1327">
        <f t="shared" si="80"/>
        <v>11.565199500725846</v>
      </c>
      <c r="BL116" s="1295">
        <f t="shared" si="49"/>
        <v>1539.2886388934205</v>
      </c>
      <c r="BM116" s="167">
        <v>0</v>
      </c>
      <c r="BN116" s="1317">
        <f t="shared" si="81"/>
        <v>1539.2886388934205</v>
      </c>
    </row>
    <row r="117" spans="1:66">
      <c r="A117" s="1156">
        <f>'Input data'!A147</f>
        <v>2049</v>
      </c>
      <c r="B117" s="1039">
        <f>'Input data'!B147</f>
        <v>75.134</v>
      </c>
      <c r="C117" s="1130">
        <f>'Recycling - Case 2'!AD127</f>
        <v>0.67206984488050125</v>
      </c>
      <c r="D117" s="1040">
        <f>'Recycling - Case 2'!AM127</f>
        <v>0.2834252604436</v>
      </c>
      <c r="E117" s="1041">
        <f>'Recycling - Case 2'!BE127</f>
        <v>0.17037510887119423</v>
      </c>
      <c r="F117" s="1041">
        <f>'Recycling - Case 2'!BF127</f>
        <v>0.2759496177051679</v>
      </c>
      <c r="G117" s="1041">
        <f>'Recycling - Case 2'!BG127</f>
        <v>5.8958039761752561E-2</v>
      </c>
      <c r="H117" s="1041">
        <f>'Recycling - Case 2'!BH127</f>
        <v>0</v>
      </c>
      <c r="I117" s="1041">
        <f>'Recycling - Case 2'!BI127</f>
        <v>0</v>
      </c>
      <c r="J117" s="1041">
        <f>'Recycling - Case 2'!BJ127</f>
        <v>0</v>
      </c>
      <c r="K117" s="1041">
        <f>'Recycling - Case 2'!BK127</f>
        <v>0.49471723366188552</v>
      </c>
      <c r="L117" s="1042">
        <f t="shared" si="83"/>
        <v>1.0000000000000002</v>
      </c>
      <c r="M117" s="4"/>
      <c r="N117" s="1053">
        <f t="shared" si="50"/>
        <v>14.311642342106031</v>
      </c>
      <c r="O117" s="1048">
        <f>Parameters!R255</f>
        <v>1</v>
      </c>
      <c r="P117" s="1049">
        <f>E117*'MSW characteristics'!$B$28+'MSW characteristics'!$B$29*'4A SWD Case 2'!F117+'4A SWD Case 2'!G117*'MSW characteristics'!$B$30+'MSW characteristics'!$B$31*'4A SWD Case 2'!H117+'4A SWD Case 2'!I117*'MSW characteristics'!$B$32+'MSW characteristics'!$B$33*'4A SWD Case 2'!J117+'4A SWD Case 2'!K117*'MSW characteristics'!$B$35</f>
        <v>0.10432940577641374</v>
      </c>
      <c r="Q117" s="1047">
        <f t="shared" si="51"/>
        <v>0.74656257061824227</v>
      </c>
      <c r="R117" s="1047">
        <f t="shared" si="52"/>
        <v>0.74656257061824227</v>
      </c>
      <c r="S117" s="1050">
        <f t="shared" si="53"/>
        <v>0</v>
      </c>
      <c r="T117" s="1047">
        <f t="shared" si="86"/>
        <v>2862.1252629302062</v>
      </c>
      <c r="U117" s="1047">
        <f t="shared" si="55"/>
        <v>146.70602311443884</v>
      </c>
      <c r="V117" s="1054">
        <f t="shared" si="56"/>
        <v>97.80401540962589</v>
      </c>
      <c r="W117" s="4"/>
      <c r="X117" s="1067">
        <f>'Recycling - Case 2'!C167*'Recycling - Case 2'!W167*'Recycling - Case 2'!AE167</f>
        <v>30750.663391885835</v>
      </c>
      <c r="Y117" s="1068">
        <f>Parameters!S254</f>
        <v>0.71500000000000008</v>
      </c>
      <c r="Z117" s="1068">
        <f t="shared" si="57"/>
        <v>0.15</v>
      </c>
      <c r="AA117" s="1069">
        <f t="shared" si="58"/>
        <v>1649.0043243898781</v>
      </c>
      <c r="AB117" s="1069">
        <f t="shared" si="59"/>
        <v>1649.0043243898781</v>
      </c>
      <c r="AC117" s="1070">
        <f t="shared" si="60"/>
        <v>0</v>
      </c>
      <c r="AD117" s="1069">
        <f t="shared" si="61"/>
        <v>37571.110602878063</v>
      </c>
      <c r="AE117" s="1069">
        <f t="shared" si="62"/>
        <v>1841.7657730341457</v>
      </c>
      <c r="AF117" s="1071">
        <f t="shared" si="63"/>
        <v>1227.8438486894304</v>
      </c>
      <c r="AG117" s="4"/>
      <c r="AH117" s="1067">
        <f>'Recycling - Case 2'!C207*'Recycling - Case 2'!W207*'Recycling - Case 2'!AE207</f>
        <v>36556.568475022897</v>
      </c>
      <c r="AI117" s="1068">
        <f>Parameters!S254</f>
        <v>0.71500000000000008</v>
      </c>
      <c r="AJ117" s="1068">
        <f t="shared" si="64"/>
        <v>0.15</v>
      </c>
      <c r="AK117" s="1069">
        <f t="shared" si="65"/>
        <v>1960.3459844731033</v>
      </c>
      <c r="AL117" s="1069">
        <f t="shared" si="66"/>
        <v>1960.3459844731033</v>
      </c>
      <c r="AM117" s="1070">
        <f t="shared" si="67"/>
        <v>0</v>
      </c>
      <c r="AN117" s="1069">
        <f t="shared" si="68"/>
        <v>43467.759276013734</v>
      </c>
      <c r="AO117" s="1069">
        <f t="shared" si="69"/>
        <v>2128.1305871900404</v>
      </c>
      <c r="AP117" s="1071">
        <f t="shared" si="70"/>
        <v>1418.7537247933603</v>
      </c>
      <c r="AQ117" s="4"/>
      <c r="AR117" s="1281">
        <f>'Recycling - Case 2'!G127</f>
        <v>844.5394918526323</v>
      </c>
      <c r="AS117" s="1282">
        <v>1</v>
      </c>
      <c r="AT117" s="1282">
        <f t="shared" si="71"/>
        <v>0.05</v>
      </c>
      <c r="AU117" s="1283">
        <f t="shared" si="72"/>
        <v>21.11348729631581</v>
      </c>
      <c r="AV117" s="1283">
        <f t="shared" si="73"/>
        <v>21.11348729631581</v>
      </c>
      <c r="AW117" s="1284">
        <f t="shared" si="74"/>
        <v>0</v>
      </c>
      <c r="AX117" s="1283">
        <f t="shared" si="85"/>
        <v>305.10187019457032</v>
      </c>
      <c r="AY117" s="1283">
        <f t="shared" si="47"/>
        <v>17.560860857429319</v>
      </c>
      <c r="AZ117" s="1285">
        <f t="shared" si="45"/>
        <v>11.707240571619545</v>
      </c>
      <c r="BA117" s="4"/>
      <c r="BB117" s="1294">
        <f t="shared" si="75"/>
        <v>97.80401540962589</v>
      </c>
      <c r="BC117" s="1295">
        <f t="shared" si="76"/>
        <v>1227.8438486894304</v>
      </c>
      <c r="BD117" s="1327">
        <f t="shared" si="84"/>
        <v>11.707240571619545</v>
      </c>
      <c r="BE117" s="1295">
        <f t="shared" si="48"/>
        <v>1337.3551046706759</v>
      </c>
      <c r="BF117" s="167">
        <v>0</v>
      </c>
      <c r="BG117" s="1317">
        <f t="shared" si="77"/>
        <v>1337.3551046706759</v>
      </c>
      <c r="BI117" s="1294">
        <f t="shared" si="78"/>
        <v>97.80401540962589</v>
      </c>
      <c r="BJ117" s="1295">
        <f t="shared" si="79"/>
        <v>1418.7537247933603</v>
      </c>
      <c r="BK117" s="1327">
        <f t="shared" si="80"/>
        <v>11.707240571619545</v>
      </c>
      <c r="BL117" s="1295">
        <f t="shared" si="49"/>
        <v>1528.2649807746059</v>
      </c>
      <c r="BM117" s="167">
        <v>0</v>
      </c>
      <c r="BN117" s="1317">
        <f t="shared" si="81"/>
        <v>1528.2649807746059</v>
      </c>
    </row>
    <row r="118" spans="1:66" ht="15.75" thickBot="1">
      <c r="A118" s="1157">
        <f>'Input data'!A148</f>
        <v>2050</v>
      </c>
      <c r="B118" s="1043">
        <f>'Input data'!B148</f>
        <v>75.518000000000001</v>
      </c>
      <c r="C118" s="1131">
        <f>'Recycling - Case 2'!AD128</f>
        <v>0.67206984488050125</v>
      </c>
      <c r="D118" s="1044">
        <f>'Recycling - Case 2'!AM128</f>
        <v>0.2834252604436</v>
      </c>
      <c r="E118" s="1045">
        <f>'Recycling - Case 2'!BE128</f>
        <v>0.17037510887119423</v>
      </c>
      <c r="F118" s="1045">
        <f>'Recycling - Case 2'!BF128</f>
        <v>0.2759496177051679</v>
      </c>
      <c r="G118" s="1045">
        <f>'Recycling - Case 2'!BG128</f>
        <v>5.8958039761752561E-2</v>
      </c>
      <c r="H118" s="1045">
        <f>'Recycling - Case 2'!BH128</f>
        <v>0</v>
      </c>
      <c r="I118" s="1045">
        <f>'Recycling - Case 2'!BI128</f>
        <v>0</v>
      </c>
      <c r="J118" s="1045">
        <f>'Recycling - Case 2'!BJ128</f>
        <v>0</v>
      </c>
      <c r="K118" s="1045">
        <f>'Recycling - Case 2'!BK128</f>
        <v>0.49471723366188552</v>
      </c>
      <c r="L118" s="1046">
        <f t="shared" si="83"/>
        <v>1.0000000000000002</v>
      </c>
      <c r="M118" s="4"/>
      <c r="N118" s="1055">
        <f t="shared" si="50"/>
        <v>14.384787265301505</v>
      </c>
      <c r="O118" s="1056">
        <f>Parameters!R256</f>
        <v>1</v>
      </c>
      <c r="P118" s="1057">
        <f>E118*'MSW characteristics'!$B$28+'MSW characteristics'!$B$29*'4A SWD Case 2'!F118+'4A SWD Case 2'!G118*'MSW characteristics'!$B$30+'MSW characteristics'!$B$31*'4A SWD Case 2'!H118+'4A SWD Case 2'!I118*'MSW characteristics'!$B$32+'MSW characteristics'!$B$33*'4A SWD Case 2'!J118+'4A SWD Case 2'!K118*'MSW characteristics'!$B$35</f>
        <v>0.10432940577641374</v>
      </c>
      <c r="Q118" s="1058">
        <f t="shared" si="51"/>
        <v>0.75037815380451478</v>
      </c>
      <c r="R118" s="1058">
        <f t="shared" si="52"/>
        <v>0.75037815380451478</v>
      </c>
      <c r="S118" s="1059">
        <f t="shared" si="53"/>
        <v>0</v>
      </c>
      <c r="T118" s="1058">
        <f t="shared" si="86"/>
        <v>2723.2881448598591</v>
      </c>
      <c r="U118" s="1058">
        <f t="shared" si="55"/>
        <v>139.58749622415138</v>
      </c>
      <c r="V118" s="1060">
        <f t="shared" si="56"/>
        <v>93.05833081610092</v>
      </c>
      <c r="W118" s="4"/>
      <c r="X118" s="1072">
        <f>'Recycling - Case 2'!C168*'Recycling - Case 2'!W168*'Recycling - Case 2'!AE168</f>
        <v>31811.156280288058</v>
      </c>
      <c r="Y118" s="1073">
        <f>Parameters!S255</f>
        <v>0.71500000000000008</v>
      </c>
      <c r="Z118" s="1073">
        <f t="shared" si="57"/>
        <v>0.15</v>
      </c>
      <c r="AA118" s="1074">
        <f t="shared" si="58"/>
        <v>1705.8732555304473</v>
      </c>
      <c r="AB118" s="1074">
        <f t="shared" si="59"/>
        <v>1705.8732555304473</v>
      </c>
      <c r="AC118" s="1075">
        <f t="shared" si="60"/>
        <v>0</v>
      </c>
      <c r="AD118" s="1074">
        <f t="shared" si="61"/>
        <v>37444.619172158818</v>
      </c>
      <c r="AE118" s="1074">
        <f t="shared" si="62"/>
        <v>1832.3646862496887</v>
      </c>
      <c r="AF118" s="1076">
        <f t="shared" si="63"/>
        <v>1221.5764574997925</v>
      </c>
      <c r="AG118" s="4"/>
      <c r="AH118" s="1072">
        <f>'Recycling - Case 2'!C208*'Recycling - Case 2'!W208*'Recycling - Case 2'!AE208</f>
        <v>36809.69688793848</v>
      </c>
      <c r="AI118" s="1073">
        <f>Parameters!S255</f>
        <v>0.71500000000000008</v>
      </c>
      <c r="AJ118" s="1073">
        <f t="shared" si="64"/>
        <v>0.15</v>
      </c>
      <c r="AK118" s="1074">
        <f t="shared" si="65"/>
        <v>1973.9199956157013</v>
      </c>
      <c r="AL118" s="1074">
        <f t="shared" si="66"/>
        <v>1973.9199956157013</v>
      </c>
      <c r="AM118" s="1075">
        <f t="shared" si="67"/>
        <v>0</v>
      </c>
      <c r="AN118" s="1074">
        <f t="shared" si="68"/>
        <v>43321.731636073819</v>
      </c>
      <c r="AO118" s="1074">
        <f t="shared" si="69"/>
        <v>2119.9476355556167</v>
      </c>
      <c r="AP118" s="1076">
        <f t="shared" si="70"/>
        <v>1413.2984237037444</v>
      </c>
      <c r="AQ118" s="4"/>
      <c r="AR118" s="1286">
        <f>'Recycling - Case 2'!G128</f>
        <v>848.8558222073508</v>
      </c>
      <c r="AS118" s="1287">
        <f>Parameters!R221</f>
        <v>1</v>
      </c>
      <c r="AT118" s="1287">
        <f t="shared" si="71"/>
        <v>0.05</v>
      </c>
      <c r="AU118" s="1288">
        <f t="shared" si="72"/>
        <v>21.221395555183772</v>
      </c>
      <c r="AV118" s="1288">
        <f t="shared" si="73"/>
        <v>21.221395555183772</v>
      </c>
      <c r="AW118" s="1289">
        <f t="shared" si="74"/>
        <v>0</v>
      </c>
      <c r="AX118" s="1288">
        <f t="shared" si="85"/>
        <v>308.55551603465528</v>
      </c>
      <c r="AY118" s="1288">
        <f t="shared" si="47"/>
        <v>17.767749715098805</v>
      </c>
      <c r="AZ118" s="1290">
        <f t="shared" si="45"/>
        <v>11.845166476732537</v>
      </c>
      <c r="BA118" s="4"/>
      <c r="BB118" s="1296">
        <f t="shared" si="75"/>
        <v>93.05833081610092</v>
      </c>
      <c r="BC118" s="1297">
        <f t="shared" si="76"/>
        <v>1221.5764574997925</v>
      </c>
      <c r="BD118" s="1328">
        <f t="shared" si="84"/>
        <v>11.845166476732537</v>
      </c>
      <c r="BE118" s="1297">
        <f t="shared" si="48"/>
        <v>1326.4799547926259</v>
      </c>
      <c r="BF118" s="1298">
        <v>0</v>
      </c>
      <c r="BG118" s="1318">
        <f t="shared" si="77"/>
        <v>1326.4799547926259</v>
      </c>
      <c r="BI118" s="1296">
        <f t="shared" si="78"/>
        <v>93.05833081610092</v>
      </c>
      <c r="BJ118" s="1297">
        <f t="shared" si="79"/>
        <v>1413.2984237037444</v>
      </c>
      <c r="BK118" s="1328">
        <f t="shared" si="80"/>
        <v>11.845166476732537</v>
      </c>
      <c r="BL118" s="1297">
        <f t="shared" si="49"/>
        <v>1518.2019209965779</v>
      </c>
      <c r="BM118" s="1298">
        <v>0</v>
      </c>
      <c r="BN118" s="1318">
        <f t="shared" si="81"/>
        <v>1518.2019209965779</v>
      </c>
    </row>
    <row r="119" spans="1:66">
      <c r="A119" s="100"/>
      <c r="B119" s="4"/>
      <c r="C119" s="4"/>
      <c r="D119" s="4"/>
      <c r="E119" s="4"/>
      <c r="F119" s="4"/>
      <c r="G119" s="4"/>
      <c r="H119" s="4"/>
      <c r="I119" s="4"/>
      <c r="J119" s="4"/>
      <c r="K119" s="4"/>
    </row>
    <row r="120" spans="1:66">
      <c r="A120" s="100"/>
    </row>
    <row r="121" spans="1:66">
      <c r="A121" s="100"/>
    </row>
    <row r="122" spans="1:66">
      <c r="A122" s="100"/>
    </row>
    <row r="123" spans="1:66">
      <c r="A123" s="100"/>
    </row>
    <row r="124" spans="1:66">
      <c r="A124" s="100"/>
    </row>
    <row r="125" spans="1:66">
      <c r="A125" s="100"/>
    </row>
    <row r="126" spans="1:66">
      <c r="A126" s="100"/>
    </row>
    <row r="127" spans="1:66">
      <c r="A127" s="100"/>
    </row>
    <row r="128" spans="1:66">
      <c r="A128" s="100"/>
    </row>
    <row r="129" spans="1:1">
      <c r="A129" s="100"/>
    </row>
    <row r="130" spans="1:1">
      <c r="A130" s="100"/>
    </row>
    <row r="131" spans="1:1">
      <c r="A131" s="100"/>
    </row>
    <row r="132" spans="1:1">
      <c r="A132" s="100"/>
    </row>
    <row r="133" spans="1:1">
      <c r="A133" s="100"/>
    </row>
    <row r="134" spans="1:1">
      <c r="A134" s="100"/>
    </row>
    <row r="135" spans="1:1">
      <c r="A135" s="100"/>
    </row>
    <row r="136" spans="1:1">
      <c r="A136" s="100"/>
    </row>
    <row r="137" spans="1:1">
      <c r="A137" s="100"/>
    </row>
    <row r="138" spans="1:1">
      <c r="A138" s="100"/>
    </row>
    <row r="139" spans="1:1">
      <c r="A139" s="100"/>
    </row>
    <row r="140" spans="1:1">
      <c r="A140" s="100"/>
    </row>
    <row r="141" spans="1:1">
      <c r="A141" s="100"/>
    </row>
    <row r="142" spans="1:1">
      <c r="A142" s="100"/>
    </row>
    <row r="143" spans="1:1">
      <c r="A143" s="100"/>
    </row>
    <row r="144" spans="1:1">
      <c r="A144" s="100"/>
    </row>
    <row r="145" spans="1:1">
      <c r="A145" s="100"/>
    </row>
    <row r="146" spans="1:1">
      <c r="A146" s="100"/>
    </row>
    <row r="147" spans="1:1">
      <c r="A147" s="100"/>
    </row>
    <row r="148" spans="1:1">
      <c r="A148" s="100"/>
    </row>
    <row r="149" spans="1:1">
      <c r="A149" s="100"/>
    </row>
    <row r="150" spans="1:1">
      <c r="A150" s="100"/>
    </row>
    <row r="151" spans="1:1">
      <c r="A151" s="100"/>
    </row>
    <row r="152" spans="1:1">
      <c r="A152" s="100"/>
    </row>
    <row r="153" spans="1:1">
      <c r="A153" s="100"/>
    </row>
    <row r="154" spans="1:1">
      <c r="A154" s="100"/>
    </row>
    <row r="155" spans="1:1">
      <c r="A155" s="100"/>
    </row>
    <row r="156" spans="1:1">
      <c r="A156" s="100"/>
    </row>
    <row r="157" spans="1:1">
      <c r="A157" s="100"/>
    </row>
    <row r="158" spans="1:1">
      <c r="A158" s="100"/>
    </row>
    <row r="159" spans="1:1">
      <c r="A159" s="100"/>
    </row>
    <row r="160" spans="1:1">
      <c r="A160" s="100"/>
    </row>
    <row r="161" spans="1:1">
      <c r="A161" s="100"/>
    </row>
    <row r="162" spans="1:1">
      <c r="A162" s="100"/>
    </row>
    <row r="163" spans="1:1">
      <c r="A163" s="100"/>
    </row>
    <row r="164" spans="1:1">
      <c r="A164" s="100"/>
    </row>
    <row r="165" spans="1:1">
      <c r="A165" s="100"/>
    </row>
    <row r="166" spans="1:1">
      <c r="A166" s="100"/>
    </row>
    <row r="167" spans="1:1">
      <c r="A167" s="100"/>
    </row>
    <row r="168" spans="1:1">
      <c r="A168" s="100"/>
    </row>
    <row r="169" spans="1:1">
      <c r="A169" s="100"/>
    </row>
    <row r="170" spans="1:1">
      <c r="A170" s="100"/>
    </row>
    <row r="171" spans="1:1">
      <c r="A171" s="100"/>
    </row>
    <row r="172" spans="1:1">
      <c r="A172" s="100"/>
    </row>
    <row r="173" spans="1:1">
      <c r="A173" s="100"/>
    </row>
    <row r="174" spans="1:1">
      <c r="A174" s="100"/>
    </row>
    <row r="175" spans="1:1">
      <c r="A175" s="100"/>
    </row>
    <row r="176" spans="1:1">
      <c r="A176" s="100"/>
    </row>
    <row r="177" spans="1:1">
      <c r="A177" s="100"/>
    </row>
    <row r="178" spans="1:1">
      <c r="A178" s="100"/>
    </row>
    <row r="179" spans="1:1">
      <c r="A179" s="100"/>
    </row>
    <row r="180" spans="1:1">
      <c r="A180" s="100"/>
    </row>
    <row r="181" spans="1:1">
      <c r="A181" s="100"/>
    </row>
    <row r="182" spans="1:1">
      <c r="A182" s="100"/>
    </row>
    <row r="183" spans="1:1">
      <c r="A183" s="100"/>
    </row>
    <row r="184" spans="1:1">
      <c r="A184" s="100"/>
    </row>
    <row r="185" spans="1:1">
      <c r="A185" s="100"/>
    </row>
    <row r="186" spans="1:1">
      <c r="A186" s="100"/>
    </row>
    <row r="187" spans="1:1">
      <c r="A187" s="100"/>
    </row>
    <row r="188" spans="1:1">
      <c r="A188" s="100"/>
    </row>
    <row r="189" spans="1:1">
      <c r="A189" s="100"/>
    </row>
    <row r="190" spans="1:1">
      <c r="A190" s="100"/>
    </row>
    <row r="191" spans="1:1">
      <c r="A191" s="100"/>
    </row>
    <row r="192" spans="1:1">
      <c r="A192" s="100"/>
    </row>
    <row r="193" spans="1:1">
      <c r="A193" s="100"/>
    </row>
    <row r="194" spans="1:1">
      <c r="A194" s="100"/>
    </row>
    <row r="195" spans="1:1">
      <c r="A195" s="100"/>
    </row>
    <row r="196" spans="1:1">
      <c r="A196" s="100"/>
    </row>
    <row r="197" spans="1:1">
      <c r="A197" s="100"/>
    </row>
    <row r="198" spans="1:1">
      <c r="A198" s="100"/>
    </row>
    <row r="199" spans="1:1">
      <c r="A199" s="100"/>
    </row>
    <row r="200" spans="1:1">
      <c r="A200" s="100"/>
    </row>
    <row r="201" spans="1:1">
      <c r="A201" s="100"/>
    </row>
    <row r="202" spans="1:1">
      <c r="A202" s="100"/>
    </row>
    <row r="203" spans="1:1">
      <c r="A203" s="100"/>
    </row>
    <row r="204" spans="1:1">
      <c r="A204" s="100"/>
    </row>
    <row r="205" spans="1:1">
      <c r="A205" s="100"/>
    </row>
    <row r="206" spans="1:1">
      <c r="A206" s="100"/>
    </row>
  </sheetData>
  <mergeCells count="26">
    <mergeCell ref="F14:F15"/>
    <mergeCell ref="G14:G15"/>
    <mergeCell ref="H14:H15"/>
    <mergeCell ref="I14:I15"/>
    <mergeCell ref="BE14:BE15"/>
    <mergeCell ref="J14:J15"/>
    <mergeCell ref="K14:K15"/>
    <mergeCell ref="L14:L15"/>
    <mergeCell ref="BB14:BB15"/>
    <mergeCell ref="BC14:BC15"/>
    <mergeCell ref="BD14:BD15"/>
    <mergeCell ref="A14:A16"/>
    <mergeCell ref="B14:B15"/>
    <mergeCell ref="C14:C15"/>
    <mergeCell ref="D14:D15"/>
    <mergeCell ref="E14:E15"/>
    <mergeCell ref="BB13:BG13"/>
    <mergeCell ref="BF14:BF15"/>
    <mergeCell ref="BG14:BG15"/>
    <mergeCell ref="BI13:BN13"/>
    <mergeCell ref="BI14:BI15"/>
    <mergeCell ref="BJ14:BJ15"/>
    <mergeCell ref="BK14:BK15"/>
    <mergeCell ref="BL14:BL15"/>
    <mergeCell ref="BM14:BM15"/>
    <mergeCell ref="BN14:BN15"/>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D590-CFD3-46F7-9EA1-FF503ED6AD5A}">
  <dimension ref="A1:BN206"/>
  <sheetViews>
    <sheetView topLeftCell="S66" zoomScale="55" zoomScaleNormal="55" workbookViewId="0">
      <selection activeCell="AL91" sqref="AL91"/>
    </sheetView>
  </sheetViews>
  <sheetFormatPr defaultRowHeight="15"/>
  <cols>
    <col min="1" max="1" width="45" customWidth="1"/>
    <col min="2" max="2" width="20.42578125" customWidth="1"/>
    <col min="3" max="3" width="16.28515625" customWidth="1"/>
    <col min="4" max="4" width="10.85546875" customWidth="1"/>
    <col min="5" max="5" width="12.28515625" customWidth="1"/>
    <col min="14" max="14" width="12.140625" customWidth="1"/>
    <col min="17" max="17" width="17.42578125" customWidth="1"/>
    <col min="18" max="18" width="15.85546875" customWidth="1"/>
    <col min="19" max="19" width="16.140625" customWidth="1"/>
    <col min="20" max="20" width="18.28515625" customWidth="1"/>
    <col min="21" max="21" width="14.85546875" customWidth="1"/>
    <col min="22" max="22" width="12" customWidth="1"/>
    <col min="24" max="24" width="10" customWidth="1"/>
    <col min="27" max="27" width="18.28515625" customWidth="1"/>
    <col min="28" max="28" width="14.85546875" customWidth="1"/>
    <col min="29" max="29" width="14.7109375" customWidth="1"/>
    <col min="30" max="30" width="15.85546875" customWidth="1"/>
    <col min="31" max="31" width="12.7109375" customWidth="1"/>
    <col min="32" max="32" width="12.28515625" customWidth="1"/>
    <col min="34" max="34" width="10" customWidth="1"/>
    <col min="37" max="37" width="18.28515625" customWidth="1"/>
    <col min="38" max="38" width="14.85546875" customWidth="1"/>
    <col min="39" max="39" width="14.7109375" customWidth="1"/>
    <col min="40" max="40" width="15.85546875" customWidth="1"/>
    <col min="41" max="41" width="12.7109375" customWidth="1"/>
    <col min="42" max="42" width="12.28515625" customWidth="1"/>
    <col min="44" max="44" width="10" customWidth="1"/>
    <col min="47" max="47" width="18.28515625" customWidth="1"/>
    <col min="48" max="48" width="14.85546875" customWidth="1"/>
    <col min="49" max="49" width="14.7109375" customWidth="1"/>
    <col min="50" max="50" width="15.85546875" customWidth="1"/>
    <col min="51" max="51" width="12.7109375" customWidth="1"/>
    <col min="52" max="52" width="12.28515625" customWidth="1"/>
    <col min="54" max="54" width="8.85546875" style="338"/>
    <col min="55" max="55" width="11.140625" customWidth="1"/>
    <col min="56" max="56" width="8.28515625" style="1321" customWidth="1"/>
    <col min="57" max="57" width="14.42578125" customWidth="1"/>
    <col min="59" max="59" width="12.28515625" customWidth="1"/>
    <col min="61" max="62" width="11.28515625" customWidth="1"/>
    <col min="63" max="63" width="11.28515625" style="1321" customWidth="1"/>
    <col min="64" max="64" width="11.28515625" customWidth="1"/>
    <col min="65" max="65" width="10.7109375" customWidth="1"/>
    <col min="66" max="66" width="12.28515625" customWidth="1"/>
  </cols>
  <sheetData>
    <row r="1" spans="1:66">
      <c r="A1" s="141" t="s">
        <v>198</v>
      </c>
      <c r="B1" s="115"/>
      <c r="C1" s="1186" t="s">
        <v>267</v>
      </c>
      <c r="D1" s="1186" t="s">
        <v>356</v>
      </c>
      <c r="E1" s="1186" t="s">
        <v>361</v>
      </c>
      <c r="F1" s="116"/>
    </row>
    <row r="2" spans="1:66">
      <c r="A2" s="150"/>
      <c r="B2" s="99"/>
      <c r="C2" s="99"/>
      <c r="D2" s="104"/>
      <c r="E2" s="104"/>
      <c r="F2" s="130"/>
    </row>
    <row r="3" spans="1:66">
      <c r="A3" s="150" t="s">
        <v>357</v>
      </c>
      <c r="B3" s="99"/>
      <c r="C3" s="314" t="str">
        <f>Parameters!D94</f>
        <v>varies</v>
      </c>
      <c r="D3" s="99">
        <f>Parameters!E94</f>
        <v>0.15</v>
      </c>
      <c r="E3" s="99">
        <f>Parameters!F94</f>
        <v>0.05</v>
      </c>
      <c r="F3" s="130"/>
    </row>
    <row r="4" spans="1:66">
      <c r="A4" s="150" t="s">
        <v>260</v>
      </c>
      <c r="B4" s="99"/>
      <c r="C4" s="99">
        <f>Parameters!D95</f>
        <v>0.5</v>
      </c>
      <c r="D4" s="99">
        <f>Parameters!E95</f>
        <v>0.5</v>
      </c>
      <c r="E4" s="99">
        <f>Parameters!F95</f>
        <v>0.5</v>
      </c>
      <c r="F4" s="130"/>
    </row>
    <row r="5" spans="1:66">
      <c r="A5" s="174" t="s">
        <v>257</v>
      </c>
      <c r="B5" s="175"/>
      <c r="C5" s="99">
        <f>Parameters!D96</f>
        <v>0.05</v>
      </c>
      <c r="D5" s="99">
        <f>Parameters!E96</f>
        <v>0.05</v>
      </c>
      <c r="E5" s="99">
        <f>Parameters!F96</f>
        <v>0.06</v>
      </c>
      <c r="F5" s="130"/>
    </row>
    <row r="6" spans="1:66">
      <c r="A6" s="150" t="s">
        <v>258</v>
      </c>
      <c r="B6" s="107" t="s">
        <v>211</v>
      </c>
      <c r="C6" s="106">
        <f>Parameters!D97</f>
        <v>13.862943611198904</v>
      </c>
      <c r="D6" s="106">
        <f>Parameters!E97</f>
        <v>13.862943611198904</v>
      </c>
      <c r="E6" s="106">
        <f>Parameters!F97</f>
        <v>11.552453009332423</v>
      </c>
      <c r="F6" s="130"/>
    </row>
    <row r="7" spans="1:66">
      <c r="A7" s="150" t="s">
        <v>255</v>
      </c>
      <c r="B7" s="107" t="s">
        <v>256</v>
      </c>
      <c r="C7" s="99">
        <f>Parameters!D98</f>
        <v>6</v>
      </c>
      <c r="D7" s="99">
        <f>Parameters!E98</f>
        <v>6</v>
      </c>
      <c r="E7" s="99">
        <f>Parameters!F98</f>
        <v>6</v>
      </c>
      <c r="F7" s="130"/>
    </row>
    <row r="8" spans="1:66">
      <c r="A8" s="151" t="s">
        <v>248</v>
      </c>
      <c r="B8" s="108" t="s">
        <v>249</v>
      </c>
      <c r="C8" s="158">
        <f>Parameters!D99</f>
        <v>0.95122942450071402</v>
      </c>
      <c r="D8" s="158">
        <f>Parameters!E99</f>
        <v>0.95122942450071402</v>
      </c>
      <c r="E8" s="158">
        <f>Parameters!F99</f>
        <v>0.94176453358424872</v>
      </c>
      <c r="F8" s="130"/>
    </row>
    <row r="9" spans="1:66">
      <c r="A9" s="151" t="s">
        <v>250</v>
      </c>
      <c r="B9" s="108" t="s">
        <v>251</v>
      </c>
      <c r="C9" s="99">
        <f>Parameters!D100</f>
        <v>13</v>
      </c>
      <c r="D9" s="99">
        <f>Parameters!E100</f>
        <v>13</v>
      </c>
      <c r="E9" s="99">
        <f>Parameters!F100</f>
        <v>13</v>
      </c>
      <c r="F9" s="130"/>
      <c r="H9" s="714"/>
    </row>
    <row r="10" spans="1:66">
      <c r="A10" s="151" t="s">
        <v>252</v>
      </c>
      <c r="B10" s="108" t="s">
        <v>253</v>
      </c>
      <c r="C10" s="99">
        <f>Parameters!D101</f>
        <v>1</v>
      </c>
      <c r="D10" s="99">
        <f>Parameters!E101</f>
        <v>1</v>
      </c>
      <c r="E10" s="99">
        <f>Parameters!F101</f>
        <v>1</v>
      </c>
      <c r="F10" s="130"/>
    </row>
    <row r="11" spans="1:66" ht="15.75" thickBot="1">
      <c r="A11" s="152" t="s">
        <v>259</v>
      </c>
      <c r="B11" s="153" t="s">
        <v>254</v>
      </c>
      <c r="C11" s="162">
        <f>Parameters!D102</f>
        <v>0.5</v>
      </c>
      <c r="D11" s="162">
        <f>Parameters!E102</f>
        <v>0.5</v>
      </c>
      <c r="E11" s="162">
        <f>Parameters!F102</f>
        <v>0.5</v>
      </c>
      <c r="F11" s="140"/>
    </row>
    <row r="12" spans="1:66" ht="15.75" thickBot="1">
      <c r="BB12" s="338" t="s">
        <v>776</v>
      </c>
      <c r="BI12" t="s">
        <v>769</v>
      </c>
    </row>
    <row r="13" spans="1:66" ht="15.75" thickBot="1">
      <c r="A13" s="10"/>
      <c r="B13" s="10"/>
      <c r="C13" s="10"/>
      <c r="D13" s="10"/>
      <c r="E13" s="10"/>
      <c r="F13" s="10"/>
      <c r="G13" s="10"/>
      <c r="H13" s="10"/>
      <c r="I13" s="10"/>
      <c r="J13" s="10"/>
      <c r="K13" s="10"/>
      <c r="L13" s="10"/>
      <c r="M13" s="10"/>
      <c r="N13" s="233" t="s">
        <v>267</v>
      </c>
      <c r="O13" s="10"/>
      <c r="P13" s="10"/>
      <c r="Q13" s="10"/>
      <c r="R13" s="10"/>
      <c r="S13" s="10"/>
      <c r="T13" s="10"/>
      <c r="U13" s="10"/>
      <c r="V13" s="10"/>
      <c r="W13" s="10"/>
      <c r="X13" s="2" t="s">
        <v>359</v>
      </c>
      <c r="AG13" s="10"/>
      <c r="AH13" s="2" t="s">
        <v>359</v>
      </c>
      <c r="AR13" s="2" t="s">
        <v>361</v>
      </c>
      <c r="BB13" s="1713" t="s">
        <v>360</v>
      </c>
      <c r="BC13" s="1714"/>
      <c r="BD13" s="1714"/>
      <c r="BE13" s="1714"/>
      <c r="BF13" s="1714"/>
      <c r="BG13" s="1715"/>
      <c r="BI13" s="1713" t="s">
        <v>360</v>
      </c>
      <c r="BJ13" s="1714"/>
      <c r="BK13" s="1714"/>
      <c r="BL13" s="1714"/>
      <c r="BM13" s="1714"/>
      <c r="BN13" s="1715"/>
    </row>
    <row r="14" spans="1:66" ht="60">
      <c r="A14" s="1726" t="s">
        <v>217</v>
      </c>
      <c r="B14" s="1729" t="s">
        <v>218</v>
      </c>
      <c r="C14" s="1726" t="s">
        <v>219</v>
      </c>
      <c r="D14" s="1729" t="s">
        <v>220</v>
      </c>
      <c r="E14" s="1726" t="s">
        <v>221</v>
      </c>
      <c r="F14" s="1731" t="s">
        <v>85</v>
      </c>
      <c r="G14" s="1731" t="s">
        <v>87</v>
      </c>
      <c r="H14" s="1731" t="s">
        <v>222</v>
      </c>
      <c r="I14" s="1731" t="s">
        <v>115</v>
      </c>
      <c r="J14" s="1731" t="s">
        <v>223</v>
      </c>
      <c r="K14" s="1731" t="s">
        <v>224</v>
      </c>
      <c r="L14" s="1724" t="s">
        <v>225</v>
      </c>
      <c r="M14" s="317"/>
      <c r="N14" s="214" t="s">
        <v>235</v>
      </c>
      <c r="O14" s="215" t="s">
        <v>22</v>
      </c>
      <c r="P14" s="215" t="s">
        <v>236</v>
      </c>
      <c r="Q14" s="216" t="s">
        <v>237</v>
      </c>
      <c r="R14" s="216" t="s">
        <v>238</v>
      </c>
      <c r="S14" s="216" t="s">
        <v>239</v>
      </c>
      <c r="T14" s="216" t="s">
        <v>240</v>
      </c>
      <c r="U14" s="216" t="s">
        <v>241</v>
      </c>
      <c r="V14" s="222" t="s">
        <v>300</v>
      </c>
      <c r="W14" s="10"/>
      <c r="X14" s="214" t="s">
        <v>235</v>
      </c>
      <c r="Y14" s="215" t="s">
        <v>22</v>
      </c>
      <c r="Z14" s="215" t="s">
        <v>236</v>
      </c>
      <c r="AA14" s="216" t="s">
        <v>237</v>
      </c>
      <c r="AB14" s="216" t="s">
        <v>238</v>
      </c>
      <c r="AC14" s="216" t="s">
        <v>239</v>
      </c>
      <c r="AD14" s="216" t="s">
        <v>240</v>
      </c>
      <c r="AE14" s="216" t="s">
        <v>241</v>
      </c>
      <c r="AF14" s="222" t="s">
        <v>300</v>
      </c>
      <c r="AG14" s="10"/>
      <c r="AH14" s="214" t="s">
        <v>235</v>
      </c>
      <c r="AI14" s="215" t="s">
        <v>22</v>
      </c>
      <c r="AJ14" s="215" t="s">
        <v>236</v>
      </c>
      <c r="AK14" s="216" t="s">
        <v>237</v>
      </c>
      <c r="AL14" s="216" t="s">
        <v>238</v>
      </c>
      <c r="AM14" s="216" t="s">
        <v>239</v>
      </c>
      <c r="AN14" s="216" t="s">
        <v>240</v>
      </c>
      <c r="AO14" s="216" t="s">
        <v>241</v>
      </c>
      <c r="AP14" s="222" t="s">
        <v>300</v>
      </c>
      <c r="AR14" s="327" t="s">
        <v>235</v>
      </c>
      <c r="AS14" s="215" t="s">
        <v>22</v>
      </c>
      <c r="AT14" s="215" t="s">
        <v>236</v>
      </c>
      <c r="AU14" s="216" t="s">
        <v>237</v>
      </c>
      <c r="AV14" s="216" t="s">
        <v>238</v>
      </c>
      <c r="AW14" s="216" t="s">
        <v>239</v>
      </c>
      <c r="AX14" s="216" t="s">
        <v>240</v>
      </c>
      <c r="AY14" s="216" t="s">
        <v>241</v>
      </c>
      <c r="AZ14" s="222" t="s">
        <v>300</v>
      </c>
      <c r="BB14" s="1716" t="s">
        <v>267</v>
      </c>
      <c r="BC14" s="1718" t="s">
        <v>356</v>
      </c>
      <c r="BD14" s="1720" t="s">
        <v>361</v>
      </c>
      <c r="BE14" s="1718" t="s">
        <v>225</v>
      </c>
      <c r="BF14" s="1718" t="s">
        <v>362</v>
      </c>
      <c r="BG14" s="1722" t="s">
        <v>363</v>
      </c>
      <c r="BI14" s="1716" t="s">
        <v>267</v>
      </c>
      <c r="BJ14" s="1718" t="s">
        <v>356</v>
      </c>
      <c r="BK14" s="1720" t="s">
        <v>361</v>
      </c>
      <c r="BL14" s="1718" t="s">
        <v>225</v>
      </c>
      <c r="BM14" s="1718" t="s">
        <v>362</v>
      </c>
      <c r="BN14" s="1722" t="s">
        <v>363</v>
      </c>
    </row>
    <row r="15" spans="1:66" ht="24.75">
      <c r="A15" s="1727"/>
      <c r="B15" s="1730"/>
      <c r="C15" s="1727"/>
      <c r="D15" s="1730"/>
      <c r="E15" s="1727"/>
      <c r="F15" s="1732"/>
      <c r="G15" s="1732"/>
      <c r="H15" s="1732"/>
      <c r="I15" s="1732"/>
      <c r="J15" s="1732"/>
      <c r="K15" s="1732"/>
      <c r="L15" s="1725"/>
      <c r="M15" s="318"/>
      <c r="N15" s="223" t="s">
        <v>242</v>
      </c>
      <c r="O15" s="224" t="s">
        <v>22</v>
      </c>
      <c r="P15" s="224" t="s">
        <v>236</v>
      </c>
      <c r="Q15" s="225" t="s">
        <v>243</v>
      </c>
      <c r="R15" s="225" t="s">
        <v>244</v>
      </c>
      <c r="S15" s="225" t="s">
        <v>245</v>
      </c>
      <c r="T15" s="225" t="s">
        <v>301</v>
      </c>
      <c r="U15" s="225" t="s">
        <v>302</v>
      </c>
      <c r="V15" s="226" t="s">
        <v>246</v>
      </c>
      <c r="W15" s="10"/>
      <c r="X15" s="223" t="s">
        <v>242</v>
      </c>
      <c r="Y15" s="224" t="s">
        <v>22</v>
      </c>
      <c r="Z15" s="224" t="s">
        <v>236</v>
      </c>
      <c r="AA15" s="225" t="s">
        <v>243</v>
      </c>
      <c r="AB15" s="225" t="s">
        <v>244</v>
      </c>
      <c r="AC15" s="225" t="s">
        <v>245</v>
      </c>
      <c r="AD15" s="225" t="s">
        <v>301</v>
      </c>
      <c r="AE15" s="225" t="s">
        <v>302</v>
      </c>
      <c r="AF15" s="226" t="s">
        <v>246</v>
      </c>
      <c r="AG15" s="10"/>
      <c r="AH15" s="223" t="s">
        <v>242</v>
      </c>
      <c r="AI15" s="224" t="s">
        <v>22</v>
      </c>
      <c r="AJ15" s="224" t="s">
        <v>236</v>
      </c>
      <c r="AK15" s="225" t="s">
        <v>243</v>
      </c>
      <c r="AL15" s="225" t="s">
        <v>244</v>
      </c>
      <c r="AM15" s="225" t="s">
        <v>245</v>
      </c>
      <c r="AN15" s="225" t="s">
        <v>301</v>
      </c>
      <c r="AO15" s="225" t="s">
        <v>302</v>
      </c>
      <c r="AP15" s="226" t="s">
        <v>246</v>
      </c>
      <c r="AR15" s="328" t="s">
        <v>242</v>
      </c>
      <c r="AS15" s="224" t="s">
        <v>22</v>
      </c>
      <c r="AT15" s="224" t="s">
        <v>236</v>
      </c>
      <c r="AU15" s="225" t="s">
        <v>243</v>
      </c>
      <c r="AV15" s="225" t="s">
        <v>244</v>
      </c>
      <c r="AW15" s="225" t="s">
        <v>245</v>
      </c>
      <c r="AX15" s="225" t="s">
        <v>301</v>
      </c>
      <c r="AY15" s="225" t="s">
        <v>302</v>
      </c>
      <c r="AZ15" s="226" t="s">
        <v>246</v>
      </c>
      <c r="BB15" s="1717"/>
      <c r="BC15" s="1719"/>
      <c r="BD15" s="1721"/>
      <c r="BE15" s="1719"/>
      <c r="BF15" s="1719"/>
      <c r="BG15" s="1723"/>
      <c r="BI15" s="1717"/>
      <c r="BJ15" s="1719"/>
      <c r="BK15" s="1721"/>
      <c r="BL15" s="1719"/>
      <c r="BM15" s="1719"/>
      <c r="BN15" s="1723"/>
    </row>
    <row r="16" spans="1:66" ht="15.75" thickBot="1">
      <c r="A16" s="1728"/>
      <c r="B16" s="578" t="s">
        <v>226</v>
      </c>
      <c r="C16" s="217" t="s">
        <v>227</v>
      </c>
      <c r="D16" s="578" t="s">
        <v>229</v>
      </c>
      <c r="E16" s="217" t="s">
        <v>229</v>
      </c>
      <c r="F16" s="218" t="s">
        <v>229</v>
      </c>
      <c r="G16" s="218" t="s">
        <v>229</v>
      </c>
      <c r="H16" s="218" t="s">
        <v>229</v>
      </c>
      <c r="I16" s="218" t="s">
        <v>229</v>
      </c>
      <c r="J16" s="218" t="s">
        <v>229</v>
      </c>
      <c r="K16" s="218" t="s">
        <v>229</v>
      </c>
      <c r="L16" s="578" t="s">
        <v>230</v>
      </c>
      <c r="M16" s="319"/>
      <c r="N16" s="218" t="s">
        <v>228</v>
      </c>
      <c r="O16" s="219" t="s">
        <v>41</v>
      </c>
      <c r="P16" s="219" t="s">
        <v>41</v>
      </c>
      <c r="Q16" s="220" t="s">
        <v>228</v>
      </c>
      <c r="R16" s="220" t="s">
        <v>228</v>
      </c>
      <c r="S16" s="220" t="s">
        <v>228</v>
      </c>
      <c r="T16" s="220" t="s">
        <v>228</v>
      </c>
      <c r="U16" s="220" t="s">
        <v>228</v>
      </c>
      <c r="V16" s="221" t="s">
        <v>228</v>
      </c>
      <c r="W16" s="10"/>
      <c r="X16" s="218" t="s">
        <v>228</v>
      </c>
      <c r="Y16" s="219" t="s">
        <v>41</v>
      </c>
      <c r="Z16" s="219" t="s">
        <v>41</v>
      </c>
      <c r="AA16" s="220" t="s">
        <v>228</v>
      </c>
      <c r="AB16" s="220" t="s">
        <v>228</v>
      </c>
      <c r="AC16" s="220" t="s">
        <v>228</v>
      </c>
      <c r="AD16" s="220" t="s">
        <v>228</v>
      </c>
      <c r="AE16" s="220" t="s">
        <v>228</v>
      </c>
      <c r="AF16" s="221" t="s">
        <v>228</v>
      </c>
      <c r="AG16" s="10"/>
      <c r="AH16" s="218" t="s">
        <v>228</v>
      </c>
      <c r="AI16" s="219" t="s">
        <v>41</v>
      </c>
      <c r="AJ16" s="219" t="s">
        <v>41</v>
      </c>
      <c r="AK16" s="220" t="s">
        <v>228</v>
      </c>
      <c r="AL16" s="220" t="s">
        <v>228</v>
      </c>
      <c r="AM16" s="220" t="s">
        <v>228</v>
      </c>
      <c r="AN16" s="220" t="s">
        <v>228</v>
      </c>
      <c r="AO16" s="220" t="s">
        <v>228</v>
      </c>
      <c r="AP16" s="221" t="s">
        <v>228</v>
      </c>
      <c r="AR16" s="217" t="s">
        <v>228</v>
      </c>
      <c r="AS16" s="219" t="s">
        <v>41</v>
      </c>
      <c r="AT16" s="219" t="s">
        <v>41</v>
      </c>
      <c r="AU16" s="220" t="s">
        <v>228</v>
      </c>
      <c r="AV16" s="220" t="s">
        <v>228</v>
      </c>
      <c r="AW16" s="220" t="s">
        <v>228</v>
      </c>
      <c r="AX16" s="220" t="s">
        <v>228</v>
      </c>
      <c r="AY16" s="220" t="s">
        <v>228</v>
      </c>
      <c r="AZ16" s="221" t="s">
        <v>228</v>
      </c>
      <c r="BB16" s="321" t="s">
        <v>228</v>
      </c>
      <c r="BC16" s="320" t="s">
        <v>228</v>
      </c>
      <c r="BD16" s="1322" t="s">
        <v>228</v>
      </c>
      <c r="BE16" s="320" t="s">
        <v>228</v>
      </c>
      <c r="BF16" s="320" t="s">
        <v>228</v>
      </c>
      <c r="BG16" s="322" t="s">
        <v>228</v>
      </c>
      <c r="BI16" s="321" t="s">
        <v>228</v>
      </c>
      <c r="BJ16" s="320" t="s">
        <v>228</v>
      </c>
      <c r="BK16" s="1322" t="s">
        <v>228</v>
      </c>
      <c r="BL16" s="320" t="s">
        <v>228</v>
      </c>
      <c r="BM16" s="320" t="s">
        <v>228</v>
      </c>
      <c r="BN16" s="322" t="s">
        <v>228</v>
      </c>
    </row>
    <row r="17" spans="1:66" ht="15.75" thickBot="1">
      <c r="A17" s="227"/>
      <c r="B17" s="1077"/>
      <c r="C17" s="1078"/>
      <c r="D17" s="1077"/>
      <c r="E17" s="1078"/>
      <c r="F17" s="1079"/>
      <c r="G17" s="1079"/>
      <c r="H17" s="1079"/>
      <c r="I17" s="1079"/>
      <c r="J17" s="1079"/>
      <c r="K17" s="1079"/>
      <c r="L17" s="1077"/>
      <c r="M17" s="229"/>
      <c r="N17" s="1079"/>
      <c r="O17" s="1132"/>
      <c r="P17" s="1132"/>
      <c r="Q17" s="1133"/>
      <c r="R17" s="1133"/>
      <c r="S17" s="1133"/>
      <c r="T17" s="1133"/>
      <c r="U17" s="1133"/>
      <c r="V17" s="1134"/>
      <c r="W17" s="10"/>
      <c r="X17" s="228"/>
      <c r="Y17" s="230"/>
      <c r="Z17" s="230"/>
      <c r="AA17" s="231"/>
      <c r="AB17" s="231"/>
      <c r="AC17" s="231"/>
      <c r="AD17" s="231"/>
      <c r="AE17" s="231"/>
      <c r="AF17" s="179"/>
      <c r="AG17" s="10"/>
      <c r="AH17" s="228"/>
      <c r="AI17" s="230"/>
      <c r="AJ17" s="230"/>
      <c r="AK17" s="231"/>
      <c r="AL17" s="231"/>
      <c r="AM17" s="231"/>
      <c r="AN17" s="231"/>
      <c r="AO17" s="231"/>
      <c r="AP17" s="179"/>
      <c r="AR17" s="1078"/>
      <c r="AS17" s="1132"/>
      <c r="AT17" s="1132"/>
      <c r="AU17" s="1133"/>
      <c r="AV17" s="1133"/>
      <c r="AW17" s="1133"/>
      <c r="AX17" s="1133"/>
      <c r="AY17" s="1133"/>
      <c r="AZ17" s="1150"/>
      <c r="BB17" s="323"/>
      <c r="BC17" s="324"/>
      <c r="BD17" s="1323"/>
      <c r="BE17" s="324"/>
      <c r="BF17" s="104"/>
      <c r="BG17" s="130"/>
      <c r="BI17" s="323"/>
      <c r="BJ17" s="324"/>
      <c r="BK17" s="1323"/>
      <c r="BL17" s="324"/>
      <c r="BM17" s="104"/>
      <c r="BN17" s="130"/>
    </row>
    <row r="18" spans="1:66">
      <c r="A18" s="1086">
        <f>'Input data'!A48</f>
        <v>1950</v>
      </c>
      <c r="B18" s="1087">
        <f>'Input data'!B48</f>
        <v>5.3541578999999997</v>
      </c>
      <c r="C18" s="1124">
        <f>'Baseline data (from input)'!B6</f>
        <v>578.73</v>
      </c>
      <c r="D18" s="1088">
        <f>'Baseline data (from input)'!L6</f>
        <v>0.8</v>
      </c>
      <c r="E18" s="1089">
        <f>'Input data'!C29</f>
        <v>0.24001298204245269</v>
      </c>
      <c r="F18" s="1089">
        <f>'Input data'!D29</f>
        <v>0.30440139352934503</v>
      </c>
      <c r="G18" s="1089">
        <f>'Input data'!E29</f>
        <v>5.8998240613430578E-2</v>
      </c>
      <c r="H18" s="1089">
        <f>'Input data'!F29</f>
        <v>0</v>
      </c>
      <c r="I18" s="1089">
        <f>'Input data'!G29</f>
        <v>0</v>
      </c>
      <c r="J18" s="1089">
        <f>'Input data'!H29</f>
        <v>0</v>
      </c>
      <c r="K18" s="1089">
        <f>SUM('Input data'!I29:M29)</f>
        <v>0.39658738381477154</v>
      </c>
      <c r="L18" s="1090">
        <f>SUM(E18:K18)</f>
        <v>0.99999999999999989</v>
      </c>
      <c r="M18" s="102"/>
      <c r="N18" s="1138">
        <f>B18*C18*D18</f>
        <v>2478.8894411736001</v>
      </c>
      <c r="O18" s="1139">
        <f>Parameters!R121</f>
        <v>0.73</v>
      </c>
      <c r="P18" s="1139">
        <f>E18*'MSW characteristics'!$B$28+'MSW characteristics'!$B$29*'4A SWD Case 3'!F18+'4A SWD Case 3'!G18*'MSW characteristics'!$B$30+'MSW characteristics'!$B$31*'4A SWD Case 3'!H18+'4A SWD Case 3'!I18*'MSW characteristics'!$B$32+'MSW characteristics'!$B$33*'4A SWD Case 3'!J18+'4A SWD Case 3'!K18*'MSW characteristics'!$B$35</f>
        <v>0.12048152225760915</v>
      </c>
      <c r="Q18" s="1140">
        <f>N18*P18*O18*$C$4</f>
        <v>109.01103628403193</v>
      </c>
      <c r="R18" s="1140">
        <f>Q18*$C$10</f>
        <v>109.01103628403193</v>
      </c>
      <c r="S18" s="1141">
        <f>Q18*(1-$C$10)</f>
        <v>0</v>
      </c>
      <c r="T18" s="1140">
        <f>R18+(T17*$C$8)</f>
        <v>109.01103628403193</v>
      </c>
      <c r="U18" s="1140">
        <f>S18+T17*(1-$C$8)</f>
        <v>0</v>
      </c>
      <c r="V18" s="1312">
        <f>U18*16/12*$C$11</f>
        <v>0</v>
      </c>
      <c r="W18" s="10"/>
      <c r="X18" s="1138">
        <f>'Baseline data (from input)'!T6*'Baseline data (from input)'!U6</f>
        <v>0</v>
      </c>
      <c r="Y18" s="1139">
        <f>Parameters!S121</f>
        <v>0.71500000000000008</v>
      </c>
      <c r="Z18" s="1139">
        <f>$D$3</f>
        <v>0.15</v>
      </c>
      <c r="AA18" s="1140">
        <f>X18*Z18*Y18*$D$4</f>
        <v>0</v>
      </c>
      <c r="AB18" s="1140">
        <f>AA18*$D$10</f>
        <v>0</v>
      </c>
      <c r="AC18" s="1141">
        <f>AA18*(1-$D$10)</f>
        <v>0</v>
      </c>
      <c r="AD18" s="1140">
        <f>AB18+(AD17*$D$8)</f>
        <v>0</v>
      </c>
      <c r="AE18" s="1140">
        <f>AC18+AD17*(1-$D$8)</f>
        <v>0</v>
      </c>
      <c r="AF18" s="1312">
        <f>AE18*16/12*$D$11</f>
        <v>0</v>
      </c>
      <c r="AG18" s="10"/>
      <c r="AH18" s="1138">
        <f>'Baseline data (from input)'!T6*'Baseline data (from input)'!U6</f>
        <v>0</v>
      </c>
      <c r="AI18" s="1139">
        <f>Parameters!S121</f>
        <v>0.71500000000000008</v>
      </c>
      <c r="AJ18" s="1139">
        <f>$D$3</f>
        <v>0.15</v>
      </c>
      <c r="AK18" s="1140">
        <f>AH18*AJ18*AI18*$D$4</f>
        <v>0</v>
      </c>
      <c r="AL18" s="1140">
        <f>AK18*$D$10</f>
        <v>0</v>
      </c>
      <c r="AM18" s="1141">
        <f>AK18*(1-$D$10)</f>
        <v>0</v>
      </c>
      <c r="AN18" s="1140">
        <f>AL18+(AN17*$D$8)</f>
        <v>0</v>
      </c>
      <c r="AO18" s="1140">
        <f>AM18+AN17*(1-$D$8)</f>
        <v>0</v>
      </c>
      <c r="AP18" s="1312">
        <f>AO18*16/12*$D$11</f>
        <v>0</v>
      </c>
      <c r="AR18" s="1138">
        <v>0</v>
      </c>
      <c r="AS18" s="1139">
        <v>1</v>
      </c>
      <c r="AT18" s="1139">
        <f>$E$3</f>
        <v>0.05</v>
      </c>
      <c r="AU18" s="1140">
        <f>AR18*AT18*AS18*$E$4</f>
        <v>0</v>
      </c>
      <c r="AV18" s="1140">
        <f>AU18*$E$10</f>
        <v>0</v>
      </c>
      <c r="AW18" s="1141">
        <f>AU18*(1-$E$10)</f>
        <v>0</v>
      </c>
      <c r="AX18" s="1140">
        <f>AV18+(AX17*$E$8)</f>
        <v>0</v>
      </c>
      <c r="AY18" s="1140">
        <f>AW18+AX17*(1-$E$8)</f>
        <v>0</v>
      </c>
      <c r="AZ18" s="1312">
        <f>AY18*16/12*$E$11</f>
        <v>0</v>
      </c>
      <c r="BB18" s="323">
        <f>V18</f>
        <v>0</v>
      </c>
      <c r="BC18" s="324">
        <f>AF18</f>
        <v>0</v>
      </c>
      <c r="BD18" s="1323">
        <f>AZ18</f>
        <v>0</v>
      </c>
      <c r="BE18" s="324">
        <f>SUM(BB18:BD18)</f>
        <v>0</v>
      </c>
      <c r="BF18" s="104">
        <v>0</v>
      </c>
      <c r="BG18" s="325">
        <f>BE18-BF18</f>
        <v>0</v>
      </c>
      <c r="BI18" s="323">
        <f>V18</f>
        <v>0</v>
      </c>
      <c r="BJ18" s="324">
        <f>AP18</f>
        <v>0</v>
      </c>
      <c r="BK18" s="1323">
        <f>AZ18</f>
        <v>0</v>
      </c>
      <c r="BL18" s="324">
        <f>SUM(BI18:BK18)</f>
        <v>0</v>
      </c>
      <c r="BM18" s="104">
        <v>0</v>
      </c>
      <c r="BN18" s="325">
        <f>BL18-BM18</f>
        <v>0</v>
      </c>
    </row>
    <row r="19" spans="1:66">
      <c r="A19" s="1091">
        <f>'Input data'!A49</f>
        <v>1951</v>
      </c>
      <c r="B19" s="1080">
        <f>'Input data'!B49</f>
        <v>5.53942844</v>
      </c>
      <c r="C19" s="1125">
        <f>'Baseline data (from input)'!B7</f>
        <v>578.73</v>
      </c>
      <c r="D19" s="1081">
        <f>'Baseline data (from input)'!L7</f>
        <v>0.8</v>
      </c>
      <c r="E19" s="992">
        <f>E18</f>
        <v>0.24001298204245269</v>
      </c>
      <c r="F19" s="992">
        <f t="shared" ref="F19:K34" si="0">F18</f>
        <v>0.30440139352934503</v>
      </c>
      <c r="G19" s="992">
        <f t="shared" si="0"/>
        <v>5.8998240613430578E-2</v>
      </c>
      <c r="H19" s="992">
        <f t="shared" si="0"/>
        <v>0</v>
      </c>
      <c r="I19" s="992">
        <f t="shared" si="0"/>
        <v>0</v>
      </c>
      <c r="J19" s="992">
        <f t="shared" si="0"/>
        <v>0</v>
      </c>
      <c r="K19" s="992">
        <f t="shared" si="0"/>
        <v>0.39658738381477154</v>
      </c>
      <c r="L19" s="1092">
        <f>SUM(E19:K19)</f>
        <v>0.99999999999999989</v>
      </c>
      <c r="M19" s="102"/>
      <c r="N19" s="1143">
        <f t="shared" ref="N19:N82" si="1">B19*C19*D19</f>
        <v>2564.6667368649601</v>
      </c>
      <c r="O19" s="1136">
        <f>Parameters!R122</f>
        <v>0.73</v>
      </c>
      <c r="P19" s="1136">
        <f>E19*'MSW characteristics'!$B$28+'MSW characteristics'!$B$29*'4A SWD Case 3'!F19+'4A SWD Case 3'!G19*'MSW characteristics'!$B$30+'MSW characteristics'!$B$31*'4A SWD Case 3'!H19+'4A SWD Case 3'!I19*'MSW characteristics'!$B$32+'MSW characteristics'!$B$33*'4A SWD Case 3'!J19+'4A SWD Case 3'!K19*'MSW characteristics'!$B$35</f>
        <v>0.12048152225760915</v>
      </c>
      <c r="Q19" s="1135">
        <f t="shared" ref="Q19:Q82" si="2">N19*P19*O19*$C$4</f>
        <v>112.78315767744512</v>
      </c>
      <c r="R19" s="1135">
        <f t="shared" ref="R19:R82" si="3">Q19*$C$10</f>
        <v>112.78315767744512</v>
      </c>
      <c r="S19" s="306">
        <f t="shared" ref="S19:S82" si="4">Q19*(1-$C$10)</f>
        <v>0</v>
      </c>
      <c r="T19" s="1135">
        <f t="shared" ref="T19:T82" si="5">R19+(T18*$C$8)</f>
        <v>216.47766298613126</v>
      </c>
      <c r="U19" s="1135">
        <f t="shared" ref="U19:U82" si="6">S19+T18*(1-$C$8)</f>
        <v>5.316530975345783</v>
      </c>
      <c r="V19" s="1311">
        <f t="shared" ref="V19:V82" si="7">U19*16/12*$C$11</f>
        <v>3.5443539835638553</v>
      </c>
      <c r="W19" s="10"/>
      <c r="X19" s="1143">
        <f>'Baseline data (from input)'!T7*'Baseline data (from input)'!U7</f>
        <v>0</v>
      </c>
      <c r="Y19" s="1136">
        <f>Parameters!S122</f>
        <v>0.71500000000000008</v>
      </c>
      <c r="Z19" s="1136">
        <f t="shared" ref="Z19:Z82" si="8">$D$3</f>
        <v>0.15</v>
      </c>
      <c r="AA19" s="1135">
        <f t="shared" ref="AA19:AA82" si="9">X19*Z19*Y19*$D$4</f>
        <v>0</v>
      </c>
      <c r="AB19" s="1135">
        <f t="shared" ref="AB19:AB82" si="10">AA19*$D$10</f>
        <v>0</v>
      </c>
      <c r="AC19" s="306">
        <f t="shared" ref="AC19:AC82" si="11">AA19*(1-$D$10)</f>
        <v>0</v>
      </c>
      <c r="AD19" s="1135">
        <f t="shared" ref="AD19:AD82" si="12">AB19+(AD18*$D$8)</f>
        <v>0</v>
      </c>
      <c r="AE19" s="1135">
        <f t="shared" ref="AE19:AE82" si="13">AC19+AD18*(1-$D$8)</f>
        <v>0</v>
      </c>
      <c r="AF19" s="1311">
        <f t="shared" ref="AF19:AF82" si="14">AE19*16/12*$D$11</f>
        <v>0</v>
      </c>
      <c r="AG19" s="10"/>
      <c r="AH19" s="1143">
        <f>'Baseline data (from input)'!T7*'Baseline data (from input)'!U7</f>
        <v>0</v>
      </c>
      <c r="AI19" s="1136">
        <f>Parameters!S122</f>
        <v>0.71500000000000008</v>
      </c>
      <c r="AJ19" s="1136">
        <f t="shared" ref="AJ19:AJ82" si="15">$D$3</f>
        <v>0.15</v>
      </c>
      <c r="AK19" s="1135">
        <f t="shared" ref="AK19:AK82" si="16">AH19*AJ19*AI19*$D$4</f>
        <v>0</v>
      </c>
      <c r="AL19" s="1135">
        <f t="shared" ref="AL19:AL82" si="17">AK19*$D$10</f>
        <v>0</v>
      </c>
      <c r="AM19" s="306">
        <f t="shared" ref="AM19:AM82" si="18">AK19*(1-$D$10)</f>
        <v>0</v>
      </c>
      <c r="AN19" s="1135">
        <f t="shared" ref="AN19:AN82" si="19">AL19+(AN18*$D$8)</f>
        <v>0</v>
      </c>
      <c r="AO19" s="1135">
        <f t="shared" ref="AO19:AO82" si="20">AM19+AN18*(1-$D$8)</f>
        <v>0</v>
      </c>
      <c r="AP19" s="1311">
        <f t="shared" ref="AP19:AP82" si="21">AO19*16/12*$D$11</f>
        <v>0</v>
      </c>
      <c r="AR19" s="1143">
        <v>0</v>
      </c>
      <c r="AS19" s="1136">
        <v>1</v>
      </c>
      <c r="AT19" s="1136">
        <f t="shared" ref="AT19:AT82" si="22">$E$3</f>
        <v>0.05</v>
      </c>
      <c r="AU19" s="1135">
        <f t="shared" ref="AU19:AU82" si="23">AR19*AT19*AS19*$E$4</f>
        <v>0</v>
      </c>
      <c r="AV19" s="1135">
        <f t="shared" ref="AV19:AV82" si="24">AU19*$E$10</f>
        <v>0</v>
      </c>
      <c r="AW19" s="306">
        <f t="shared" ref="AW19:AW82" si="25">AU19*(1-$C$10)</f>
        <v>0</v>
      </c>
      <c r="AX19" s="1135">
        <f t="shared" ref="AX19:AX47" si="26">AV19+(AX18*$C$8)</f>
        <v>0</v>
      </c>
      <c r="AY19" s="1135">
        <f t="shared" ref="AY19:AY67" si="27">AW19+AX18*(1-$C$8)</f>
        <v>0</v>
      </c>
      <c r="AZ19" s="1311">
        <f t="shared" ref="AZ19:AZ67" si="28">AY19*16/12*$C$11</f>
        <v>0</v>
      </c>
      <c r="BB19" s="323">
        <f t="shared" ref="BB19:BB82" si="29">V19</f>
        <v>3.5443539835638553</v>
      </c>
      <c r="BC19" s="324">
        <f t="shared" ref="BC19:BC82" si="30">AF19</f>
        <v>0</v>
      </c>
      <c r="BD19" s="1323">
        <f t="shared" ref="BD19:BD67" si="31">AZ19</f>
        <v>0</v>
      </c>
      <c r="BE19" s="324">
        <f t="shared" ref="BE19:BE81" si="32">SUM(BB19:BD19)</f>
        <v>3.5443539835638553</v>
      </c>
      <c r="BF19" s="104">
        <v>0</v>
      </c>
      <c r="BG19" s="325">
        <f t="shared" ref="BG19:BG82" si="33">BE19-BF19</f>
        <v>3.5443539835638553</v>
      </c>
      <c r="BI19" s="323">
        <f t="shared" ref="BI19:BI82" si="34">V19</f>
        <v>3.5443539835638553</v>
      </c>
      <c r="BJ19" s="324">
        <f t="shared" ref="BJ19:BJ82" si="35">AP19</f>
        <v>0</v>
      </c>
      <c r="BK19" s="1323">
        <f t="shared" ref="BK19:BK82" si="36">AZ19</f>
        <v>0</v>
      </c>
      <c r="BL19" s="324">
        <f t="shared" ref="BL19:BL81" si="37">SUM(BI19:BK19)</f>
        <v>3.5443539835638553</v>
      </c>
      <c r="BM19" s="104">
        <v>0</v>
      </c>
      <c r="BN19" s="325">
        <f t="shared" ref="BN19:BN82" si="38">BL19-BM19</f>
        <v>3.5443539835638553</v>
      </c>
    </row>
    <row r="20" spans="1:66">
      <c r="A20" s="1091">
        <f>'Input data'!A50</f>
        <v>1952</v>
      </c>
      <c r="B20" s="1080">
        <f>'Input data'!B50</f>
        <v>5.7129272200000001</v>
      </c>
      <c r="C20" s="1125">
        <f>'Baseline data (from input)'!B8</f>
        <v>578.73</v>
      </c>
      <c r="D20" s="1081">
        <f>'Baseline data (from input)'!L8</f>
        <v>0.8</v>
      </c>
      <c r="E20" s="992">
        <f t="shared" ref="E20:K35" si="39">E19</f>
        <v>0.24001298204245269</v>
      </c>
      <c r="F20" s="992">
        <f t="shared" si="0"/>
        <v>0.30440139352934503</v>
      </c>
      <c r="G20" s="992">
        <f t="shared" si="0"/>
        <v>5.8998240613430578E-2</v>
      </c>
      <c r="H20" s="992">
        <f t="shared" si="0"/>
        <v>0</v>
      </c>
      <c r="I20" s="992">
        <f t="shared" si="0"/>
        <v>0</v>
      </c>
      <c r="J20" s="992">
        <f t="shared" si="0"/>
        <v>0</v>
      </c>
      <c r="K20" s="992">
        <f t="shared" si="0"/>
        <v>0.39658738381477154</v>
      </c>
      <c r="L20" s="1092">
        <f t="shared" ref="L20:L83" si="40">SUM(E20:K20)</f>
        <v>0.99999999999999989</v>
      </c>
      <c r="M20" s="102"/>
      <c r="N20" s="1143">
        <f t="shared" si="1"/>
        <v>2644.9938960244804</v>
      </c>
      <c r="O20" s="1136">
        <f>Parameters!R123</f>
        <v>0.73</v>
      </c>
      <c r="P20" s="1136">
        <f>E20*'MSW characteristics'!$B$28+'MSW characteristics'!$B$29*'4A SWD Case 3'!F20+'4A SWD Case 3'!G20*'MSW characteristics'!$B$30+'MSW characteristics'!$B$31*'4A SWD Case 3'!H20+'4A SWD Case 3'!I20*'MSW characteristics'!$B$32+'MSW characteristics'!$B$33*'4A SWD Case 3'!J20+'4A SWD Case 3'!K20*'MSW characteristics'!$B$35</f>
        <v>0.12048152225760915</v>
      </c>
      <c r="Q20" s="1135">
        <f t="shared" si="2"/>
        <v>116.31560519861652</v>
      </c>
      <c r="R20" s="1135">
        <f t="shared" si="3"/>
        <v>116.31560519861652</v>
      </c>
      <c r="S20" s="306">
        <f t="shared" si="4"/>
        <v>0</v>
      </c>
      <c r="T20" s="1135">
        <f t="shared" si="5"/>
        <v>322.23552797817371</v>
      </c>
      <c r="U20" s="1135">
        <f t="shared" si="6"/>
        <v>10.557740206574103</v>
      </c>
      <c r="V20" s="1311">
        <f t="shared" si="7"/>
        <v>7.038493471049402</v>
      </c>
      <c r="W20" s="10"/>
      <c r="X20" s="1143">
        <f>'Baseline data (from input)'!T8*'Baseline data (from input)'!U8</f>
        <v>0</v>
      </c>
      <c r="Y20" s="1136">
        <f>Parameters!S123</f>
        <v>0.71500000000000008</v>
      </c>
      <c r="Z20" s="1136">
        <f t="shared" si="8"/>
        <v>0.15</v>
      </c>
      <c r="AA20" s="1135">
        <f t="shared" si="9"/>
        <v>0</v>
      </c>
      <c r="AB20" s="1135">
        <f t="shared" si="10"/>
        <v>0</v>
      </c>
      <c r="AC20" s="306">
        <f t="shared" si="11"/>
        <v>0</v>
      </c>
      <c r="AD20" s="1135">
        <f t="shared" si="12"/>
        <v>0</v>
      </c>
      <c r="AE20" s="1135">
        <f t="shared" si="13"/>
        <v>0</v>
      </c>
      <c r="AF20" s="1311">
        <f t="shared" si="14"/>
        <v>0</v>
      </c>
      <c r="AG20" s="10"/>
      <c r="AH20" s="1143">
        <f>'Baseline data (from input)'!T8*'Baseline data (from input)'!U8</f>
        <v>0</v>
      </c>
      <c r="AI20" s="1136">
        <f>Parameters!S123</f>
        <v>0.71500000000000008</v>
      </c>
      <c r="AJ20" s="1136">
        <f t="shared" si="15"/>
        <v>0.15</v>
      </c>
      <c r="AK20" s="1135">
        <f t="shared" si="16"/>
        <v>0</v>
      </c>
      <c r="AL20" s="1135">
        <f t="shared" si="17"/>
        <v>0</v>
      </c>
      <c r="AM20" s="306">
        <f t="shared" si="18"/>
        <v>0</v>
      </c>
      <c r="AN20" s="1135">
        <f t="shared" si="19"/>
        <v>0</v>
      </c>
      <c r="AO20" s="1135">
        <f t="shared" si="20"/>
        <v>0</v>
      </c>
      <c r="AP20" s="1311">
        <f t="shared" si="21"/>
        <v>0</v>
      </c>
      <c r="AR20" s="1143">
        <v>0</v>
      </c>
      <c r="AS20" s="1136">
        <v>1</v>
      </c>
      <c r="AT20" s="1136">
        <f t="shared" si="22"/>
        <v>0.05</v>
      </c>
      <c r="AU20" s="1135">
        <f t="shared" si="23"/>
        <v>0</v>
      </c>
      <c r="AV20" s="1135">
        <f t="shared" si="24"/>
        <v>0</v>
      </c>
      <c r="AW20" s="306">
        <f t="shared" si="25"/>
        <v>0</v>
      </c>
      <c r="AX20" s="1135">
        <f t="shared" si="26"/>
        <v>0</v>
      </c>
      <c r="AY20" s="1135">
        <f t="shared" si="27"/>
        <v>0</v>
      </c>
      <c r="AZ20" s="1311">
        <f t="shared" si="28"/>
        <v>0</v>
      </c>
      <c r="BB20" s="323">
        <f t="shared" si="29"/>
        <v>7.038493471049402</v>
      </c>
      <c r="BC20" s="324">
        <f t="shared" si="30"/>
        <v>0</v>
      </c>
      <c r="BD20" s="1323">
        <f t="shared" si="31"/>
        <v>0</v>
      </c>
      <c r="BE20" s="324">
        <f t="shared" si="32"/>
        <v>7.038493471049402</v>
      </c>
      <c r="BF20" s="104">
        <v>0</v>
      </c>
      <c r="BG20" s="325">
        <f t="shared" si="33"/>
        <v>7.038493471049402</v>
      </c>
      <c r="BI20" s="323">
        <f t="shared" si="34"/>
        <v>7.038493471049402</v>
      </c>
      <c r="BJ20" s="324">
        <f t="shared" si="35"/>
        <v>0</v>
      </c>
      <c r="BK20" s="1323">
        <f t="shared" si="36"/>
        <v>0</v>
      </c>
      <c r="BL20" s="324">
        <f t="shared" si="37"/>
        <v>7.038493471049402</v>
      </c>
      <c r="BM20" s="104">
        <v>0</v>
      </c>
      <c r="BN20" s="325">
        <f t="shared" si="38"/>
        <v>7.038493471049402</v>
      </c>
    </row>
    <row r="21" spans="1:66">
      <c r="A21" s="1091">
        <f>'Input data'!A51</f>
        <v>1953</v>
      </c>
      <c r="B21" s="1080">
        <f>'Input data'!B51</f>
        <v>5.9284297800000001</v>
      </c>
      <c r="C21" s="1125">
        <f>'Baseline data (from input)'!B9</f>
        <v>578.73</v>
      </c>
      <c r="D21" s="1081">
        <f>'Baseline data (from input)'!L9</f>
        <v>0.8</v>
      </c>
      <c r="E21" s="992">
        <f t="shared" si="39"/>
        <v>0.24001298204245269</v>
      </c>
      <c r="F21" s="992">
        <f t="shared" si="0"/>
        <v>0.30440139352934503</v>
      </c>
      <c r="G21" s="992">
        <f t="shared" si="0"/>
        <v>5.8998240613430578E-2</v>
      </c>
      <c r="H21" s="992">
        <f t="shared" si="0"/>
        <v>0</v>
      </c>
      <c r="I21" s="992">
        <f t="shared" si="0"/>
        <v>0</v>
      </c>
      <c r="J21" s="992">
        <f t="shared" si="0"/>
        <v>0</v>
      </c>
      <c r="K21" s="992">
        <f t="shared" si="0"/>
        <v>0.39658738381477154</v>
      </c>
      <c r="L21" s="1092">
        <f t="shared" si="40"/>
        <v>0.99999999999999989</v>
      </c>
      <c r="M21" s="102"/>
      <c r="N21" s="1143">
        <f t="shared" si="1"/>
        <v>2744.7681332635202</v>
      </c>
      <c r="O21" s="1136">
        <f>Parameters!R124</f>
        <v>0.73</v>
      </c>
      <c r="P21" s="1136">
        <f>E21*'MSW characteristics'!$B$28+'MSW characteristics'!$B$29*'4A SWD Case 3'!F21+'4A SWD Case 3'!G21*'MSW characteristics'!$B$30+'MSW characteristics'!$B$31*'4A SWD Case 3'!H21+'4A SWD Case 3'!I21*'MSW characteristics'!$B$32+'MSW characteristics'!$B$33*'4A SWD Case 3'!J21+'4A SWD Case 3'!K21*'MSW characteristics'!$B$35</f>
        <v>0.12048152225760915</v>
      </c>
      <c r="Q21" s="1135">
        <f t="shared" si="2"/>
        <v>120.70325267301428</v>
      </c>
      <c r="R21" s="1135">
        <f t="shared" si="3"/>
        <v>120.70325267301428</v>
      </c>
      <c r="S21" s="306">
        <f t="shared" si="4"/>
        <v>0</v>
      </c>
      <c r="T21" s="1135">
        <f t="shared" si="5"/>
        <v>427.22316850537618</v>
      </c>
      <c r="U21" s="1135">
        <f t="shared" si="6"/>
        <v>15.715612145811802</v>
      </c>
      <c r="V21" s="1311">
        <f t="shared" si="7"/>
        <v>10.477074763874535</v>
      </c>
      <c r="W21" s="10"/>
      <c r="X21" s="1143">
        <f>'Baseline data (from input)'!T9*'Baseline data (from input)'!U9</f>
        <v>0</v>
      </c>
      <c r="Y21" s="1136">
        <f>Parameters!S124</f>
        <v>0.71500000000000008</v>
      </c>
      <c r="Z21" s="1136">
        <f t="shared" si="8"/>
        <v>0.15</v>
      </c>
      <c r="AA21" s="1135">
        <f t="shared" si="9"/>
        <v>0</v>
      </c>
      <c r="AB21" s="1135">
        <f t="shared" si="10"/>
        <v>0</v>
      </c>
      <c r="AC21" s="306">
        <f t="shared" si="11"/>
        <v>0</v>
      </c>
      <c r="AD21" s="1135">
        <f t="shared" si="12"/>
        <v>0</v>
      </c>
      <c r="AE21" s="1135">
        <f t="shared" si="13"/>
        <v>0</v>
      </c>
      <c r="AF21" s="1311">
        <f t="shared" si="14"/>
        <v>0</v>
      </c>
      <c r="AG21" s="10"/>
      <c r="AH21" s="1143">
        <f>'Baseline data (from input)'!T9*'Baseline data (from input)'!U9</f>
        <v>0</v>
      </c>
      <c r="AI21" s="1136">
        <f>Parameters!S124</f>
        <v>0.71500000000000008</v>
      </c>
      <c r="AJ21" s="1136">
        <f t="shared" si="15"/>
        <v>0.15</v>
      </c>
      <c r="AK21" s="1135">
        <f t="shared" si="16"/>
        <v>0</v>
      </c>
      <c r="AL21" s="1135">
        <f t="shared" si="17"/>
        <v>0</v>
      </c>
      <c r="AM21" s="306">
        <f t="shared" si="18"/>
        <v>0</v>
      </c>
      <c r="AN21" s="1135">
        <f t="shared" si="19"/>
        <v>0</v>
      </c>
      <c r="AO21" s="1135">
        <f t="shared" si="20"/>
        <v>0</v>
      </c>
      <c r="AP21" s="1311">
        <f t="shared" si="21"/>
        <v>0</v>
      </c>
      <c r="AR21" s="1143">
        <v>0</v>
      </c>
      <c r="AS21" s="1136">
        <v>1</v>
      </c>
      <c r="AT21" s="1136">
        <f t="shared" si="22"/>
        <v>0.05</v>
      </c>
      <c r="AU21" s="1135">
        <f t="shared" si="23"/>
        <v>0</v>
      </c>
      <c r="AV21" s="1135">
        <f t="shared" si="24"/>
        <v>0</v>
      </c>
      <c r="AW21" s="306">
        <f t="shared" si="25"/>
        <v>0</v>
      </c>
      <c r="AX21" s="1135">
        <f t="shared" si="26"/>
        <v>0</v>
      </c>
      <c r="AY21" s="1135">
        <f t="shared" si="27"/>
        <v>0</v>
      </c>
      <c r="AZ21" s="1311">
        <f t="shared" si="28"/>
        <v>0</v>
      </c>
      <c r="BB21" s="323">
        <f t="shared" si="29"/>
        <v>10.477074763874535</v>
      </c>
      <c r="BC21" s="324">
        <f t="shared" si="30"/>
        <v>0</v>
      </c>
      <c r="BD21" s="1323">
        <f t="shared" si="31"/>
        <v>0</v>
      </c>
      <c r="BE21" s="324">
        <f t="shared" si="32"/>
        <v>10.477074763874535</v>
      </c>
      <c r="BF21" s="104">
        <v>0</v>
      </c>
      <c r="BG21" s="325">
        <f t="shared" si="33"/>
        <v>10.477074763874535</v>
      </c>
      <c r="BI21" s="323">
        <f t="shared" si="34"/>
        <v>10.477074763874535</v>
      </c>
      <c r="BJ21" s="324">
        <f t="shared" si="35"/>
        <v>0</v>
      </c>
      <c r="BK21" s="1323">
        <f t="shared" si="36"/>
        <v>0</v>
      </c>
      <c r="BL21" s="324">
        <f t="shared" si="37"/>
        <v>10.477074763874535</v>
      </c>
      <c r="BM21" s="104">
        <v>0</v>
      </c>
      <c r="BN21" s="325">
        <f t="shared" si="38"/>
        <v>10.477074763874535</v>
      </c>
    </row>
    <row r="22" spans="1:66">
      <c r="A22" s="1091">
        <f>'Input data'!A52</f>
        <v>1954</v>
      </c>
      <c r="B22" s="1080">
        <f>'Input data'!B52</f>
        <v>6.1065695599999996</v>
      </c>
      <c r="C22" s="1125">
        <f>'Baseline data (from input)'!B10</f>
        <v>578.73</v>
      </c>
      <c r="D22" s="1081">
        <f>'Baseline data (from input)'!L10</f>
        <v>0.8</v>
      </c>
      <c r="E22" s="992">
        <f t="shared" si="39"/>
        <v>0.24001298204245269</v>
      </c>
      <c r="F22" s="992">
        <f t="shared" si="0"/>
        <v>0.30440139352934503</v>
      </c>
      <c r="G22" s="992">
        <f t="shared" si="0"/>
        <v>5.8998240613430578E-2</v>
      </c>
      <c r="H22" s="992">
        <f t="shared" si="0"/>
        <v>0</v>
      </c>
      <c r="I22" s="992">
        <f t="shared" si="0"/>
        <v>0</v>
      </c>
      <c r="J22" s="992">
        <f t="shared" si="0"/>
        <v>0</v>
      </c>
      <c r="K22" s="992">
        <f t="shared" si="0"/>
        <v>0.39658738381477154</v>
      </c>
      <c r="L22" s="1092">
        <f t="shared" si="40"/>
        <v>0.99999999999999989</v>
      </c>
      <c r="M22" s="102"/>
      <c r="N22" s="1143">
        <f t="shared" si="1"/>
        <v>2827.2440011670401</v>
      </c>
      <c r="O22" s="1136">
        <f>Parameters!R125</f>
        <v>0.73</v>
      </c>
      <c r="P22" s="1136">
        <f>E22*'MSW characteristics'!$B$28+'MSW characteristics'!$B$29*'4A SWD Case 3'!F22+'4A SWD Case 3'!G22*'MSW characteristics'!$B$30+'MSW characteristics'!$B$31*'4A SWD Case 3'!H22+'4A SWD Case 3'!I22*'MSW characteristics'!$B$32+'MSW characteristics'!$B$33*'4A SWD Case 3'!J22+'4A SWD Case 3'!K22*'MSW characteristics'!$B$35</f>
        <v>0.12048152225760915</v>
      </c>
      <c r="Q22" s="1135">
        <f t="shared" si="2"/>
        <v>124.33019128481902</v>
      </c>
      <c r="R22" s="1135">
        <f t="shared" si="3"/>
        <v>124.33019128481902</v>
      </c>
      <c r="S22" s="306">
        <f t="shared" si="4"/>
        <v>0</v>
      </c>
      <c r="T22" s="1135">
        <f t="shared" si="5"/>
        <v>530.71743999555952</v>
      </c>
      <c r="U22" s="1135">
        <f t="shared" si="6"/>
        <v>20.835919794635625</v>
      </c>
      <c r="V22" s="1311">
        <f t="shared" si="7"/>
        <v>13.89061319642375</v>
      </c>
      <c r="W22" s="10"/>
      <c r="X22" s="1143">
        <f>'Baseline data (from input)'!T10*'Baseline data (from input)'!U10</f>
        <v>0</v>
      </c>
      <c r="Y22" s="1136">
        <f>Parameters!S125</f>
        <v>0.71500000000000008</v>
      </c>
      <c r="Z22" s="1136">
        <f t="shared" si="8"/>
        <v>0.15</v>
      </c>
      <c r="AA22" s="1135">
        <f t="shared" si="9"/>
        <v>0</v>
      </c>
      <c r="AB22" s="1135">
        <f t="shared" si="10"/>
        <v>0</v>
      </c>
      <c r="AC22" s="306">
        <f t="shared" si="11"/>
        <v>0</v>
      </c>
      <c r="AD22" s="1135">
        <f t="shared" si="12"/>
        <v>0</v>
      </c>
      <c r="AE22" s="1135">
        <f t="shared" si="13"/>
        <v>0</v>
      </c>
      <c r="AF22" s="1311">
        <f t="shared" si="14"/>
        <v>0</v>
      </c>
      <c r="AG22" s="10"/>
      <c r="AH22" s="1143">
        <f>'Baseline data (from input)'!T10*'Baseline data (from input)'!U10</f>
        <v>0</v>
      </c>
      <c r="AI22" s="1136">
        <f>Parameters!S125</f>
        <v>0.71500000000000008</v>
      </c>
      <c r="AJ22" s="1136">
        <f t="shared" si="15"/>
        <v>0.15</v>
      </c>
      <c r="AK22" s="1135">
        <f t="shared" si="16"/>
        <v>0</v>
      </c>
      <c r="AL22" s="1135">
        <f t="shared" si="17"/>
        <v>0</v>
      </c>
      <c r="AM22" s="306">
        <f t="shared" si="18"/>
        <v>0</v>
      </c>
      <c r="AN22" s="1135">
        <f t="shared" si="19"/>
        <v>0</v>
      </c>
      <c r="AO22" s="1135">
        <f t="shared" si="20"/>
        <v>0</v>
      </c>
      <c r="AP22" s="1311">
        <f t="shared" si="21"/>
        <v>0</v>
      </c>
      <c r="AR22" s="1143">
        <v>0</v>
      </c>
      <c r="AS22" s="1136">
        <v>1</v>
      </c>
      <c r="AT22" s="1136">
        <f t="shared" si="22"/>
        <v>0.05</v>
      </c>
      <c r="AU22" s="1135">
        <f t="shared" si="23"/>
        <v>0</v>
      </c>
      <c r="AV22" s="1135">
        <f t="shared" si="24"/>
        <v>0</v>
      </c>
      <c r="AW22" s="306">
        <f t="shared" si="25"/>
        <v>0</v>
      </c>
      <c r="AX22" s="1135">
        <f t="shared" si="26"/>
        <v>0</v>
      </c>
      <c r="AY22" s="1135">
        <f t="shared" si="27"/>
        <v>0</v>
      </c>
      <c r="AZ22" s="1311">
        <f t="shared" si="28"/>
        <v>0</v>
      </c>
      <c r="BB22" s="323">
        <f t="shared" si="29"/>
        <v>13.89061319642375</v>
      </c>
      <c r="BC22" s="324">
        <f t="shared" si="30"/>
        <v>0</v>
      </c>
      <c r="BD22" s="1323">
        <f t="shared" si="31"/>
        <v>0</v>
      </c>
      <c r="BE22" s="324">
        <f t="shared" si="32"/>
        <v>13.89061319642375</v>
      </c>
      <c r="BF22" s="104">
        <v>0</v>
      </c>
      <c r="BG22" s="325">
        <f t="shared" si="33"/>
        <v>13.89061319642375</v>
      </c>
      <c r="BI22" s="323">
        <f t="shared" si="34"/>
        <v>13.89061319642375</v>
      </c>
      <c r="BJ22" s="324">
        <f t="shared" si="35"/>
        <v>0</v>
      </c>
      <c r="BK22" s="1323">
        <f t="shared" si="36"/>
        <v>0</v>
      </c>
      <c r="BL22" s="324">
        <f t="shared" si="37"/>
        <v>13.89061319642375</v>
      </c>
      <c r="BM22" s="104">
        <v>0</v>
      </c>
      <c r="BN22" s="325">
        <f t="shared" si="38"/>
        <v>13.89061319642375</v>
      </c>
    </row>
    <row r="23" spans="1:66">
      <c r="A23" s="1091">
        <f>'Input data'!A53</f>
        <v>1955</v>
      </c>
      <c r="B23" s="1080">
        <f>'Input data'!B53</f>
        <v>6.2725644799999998</v>
      </c>
      <c r="C23" s="1125">
        <f>'Baseline data (from input)'!B11</f>
        <v>578.73</v>
      </c>
      <c r="D23" s="1081">
        <f>'Baseline data (from input)'!L11</f>
        <v>0.8</v>
      </c>
      <c r="E23" s="992">
        <f t="shared" si="39"/>
        <v>0.24001298204245269</v>
      </c>
      <c r="F23" s="992">
        <f t="shared" si="0"/>
        <v>0.30440139352934503</v>
      </c>
      <c r="G23" s="992">
        <f t="shared" si="0"/>
        <v>5.8998240613430578E-2</v>
      </c>
      <c r="H23" s="992">
        <f t="shared" si="0"/>
        <v>0</v>
      </c>
      <c r="I23" s="992">
        <f t="shared" si="0"/>
        <v>0</v>
      </c>
      <c r="J23" s="992">
        <f t="shared" si="0"/>
        <v>0</v>
      </c>
      <c r="K23" s="992">
        <f t="shared" si="0"/>
        <v>0.39658738381477154</v>
      </c>
      <c r="L23" s="1092">
        <f t="shared" si="40"/>
        <v>0.99999999999999989</v>
      </c>
      <c r="M23" s="102"/>
      <c r="N23" s="1143">
        <f t="shared" si="1"/>
        <v>2904.0969932083203</v>
      </c>
      <c r="O23" s="1136">
        <f>Parameters!R126</f>
        <v>0.73</v>
      </c>
      <c r="P23" s="1136">
        <f>E23*'MSW characteristics'!$B$28+'MSW characteristics'!$B$29*'4A SWD Case 3'!F23+'4A SWD Case 3'!G23*'MSW characteristics'!$B$30+'MSW characteristics'!$B$31*'4A SWD Case 3'!H23+'4A SWD Case 3'!I23*'MSW characteristics'!$B$32+'MSW characteristics'!$B$33*'4A SWD Case 3'!J23+'4A SWD Case 3'!K23*'MSW characteristics'!$B$35</f>
        <v>0.12048152225760915</v>
      </c>
      <c r="Q23" s="1135">
        <f t="shared" si="2"/>
        <v>127.70985968180169</v>
      </c>
      <c r="R23" s="1135">
        <f t="shared" si="3"/>
        <v>127.70985968180169</v>
      </c>
      <c r="S23" s="306">
        <f t="shared" si="4"/>
        <v>0</v>
      </c>
      <c r="T23" s="1135">
        <f t="shared" si="5"/>
        <v>632.54390470126998</v>
      </c>
      <c r="U23" s="1135">
        <f t="shared" si="6"/>
        <v>25.883394976091214</v>
      </c>
      <c r="V23" s="1311">
        <f t="shared" si="7"/>
        <v>17.255596650727476</v>
      </c>
      <c r="W23" s="10"/>
      <c r="X23" s="1143">
        <f>'Baseline data (from input)'!T11*'Baseline data (from input)'!U11</f>
        <v>0</v>
      </c>
      <c r="Y23" s="1136">
        <f>Parameters!S126</f>
        <v>0.71500000000000008</v>
      </c>
      <c r="Z23" s="1136">
        <f t="shared" si="8"/>
        <v>0.15</v>
      </c>
      <c r="AA23" s="1135">
        <f t="shared" si="9"/>
        <v>0</v>
      </c>
      <c r="AB23" s="1135">
        <f t="shared" si="10"/>
        <v>0</v>
      </c>
      <c r="AC23" s="306">
        <f t="shared" si="11"/>
        <v>0</v>
      </c>
      <c r="AD23" s="1135">
        <f t="shared" si="12"/>
        <v>0</v>
      </c>
      <c r="AE23" s="1135">
        <f t="shared" si="13"/>
        <v>0</v>
      </c>
      <c r="AF23" s="1311">
        <f t="shared" si="14"/>
        <v>0</v>
      </c>
      <c r="AG23" s="10"/>
      <c r="AH23" s="1143">
        <f>'Baseline data (from input)'!T11*'Baseline data (from input)'!U11</f>
        <v>0</v>
      </c>
      <c r="AI23" s="1136">
        <f>Parameters!S126</f>
        <v>0.71500000000000008</v>
      </c>
      <c r="AJ23" s="1136">
        <f t="shared" si="15"/>
        <v>0.15</v>
      </c>
      <c r="AK23" s="1135">
        <f t="shared" si="16"/>
        <v>0</v>
      </c>
      <c r="AL23" s="1135">
        <f t="shared" si="17"/>
        <v>0</v>
      </c>
      <c r="AM23" s="306">
        <f t="shared" si="18"/>
        <v>0</v>
      </c>
      <c r="AN23" s="1135">
        <f t="shared" si="19"/>
        <v>0</v>
      </c>
      <c r="AO23" s="1135">
        <f t="shared" si="20"/>
        <v>0</v>
      </c>
      <c r="AP23" s="1311">
        <f t="shared" si="21"/>
        <v>0</v>
      </c>
      <c r="AR23" s="1143">
        <v>0</v>
      </c>
      <c r="AS23" s="1136">
        <v>1</v>
      </c>
      <c r="AT23" s="1136">
        <f t="shared" si="22"/>
        <v>0.05</v>
      </c>
      <c r="AU23" s="1135">
        <f t="shared" si="23"/>
        <v>0</v>
      </c>
      <c r="AV23" s="1135">
        <f t="shared" si="24"/>
        <v>0</v>
      </c>
      <c r="AW23" s="306">
        <f t="shared" si="25"/>
        <v>0</v>
      </c>
      <c r="AX23" s="1135">
        <f t="shared" si="26"/>
        <v>0</v>
      </c>
      <c r="AY23" s="1135">
        <f t="shared" si="27"/>
        <v>0</v>
      </c>
      <c r="AZ23" s="1311">
        <f t="shared" si="28"/>
        <v>0</v>
      </c>
      <c r="BB23" s="323">
        <f t="shared" si="29"/>
        <v>17.255596650727476</v>
      </c>
      <c r="BC23" s="324">
        <f t="shared" si="30"/>
        <v>0</v>
      </c>
      <c r="BD23" s="1323">
        <f t="shared" si="31"/>
        <v>0</v>
      </c>
      <c r="BE23" s="324">
        <f t="shared" si="32"/>
        <v>17.255596650727476</v>
      </c>
      <c r="BF23" s="104">
        <v>0</v>
      </c>
      <c r="BG23" s="325">
        <f t="shared" si="33"/>
        <v>17.255596650727476</v>
      </c>
      <c r="BI23" s="323">
        <f t="shared" si="34"/>
        <v>17.255596650727476</v>
      </c>
      <c r="BJ23" s="324">
        <f t="shared" si="35"/>
        <v>0</v>
      </c>
      <c r="BK23" s="1323">
        <f t="shared" si="36"/>
        <v>0</v>
      </c>
      <c r="BL23" s="324">
        <f t="shared" si="37"/>
        <v>17.255596650727476</v>
      </c>
      <c r="BM23" s="104">
        <v>0</v>
      </c>
      <c r="BN23" s="325">
        <f t="shared" si="38"/>
        <v>17.255596650727476</v>
      </c>
    </row>
    <row r="24" spans="1:66">
      <c r="A24" s="1091">
        <f>'Input data'!A54</f>
        <v>1956</v>
      </c>
      <c r="B24" s="1080">
        <f>'Input data'!B54</f>
        <v>6.4651860000000001</v>
      </c>
      <c r="C24" s="1125">
        <f>'Baseline data (from input)'!B12</f>
        <v>578.73</v>
      </c>
      <c r="D24" s="1081">
        <f>'Baseline data (from input)'!L12</f>
        <v>0.8</v>
      </c>
      <c r="E24" s="992">
        <f t="shared" si="39"/>
        <v>0.24001298204245269</v>
      </c>
      <c r="F24" s="992">
        <f t="shared" si="0"/>
        <v>0.30440139352934503</v>
      </c>
      <c r="G24" s="992">
        <f t="shared" si="0"/>
        <v>5.8998240613430578E-2</v>
      </c>
      <c r="H24" s="992">
        <f t="shared" si="0"/>
        <v>0</v>
      </c>
      <c r="I24" s="992">
        <f t="shared" si="0"/>
        <v>0</v>
      </c>
      <c r="J24" s="992">
        <f t="shared" si="0"/>
        <v>0</v>
      </c>
      <c r="K24" s="992">
        <f t="shared" si="0"/>
        <v>0.39658738381477154</v>
      </c>
      <c r="L24" s="1092">
        <f t="shared" si="40"/>
        <v>0.99999999999999989</v>
      </c>
      <c r="M24" s="102"/>
      <c r="N24" s="1143">
        <f t="shared" si="1"/>
        <v>2993.2776750240005</v>
      </c>
      <c r="O24" s="1136">
        <f>Parameters!R127</f>
        <v>0.73</v>
      </c>
      <c r="P24" s="1136">
        <f>E24*'MSW characteristics'!$B$28+'MSW characteristics'!$B$29*'4A SWD Case 3'!F24+'4A SWD Case 3'!G24*'MSW characteristics'!$B$30+'MSW characteristics'!$B$31*'4A SWD Case 3'!H24+'4A SWD Case 3'!I24*'MSW characteristics'!$B$32+'MSW characteristics'!$B$33*'4A SWD Case 3'!J24+'4A SWD Case 3'!K24*'MSW characteristics'!$B$35</f>
        <v>0.12048152225760915</v>
      </c>
      <c r="Q24" s="1135">
        <f t="shared" si="2"/>
        <v>131.63164755171215</v>
      </c>
      <c r="R24" s="1135">
        <f t="shared" si="3"/>
        <v>131.63164755171215</v>
      </c>
      <c r="S24" s="306">
        <f t="shared" si="4"/>
        <v>0</v>
      </c>
      <c r="T24" s="1135">
        <f t="shared" si="5"/>
        <v>733.32602199213568</v>
      </c>
      <c r="U24" s="1135">
        <f t="shared" si="6"/>
        <v>30.849530260846446</v>
      </c>
      <c r="V24" s="1311">
        <f t="shared" si="7"/>
        <v>20.566353507230964</v>
      </c>
      <c r="W24" s="10"/>
      <c r="X24" s="1143">
        <f>'Baseline data (from input)'!T12*'Baseline data (from input)'!U12</f>
        <v>0</v>
      </c>
      <c r="Y24" s="1136">
        <f>Parameters!S127</f>
        <v>0.71500000000000008</v>
      </c>
      <c r="Z24" s="1136">
        <f t="shared" si="8"/>
        <v>0.15</v>
      </c>
      <c r="AA24" s="1135">
        <f t="shared" si="9"/>
        <v>0</v>
      </c>
      <c r="AB24" s="1135">
        <f t="shared" si="10"/>
        <v>0</v>
      </c>
      <c r="AC24" s="306">
        <f t="shared" si="11"/>
        <v>0</v>
      </c>
      <c r="AD24" s="1135">
        <f t="shared" si="12"/>
        <v>0</v>
      </c>
      <c r="AE24" s="1135">
        <f t="shared" si="13"/>
        <v>0</v>
      </c>
      <c r="AF24" s="1311">
        <f t="shared" si="14"/>
        <v>0</v>
      </c>
      <c r="AG24" s="10"/>
      <c r="AH24" s="1143">
        <f>'Baseline data (from input)'!T12*'Baseline data (from input)'!U12</f>
        <v>0</v>
      </c>
      <c r="AI24" s="1136">
        <f>Parameters!S127</f>
        <v>0.71500000000000008</v>
      </c>
      <c r="AJ24" s="1136">
        <f t="shared" si="15"/>
        <v>0.15</v>
      </c>
      <c r="AK24" s="1135">
        <f t="shared" si="16"/>
        <v>0</v>
      </c>
      <c r="AL24" s="1135">
        <f t="shared" si="17"/>
        <v>0</v>
      </c>
      <c r="AM24" s="306">
        <f t="shared" si="18"/>
        <v>0</v>
      </c>
      <c r="AN24" s="1135">
        <f t="shared" si="19"/>
        <v>0</v>
      </c>
      <c r="AO24" s="1135">
        <f t="shared" si="20"/>
        <v>0</v>
      </c>
      <c r="AP24" s="1311">
        <f t="shared" si="21"/>
        <v>0</v>
      </c>
      <c r="AR24" s="1143">
        <v>0</v>
      </c>
      <c r="AS24" s="1136">
        <v>1</v>
      </c>
      <c r="AT24" s="1136">
        <f t="shared" si="22"/>
        <v>0.05</v>
      </c>
      <c r="AU24" s="1135">
        <f t="shared" si="23"/>
        <v>0</v>
      </c>
      <c r="AV24" s="1135">
        <f t="shared" si="24"/>
        <v>0</v>
      </c>
      <c r="AW24" s="306">
        <f t="shared" si="25"/>
        <v>0</v>
      </c>
      <c r="AX24" s="1135">
        <f t="shared" si="26"/>
        <v>0</v>
      </c>
      <c r="AY24" s="1135">
        <f t="shared" si="27"/>
        <v>0</v>
      </c>
      <c r="AZ24" s="1311">
        <f t="shared" si="28"/>
        <v>0</v>
      </c>
      <c r="BB24" s="323">
        <f t="shared" si="29"/>
        <v>20.566353507230964</v>
      </c>
      <c r="BC24" s="324">
        <f t="shared" si="30"/>
        <v>0</v>
      </c>
      <c r="BD24" s="1323">
        <f t="shared" si="31"/>
        <v>0</v>
      </c>
      <c r="BE24" s="324">
        <f t="shared" si="32"/>
        <v>20.566353507230964</v>
      </c>
      <c r="BF24" s="104">
        <v>0</v>
      </c>
      <c r="BG24" s="325">
        <f t="shared" si="33"/>
        <v>20.566353507230964</v>
      </c>
      <c r="BI24" s="323">
        <f t="shared" si="34"/>
        <v>20.566353507230964</v>
      </c>
      <c r="BJ24" s="324">
        <f t="shared" si="35"/>
        <v>0</v>
      </c>
      <c r="BK24" s="1323">
        <f t="shared" si="36"/>
        <v>0</v>
      </c>
      <c r="BL24" s="324">
        <f t="shared" si="37"/>
        <v>20.566353507230964</v>
      </c>
      <c r="BM24" s="104">
        <v>0</v>
      </c>
      <c r="BN24" s="325">
        <f t="shared" si="38"/>
        <v>20.566353507230964</v>
      </c>
    </row>
    <row r="25" spans="1:66">
      <c r="A25" s="1091">
        <f>'Input data'!A55</f>
        <v>1957</v>
      </c>
      <c r="B25" s="1080">
        <f>'Input data'!B55</f>
        <v>6.6592707999999998</v>
      </c>
      <c r="C25" s="1125">
        <f>'Baseline data (from input)'!B13</f>
        <v>578.73</v>
      </c>
      <c r="D25" s="1081">
        <f>'Baseline data (from input)'!L13</f>
        <v>0.8</v>
      </c>
      <c r="E25" s="992">
        <f t="shared" si="39"/>
        <v>0.24001298204245269</v>
      </c>
      <c r="F25" s="992">
        <f t="shared" si="0"/>
        <v>0.30440139352934503</v>
      </c>
      <c r="G25" s="992">
        <f t="shared" si="0"/>
        <v>5.8998240613430578E-2</v>
      </c>
      <c r="H25" s="992">
        <f t="shared" si="0"/>
        <v>0</v>
      </c>
      <c r="I25" s="992">
        <f t="shared" si="0"/>
        <v>0</v>
      </c>
      <c r="J25" s="992">
        <f t="shared" si="0"/>
        <v>0</v>
      </c>
      <c r="K25" s="992">
        <f t="shared" si="0"/>
        <v>0.39658738381477154</v>
      </c>
      <c r="L25" s="1092">
        <f t="shared" si="40"/>
        <v>0.99999999999999989</v>
      </c>
      <c r="M25" s="102"/>
      <c r="N25" s="1143">
        <f t="shared" si="1"/>
        <v>3083.1358320672002</v>
      </c>
      <c r="O25" s="1136">
        <f>Parameters!R128</f>
        <v>0.73</v>
      </c>
      <c r="P25" s="1136">
        <f>E25*'MSW characteristics'!$B$28+'MSW characteristics'!$B$29*'4A SWD Case 3'!F25+'4A SWD Case 3'!G25*'MSW characteristics'!$B$30+'MSW characteristics'!$B$31*'4A SWD Case 3'!H25+'4A SWD Case 3'!I25*'MSW characteristics'!$B$32+'MSW characteristics'!$B$33*'4A SWD Case 3'!J25+'4A SWD Case 3'!K25*'MSW characteristics'!$B$35</f>
        <v>0.12048152225760915</v>
      </c>
      <c r="Q25" s="1135">
        <f t="shared" si="2"/>
        <v>135.58322790666938</v>
      </c>
      <c r="R25" s="1135">
        <f t="shared" si="3"/>
        <v>135.58322790666938</v>
      </c>
      <c r="S25" s="306">
        <f t="shared" si="4"/>
        <v>0</v>
      </c>
      <c r="T25" s="1135">
        <f t="shared" si="5"/>
        <v>833.14451777764657</v>
      </c>
      <c r="U25" s="1135">
        <f t="shared" si="6"/>
        <v>35.764732121158509</v>
      </c>
      <c r="V25" s="1311">
        <f t="shared" si="7"/>
        <v>23.843154747439005</v>
      </c>
      <c r="W25" s="10"/>
      <c r="X25" s="1143">
        <f>'Baseline data (from input)'!T13*'Baseline data (from input)'!U13</f>
        <v>0</v>
      </c>
      <c r="Y25" s="1136">
        <f>Parameters!S128</f>
        <v>0.71500000000000008</v>
      </c>
      <c r="Z25" s="1136">
        <f t="shared" si="8"/>
        <v>0.15</v>
      </c>
      <c r="AA25" s="1135">
        <f t="shared" si="9"/>
        <v>0</v>
      </c>
      <c r="AB25" s="1135">
        <f t="shared" si="10"/>
        <v>0</v>
      </c>
      <c r="AC25" s="306">
        <f t="shared" si="11"/>
        <v>0</v>
      </c>
      <c r="AD25" s="1135">
        <f t="shared" si="12"/>
        <v>0</v>
      </c>
      <c r="AE25" s="1135">
        <f t="shared" si="13"/>
        <v>0</v>
      </c>
      <c r="AF25" s="1311">
        <f t="shared" si="14"/>
        <v>0</v>
      </c>
      <c r="AG25" s="10"/>
      <c r="AH25" s="1143">
        <f>'Baseline data (from input)'!T13*'Baseline data (from input)'!U13</f>
        <v>0</v>
      </c>
      <c r="AI25" s="1136">
        <f>Parameters!S128</f>
        <v>0.71500000000000008</v>
      </c>
      <c r="AJ25" s="1136">
        <f t="shared" si="15"/>
        <v>0.15</v>
      </c>
      <c r="AK25" s="1135">
        <f t="shared" si="16"/>
        <v>0</v>
      </c>
      <c r="AL25" s="1135">
        <f t="shared" si="17"/>
        <v>0</v>
      </c>
      <c r="AM25" s="306">
        <f t="shared" si="18"/>
        <v>0</v>
      </c>
      <c r="AN25" s="1135">
        <f t="shared" si="19"/>
        <v>0</v>
      </c>
      <c r="AO25" s="1135">
        <f t="shared" si="20"/>
        <v>0</v>
      </c>
      <c r="AP25" s="1311">
        <f t="shared" si="21"/>
        <v>0</v>
      </c>
      <c r="AR25" s="1143">
        <v>0</v>
      </c>
      <c r="AS25" s="1136">
        <v>1</v>
      </c>
      <c r="AT25" s="1136">
        <f t="shared" si="22"/>
        <v>0.05</v>
      </c>
      <c r="AU25" s="1135">
        <f t="shared" si="23"/>
        <v>0</v>
      </c>
      <c r="AV25" s="1135">
        <f t="shared" si="24"/>
        <v>0</v>
      </c>
      <c r="AW25" s="306">
        <f t="shared" si="25"/>
        <v>0</v>
      </c>
      <c r="AX25" s="1151">
        <f t="shared" si="26"/>
        <v>0</v>
      </c>
      <c r="AY25" s="1151">
        <f t="shared" si="27"/>
        <v>0</v>
      </c>
      <c r="AZ25" s="1311">
        <f t="shared" si="28"/>
        <v>0</v>
      </c>
      <c r="BB25" s="323">
        <f t="shared" si="29"/>
        <v>23.843154747439005</v>
      </c>
      <c r="BC25" s="324">
        <f t="shared" si="30"/>
        <v>0</v>
      </c>
      <c r="BD25" s="1323">
        <f t="shared" si="31"/>
        <v>0</v>
      </c>
      <c r="BE25" s="324">
        <f t="shared" si="32"/>
        <v>23.843154747439005</v>
      </c>
      <c r="BF25" s="104">
        <v>0</v>
      </c>
      <c r="BG25" s="325">
        <f t="shared" si="33"/>
        <v>23.843154747439005</v>
      </c>
      <c r="BI25" s="323">
        <f t="shared" si="34"/>
        <v>23.843154747439005</v>
      </c>
      <c r="BJ25" s="324">
        <f t="shared" si="35"/>
        <v>0</v>
      </c>
      <c r="BK25" s="1323">
        <f t="shared" si="36"/>
        <v>0</v>
      </c>
      <c r="BL25" s="324">
        <f t="shared" si="37"/>
        <v>23.843154747439005</v>
      </c>
      <c r="BM25" s="104">
        <v>0</v>
      </c>
      <c r="BN25" s="325">
        <f t="shared" si="38"/>
        <v>23.843154747439005</v>
      </c>
    </row>
    <row r="26" spans="1:66">
      <c r="A26" s="1091">
        <f>'Input data'!A56</f>
        <v>1958</v>
      </c>
      <c r="B26" s="1080">
        <f>'Input data'!B56</f>
        <v>6.8699176</v>
      </c>
      <c r="C26" s="1125">
        <f>'Baseline data (from input)'!B14</f>
        <v>578.73</v>
      </c>
      <c r="D26" s="1081">
        <f>'Baseline data (from input)'!L14</f>
        <v>0.8</v>
      </c>
      <c r="E26" s="992">
        <f t="shared" si="39"/>
        <v>0.24001298204245269</v>
      </c>
      <c r="F26" s="992">
        <f t="shared" si="0"/>
        <v>0.30440139352934503</v>
      </c>
      <c r="G26" s="992">
        <f t="shared" si="0"/>
        <v>5.8998240613430578E-2</v>
      </c>
      <c r="H26" s="992">
        <f t="shared" si="0"/>
        <v>0</v>
      </c>
      <c r="I26" s="992">
        <f t="shared" si="0"/>
        <v>0</v>
      </c>
      <c r="J26" s="992">
        <f t="shared" si="0"/>
        <v>0</v>
      </c>
      <c r="K26" s="992">
        <f t="shared" si="0"/>
        <v>0.39658738381477154</v>
      </c>
      <c r="L26" s="1092">
        <f t="shared" si="40"/>
        <v>0.99999999999999989</v>
      </c>
      <c r="M26" s="102"/>
      <c r="N26" s="1143">
        <f t="shared" si="1"/>
        <v>3180.6619301184001</v>
      </c>
      <c r="O26" s="1136">
        <f>Parameters!R129</f>
        <v>0.73</v>
      </c>
      <c r="P26" s="1136">
        <f>E26*'MSW characteristics'!$B$28+'MSW characteristics'!$B$29*'4A SWD Case 3'!F26+'4A SWD Case 3'!G26*'MSW characteristics'!$B$30+'MSW characteristics'!$B$31*'4A SWD Case 3'!H26+'4A SWD Case 3'!I26*'MSW characteristics'!$B$32+'MSW characteristics'!$B$33*'4A SWD Case 3'!J26+'4A SWD Case 3'!K26*'MSW characteristics'!$B$35</f>
        <v>0.12048152225760915</v>
      </c>
      <c r="Q26" s="1135">
        <f t="shared" si="2"/>
        <v>139.87201176153388</v>
      </c>
      <c r="R26" s="1135">
        <f t="shared" si="3"/>
        <v>139.87201176153388</v>
      </c>
      <c r="S26" s="306">
        <f t="shared" si="4"/>
        <v>0</v>
      </c>
      <c r="T26" s="1135">
        <f t="shared" si="5"/>
        <v>932.38359193308952</v>
      </c>
      <c r="U26" s="1135">
        <f t="shared" si="6"/>
        <v>40.632937606090927</v>
      </c>
      <c r="V26" s="1311">
        <f t="shared" si="7"/>
        <v>27.088625070727286</v>
      </c>
      <c r="W26" s="10"/>
      <c r="X26" s="1143">
        <f>'Baseline data (from input)'!T14*'Baseline data (from input)'!U14</f>
        <v>0</v>
      </c>
      <c r="Y26" s="1136">
        <f>Parameters!S129</f>
        <v>0.71500000000000008</v>
      </c>
      <c r="Z26" s="1136">
        <f t="shared" si="8"/>
        <v>0.15</v>
      </c>
      <c r="AA26" s="1135">
        <f t="shared" si="9"/>
        <v>0</v>
      </c>
      <c r="AB26" s="1135">
        <f t="shared" si="10"/>
        <v>0</v>
      </c>
      <c r="AC26" s="306">
        <f t="shared" si="11"/>
        <v>0</v>
      </c>
      <c r="AD26" s="1135">
        <f t="shared" si="12"/>
        <v>0</v>
      </c>
      <c r="AE26" s="1135">
        <f t="shared" si="13"/>
        <v>0</v>
      </c>
      <c r="AF26" s="1311">
        <f t="shared" si="14"/>
        <v>0</v>
      </c>
      <c r="AG26" s="10"/>
      <c r="AH26" s="1143">
        <f>'Baseline data (from input)'!T14*'Baseline data (from input)'!U14</f>
        <v>0</v>
      </c>
      <c r="AI26" s="1136">
        <f>Parameters!S129</f>
        <v>0.71500000000000008</v>
      </c>
      <c r="AJ26" s="1136">
        <f t="shared" si="15"/>
        <v>0.15</v>
      </c>
      <c r="AK26" s="1135">
        <f t="shared" si="16"/>
        <v>0</v>
      </c>
      <c r="AL26" s="1135">
        <f t="shared" si="17"/>
        <v>0</v>
      </c>
      <c r="AM26" s="306">
        <f t="shared" si="18"/>
        <v>0</v>
      </c>
      <c r="AN26" s="1135">
        <f t="shared" si="19"/>
        <v>0</v>
      </c>
      <c r="AO26" s="1135">
        <f t="shared" si="20"/>
        <v>0</v>
      </c>
      <c r="AP26" s="1311">
        <f t="shared" si="21"/>
        <v>0</v>
      </c>
      <c r="AR26" s="1143">
        <v>0</v>
      </c>
      <c r="AS26" s="1136">
        <v>1</v>
      </c>
      <c r="AT26" s="1136">
        <f t="shared" si="22"/>
        <v>0.05</v>
      </c>
      <c r="AU26" s="1135">
        <f t="shared" si="23"/>
        <v>0</v>
      </c>
      <c r="AV26" s="1135">
        <f t="shared" si="24"/>
        <v>0</v>
      </c>
      <c r="AW26" s="306">
        <f t="shared" si="25"/>
        <v>0</v>
      </c>
      <c r="AX26" s="1151">
        <f t="shared" si="26"/>
        <v>0</v>
      </c>
      <c r="AY26" s="1151">
        <f t="shared" si="27"/>
        <v>0</v>
      </c>
      <c r="AZ26" s="1311">
        <f t="shared" si="28"/>
        <v>0</v>
      </c>
      <c r="BB26" s="323">
        <f t="shared" si="29"/>
        <v>27.088625070727286</v>
      </c>
      <c r="BC26" s="324">
        <f t="shared" si="30"/>
        <v>0</v>
      </c>
      <c r="BD26" s="1323">
        <f t="shared" si="31"/>
        <v>0</v>
      </c>
      <c r="BE26" s="324">
        <f t="shared" si="32"/>
        <v>27.088625070727286</v>
      </c>
      <c r="BF26" s="104">
        <v>0</v>
      </c>
      <c r="BG26" s="325">
        <f t="shared" si="33"/>
        <v>27.088625070727286</v>
      </c>
      <c r="BI26" s="323">
        <f t="shared" si="34"/>
        <v>27.088625070727286</v>
      </c>
      <c r="BJ26" s="324">
        <f t="shared" si="35"/>
        <v>0</v>
      </c>
      <c r="BK26" s="1323">
        <f t="shared" si="36"/>
        <v>0</v>
      </c>
      <c r="BL26" s="324">
        <f t="shared" si="37"/>
        <v>27.088625070727286</v>
      </c>
      <c r="BM26" s="104">
        <v>0</v>
      </c>
      <c r="BN26" s="325">
        <f t="shared" si="38"/>
        <v>27.088625070727286</v>
      </c>
    </row>
    <row r="27" spans="1:66">
      <c r="A27" s="1091">
        <f>'Input data'!A57</f>
        <v>1959</v>
      </c>
      <c r="B27" s="1080">
        <f>'Input data'!B57</f>
        <v>7.0827593200000001</v>
      </c>
      <c r="C27" s="1125">
        <f>'Baseline data (from input)'!B15</f>
        <v>578.73</v>
      </c>
      <c r="D27" s="1081">
        <f>'Baseline data (from input)'!L15</f>
        <v>0.8</v>
      </c>
      <c r="E27" s="992">
        <f t="shared" si="39"/>
        <v>0.24001298204245269</v>
      </c>
      <c r="F27" s="992">
        <f t="shared" si="0"/>
        <v>0.30440139352934503</v>
      </c>
      <c r="G27" s="992">
        <f t="shared" si="0"/>
        <v>5.8998240613430578E-2</v>
      </c>
      <c r="H27" s="992">
        <f t="shared" si="0"/>
        <v>0</v>
      </c>
      <c r="I27" s="992">
        <f t="shared" si="0"/>
        <v>0</v>
      </c>
      <c r="J27" s="992">
        <f t="shared" si="0"/>
        <v>0</v>
      </c>
      <c r="K27" s="992">
        <f t="shared" si="0"/>
        <v>0.39658738381477154</v>
      </c>
      <c r="L27" s="1092">
        <f t="shared" si="40"/>
        <v>0.99999999999999989</v>
      </c>
      <c r="M27" s="102"/>
      <c r="N27" s="1143">
        <f t="shared" si="1"/>
        <v>3279.2042410108802</v>
      </c>
      <c r="O27" s="1136">
        <f>Parameters!R130</f>
        <v>0.73</v>
      </c>
      <c r="P27" s="1136">
        <f>E27*'MSW characteristics'!$B$28+'MSW characteristics'!$B$29*'4A SWD Case 3'!F27+'4A SWD Case 3'!G27*'MSW characteristics'!$B$30+'MSW characteristics'!$B$31*'4A SWD Case 3'!H27+'4A SWD Case 3'!I27*'MSW characteristics'!$B$32+'MSW characteristics'!$B$33*'4A SWD Case 3'!J27+'4A SWD Case 3'!K27*'MSW characteristics'!$B$35</f>
        <v>0.12048152225760915</v>
      </c>
      <c r="Q27" s="1135">
        <f t="shared" si="2"/>
        <v>144.20548434396852</v>
      </c>
      <c r="R27" s="1135">
        <f t="shared" si="3"/>
        <v>144.20548434396852</v>
      </c>
      <c r="S27" s="306">
        <f t="shared" si="4"/>
        <v>0</v>
      </c>
      <c r="T27" s="1135">
        <f t="shared" si="5"/>
        <v>1031.1161919123899</v>
      </c>
      <c r="U27" s="1135">
        <f t="shared" si="6"/>
        <v>45.472884364668197</v>
      </c>
      <c r="V27" s="1311">
        <f t="shared" si="7"/>
        <v>30.315256243112131</v>
      </c>
      <c r="W27" s="10"/>
      <c r="X27" s="1143">
        <f>'Baseline data (from input)'!T15*'Baseline data (from input)'!U15</f>
        <v>0</v>
      </c>
      <c r="Y27" s="1136">
        <f>Parameters!S130</f>
        <v>0.71500000000000008</v>
      </c>
      <c r="Z27" s="1136">
        <f t="shared" si="8"/>
        <v>0.15</v>
      </c>
      <c r="AA27" s="1135">
        <f t="shared" si="9"/>
        <v>0</v>
      </c>
      <c r="AB27" s="1135">
        <f t="shared" si="10"/>
        <v>0</v>
      </c>
      <c r="AC27" s="306">
        <f t="shared" si="11"/>
        <v>0</v>
      </c>
      <c r="AD27" s="1135">
        <f t="shared" si="12"/>
        <v>0</v>
      </c>
      <c r="AE27" s="1135">
        <f t="shared" si="13"/>
        <v>0</v>
      </c>
      <c r="AF27" s="1311">
        <f t="shared" si="14"/>
        <v>0</v>
      </c>
      <c r="AG27" s="10"/>
      <c r="AH27" s="1143">
        <f>'Baseline data (from input)'!T15*'Baseline data (from input)'!U15</f>
        <v>0</v>
      </c>
      <c r="AI27" s="1136">
        <f>Parameters!S130</f>
        <v>0.71500000000000008</v>
      </c>
      <c r="AJ27" s="1136">
        <f t="shared" si="15"/>
        <v>0.15</v>
      </c>
      <c r="AK27" s="1135">
        <f t="shared" si="16"/>
        <v>0</v>
      </c>
      <c r="AL27" s="1135">
        <f t="shared" si="17"/>
        <v>0</v>
      </c>
      <c r="AM27" s="306">
        <f t="shared" si="18"/>
        <v>0</v>
      </c>
      <c r="AN27" s="1135">
        <f t="shared" si="19"/>
        <v>0</v>
      </c>
      <c r="AO27" s="1135">
        <f t="shared" si="20"/>
        <v>0</v>
      </c>
      <c r="AP27" s="1311">
        <f t="shared" si="21"/>
        <v>0</v>
      </c>
      <c r="AR27" s="1143">
        <v>0</v>
      </c>
      <c r="AS27" s="1136">
        <v>1</v>
      </c>
      <c r="AT27" s="1136">
        <f t="shared" si="22"/>
        <v>0.05</v>
      </c>
      <c r="AU27" s="1135">
        <f t="shared" si="23"/>
        <v>0</v>
      </c>
      <c r="AV27" s="1135">
        <f t="shared" si="24"/>
        <v>0</v>
      </c>
      <c r="AW27" s="306">
        <f t="shared" si="25"/>
        <v>0</v>
      </c>
      <c r="AX27" s="1151">
        <f t="shared" si="26"/>
        <v>0</v>
      </c>
      <c r="AY27" s="1151">
        <f t="shared" si="27"/>
        <v>0</v>
      </c>
      <c r="AZ27" s="1311">
        <f t="shared" si="28"/>
        <v>0</v>
      </c>
      <c r="BB27" s="323">
        <f t="shared" si="29"/>
        <v>30.315256243112131</v>
      </c>
      <c r="BC27" s="324">
        <f t="shared" si="30"/>
        <v>0</v>
      </c>
      <c r="BD27" s="1323">
        <f t="shared" si="31"/>
        <v>0</v>
      </c>
      <c r="BE27" s="324">
        <f t="shared" si="32"/>
        <v>30.315256243112131</v>
      </c>
      <c r="BF27" s="104">
        <v>0</v>
      </c>
      <c r="BG27" s="325">
        <f t="shared" si="33"/>
        <v>30.315256243112131</v>
      </c>
      <c r="BI27" s="323">
        <f t="shared" si="34"/>
        <v>30.315256243112131</v>
      </c>
      <c r="BJ27" s="324">
        <f t="shared" si="35"/>
        <v>0</v>
      </c>
      <c r="BK27" s="1323">
        <f t="shared" si="36"/>
        <v>0</v>
      </c>
      <c r="BL27" s="324">
        <f t="shared" si="37"/>
        <v>30.315256243112131</v>
      </c>
      <c r="BM27" s="104">
        <v>0</v>
      </c>
      <c r="BN27" s="325">
        <f t="shared" si="38"/>
        <v>30.315256243112131</v>
      </c>
    </row>
    <row r="28" spans="1:66">
      <c r="A28" s="1091">
        <f>'Input data'!A58</f>
        <v>1960</v>
      </c>
      <c r="B28" s="1080">
        <f>'Input data'!B58</f>
        <v>7.2819655999999995</v>
      </c>
      <c r="C28" s="1125">
        <f>'Baseline data (from input)'!B16</f>
        <v>578.73</v>
      </c>
      <c r="D28" s="1081">
        <f>'Baseline data (from input)'!L16</f>
        <v>0.8</v>
      </c>
      <c r="E28" s="992">
        <f t="shared" si="39"/>
        <v>0.24001298204245269</v>
      </c>
      <c r="F28" s="992">
        <f t="shared" si="0"/>
        <v>0.30440139352934503</v>
      </c>
      <c r="G28" s="992">
        <f t="shared" si="0"/>
        <v>5.8998240613430578E-2</v>
      </c>
      <c r="H28" s="992">
        <f t="shared" si="0"/>
        <v>0</v>
      </c>
      <c r="I28" s="992">
        <f t="shared" si="0"/>
        <v>0</v>
      </c>
      <c r="J28" s="992">
        <f t="shared" si="0"/>
        <v>0</v>
      </c>
      <c r="K28" s="992">
        <f t="shared" si="0"/>
        <v>0.39658738381477154</v>
      </c>
      <c r="L28" s="1092">
        <f t="shared" si="40"/>
        <v>0.99999999999999989</v>
      </c>
      <c r="M28" s="102"/>
      <c r="N28" s="1143">
        <f t="shared" si="1"/>
        <v>3371.4335613504004</v>
      </c>
      <c r="O28" s="1136">
        <f>Parameters!R131</f>
        <v>0.73</v>
      </c>
      <c r="P28" s="1136">
        <f>E28*'MSW characteristics'!$B$28+'MSW characteristics'!$B$29*'4A SWD Case 3'!F28+'4A SWD Case 3'!G28*'MSW characteristics'!$B$30+'MSW characteristics'!$B$31*'4A SWD Case 3'!H28+'4A SWD Case 3'!I28*'MSW characteristics'!$B$32+'MSW characteristics'!$B$33*'4A SWD Case 3'!J28+'4A SWD Case 3'!K28*'MSW characteristics'!$B$35</f>
        <v>0.12048152225760915</v>
      </c>
      <c r="Q28" s="1135">
        <f t="shared" si="2"/>
        <v>148.26133839658939</v>
      </c>
      <c r="R28" s="1135">
        <f t="shared" si="3"/>
        <v>148.26133839658939</v>
      </c>
      <c r="S28" s="306">
        <f t="shared" si="4"/>
        <v>0</v>
      </c>
      <c r="T28" s="1135">
        <f t="shared" si="5"/>
        <v>1129.0894002227799</v>
      </c>
      <c r="U28" s="1135">
        <f t="shared" si="6"/>
        <v>50.288130086199466</v>
      </c>
      <c r="V28" s="1311">
        <f t="shared" si="7"/>
        <v>33.525420057466313</v>
      </c>
      <c r="W28" s="10"/>
      <c r="X28" s="1143">
        <f>'Baseline data (from input)'!T16*'Baseline data (from input)'!U16</f>
        <v>0</v>
      </c>
      <c r="Y28" s="1136">
        <f>Parameters!S131</f>
        <v>0.71500000000000008</v>
      </c>
      <c r="Z28" s="1136">
        <f t="shared" si="8"/>
        <v>0.15</v>
      </c>
      <c r="AA28" s="1135">
        <f t="shared" si="9"/>
        <v>0</v>
      </c>
      <c r="AB28" s="1135">
        <f t="shared" si="10"/>
        <v>0</v>
      </c>
      <c r="AC28" s="306">
        <f t="shared" si="11"/>
        <v>0</v>
      </c>
      <c r="AD28" s="1135">
        <f t="shared" si="12"/>
        <v>0</v>
      </c>
      <c r="AE28" s="1135">
        <f t="shared" si="13"/>
        <v>0</v>
      </c>
      <c r="AF28" s="1311">
        <f t="shared" si="14"/>
        <v>0</v>
      </c>
      <c r="AG28" s="10"/>
      <c r="AH28" s="1143">
        <f>'Baseline data (from input)'!T16*'Baseline data (from input)'!U16</f>
        <v>0</v>
      </c>
      <c r="AI28" s="1136">
        <f>Parameters!S131</f>
        <v>0.71500000000000008</v>
      </c>
      <c r="AJ28" s="1136">
        <f t="shared" si="15"/>
        <v>0.15</v>
      </c>
      <c r="AK28" s="1135">
        <f t="shared" si="16"/>
        <v>0</v>
      </c>
      <c r="AL28" s="1135">
        <f t="shared" si="17"/>
        <v>0</v>
      </c>
      <c r="AM28" s="306">
        <f t="shared" si="18"/>
        <v>0</v>
      </c>
      <c r="AN28" s="1135">
        <f t="shared" si="19"/>
        <v>0</v>
      </c>
      <c r="AO28" s="1135">
        <f t="shared" si="20"/>
        <v>0</v>
      </c>
      <c r="AP28" s="1311">
        <f t="shared" si="21"/>
        <v>0</v>
      </c>
      <c r="AR28" s="1143">
        <v>0</v>
      </c>
      <c r="AS28" s="1136">
        <v>1</v>
      </c>
      <c r="AT28" s="1136">
        <f t="shared" si="22"/>
        <v>0.05</v>
      </c>
      <c r="AU28" s="1135">
        <f t="shared" si="23"/>
        <v>0</v>
      </c>
      <c r="AV28" s="1135">
        <f t="shared" si="24"/>
        <v>0</v>
      </c>
      <c r="AW28" s="306">
        <f t="shared" si="25"/>
        <v>0</v>
      </c>
      <c r="AX28" s="1151">
        <f t="shared" si="26"/>
        <v>0</v>
      </c>
      <c r="AY28" s="1151">
        <f t="shared" si="27"/>
        <v>0</v>
      </c>
      <c r="AZ28" s="1311">
        <f t="shared" si="28"/>
        <v>0</v>
      </c>
      <c r="BB28" s="323">
        <f t="shared" si="29"/>
        <v>33.525420057466313</v>
      </c>
      <c r="BC28" s="324">
        <f t="shared" si="30"/>
        <v>0</v>
      </c>
      <c r="BD28" s="1323">
        <f t="shared" si="31"/>
        <v>0</v>
      </c>
      <c r="BE28" s="324">
        <f t="shared" si="32"/>
        <v>33.525420057466313</v>
      </c>
      <c r="BF28" s="104">
        <v>0</v>
      </c>
      <c r="BG28" s="325">
        <f t="shared" si="33"/>
        <v>33.525420057466313</v>
      </c>
      <c r="BI28" s="323">
        <f t="shared" si="34"/>
        <v>33.525420057466313</v>
      </c>
      <c r="BJ28" s="324">
        <f t="shared" si="35"/>
        <v>0</v>
      </c>
      <c r="BK28" s="1323">
        <f t="shared" si="36"/>
        <v>0</v>
      </c>
      <c r="BL28" s="324">
        <f t="shared" si="37"/>
        <v>33.525420057466313</v>
      </c>
      <c r="BM28" s="104">
        <v>0</v>
      </c>
      <c r="BN28" s="325">
        <f t="shared" si="38"/>
        <v>33.525420057466313</v>
      </c>
    </row>
    <row r="29" spans="1:66">
      <c r="A29" s="1091">
        <f>'Input data'!A59</f>
        <v>1961</v>
      </c>
      <c r="B29" s="1080">
        <f>'Input data'!B59</f>
        <v>7.6498422000000001</v>
      </c>
      <c r="C29" s="1125">
        <f>'Baseline data (from input)'!B17</f>
        <v>578.73</v>
      </c>
      <c r="D29" s="1081">
        <f>'Baseline data (from input)'!L17</f>
        <v>0.8</v>
      </c>
      <c r="E29" s="992">
        <f t="shared" si="39"/>
        <v>0.24001298204245269</v>
      </c>
      <c r="F29" s="992">
        <f t="shared" si="0"/>
        <v>0.30440139352934503</v>
      </c>
      <c r="G29" s="992">
        <f t="shared" si="0"/>
        <v>5.8998240613430578E-2</v>
      </c>
      <c r="H29" s="992">
        <f t="shared" si="0"/>
        <v>0</v>
      </c>
      <c r="I29" s="992">
        <f t="shared" si="0"/>
        <v>0</v>
      </c>
      <c r="J29" s="992">
        <f t="shared" si="0"/>
        <v>0</v>
      </c>
      <c r="K29" s="992">
        <f t="shared" si="0"/>
        <v>0.39658738381477154</v>
      </c>
      <c r="L29" s="1092">
        <f t="shared" si="40"/>
        <v>0.99999999999999989</v>
      </c>
      <c r="M29" s="102"/>
      <c r="N29" s="1143">
        <f t="shared" si="1"/>
        <v>3541.7545411248002</v>
      </c>
      <c r="O29" s="1136">
        <f>Parameters!R132</f>
        <v>0.73</v>
      </c>
      <c r="P29" s="1136">
        <f>E29*'MSW characteristics'!$B$28+'MSW characteristics'!$B$29*'4A SWD Case 3'!F29+'4A SWD Case 3'!G29*'MSW characteristics'!$B$30+'MSW characteristics'!$B$31*'4A SWD Case 3'!H29+'4A SWD Case 3'!I29*'MSW characteristics'!$B$32+'MSW characteristics'!$B$33*'4A SWD Case 3'!J29+'4A SWD Case 3'!K29*'MSW characteristics'!$B$35</f>
        <v>0.12048152225760915</v>
      </c>
      <c r="Q29" s="1135">
        <f t="shared" si="2"/>
        <v>155.7513321807933</v>
      </c>
      <c r="R29" s="1135">
        <f t="shared" si="3"/>
        <v>155.7513321807933</v>
      </c>
      <c r="S29" s="306">
        <f t="shared" si="4"/>
        <v>0</v>
      </c>
      <c r="T29" s="1135">
        <f t="shared" si="5"/>
        <v>1229.7743925645646</v>
      </c>
      <c r="U29" s="1135">
        <f t="shared" si="6"/>
        <v>55.066339839008613</v>
      </c>
      <c r="V29" s="1311">
        <f t="shared" si="7"/>
        <v>36.710893226005744</v>
      </c>
      <c r="W29" s="10"/>
      <c r="X29" s="1143">
        <f>'Baseline data (from input)'!T17*'Baseline data (from input)'!U17</f>
        <v>14134.745938604165</v>
      </c>
      <c r="Y29" s="1136">
        <f>Parameters!S132</f>
        <v>0.71500000000000008</v>
      </c>
      <c r="Z29" s="1136">
        <f t="shared" si="8"/>
        <v>0.15</v>
      </c>
      <c r="AA29" s="1135">
        <f t="shared" si="9"/>
        <v>757.97575095764842</v>
      </c>
      <c r="AB29" s="1135">
        <f t="shared" si="10"/>
        <v>757.97575095764842</v>
      </c>
      <c r="AC29" s="306">
        <f t="shared" si="11"/>
        <v>0</v>
      </c>
      <c r="AD29" s="1135">
        <f t="shared" si="12"/>
        <v>757.97575095764842</v>
      </c>
      <c r="AE29" s="1135">
        <f t="shared" si="13"/>
        <v>0</v>
      </c>
      <c r="AF29" s="1311">
        <f t="shared" si="14"/>
        <v>0</v>
      </c>
      <c r="AG29" s="10"/>
      <c r="AH29" s="1143">
        <f>'Baseline data (from input)'!T17*'Baseline data (from input)'!U17</f>
        <v>14134.745938604165</v>
      </c>
      <c r="AI29" s="1136">
        <f>Parameters!S132</f>
        <v>0.71500000000000008</v>
      </c>
      <c r="AJ29" s="1136">
        <f t="shared" si="15"/>
        <v>0.15</v>
      </c>
      <c r="AK29" s="1135">
        <f t="shared" si="16"/>
        <v>757.97575095764842</v>
      </c>
      <c r="AL29" s="1135">
        <f t="shared" si="17"/>
        <v>757.97575095764842</v>
      </c>
      <c r="AM29" s="306">
        <f t="shared" si="18"/>
        <v>0</v>
      </c>
      <c r="AN29" s="1135">
        <f t="shared" si="19"/>
        <v>757.97575095764842</v>
      </c>
      <c r="AO29" s="1135">
        <f t="shared" si="20"/>
        <v>0</v>
      </c>
      <c r="AP29" s="1311">
        <f t="shared" si="21"/>
        <v>0</v>
      </c>
      <c r="AR29" s="1143">
        <v>0</v>
      </c>
      <c r="AS29" s="1136">
        <v>1</v>
      </c>
      <c r="AT29" s="1136">
        <f t="shared" si="22"/>
        <v>0.05</v>
      </c>
      <c r="AU29" s="1135">
        <f t="shared" si="23"/>
        <v>0</v>
      </c>
      <c r="AV29" s="1135">
        <f t="shared" si="24"/>
        <v>0</v>
      </c>
      <c r="AW29" s="306">
        <f t="shared" si="25"/>
        <v>0</v>
      </c>
      <c r="AX29" s="1151">
        <f t="shared" si="26"/>
        <v>0</v>
      </c>
      <c r="AY29" s="1151">
        <f t="shared" si="27"/>
        <v>0</v>
      </c>
      <c r="AZ29" s="1311">
        <f t="shared" si="28"/>
        <v>0</v>
      </c>
      <c r="BB29" s="323">
        <f t="shared" si="29"/>
        <v>36.710893226005744</v>
      </c>
      <c r="BC29" s="324">
        <f t="shared" si="30"/>
        <v>0</v>
      </c>
      <c r="BD29" s="1323">
        <f t="shared" si="31"/>
        <v>0</v>
      </c>
      <c r="BE29" s="324">
        <f t="shared" si="32"/>
        <v>36.710893226005744</v>
      </c>
      <c r="BF29" s="104">
        <v>0</v>
      </c>
      <c r="BG29" s="325">
        <f t="shared" si="33"/>
        <v>36.710893226005744</v>
      </c>
      <c r="BI29" s="323">
        <f t="shared" si="34"/>
        <v>36.710893226005744</v>
      </c>
      <c r="BJ29" s="324">
        <f t="shared" si="35"/>
        <v>0</v>
      </c>
      <c r="BK29" s="1323">
        <f t="shared" si="36"/>
        <v>0</v>
      </c>
      <c r="BL29" s="324">
        <f t="shared" si="37"/>
        <v>36.710893226005744</v>
      </c>
      <c r="BM29" s="104">
        <v>0</v>
      </c>
      <c r="BN29" s="325">
        <f t="shared" si="38"/>
        <v>36.710893226005744</v>
      </c>
    </row>
    <row r="30" spans="1:66">
      <c r="A30" s="1091">
        <f>'Input data'!A60</f>
        <v>1962</v>
      </c>
      <c r="B30" s="1080">
        <f>'Input data'!B60</f>
        <v>7.8559936000000006</v>
      </c>
      <c r="C30" s="1125">
        <f>'Baseline data (from input)'!B18</f>
        <v>578.73</v>
      </c>
      <c r="D30" s="1081">
        <f>'Baseline data (from input)'!L18</f>
        <v>0.8</v>
      </c>
      <c r="E30" s="992">
        <f t="shared" si="39"/>
        <v>0.24001298204245269</v>
      </c>
      <c r="F30" s="992">
        <f t="shared" si="0"/>
        <v>0.30440139352934503</v>
      </c>
      <c r="G30" s="992">
        <f t="shared" si="0"/>
        <v>5.8998240613430578E-2</v>
      </c>
      <c r="H30" s="992">
        <f t="shared" si="0"/>
        <v>0</v>
      </c>
      <c r="I30" s="992">
        <f t="shared" si="0"/>
        <v>0</v>
      </c>
      <c r="J30" s="992">
        <f t="shared" si="0"/>
        <v>0</v>
      </c>
      <c r="K30" s="992">
        <f t="shared" si="0"/>
        <v>0.39658738381477154</v>
      </c>
      <c r="L30" s="1092">
        <f t="shared" si="40"/>
        <v>0.99999999999999989</v>
      </c>
      <c r="M30" s="102"/>
      <c r="N30" s="1143">
        <f t="shared" si="1"/>
        <v>3637.1993409024008</v>
      </c>
      <c r="O30" s="1136">
        <f>Parameters!R133</f>
        <v>0.73</v>
      </c>
      <c r="P30" s="1136">
        <f>E30*'MSW characteristics'!$B$28+'MSW characteristics'!$B$29*'4A SWD Case 3'!F30+'4A SWD Case 3'!G30*'MSW characteristics'!$B$30+'MSW characteristics'!$B$31*'4A SWD Case 3'!H30+'4A SWD Case 3'!I30*'MSW characteristics'!$B$32+'MSW characteristics'!$B$33*'4A SWD Case 3'!J30+'4A SWD Case 3'!K30*'MSW characteristics'!$B$35</f>
        <v>0.12048152225760915</v>
      </c>
      <c r="Q30" s="1135">
        <f t="shared" si="2"/>
        <v>159.94858937139728</v>
      </c>
      <c r="R30" s="1135">
        <f t="shared" si="3"/>
        <v>159.94858937139728</v>
      </c>
      <c r="S30" s="306">
        <f t="shared" si="4"/>
        <v>0</v>
      </c>
      <c r="T30" s="1135">
        <f t="shared" si="5"/>
        <v>1329.7461770763032</v>
      </c>
      <c r="U30" s="1135">
        <f t="shared" si="6"/>
        <v>59.976804859658657</v>
      </c>
      <c r="V30" s="1311">
        <f t="shared" si="7"/>
        <v>39.984536573105771</v>
      </c>
      <c r="W30" s="10"/>
      <c r="X30" s="1143">
        <f>'Baseline data (from input)'!T18*'Baseline data (from input)'!U18</f>
        <v>15007.974018466391</v>
      </c>
      <c r="Y30" s="1136">
        <f>Parameters!S133</f>
        <v>0.71500000000000008</v>
      </c>
      <c r="Z30" s="1136">
        <f t="shared" si="8"/>
        <v>0.15</v>
      </c>
      <c r="AA30" s="1135">
        <f t="shared" si="9"/>
        <v>804.80260674026022</v>
      </c>
      <c r="AB30" s="1135">
        <f t="shared" si="10"/>
        <v>804.80260674026022</v>
      </c>
      <c r="AC30" s="306">
        <f t="shared" si="11"/>
        <v>0</v>
      </c>
      <c r="AD30" s="1135">
        <f t="shared" si="12"/>
        <v>1525.8114441092007</v>
      </c>
      <c r="AE30" s="1135">
        <f t="shared" si="13"/>
        <v>36.966913588707982</v>
      </c>
      <c r="AF30" s="1311">
        <f t="shared" si="14"/>
        <v>24.644609059138656</v>
      </c>
      <c r="AG30" s="10"/>
      <c r="AH30" s="1143">
        <f>'Baseline data (from input)'!T18*'Baseline data (from input)'!U18</f>
        <v>15007.974018466391</v>
      </c>
      <c r="AI30" s="1136">
        <f>Parameters!S133</f>
        <v>0.71500000000000008</v>
      </c>
      <c r="AJ30" s="1136">
        <f t="shared" si="15"/>
        <v>0.15</v>
      </c>
      <c r="AK30" s="1135">
        <f t="shared" si="16"/>
        <v>804.80260674026022</v>
      </c>
      <c r="AL30" s="1135">
        <f t="shared" si="17"/>
        <v>804.80260674026022</v>
      </c>
      <c r="AM30" s="306">
        <f t="shared" si="18"/>
        <v>0</v>
      </c>
      <c r="AN30" s="1135">
        <f t="shared" si="19"/>
        <v>1525.8114441092007</v>
      </c>
      <c r="AO30" s="1135">
        <f t="shared" si="20"/>
        <v>36.966913588707982</v>
      </c>
      <c r="AP30" s="1311">
        <f t="shared" si="21"/>
        <v>24.644609059138656</v>
      </c>
      <c r="AR30" s="1143">
        <v>0</v>
      </c>
      <c r="AS30" s="1136">
        <v>1</v>
      </c>
      <c r="AT30" s="1136">
        <f t="shared" si="22"/>
        <v>0.05</v>
      </c>
      <c r="AU30" s="1135">
        <f t="shared" si="23"/>
        <v>0</v>
      </c>
      <c r="AV30" s="1135">
        <f t="shared" si="24"/>
        <v>0</v>
      </c>
      <c r="AW30" s="306">
        <f t="shared" si="25"/>
        <v>0</v>
      </c>
      <c r="AX30" s="1151">
        <f t="shared" si="26"/>
        <v>0</v>
      </c>
      <c r="AY30" s="1151">
        <f t="shared" si="27"/>
        <v>0</v>
      </c>
      <c r="AZ30" s="1311">
        <f t="shared" si="28"/>
        <v>0</v>
      </c>
      <c r="BB30" s="323">
        <f t="shared" si="29"/>
        <v>39.984536573105771</v>
      </c>
      <c r="BC30" s="324">
        <f t="shared" si="30"/>
        <v>24.644609059138656</v>
      </c>
      <c r="BD30" s="1323">
        <f t="shared" si="31"/>
        <v>0</v>
      </c>
      <c r="BE30" s="324">
        <f t="shared" si="32"/>
        <v>64.62914563224443</v>
      </c>
      <c r="BF30" s="104">
        <v>0</v>
      </c>
      <c r="BG30" s="325">
        <f t="shared" si="33"/>
        <v>64.62914563224443</v>
      </c>
      <c r="BI30" s="323">
        <f t="shared" si="34"/>
        <v>39.984536573105771</v>
      </c>
      <c r="BJ30" s="324">
        <f t="shared" si="35"/>
        <v>24.644609059138656</v>
      </c>
      <c r="BK30" s="1323">
        <f t="shared" si="36"/>
        <v>0</v>
      </c>
      <c r="BL30" s="324">
        <f t="shared" si="37"/>
        <v>64.62914563224443</v>
      </c>
      <c r="BM30" s="104">
        <v>0</v>
      </c>
      <c r="BN30" s="325">
        <f t="shared" si="38"/>
        <v>64.62914563224443</v>
      </c>
    </row>
    <row r="31" spans="1:66">
      <c r="A31" s="127">
        <f>'Input data'!A61</f>
        <v>1963</v>
      </c>
      <c r="B31" s="1082">
        <f>'Input data'!B61</f>
        <v>8.062145000000001</v>
      </c>
      <c r="C31" s="1126">
        <f>'Baseline data (from input)'!B19</f>
        <v>578.73</v>
      </c>
      <c r="D31" s="1081">
        <f>'Baseline data (from input)'!L19</f>
        <v>0.8</v>
      </c>
      <c r="E31" s="992">
        <f t="shared" si="39"/>
        <v>0.24001298204245269</v>
      </c>
      <c r="F31" s="992">
        <f t="shared" si="0"/>
        <v>0.30440139352934503</v>
      </c>
      <c r="G31" s="992">
        <f t="shared" si="0"/>
        <v>5.8998240613430578E-2</v>
      </c>
      <c r="H31" s="992">
        <f t="shared" si="0"/>
        <v>0</v>
      </c>
      <c r="I31" s="992">
        <f t="shared" si="0"/>
        <v>0</v>
      </c>
      <c r="J31" s="992">
        <f t="shared" si="0"/>
        <v>0</v>
      </c>
      <c r="K31" s="992">
        <f t="shared" si="0"/>
        <v>0.39658738381477154</v>
      </c>
      <c r="L31" s="1092">
        <f t="shared" si="40"/>
        <v>0.99999999999999989</v>
      </c>
      <c r="M31" s="101"/>
      <c r="N31" s="323">
        <f t="shared" si="1"/>
        <v>3732.6441406800004</v>
      </c>
      <c r="O31" s="1137">
        <f>Parameters!R134</f>
        <v>0.73</v>
      </c>
      <c r="P31" s="1137">
        <f>E31*'MSW characteristics'!$B$28+'MSW characteristics'!$B$29*'4A SWD Case 3'!F31+'4A SWD Case 3'!G31*'MSW characteristics'!$B$30+'MSW characteristics'!$B$31*'4A SWD Case 3'!H31+'4A SWD Case 3'!I31*'MSW characteristics'!$B$32+'MSW characteristics'!$B$33*'4A SWD Case 3'!J31+'4A SWD Case 3'!K31*'MSW characteristics'!$B$35</f>
        <v>0.12048152225760915</v>
      </c>
      <c r="Q31" s="1135">
        <f t="shared" si="2"/>
        <v>164.14584656200122</v>
      </c>
      <c r="R31" s="1135">
        <f t="shared" si="3"/>
        <v>164.14584656200122</v>
      </c>
      <c r="S31" s="306">
        <f t="shared" si="4"/>
        <v>0</v>
      </c>
      <c r="T31" s="1135">
        <f t="shared" si="5"/>
        <v>1429.0395373143176</v>
      </c>
      <c r="U31" s="1135">
        <f t="shared" si="6"/>
        <v>64.852486323986753</v>
      </c>
      <c r="V31" s="1311">
        <f t="shared" si="7"/>
        <v>43.234990882657833</v>
      </c>
      <c r="X31" s="323">
        <f>'Baseline data (from input)'!T19*'Baseline data (from input)'!U19</f>
        <v>16114.603909461506</v>
      </c>
      <c r="Y31" s="1137">
        <f>Parameters!S134</f>
        <v>0.71500000000000008</v>
      </c>
      <c r="Z31" s="1137">
        <f t="shared" si="8"/>
        <v>0.15</v>
      </c>
      <c r="AA31" s="1135">
        <f t="shared" si="9"/>
        <v>864.14563464487333</v>
      </c>
      <c r="AB31" s="1135">
        <f t="shared" si="10"/>
        <v>864.14563464487333</v>
      </c>
      <c r="AC31" s="306">
        <f t="shared" si="11"/>
        <v>0</v>
      </c>
      <c r="AD31" s="1135">
        <f t="shared" si="12"/>
        <v>2315.5423765214719</v>
      </c>
      <c r="AE31" s="1135">
        <f t="shared" si="13"/>
        <v>74.414702232602352</v>
      </c>
      <c r="AF31" s="1311">
        <f t="shared" si="14"/>
        <v>49.609801488401565</v>
      </c>
      <c r="AH31" s="323">
        <f>'Baseline data (from input)'!T19*'Baseline data (from input)'!U19</f>
        <v>16114.603909461506</v>
      </c>
      <c r="AI31" s="1137">
        <f>Parameters!S134</f>
        <v>0.71500000000000008</v>
      </c>
      <c r="AJ31" s="1137">
        <f t="shared" si="15"/>
        <v>0.15</v>
      </c>
      <c r="AK31" s="1135">
        <f t="shared" si="16"/>
        <v>864.14563464487333</v>
      </c>
      <c r="AL31" s="1135">
        <f t="shared" si="17"/>
        <v>864.14563464487333</v>
      </c>
      <c r="AM31" s="306">
        <f t="shared" si="18"/>
        <v>0</v>
      </c>
      <c r="AN31" s="1135">
        <f t="shared" si="19"/>
        <v>2315.5423765214719</v>
      </c>
      <c r="AO31" s="1135">
        <f t="shared" si="20"/>
        <v>74.414702232602352</v>
      </c>
      <c r="AP31" s="1311">
        <f t="shared" si="21"/>
        <v>49.609801488401565</v>
      </c>
      <c r="AR31" s="1143">
        <v>0</v>
      </c>
      <c r="AS31" s="1136">
        <v>1</v>
      </c>
      <c r="AT31" s="1136">
        <f t="shared" si="22"/>
        <v>0.05</v>
      </c>
      <c r="AU31" s="1135">
        <f t="shared" si="23"/>
        <v>0</v>
      </c>
      <c r="AV31" s="1135">
        <f t="shared" si="24"/>
        <v>0</v>
      </c>
      <c r="AW31" s="306">
        <f t="shared" si="25"/>
        <v>0</v>
      </c>
      <c r="AX31" s="1151">
        <f t="shared" si="26"/>
        <v>0</v>
      </c>
      <c r="AY31" s="1151">
        <f t="shared" si="27"/>
        <v>0</v>
      </c>
      <c r="AZ31" s="1311">
        <f t="shared" si="28"/>
        <v>0</v>
      </c>
      <c r="BB31" s="323">
        <f t="shared" si="29"/>
        <v>43.234990882657833</v>
      </c>
      <c r="BC31" s="324">
        <f t="shared" si="30"/>
        <v>49.609801488401565</v>
      </c>
      <c r="BD31" s="1323">
        <f t="shared" si="31"/>
        <v>0</v>
      </c>
      <c r="BE31" s="324">
        <f t="shared" si="32"/>
        <v>92.844792371059398</v>
      </c>
      <c r="BF31" s="104">
        <v>0</v>
      </c>
      <c r="BG31" s="325">
        <f t="shared" si="33"/>
        <v>92.844792371059398</v>
      </c>
      <c r="BI31" s="323">
        <f t="shared" si="34"/>
        <v>43.234990882657833</v>
      </c>
      <c r="BJ31" s="324">
        <f t="shared" si="35"/>
        <v>49.609801488401565</v>
      </c>
      <c r="BK31" s="1323">
        <f t="shared" si="36"/>
        <v>0</v>
      </c>
      <c r="BL31" s="324">
        <f t="shared" si="37"/>
        <v>92.844792371059398</v>
      </c>
      <c r="BM31" s="104">
        <v>0</v>
      </c>
      <c r="BN31" s="325">
        <f t="shared" si="38"/>
        <v>92.844792371059398</v>
      </c>
    </row>
    <row r="32" spans="1:66">
      <c r="A32" s="127">
        <f>'Input data'!A62</f>
        <v>1964</v>
      </c>
      <c r="B32" s="1082">
        <f>'Input data'!B62</f>
        <v>8.2682964000000005</v>
      </c>
      <c r="C32" s="1126">
        <f>'Baseline data (from input)'!B20</f>
        <v>578.73</v>
      </c>
      <c r="D32" s="1081">
        <f>'Baseline data (from input)'!L20</f>
        <v>0.8</v>
      </c>
      <c r="E32" s="992">
        <f t="shared" si="39"/>
        <v>0.24001298204245269</v>
      </c>
      <c r="F32" s="992">
        <f t="shared" si="0"/>
        <v>0.30440139352934503</v>
      </c>
      <c r="G32" s="992">
        <f t="shared" si="0"/>
        <v>5.8998240613430578E-2</v>
      </c>
      <c r="H32" s="992">
        <f t="shared" si="0"/>
        <v>0</v>
      </c>
      <c r="I32" s="992">
        <f t="shared" si="0"/>
        <v>0</v>
      </c>
      <c r="J32" s="992">
        <f t="shared" si="0"/>
        <v>0</v>
      </c>
      <c r="K32" s="992">
        <f t="shared" si="0"/>
        <v>0.39658738381477154</v>
      </c>
      <c r="L32" s="1092">
        <f t="shared" si="40"/>
        <v>0.99999999999999989</v>
      </c>
      <c r="N32" s="323">
        <f t="shared" si="1"/>
        <v>3828.0889404576005</v>
      </c>
      <c r="O32" s="1137">
        <f>Parameters!R135</f>
        <v>0.73</v>
      </c>
      <c r="P32" s="1137">
        <f>E32*'MSW characteristics'!$B$28+'MSW characteristics'!$B$29*'4A SWD Case 3'!F32+'4A SWD Case 3'!G32*'MSW characteristics'!$B$30+'MSW characteristics'!$B$31*'4A SWD Case 3'!H32+'4A SWD Case 3'!I32*'MSW characteristics'!$B$32+'MSW characteristics'!$B$33*'4A SWD Case 3'!J32+'4A SWD Case 3'!K32*'MSW characteristics'!$B$35</f>
        <v>0.12048152225760915</v>
      </c>
      <c r="Q32" s="1135">
        <f t="shared" si="2"/>
        <v>168.34310375260517</v>
      </c>
      <c r="R32" s="1135">
        <f t="shared" si="3"/>
        <v>168.34310375260517</v>
      </c>
      <c r="S32" s="306">
        <f t="shared" si="4"/>
        <v>0</v>
      </c>
      <c r="T32" s="1135">
        <f t="shared" si="5"/>
        <v>1527.6875604208701</v>
      </c>
      <c r="U32" s="1135">
        <f t="shared" si="6"/>
        <v>69.695080646052631</v>
      </c>
      <c r="V32" s="1311">
        <f t="shared" si="7"/>
        <v>46.463387097368418</v>
      </c>
      <c r="X32" s="323">
        <f>'Baseline data (from input)'!T20*'Baseline data (from input)'!U20</f>
        <v>17394.068276696889</v>
      </c>
      <c r="Y32" s="1137">
        <f>Parameters!S135</f>
        <v>0.71500000000000008</v>
      </c>
      <c r="Z32" s="1137">
        <f t="shared" si="8"/>
        <v>0.15</v>
      </c>
      <c r="AA32" s="1135">
        <f t="shared" si="9"/>
        <v>932.75691133787075</v>
      </c>
      <c r="AB32" s="1135">
        <f t="shared" si="10"/>
        <v>932.75691133787075</v>
      </c>
      <c r="AC32" s="306">
        <f t="shared" si="11"/>
        <v>0</v>
      </c>
      <c r="AD32" s="1135">
        <f t="shared" si="12"/>
        <v>3135.3689535634062</v>
      </c>
      <c r="AE32" s="1135">
        <f t="shared" si="13"/>
        <v>112.93033429593653</v>
      </c>
      <c r="AF32" s="1311">
        <f t="shared" si="14"/>
        <v>75.28688953062435</v>
      </c>
      <c r="AH32" s="323">
        <f>'Baseline data (from input)'!T20*'Baseline data (from input)'!U20</f>
        <v>17394.068276696889</v>
      </c>
      <c r="AI32" s="1137">
        <f>Parameters!S135</f>
        <v>0.71500000000000008</v>
      </c>
      <c r="AJ32" s="1137">
        <f t="shared" si="15"/>
        <v>0.15</v>
      </c>
      <c r="AK32" s="1135">
        <f t="shared" si="16"/>
        <v>932.75691133787075</v>
      </c>
      <c r="AL32" s="1135">
        <f t="shared" si="17"/>
        <v>932.75691133787075</v>
      </c>
      <c r="AM32" s="306">
        <f t="shared" si="18"/>
        <v>0</v>
      </c>
      <c r="AN32" s="1135">
        <f t="shared" si="19"/>
        <v>3135.3689535634062</v>
      </c>
      <c r="AO32" s="1135">
        <f t="shared" si="20"/>
        <v>112.93033429593653</v>
      </c>
      <c r="AP32" s="1311">
        <f t="shared" si="21"/>
        <v>75.28688953062435</v>
      </c>
      <c r="AR32" s="1143">
        <v>0</v>
      </c>
      <c r="AS32" s="1136">
        <v>1</v>
      </c>
      <c r="AT32" s="1136">
        <f t="shared" si="22"/>
        <v>0.05</v>
      </c>
      <c r="AU32" s="1135">
        <f t="shared" si="23"/>
        <v>0</v>
      </c>
      <c r="AV32" s="1135">
        <f t="shared" si="24"/>
        <v>0</v>
      </c>
      <c r="AW32" s="306">
        <f t="shared" si="25"/>
        <v>0</v>
      </c>
      <c r="AX32" s="1151">
        <f t="shared" si="26"/>
        <v>0</v>
      </c>
      <c r="AY32" s="1151">
        <f t="shared" si="27"/>
        <v>0</v>
      </c>
      <c r="AZ32" s="1311">
        <f t="shared" si="28"/>
        <v>0</v>
      </c>
      <c r="BB32" s="323">
        <f t="shared" si="29"/>
        <v>46.463387097368418</v>
      </c>
      <c r="BC32" s="324">
        <f t="shared" si="30"/>
        <v>75.28688953062435</v>
      </c>
      <c r="BD32" s="1323">
        <f t="shared" si="31"/>
        <v>0</v>
      </c>
      <c r="BE32" s="324">
        <f t="shared" si="32"/>
        <v>121.75027662799278</v>
      </c>
      <c r="BF32" s="104">
        <v>0</v>
      </c>
      <c r="BG32" s="325">
        <f t="shared" si="33"/>
        <v>121.75027662799278</v>
      </c>
      <c r="BI32" s="323">
        <f t="shared" si="34"/>
        <v>46.463387097368418</v>
      </c>
      <c r="BJ32" s="324">
        <f t="shared" si="35"/>
        <v>75.28688953062435</v>
      </c>
      <c r="BK32" s="1323">
        <f t="shared" si="36"/>
        <v>0</v>
      </c>
      <c r="BL32" s="324">
        <f t="shared" si="37"/>
        <v>121.75027662799278</v>
      </c>
      <c r="BM32" s="104">
        <v>0</v>
      </c>
      <c r="BN32" s="325">
        <f t="shared" si="38"/>
        <v>121.75027662799278</v>
      </c>
    </row>
    <row r="33" spans="1:66">
      <c r="A33" s="127">
        <f>'Input data'!A63</f>
        <v>1965</v>
      </c>
      <c r="B33" s="1082">
        <f>'Input data'!B63</f>
        <v>8.4744478000000001</v>
      </c>
      <c r="C33" s="1126">
        <f>'Baseline data (from input)'!B21</f>
        <v>578.73</v>
      </c>
      <c r="D33" s="1081">
        <f>'Baseline data (from input)'!L21</f>
        <v>0.8</v>
      </c>
      <c r="E33" s="992">
        <f t="shared" si="39"/>
        <v>0.24001298204245269</v>
      </c>
      <c r="F33" s="992">
        <f t="shared" si="0"/>
        <v>0.30440139352934503</v>
      </c>
      <c r="G33" s="992">
        <f t="shared" si="0"/>
        <v>5.8998240613430578E-2</v>
      </c>
      <c r="H33" s="992">
        <f t="shared" si="0"/>
        <v>0</v>
      </c>
      <c r="I33" s="992">
        <f t="shared" si="0"/>
        <v>0</v>
      </c>
      <c r="J33" s="992">
        <f t="shared" si="0"/>
        <v>0</v>
      </c>
      <c r="K33" s="992">
        <f t="shared" si="0"/>
        <v>0.39658738381477154</v>
      </c>
      <c r="L33" s="1092">
        <f t="shared" si="40"/>
        <v>0.99999999999999989</v>
      </c>
      <c r="N33" s="323">
        <f t="shared" si="1"/>
        <v>3923.5337402352002</v>
      </c>
      <c r="O33" s="1137">
        <f>Parameters!R136</f>
        <v>0.73</v>
      </c>
      <c r="P33" s="1137">
        <f>E33*'MSW characteristics'!$B$28+'MSW characteristics'!$B$29*'4A SWD Case 3'!F33+'4A SWD Case 3'!G33*'MSW characteristics'!$B$30+'MSW characteristics'!$B$31*'4A SWD Case 3'!H33+'4A SWD Case 3'!I33*'MSW characteristics'!$B$32+'MSW characteristics'!$B$33*'4A SWD Case 3'!J33+'4A SWD Case 3'!K33*'MSW characteristics'!$B$35</f>
        <v>0.12048152225760915</v>
      </c>
      <c r="Q33" s="1135">
        <f t="shared" si="2"/>
        <v>172.54036094320912</v>
      </c>
      <c r="R33" s="1135">
        <f t="shared" si="3"/>
        <v>172.54036094320912</v>
      </c>
      <c r="S33" s="306">
        <f t="shared" si="4"/>
        <v>0</v>
      </c>
      <c r="T33" s="1135">
        <f t="shared" si="5"/>
        <v>1625.7217198592532</v>
      </c>
      <c r="U33" s="1135">
        <f t="shared" si="6"/>
        <v>74.506201504826066</v>
      </c>
      <c r="V33" s="1311">
        <f t="shared" si="7"/>
        <v>49.670801003217377</v>
      </c>
      <c r="X33" s="323">
        <f>'Baseline data (from input)'!T21*'Baseline data (from input)'!U21</f>
        <v>18459.065475364121</v>
      </c>
      <c r="Y33" s="1137">
        <f>Parameters!S136</f>
        <v>0.71500000000000008</v>
      </c>
      <c r="Z33" s="1137">
        <f t="shared" si="8"/>
        <v>0.15</v>
      </c>
      <c r="AA33" s="1135">
        <f t="shared" si="9"/>
        <v>989.86738611640101</v>
      </c>
      <c r="AB33" s="1135">
        <f t="shared" si="10"/>
        <v>989.86738611640101</v>
      </c>
      <c r="AC33" s="306">
        <f t="shared" si="11"/>
        <v>0</v>
      </c>
      <c r="AD33" s="1135">
        <f t="shared" si="12"/>
        <v>3972.3225914119257</v>
      </c>
      <c r="AE33" s="1135">
        <f t="shared" si="13"/>
        <v>152.9137482678814</v>
      </c>
      <c r="AF33" s="1311">
        <f t="shared" si="14"/>
        <v>101.94249884525426</v>
      </c>
      <c r="AH33" s="323">
        <f>'Baseline data (from input)'!T21*'Baseline data (from input)'!U21</f>
        <v>18459.065475364121</v>
      </c>
      <c r="AI33" s="1137">
        <f>Parameters!S136</f>
        <v>0.71500000000000008</v>
      </c>
      <c r="AJ33" s="1137">
        <f t="shared" si="15"/>
        <v>0.15</v>
      </c>
      <c r="AK33" s="1135">
        <f t="shared" si="16"/>
        <v>989.86738611640101</v>
      </c>
      <c r="AL33" s="1135">
        <f t="shared" si="17"/>
        <v>989.86738611640101</v>
      </c>
      <c r="AM33" s="306">
        <f t="shared" si="18"/>
        <v>0</v>
      </c>
      <c r="AN33" s="1135">
        <f t="shared" si="19"/>
        <v>3972.3225914119257</v>
      </c>
      <c r="AO33" s="1135">
        <f t="shared" si="20"/>
        <v>152.9137482678814</v>
      </c>
      <c r="AP33" s="1311">
        <f t="shared" si="21"/>
        <v>101.94249884525426</v>
      </c>
      <c r="AR33" s="1143">
        <v>0</v>
      </c>
      <c r="AS33" s="1136">
        <v>1</v>
      </c>
      <c r="AT33" s="1136">
        <f t="shared" si="22"/>
        <v>0.05</v>
      </c>
      <c r="AU33" s="1135">
        <f t="shared" si="23"/>
        <v>0</v>
      </c>
      <c r="AV33" s="1135">
        <f t="shared" si="24"/>
        <v>0</v>
      </c>
      <c r="AW33" s="306">
        <f t="shared" si="25"/>
        <v>0</v>
      </c>
      <c r="AX33" s="1151">
        <f t="shared" si="26"/>
        <v>0</v>
      </c>
      <c r="AY33" s="1151">
        <f t="shared" si="27"/>
        <v>0</v>
      </c>
      <c r="AZ33" s="1311">
        <f t="shared" si="28"/>
        <v>0</v>
      </c>
      <c r="BB33" s="323">
        <f t="shared" si="29"/>
        <v>49.670801003217377</v>
      </c>
      <c r="BC33" s="324">
        <f t="shared" si="30"/>
        <v>101.94249884525426</v>
      </c>
      <c r="BD33" s="1323">
        <f t="shared" si="31"/>
        <v>0</v>
      </c>
      <c r="BE33" s="324">
        <f t="shared" si="32"/>
        <v>151.61329984847163</v>
      </c>
      <c r="BF33" s="104">
        <v>0</v>
      </c>
      <c r="BG33" s="325">
        <f t="shared" si="33"/>
        <v>151.61329984847163</v>
      </c>
      <c r="BI33" s="323">
        <f t="shared" si="34"/>
        <v>49.670801003217377</v>
      </c>
      <c r="BJ33" s="324">
        <f t="shared" si="35"/>
        <v>101.94249884525426</v>
      </c>
      <c r="BK33" s="1323">
        <f t="shared" si="36"/>
        <v>0</v>
      </c>
      <c r="BL33" s="324">
        <f t="shared" si="37"/>
        <v>151.61329984847163</v>
      </c>
      <c r="BM33" s="104">
        <v>0</v>
      </c>
      <c r="BN33" s="325">
        <f t="shared" si="38"/>
        <v>151.61329984847163</v>
      </c>
    </row>
    <row r="34" spans="1:66">
      <c r="A34" s="127">
        <f>'Input data'!A64</f>
        <v>1966</v>
      </c>
      <c r="B34" s="1082">
        <f>'Input data'!B64</f>
        <v>8.7407319999999995</v>
      </c>
      <c r="C34" s="1126">
        <f>'Baseline data (from input)'!B22</f>
        <v>578.73</v>
      </c>
      <c r="D34" s="1081">
        <f>'Baseline data (from input)'!L22</f>
        <v>0.8</v>
      </c>
      <c r="E34" s="992">
        <f t="shared" si="39"/>
        <v>0.24001298204245269</v>
      </c>
      <c r="F34" s="992">
        <f t="shared" si="0"/>
        <v>0.30440139352934503</v>
      </c>
      <c r="G34" s="992">
        <f t="shared" si="0"/>
        <v>5.8998240613430578E-2</v>
      </c>
      <c r="H34" s="992">
        <f t="shared" si="0"/>
        <v>0</v>
      </c>
      <c r="I34" s="992">
        <f t="shared" si="0"/>
        <v>0</v>
      </c>
      <c r="J34" s="992">
        <f t="shared" si="0"/>
        <v>0</v>
      </c>
      <c r="K34" s="992">
        <f t="shared" si="0"/>
        <v>0.39658738381477154</v>
      </c>
      <c r="L34" s="1092">
        <f t="shared" si="40"/>
        <v>0.99999999999999989</v>
      </c>
      <c r="N34" s="323">
        <f t="shared" si="1"/>
        <v>4046.8190642879999</v>
      </c>
      <c r="O34" s="1137">
        <f>Parameters!R137</f>
        <v>0.73</v>
      </c>
      <c r="P34" s="1137">
        <f>E34*'MSW characteristics'!$B$28+'MSW characteristics'!$B$29*'4A SWD Case 3'!F34+'4A SWD Case 3'!G34*'MSW characteristics'!$B$30+'MSW characteristics'!$B$31*'4A SWD Case 3'!H34+'4A SWD Case 3'!I34*'MSW characteristics'!$B$32+'MSW characteristics'!$B$33*'4A SWD Case 3'!J34+'4A SWD Case 3'!K34*'MSW characteristics'!$B$35</f>
        <v>0.12048152225760915</v>
      </c>
      <c r="Q34" s="1135">
        <f t="shared" si="2"/>
        <v>177.96192622578405</v>
      </c>
      <c r="R34" s="1135">
        <f t="shared" si="3"/>
        <v>177.96192622578405</v>
      </c>
      <c r="S34" s="306">
        <f t="shared" si="4"/>
        <v>0</v>
      </c>
      <c r="T34" s="1135">
        <f t="shared" si="5"/>
        <v>1724.3962622058125</v>
      </c>
      <c r="U34" s="1135">
        <f t="shared" si="6"/>
        <v>79.287383879224762</v>
      </c>
      <c r="V34" s="1311">
        <f t="shared" si="7"/>
        <v>52.858255919483177</v>
      </c>
      <c r="X34" s="323">
        <f>'Baseline data (from input)'!T22*'Baseline data (from input)'!U22</f>
        <v>19278.33570436815</v>
      </c>
      <c r="Y34" s="1137">
        <f>Parameters!S137</f>
        <v>0.71500000000000008</v>
      </c>
      <c r="Z34" s="1137">
        <f t="shared" si="8"/>
        <v>0.15</v>
      </c>
      <c r="AA34" s="1135">
        <f t="shared" si="9"/>
        <v>1033.8007521467421</v>
      </c>
      <c r="AB34" s="1135">
        <f t="shared" si="10"/>
        <v>1033.8007521467421</v>
      </c>
      <c r="AC34" s="306">
        <f t="shared" si="11"/>
        <v>0</v>
      </c>
      <c r="AD34" s="1135">
        <f t="shared" si="12"/>
        <v>4812.3908847066932</v>
      </c>
      <c r="AE34" s="1135">
        <f t="shared" si="13"/>
        <v>193.73245885197468</v>
      </c>
      <c r="AF34" s="1311">
        <f t="shared" si="14"/>
        <v>129.15497256798312</v>
      </c>
      <c r="AH34" s="323">
        <f>'Baseline data (from input)'!T22*'Baseline data (from input)'!U22</f>
        <v>19278.33570436815</v>
      </c>
      <c r="AI34" s="1137">
        <f>Parameters!S137</f>
        <v>0.71500000000000008</v>
      </c>
      <c r="AJ34" s="1137">
        <f t="shared" si="15"/>
        <v>0.15</v>
      </c>
      <c r="AK34" s="1135">
        <f t="shared" si="16"/>
        <v>1033.8007521467421</v>
      </c>
      <c r="AL34" s="1135">
        <f t="shared" si="17"/>
        <v>1033.8007521467421</v>
      </c>
      <c r="AM34" s="306">
        <f t="shared" si="18"/>
        <v>0</v>
      </c>
      <c r="AN34" s="1135">
        <f t="shared" si="19"/>
        <v>4812.3908847066932</v>
      </c>
      <c r="AO34" s="1135">
        <f t="shared" si="20"/>
        <v>193.73245885197468</v>
      </c>
      <c r="AP34" s="1311">
        <f t="shared" si="21"/>
        <v>129.15497256798312</v>
      </c>
      <c r="AR34" s="1143">
        <v>0</v>
      </c>
      <c r="AS34" s="1136">
        <v>1</v>
      </c>
      <c r="AT34" s="1136">
        <f t="shared" si="22"/>
        <v>0.05</v>
      </c>
      <c r="AU34" s="1135">
        <f t="shared" si="23"/>
        <v>0</v>
      </c>
      <c r="AV34" s="1135">
        <f t="shared" si="24"/>
        <v>0</v>
      </c>
      <c r="AW34" s="306">
        <f t="shared" si="25"/>
        <v>0</v>
      </c>
      <c r="AX34" s="1151">
        <f t="shared" si="26"/>
        <v>0</v>
      </c>
      <c r="AY34" s="1151">
        <f t="shared" si="27"/>
        <v>0</v>
      </c>
      <c r="AZ34" s="1311">
        <f t="shared" si="28"/>
        <v>0</v>
      </c>
      <c r="BB34" s="323">
        <f t="shared" si="29"/>
        <v>52.858255919483177</v>
      </c>
      <c r="BC34" s="324">
        <f t="shared" si="30"/>
        <v>129.15497256798312</v>
      </c>
      <c r="BD34" s="1323">
        <f t="shared" si="31"/>
        <v>0</v>
      </c>
      <c r="BE34" s="324">
        <f t="shared" si="32"/>
        <v>182.01322848746631</v>
      </c>
      <c r="BF34" s="104">
        <v>0</v>
      </c>
      <c r="BG34" s="325">
        <f t="shared" si="33"/>
        <v>182.01322848746631</v>
      </c>
      <c r="BI34" s="323">
        <f t="shared" si="34"/>
        <v>52.858255919483177</v>
      </c>
      <c r="BJ34" s="324">
        <f t="shared" si="35"/>
        <v>129.15497256798312</v>
      </c>
      <c r="BK34" s="1323">
        <f t="shared" si="36"/>
        <v>0</v>
      </c>
      <c r="BL34" s="324">
        <f t="shared" si="37"/>
        <v>182.01322848746631</v>
      </c>
      <c r="BM34" s="104">
        <v>0</v>
      </c>
      <c r="BN34" s="325">
        <f t="shared" si="38"/>
        <v>182.01322848746631</v>
      </c>
    </row>
    <row r="35" spans="1:66">
      <c r="A35" s="127">
        <f>'Input data'!A65</f>
        <v>1967</v>
      </c>
      <c r="B35" s="1082">
        <f>'Input data'!B65</f>
        <v>9.0098299199999996</v>
      </c>
      <c r="C35" s="1126">
        <f>'Baseline data (from input)'!B23</f>
        <v>578.73</v>
      </c>
      <c r="D35" s="1081">
        <f>'Baseline data (from input)'!L23</f>
        <v>0.8</v>
      </c>
      <c r="E35" s="992">
        <f t="shared" si="39"/>
        <v>0.24001298204245269</v>
      </c>
      <c r="F35" s="992">
        <f t="shared" si="39"/>
        <v>0.30440139352934503</v>
      </c>
      <c r="G35" s="992">
        <f t="shared" si="39"/>
        <v>5.8998240613430578E-2</v>
      </c>
      <c r="H35" s="992">
        <f t="shared" si="39"/>
        <v>0</v>
      </c>
      <c r="I35" s="992">
        <f t="shared" si="39"/>
        <v>0</v>
      </c>
      <c r="J35" s="992">
        <f t="shared" si="39"/>
        <v>0</v>
      </c>
      <c r="K35" s="992">
        <f t="shared" si="39"/>
        <v>0.39658738381477154</v>
      </c>
      <c r="L35" s="1092">
        <f t="shared" si="40"/>
        <v>0.99999999999999989</v>
      </c>
      <c r="N35" s="323">
        <f t="shared" si="1"/>
        <v>4171.4070956812802</v>
      </c>
      <c r="O35" s="1137">
        <f>Parameters!R138</f>
        <v>0.73</v>
      </c>
      <c r="P35" s="1137">
        <f>E35*'MSW characteristics'!$B$28+'MSW characteristics'!$B$29*'4A SWD Case 3'!F35+'4A SWD Case 3'!G35*'MSW characteristics'!$B$30+'MSW characteristics'!$B$31*'4A SWD Case 3'!H35+'4A SWD Case 3'!I35*'MSW characteristics'!$B$32+'MSW characteristics'!$B$33*'4A SWD Case 3'!J35+'4A SWD Case 3'!K35*'MSW characteristics'!$B$35</f>
        <v>0.12048152225760915</v>
      </c>
      <c r="Q35" s="1135">
        <f t="shared" si="2"/>
        <v>183.44077904801361</v>
      </c>
      <c r="R35" s="1135">
        <f t="shared" si="3"/>
        <v>183.44077904801361</v>
      </c>
      <c r="S35" s="306">
        <f t="shared" si="4"/>
        <v>0</v>
      </c>
      <c r="T35" s="1135">
        <f t="shared" si="5"/>
        <v>1823.737243157231</v>
      </c>
      <c r="U35" s="1135">
        <f t="shared" si="6"/>
        <v>84.099798096595123</v>
      </c>
      <c r="V35" s="1311">
        <f t="shared" si="7"/>
        <v>56.066532064396746</v>
      </c>
      <c r="X35" s="323">
        <f>'Baseline data (from input)'!T23*'Baseline data (from input)'!U23</f>
        <v>20665.715773493925</v>
      </c>
      <c r="Y35" s="1137">
        <f>Parameters!S138</f>
        <v>0.71500000000000008</v>
      </c>
      <c r="Z35" s="1137">
        <f t="shared" si="8"/>
        <v>0.15</v>
      </c>
      <c r="AA35" s="1135">
        <f t="shared" si="9"/>
        <v>1108.1990083536118</v>
      </c>
      <c r="AB35" s="1135">
        <f t="shared" si="10"/>
        <v>1108.1990083536118</v>
      </c>
      <c r="AC35" s="306">
        <f t="shared" si="11"/>
        <v>0</v>
      </c>
      <c r="AD35" s="1135">
        <f t="shared" si="12"/>
        <v>5685.8868200856414</v>
      </c>
      <c r="AE35" s="1135">
        <f t="shared" si="13"/>
        <v>234.70307297466346</v>
      </c>
      <c r="AF35" s="1311">
        <f t="shared" si="14"/>
        <v>156.46871531644231</v>
      </c>
      <c r="AH35" s="323">
        <f>'Baseline data (from input)'!T23*'Baseline data (from input)'!U23</f>
        <v>20665.715773493925</v>
      </c>
      <c r="AI35" s="1137">
        <f>Parameters!S138</f>
        <v>0.71500000000000008</v>
      </c>
      <c r="AJ35" s="1137">
        <f t="shared" si="15"/>
        <v>0.15</v>
      </c>
      <c r="AK35" s="1135">
        <f t="shared" si="16"/>
        <v>1108.1990083536118</v>
      </c>
      <c r="AL35" s="1135">
        <f t="shared" si="17"/>
        <v>1108.1990083536118</v>
      </c>
      <c r="AM35" s="306">
        <f t="shared" si="18"/>
        <v>0</v>
      </c>
      <c r="AN35" s="1135">
        <f t="shared" si="19"/>
        <v>5685.8868200856414</v>
      </c>
      <c r="AO35" s="1135">
        <f t="shared" si="20"/>
        <v>234.70307297466346</v>
      </c>
      <c r="AP35" s="1311">
        <f t="shared" si="21"/>
        <v>156.46871531644231</v>
      </c>
      <c r="AR35" s="1143">
        <v>0</v>
      </c>
      <c r="AS35" s="1136">
        <v>1</v>
      </c>
      <c r="AT35" s="1136">
        <f t="shared" si="22"/>
        <v>0.05</v>
      </c>
      <c r="AU35" s="1135">
        <f t="shared" si="23"/>
        <v>0</v>
      </c>
      <c r="AV35" s="1135">
        <f t="shared" si="24"/>
        <v>0</v>
      </c>
      <c r="AW35" s="306">
        <f t="shared" si="25"/>
        <v>0</v>
      </c>
      <c r="AX35" s="1151">
        <f t="shared" si="26"/>
        <v>0</v>
      </c>
      <c r="AY35" s="1151">
        <f t="shared" si="27"/>
        <v>0</v>
      </c>
      <c r="AZ35" s="1311">
        <f t="shared" si="28"/>
        <v>0</v>
      </c>
      <c r="BB35" s="323">
        <f t="shared" si="29"/>
        <v>56.066532064396746</v>
      </c>
      <c r="BC35" s="324">
        <f t="shared" si="30"/>
        <v>156.46871531644231</v>
      </c>
      <c r="BD35" s="1323">
        <f t="shared" si="31"/>
        <v>0</v>
      </c>
      <c r="BE35" s="324">
        <f t="shared" si="32"/>
        <v>212.53524738083905</v>
      </c>
      <c r="BF35" s="104">
        <v>0</v>
      </c>
      <c r="BG35" s="325">
        <f t="shared" si="33"/>
        <v>212.53524738083905</v>
      </c>
      <c r="BI35" s="323">
        <f t="shared" si="34"/>
        <v>56.066532064396746</v>
      </c>
      <c r="BJ35" s="324">
        <f t="shared" si="35"/>
        <v>156.46871531644231</v>
      </c>
      <c r="BK35" s="1323">
        <f t="shared" si="36"/>
        <v>0</v>
      </c>
      <c r="BL35" s="324">
        <f t="shared" si="37"/>
        <v>212.53524738083905</v>
      </c>
      <c r="BM35" s="104">
        <v>0</v>
      </c>
      <c r="BN35" s="325">
        <f t="shared" si="38"/>
        <v>212.53524738083905</v>
      </c>
    </row>
    <row r="36" spans="1:66">
      <c r="A36" s="127">
        <f>'Input data'!A66</f>
        <v>1968</v>
      </c>
      <c r="B36" s="1082">
        <f>'Input data'!B66</f>
        <v>9.2808861600000014</v>
      </c>
      <c r="C36" s="1126">
        <f>'Baseline data (from input)'!B24</f>
        <v>578.73</v>
      </c>
      <c r="D36" s="1081">
        <f>'Baseline data (from input)'!L24</f>
        <v>0.8</v>
      </c>
      <c r="E36" s="992">
        <f t="shared" ref="E36:K51" si="41">E35</f>
        <v>0.24001298204245269</v>
      </c>
      <c r="F36" s="992">
        <f t="shared" si="41"/>
        <v>0.30440139352934503</v>
      </c>
      <c r="G36" s="992">
        <f t="shared" si="41"/>
        <v>5.8998240613430578E-2</v>
      </c>
      <c r="H36" s="992">
        <f t="shared" si="41"/>
        <v>0</v>
      </c>
      <c r="I36" s="992">
        <f t="shared" si="41"/>
        <v>0</v>
      </c>
      <c r="J36" s="992">
        <f t="shared" si="41"/>
        <v>0</v>
      </c>
      <c r="K36" s="992">
        <f t="shared" si="41"/>
        <v>0.39658738381477154</v>
      </c>
      <c r="L36" s="1092">
        <f t="shared" si="40"/>
        <v>0.99999999999999989</v>
      </c>
      <c r="N36" s="323">
        <f t="shared" si="1"/>
        <v>4296.9017979014416</v>
      </c>
      <c r="O36" s="1137">
        <f>Parameters!R139</f>
        <v>0.73</v>
      </c>
      <c r="P36" s="1137">
        <f>E36*'MSW characteristics'!$B$28+'MSW characteristics'!$B$29*'4A SWD Case 3'!F36+'4A SWD Case 3'!G36*'MSW characteristics'!$B$30+'MSW characteristics'!$B$31*'4A SWD Case 3'!H36+'4A SWD Case 3'!I36*'MSW characteristics'!$B$32+'MSW characteristics'!$B$33*'4A SWD Case 3'!J36+'4A SWD Case 3'!K36*'MSW characteristics'!$B$35</f>
        <v>0.12048152225760915</v>
      </c>
      <c r="Q36" s="1135">
        <f t="shared" si="2"/>
        <v>188.95950340495753</v>
      </c>
      <c r="R36" s="1135">
        <f t="shared" si="3"/>
        <v>188.95950340495753</v>
      </c>
      <c r="S36" s="306">
        <f t="shared" si="4"/>
        <v>0</v>
      </c>
      <c r="T36" s="1135">
        <f t="shared" si="5"/>
        <v>1923.7520316539292</v>
      </c>
      <c r="U36" s="1135">
        <f t="shared" si="6"/>
        <v>88.944714908259414</v>
      </c>
      <c r="V36" s="1311">
        <f t="shared" si="7"/>
        <v>59.296476605506278</v>
      </c>
      <c r="X36" s="323">
        <f>'Baseline data (from input)'!T24*'Baseline data (from input)'!U24</f>
        <v>21524.054873564084</v>
      </c>
      <c r="Y36" s="1137">
        <f>Parameters!S139</f>
        <v>0.71500000000000008</v>
      </c>
      <c r="Z36" s="1137">
        <f t="shared" si="8"/>
        <v>0.15</v>
      </c>
      <c r="AA36" s="1135">
        <f t="shared" si="9"/>
        <v>1154.227442594874</v>
      </c>
      <c r="AB36" s="1135">
        <f t="shared" si="10"/>
        <v>1154.227442594874</v>
      </c>
      <c r="AC36" s="306">
        <f t="shared" si="11"/>
        <v>0</v>
      </c>
      <c r="AD36" s="1135">
        <f t="shared" si="12"/>
        <v>6562.8102902411338</v>
      </c>
      <c r="AE36" s="1135">
        <f t="shared" si="13"/>
        <v>277.30397243938188</v>
      </c>
      <c r="AF36" s="1311">
        <f t="shared" si="14"/>
        <v>184.86931495958791</v>
      </c>
      <c r="AH36" s="323">
        <f>'Baseline data (from input)'!T24*'Baseline data (from input)'!U24</f>
        <v>21524.054873564084</v>
      </c>
      <c r="AI36" s="1137">
        <f>Parameters!S139</f>
        <v>0.71500000000000008</v>
      </c>
      <c r="AJ36" s="1137">
        <f t="shared" si="15"/>
        <v>0.15</v>
      </c>
      <c r="AK36" s="1135">
        <f t="shared" si="16"/>
        <v>1154.227442594874</v>
      </c>
      <c r="AL36" s="1135">
        <f t="shared" si="17"/>
        <v>1154.227442594874</v>
      </c>
      <c r="AM36" s="306">
        <f t="shared" si="18"/>
        <v>0</v>
      </c>
      <c r="AN36" s="1135">
        <f t="shared" si="19"/>
        <v>6562.8102902411338</v>
      </c>
      <c r="AO36" s="1135">
        <f t="shared" si="20"/>
        <v>277.30397243938188</v>
      </c>
      <c r="AP36" s="1311">
        <f t="shared" si="21"/>
        <v>184.86931495958791</v>
      </c>
      <c r="AR36" s="1143">
        <v>0</v>
      </c>
      <c r="AS36" s="1136">
        <v>1</v>
      </c>
      <c r="AT36" s="1136">
        <f t="shared" si="22"/>
        <v>0.05</v>
      </c>
      <c r="AU36" s="1135">
        <f t="shared" si="23"/>
        <v>0</v>
      </c>
      <c r="AV36" s="1135">
        <f t="shared" si="24"/>
        <v>0</v>
      </c>
      <c r="AW36" s="306">
        <f t="shared" si="25"/>
        <v>0</v>
      </c>
      <c r="AX36" s="1151">
        <f t="shared" si="26"/>
        <v>0</v>
      </c>
      <c r="AY36" s="1151">
        <f t="shared" si="27"/>
        <v>0</v>
      </c>
      <c r="AZ36" s="1311">
        <f t="shared" si="28"/>
        <v>0</v>
      </c>
      <c r="BB36" s="323">
        <f t="shared" si="29"/>
        <v>59.296476605506278</v>
      </c>
      <c r="BC36" s="324">
        <f t="shared" si="30"/>
        <v>184.86931495958791</v>
      </c>
      <c r="BD36" s="1323">
        <f t="shared" si="31"/>
        <v>0</v>
      </c>
      <c r="BE36" s="324">
        <f t="shared" si="32"/>
        <v>244.1657915650942</v>
      </c>
      <c r="BF36" s="104">
        <v>0</v>
      </c>
      <c r="BG36" s="325">
        <f t="shared" si="33"/>
        <v>244.1657915650942</v>
      </c>
      <c r="BI36" s="323">
        <f t="shared" si="34"/>
        <v>59.296476605506278</v>
      </c>
      <c r="BJ36" s="324">
        <f t="shared" si="35"/>
        <v>184.86931495958791</v>
      </c>
      <c r="BK36" s="1323">
        <f t="shared" si="36"/>
        <v>0</v>
      </c>
      <c r="BL36" s="324">
        <f t="shared" si="37"/>
        <v>244.1657915650942</v>
      </c>
      <c r="BM36" s="104">
        <v>0</v>
      </c>
      <c r="BN36" s="325">
        <f t="shared" si="38"/>
        <v>244.1657915650942</v>
      </c>
    </row>
    <row r="37" spans="1:66">
      <c r="A37" s="127">
        <f>'Input data'!A67</f>
        <v>1969</v>
      </c>
      <c r="B37" s="1082">
        <f>'Input data'!B67</f>
        <v>9.5539007199999997</v>
      </c>
      <c r="C37" s="1126">
        <f>'Baseline data (from input)'!B25</f>
        <v>578.73</v>
      </c>
      <c r="D37" s="1081">
        <f>'Baseline data (from input)'!L25</f>
        <v>0.8</v>
      </c>
      <c r="E37" s="992">
        <f t="shared" si="41"/>
        <v>0.24001298204245269</v>
      </c>
      <c r="F37" s="992">
        <f t="shared" si="41"/>
        <v>0.30440139352934503</v>
      </c>
      <c r="G37" s="992">
        <f t="shared" si="41"/>
        <v>5.8998240613430578E-2</v>
      </c>
      <c r="H37" s="992">
        <f t="shared" si="41"/>
        <v>0</v>
      </c>
      <c r="I37" s="992">
        <f t="shared" si="41"/>
        <v>0</v>
      </c>
      <c r="J37" s="992">
        <f t="shared" si="41"/>
        <v>0</v>
      </c>
      <c r="K37" s="992">
        <f t="shared" si="41"/>
        <v>0.39658738381477154</v>
      </c>
      <c r="L37" s="1092">
        <f t="shared" si="40"/>
        <v>0.99999999999999989</v>
      </c>
      <c r="N37" s="323">
        <f t="shared" si="1"/>
        <v>4423.3031709484803</v>
      </c>
      <c r="O37" s="1137">
        <f>Parameters!R140</f>
        <v>0.73</v>
      </c>
      <c r="P37" s="1137">
        <f>E37*'MSW characteristics'!$B$28+'MSW characteristics'!$B$29*'4A SWD Case 3'!F37+'4A SWD Case 3'!G37*'MSW characteristics'!$B$30+'MSW characteristics'!$B$31*'4A SWD Case 3'!H37+'4A SWD Case 3'!I37*'MSW characteristics'!$B$32+'MSW characteristics'!$B$33*'4A SWD Case 3'!J37+'4A SWD Case 3'!K37*'MSW characteristics'!$B$35</f>
        <v>0.12048152225760915</v>
      </c>
      <c r="Q37" s="1135">
        <f t="shared" si="2"/>
        <v>194.51809929661559</v>
      </c>
      <c r="R37" s="1135">
        <f t="shared" si="3"/>
        <v>194.51809929661559</v>
      </c>
      <c r="S37" s="306">
        <f t="shared" si="4"/>
        <v>0</v>
      </c>
      <c r="T37" s="1135">
        <f t="shared" si="5"/>
        <v>2024.4476372488621</v>
      </c>
      <c r="U37" s="1135">
        <f t="shared" si="6"/>
        <v>93.82249370168276</v>
      </c>
      <c r="V37" s="1311">
        <f t="shared" si="7"/>
        <v>62.548329134455173</v>
      </c>
      <c r="X37" s="323">
        <f>'Baseline data (from input)'!T25*'Baseline data (from input)'!U25</f>
        <v>22539.092841589576</v>
      </c>
      <c r="Y37" s="1137">
        <f>Parameters!S140</f>
        <v>0.71500000000000008</v>
      </c>
      <c r="Z37" s="1137">
        <f t="shared" si="8"/>
        <v>0.15</v>
      </c>
      <c r="AA37" s="1135">
        <f t="shared" si="9"/>
        <v>1208.6588536302411</v>
      </c>
      <c r="AB37" s="1135">
        <f t="shared" si="10"/>
        <v>1208.6588536302411</v>
      </c>
      <c r="AC37" s="306">
        <f t="shared" si="11"/>
        <v>0</v>
      </c>
      <c r="AD37" s="1135">
        <f t="shared" si="12"/>
        <v>7451.3971091236781</v>
      </c>
      <c r="AE37" s="1135">
        <f t="shared" si="13"/>
        <v>320.07203474769619</v>
      </c>
      <c r="AF37" s="1311">
        <f t="shared" si="14"/>
        <v>213.38135649846413</v>
      </c>
      <c r="AH37" s="323">
        <f>'Baseline data (from input)'!T25*'Baseline data (from input)'!U25</f>
        <v>22539.092841589576</v>
      </c>
      <c r="AI37" s="1137">
        <f>Parameters!S140</f>
        <v>0.71500000000000008</v>
      </c>
      <c r="AJ37" s="1137">
        <f t="shared" si="15"/>
        <v>0.15</v>
      </c>
      <c r="AK37" s="1135">
        <f t="shared" si="16"/>
        <v>1208.6588536302411</v>
      </c>
      <c r="AL37" s="1135">
        <f t="shared" si="17"/>
        <v>1208.6588536302411</v>
      </c>
      <c r="AM37" s="306">
        <f t="shared" si="18"/>
        <v>0</v>
      </c>
      <c r="AN37" s="1135">
        <f t="shared" si="19"/>
        <v>7451.3971091236781</v>
      </c>
      <c r="AO37" s="1135">
        <f t="shared" si="20"/>
        <v>320.07203474769619</v>
      </c>
      <c r="AP37" s="1311">
        <f t="shared" si="21"/>
        <v>213.38135649846413</v>
      </c>
      <c r="AR37" s="1143">
        <v>0</v>
      </c>
      <c r="AS37" s="1136">
        <v>1</v>
      </c>
      <c r="AT37" s="1136">
        <f t="shared" si="22"/>
        <v>0.05</v>
      </c>
      <c r="AU37" s="1135">
        <f t="shared" si="23"/>
        <v>0</v>
      </c>
      <c r="AV37" s="1135">
        <f t="shared" si="24"/>
        <v>0</v>
      </c>
      <c r="AW37" s="306">
        <f t="shared" si="25"/>
        <v>0</v>
      </c>
      <c r="AX37" s="1151">
        <f t="shared" si="26"/>
        <v>0</v>
      </c>
      <c r="AY37" s="1151">
        <f t="shared" si="27"/>
        <v>0</v>
      </c>
      <c r="AZ37" s="1311">
        <f t="shared" si="28"/>
        <v>0</v>
      </c>
      <c r="BB37" s="323">
        <f t="shared" si="29"/>
        <v>62.548329134455173</v>
      </c>
      <c r="BC37" s="324">
        <f t="shared" si="30"/>
        <v>213.38135649846413</v>
      </c>
      <c r="BD37" s="1323">
        <f t="shared" si="31"/>
        <v>0</v>
      </c>
      <c r="BE37" s="324">
        <f t="shared" si="32"/>
        <v>275.9296856329193</v>
      </c>
      <c r="BF37" s="104">
        <v>0</v>
      </c>
      <c r="BG37" s="325">
        <f t="shared" si="33"/>
        <v>275.9296856329193</v>
      </c>
      <c r="BI37" s="323">
        <f t="shared" si="34"/>
        <v>62.548329134455173</v>
      </c>
      <c r="BJ37" s="324">
        <f t="shared" si="35"/>
        <v>213.38135649846413</v>
      </c>
      <c r="BK37" s="1323">
        <f t="shared" si="36"/>
        <v>0</v>
      </c>
      <c r="BL37" s="324">
        <f t="shared" si="37"/>
        <v>275.9296856329193</v>
      </c>
      <c r="BM37" s="104">
        <v>0</v>
      </c>
      <c r="BN37" s="325">
        <f t="shared" si="38"/>
        <v>275.9296856329193</v>
      </c>
    </row>
    <row r="38" spans="1:66">
      <c r="A38" s="127">
        <f>'Input data'!A68</f>
        <v>1970</v>
      </c>
      <c r="B38" s="1082">
        <f>'Input data'!B68</f>
        <v>9.8288735999999997</v>
      </c>
      <c r="C38" s="1126">
        <f>'Baseline data (from input)'!B26</f>
        <v>578.73</v>
      </c>
      <c r="D38" s="1081">
        <f>'Baseline data (from input)'!L26</f>
        <v>0.8</v>
      </c>
      <c r="E38" s="992">
        <f t="shared" si="41"/>
        <v>0.24001298204245269</v>
      </c>
      <c r="F38" s="992">
        <f t="shared" si="41"/>
        <v>0.30440139352934503</v>
      </c>
      <c r="G38" s="992">
        <f t="shared" si="41"/>
        <v>5.8998240613430578E-2</v>
      </c>
      <c r="H38" s="992">
        <f t="shared" si="41"/>
        <v>0</v>
      </c>
      <c r="I38" s="992">
        <f t="shared" si="41"/>
        <v>0</v>
      </c>
      <c r="J38" s="992">
        <f t="shared" si="41"/>
        <v>0</v>
      </c>
      <c r="K38" s="992">
        <f t="shared" si="41"/>
        <v>0.39658738381477154</v>
      </c>
      <c r="L38" s="1092">
        <f t="shared" si="40"/>
        <v>0.99999999999999989</v>
      </c>
      <c r="N38" s="323">
        <f t="shared" si="1"/>
        <v>4550.6112148224001</v>
      </c>
      <c r="O38" s="1137">
        <f>Parameters!R141</f>
        <v>0.73</v>
      </c>
      <c r="P38" s="1137">
        <f>E38*'MSW characteristics'!$B$28+'MSW characteristics'!$B$29*'4A SWD Case 3'!F38+'4A SWD Case 3'!G38*'MSW characteristics'!$B$30+'MSW characteristics'!$B$31*'4A SWD Case 3'!H38+'4A SWD Case 3'!I38*'MSW characteristics'!$B$32+'MSW characteristics'!$B$33*'4A SWD Case 3'!J38+'4A SWD Case 3'!K38*'MSW characteristics'!$B$35</f>
        <v>0.12048152225760915</v>
      </c>
      <c r="Q38" s="1135">
        <f t="shared" si="2"/>
        <v>200.11656672298804</v>
      </c>
      <c r="R38" s="1135">
        <f t="shared" si="3"/>
        <v>200.11656672298804</v>
      </c>
      <c r="S38" s="306">
        <f t="shared" si="4"/>
        <v>0</v>
      </c>
      <c r="T38" s="1135">
        <f t="shared" si="5"/>
        <v>2125.8307276350533</v>
      </c>
      <c r="U38" s="1135">
        <f t="shared" si="6"/>
        <v>98.733476336796755</v>
      </c>
      <c r="V38" s="1311">
        <f t="shared" si="7"/>
        <v>65.822317557864508</v>
      </c>
      <c r="X38" s="323">
        <f>'Baseline data (from input)'!T26*'Baseline data (from input)'!U26</f>
        <v>23722.09637782973</v>
      </c>
      <c r="Y38" s="1137">
        <f>Parameters!S141</f>
        <v>0.71500000000000008</v>
      </c>
      <c r="Z38" s="1137">
        <f t="shared" si="8"/>
        <v>0.15</v>
      </c>
      <c r="AA38" s="1135">
        <f t="shared" si="9"/>
        <v>1272.0974182611194</v>
      </c>
      <c r="AB38" s="1135">
        <f t="shared" si="10"/>
        <v>1272.0974182611194</v>
      </c>
      <c r="AC38" s="306">
        <f t="shared" si="11"/>
        <v>0</v>
      </c>
      <c r="AD38" s="1135">
        <f t="shared" si="12"/>
        <v>8360.0856020991196</v>
      </c>
      <c r="AE38" s="1135">
        <f t="shared" si="13"/>
        <v>363.40892528567764</v>
      </c>
      <c r="AF38" s="1311">
        <f t="shared" si="14"/>
        <v>242.27261685711844</v>
      </c>
      <c r="AH38" s="323">
        <f>'Baseline data (from input)'!T26*'Baseline data (from input)'!U26</f>
        <v>23722.09637782973</v>
      </c>
      <c r="AI38" s="1137">
        <f>Parameters!S141</f>
        <v>0.71500000000000008</v>
      </c>
      <c r="AJ38" s="1137">
        <f t="shared" si="15"/>
        <v>0.15</v>
      </c>
      <c r="AK38" s="1135">
        <f t="shared" si="16"/>
        <v>1272.0974182611194</v>
      </c>
      <c r="AL38" s="1135">
        <f t="shared" si="17"/>
        <v>1272.0974182611194</v>
      </c>
      <c r="AM38" s="306">
        <f t="shared" si="18"/>
        <v>0</v>
      </c>
      <c r="AN38" s="1135">
        <f t="shared" si="19"/>
        <v>8360.0856020991196</v>
      </c>
      <c r="AO38" s="1135">
        <f t="shared" si="20"/>
        <v>363.40892528567764</v>
      </c>
      <c r="AP38" s="1311">
        <f t="shared" si="21"/>
        <v>242.27261685711844</v>
      </c>
      <c r="AR38" s="1143">
        <v>0</v>
      </c>
      <c r="AS38" s="1136">
        <v>1</v>
      </c>
      <c r="AT38" s="1136">
        <f t="shared" si="22"/>
        <v>0.05</v>
      </c>
      <c r="AU38" s="1135">
        <f t="shared" si="23"/>
        <v>0</v>
      </c>
      <c r="AV38" s="1135">
        <f t="shared" si="24"/>
        <v>0</v>
      </c>
      <c r="AW38" s="306">
        <f t="shared" si="25"/>
        <v>0</v>
      </c>
      <c r="AX38" s="1151">
        <f t="shared" si="26"/>
        <v>0</v>
      </c>
      <c r="AY38" s="1151">
        <f t="shared" si="27"/>
        <v>0</v>
      </c>
      <c r="AZ38" s="1311">
        <f t="shared" si="28"/>
        <v>0</v>
      </c>
      <c r="BB38" s="323">
        <f t="shared" si="29"/>
        <v>65.822317557864508</v>
      </c>
      <c r="BC38" s="324">
        <f t="shared" si="30"/>
        <v>242.27261685711844</v>
      </c>
      <c r="BD38" s="1323">
        <f t="shared" si="31"/>
        <v>0</v>
      </c>
      <c r="BE38" s="324">
        <f t="shared" si="32"/>
        <v>308.09493441498296</v>
      </c>
      <c r="BF38" s="104">
        <v>0</v>
      </c>
      <c r="BG38" s="325">
        <f t="shared" si="33"/>
        <v>308.09493441498296</v>
      </c>
      <c r="BI38" s="323">
        <f t="shared" si="34"/>
        <v>65.822317557864508</v>
      </c>
      <c r="BJ38" s="324">
        <f t="shared" si="35"/>
        <v>242.27261685711844</v>
      </c>
      <c r="BK38" s="1323">
        <f t="shared" si="36"/>
        <v>0</v>
      </c>
      <c r="BL38" s="324">
        <f t="shared" si="37"/>
        <v>308.09493441498296</v>
      </c>
      <c r="BM38" s="104">
        <v>0</v>
      </c>
      <c r="BN38" s="325">
        <f t="shared" si="38"/>
        <v>308.09493441498296</v>
      </c>
    </row>
    <row r="39" spans="1:66">
      <c r="A39" s="127">
        <f>'Input data'!A69</f>
        <v>1971</v>
      </c>
      <c r="B39" s="1082">
        <f>'Input data'!B69</f>
        <v>20.567820000000001</v>
      </c>
      <c r="C39" s="1126">
        <f>'Baseline data (from input)'!B27</f>
        <v>578.73</v>
      </c>
      <c r="D39" s="1081">
        <f>'Baseline data (from input)'!L27</f>
        <v>0.8</v>
      </c>
      <c r="E39" s="992">
        <f t="shared" si="41"/>
        <v>0.24001298204245269</v>
      </c>
      <c r="F39" s="992">
        <f t="shared" si="41"/>
        <v>0.30440139352934503</v>
      </c>
      <c r="G39" s="992">
        <f t="shared" si="41"/>
        <v>5.8998240613430578E-2</v>
      </c>
      <c r="H39" s="992">
        <f t="shared" si="41"/>
        <v>0</v>
      </c>
      <c r="I39" s="992">
        <f t="shared" si="41"/>
        <v>0</v>
      </c>
      <c r="J39" s="992">
        <f t="shared" si="41"/>
        <v>0</v>
      </c>
      <c r="K39" s="992">
        <f t="shared" si="41"/>
        <v>0.39658738381477154</v>
      </c>
      <c r="L39" s="1092">
        <f t="shared" si="40"/>
        <v>0.99999999999999989</v>
      </c>
      <c r="N39" s="323">
        <f t="shared" si="1"/>
        <v>9522.5715748800012</v>
      </c>
      <c r="O39" s="1137">
        <f>Parameters!R142</f>
        <v>0.73</v>
      </c>
      <c r="P39" s="1137">
        <f>E39*'MSW characteristics'!$B$28+'MSW characteristics'!$B$29*'4A SWD Case 3'!F39+'4A SWD Case 3'!G39*'MSW characteristics'!$B$30+'MSW characteristics'!$B$31*'4A SWD Case 3'!H39+'4A SWD Case 3'!I39*'MSW characteristics'!$B$32+'MSW characteristics'!$B$33*'4A SWD Case 3'!J39+'4A SWD Case 3'!K39*'MSW characteristics'!$B$35</f>
        <v>0.12048152225760915</v>
      </c>
      <c r="Q39" s="1135">
        <f t="shared" si="2"/>
        <v>418.76228048923213</v>
      </c>
      <c r="R39" s="1135">
        <f t="shared" si="3"/>
        <v>418.76228048923213</v>
      </c>
      <c r="S39" s="306">
        <f t="shared" si="4"/>
        <v>0</v>
      </c>
      <c r="T39" s="1135">
        <f t="shared" si="5"/>
        <v>2440.9150201234579</v>
      </c>
      <c r="U39" s="1135">
        <f t="shared" si="6"/>
        <v>103.67798800082743</v>
      </c>
      <c r="V39" s="1311">
        <f t="shared" si="7"/>
        <v>69.118658667218284</v>
      </c>
      <c r="X39" s="323">
        <f>'Baseline data (from input)'!T27*'Baseline data (from input)'!U27</f>
        <v>24737.157866975944</v>
      </c>
      <c r="Y39" s="1137">
        <f>Parameters!S142</f>
        <v>0.71500000000000008</v>
      </c>
      <c r="Z39" s="1137">
        <f t="shared" si="8"/>
        <v>0.15</v>
      </c>
      <c r="AA39" s="1135">
        <f t="shared" si="9"/>
        <v>1326.5300906165851</v>
      </c>
      <c r="AB39" s="1135">
        <f t="shared" si="10"/>
        <v>1326.5300906165851</v>
      </c>
      <c r="AC39" s="306">
        <f t="shared" si="11"/>
        <v>0</v>
      </c>
      <c r="AD39" s="1135">
        <f t="shared" si="12"/>
        <v>9278.8895066780369</v>
      </c>
      <c r="AE39" s="1135">
        <f t="shared" si="13"/>
        <v>407.72618603766881</v>
      </c>
      <c r="AF39" s="1311">
        <f t="shared" si="14"/>
        <v>271.81745735844589</v>
      </c>
      <c r="AH39" s="323">
        <f>'Baseline data (from input)'!T27*'Baseline data (from input)'!U27</f>
        <v>24737.157866975944</v>
      </c>
      <c r="AI39" s="1137">
        <f>Parameters!S142</f>
        <v>0.71500000000000008</v>
      </c>
      <c r="AJ39" s="1137">
        <f t="shared" si="15"/>
        <v>0.15</v>
      </c>
      <c r="AK39" s="1135">
        <f t="shared" si="16"/>
        <v>1326.5300906165851</v>
      </c>
      <c r="AL39" s="1135">
        <f t="shared" si="17"/>
        <v>1326.5300906165851</v>
      </c>
      <c r="AM39" s="306">
        <f t="shared" si="18"/>
        <v>0</v>
      </c>
      <c r="AN39" s="1135">
        <f t="shared" si="19"/>
        <v>9278.8895066780369</v>
      </c>
      <c r="AO39" s="1135">
        <f t="shared" si="20"/>
        <v>407.72618603766881</v>
      </c>
      <c r="AP39" s="1311">
        <f t="shared" si="21"/>
        <v>271.81745735844589</v>
      </c>
      <c r="AR39" s="1143">
        <v>0</v>
      </c>
      <c r="AS39" s="1136">
        <v>1</v>
      </c>
      <c r="AT39" s="1136">
        <f t="shared" si="22"/>
        <v>0.05</v>
      </c>
      <c r="AU39" s="1135">
        <f t="shared" si="23"/>
        <v>0</v>
      </c>
      <c r="AV39" s="1135">
        <f t="shared" si="24"/>
        <v>0</v>
      </c>
      <c r="AW39" s="306">
        <f t="shared" si="25"/>
        <v>0</v>
      </c>
      <c r="AX39" s="1151">
        <f t="shared" si="26"/>
        <v>0</v>
      </c>
      <c r="AY39" s="1151">
        <f t="shared" si="27"/>
        <v>0</v>
      </c>
      <c r="AZ39" s="1311">
        <f t="shared" si="28"/>
        <v>0</v>
      </c>
      <c r="BB39" s="323">
        <f t="shared" si="29"/>
        <v>69.118658667218284</v>
      </c>
      <c r="BC39" s="324">
        <f t="shared" si="30"/>
        <v>271.81745735844589</v>
      </c>
      <c r="BD39" s="1323">
        <f t="shared" si="31"/>
        <v>0</v>
      </c>
      <c r="BE39" s="324">
        <f t="shared" si="32"/>
        <v>340.93611602566421</v>
      </c>
      <c r="BF39" s="104">
        <v>0</v>
      </c>
      <c r="BG39" s="325">
        <f t="shared" si="33"/>
        <v>340.93611602566421</v>
      </c>
      <c r="BI39" s="323">
        <f t="shared" si="34"/>
        <v>69.118658667218284</v>
      </c>
      <c r="BJ39" s="324">
        <f t="shared" si="35"/>
        <v>271.81745735844589</v>
      </c>
      <c r="BK39" s="1323">
        <f t="shared" si="36"/>
        <v>0</v>
      </c>
      <c r="BL39" s="324">
        <f t="shared" si="37"/>
        <v>340.93611602566421</v>
      </c>
      <c r="BM39" s="104">
        <v>0</v>
      </c>
      <c r="BN39" s="325">
        <f t="shared" si="38"/>
        <v>340.93611602566421</v>
      </c>
    </row>
    <row r="40" spans="1:66">
      <c r="A40" s="127">
        <f>'Input data'!A70</f>
        <v>1972</v>
      </c>
      <c r="B40" s="1082">
        <f>'Input data'!B70</f>
        <v>21.04466</v>
      </c>
      <c r="C40" s="1126">
        <f>'Baseline data (from input)'!B28</f>
        <v>578.73</v>
      </c>
      <c r="D40" s="1081">
        <f>'Baseline data (from input)'!L28</f>
        <v>0.8</v>
      </c>
      <c r="E40" s="992">
        <f t="shared" si="41"/>
        <v>0.24001298204245269</v>
      </c>
      <c r="F40" s="992">
        <f t="shared" si="41"/>
        <v>0.30440139352934503</v>
      </c>
      <c r="G40" s="992">
        <f t="shared" si="41"/>
        <v>5.8998240613430578E-2</v>
      </c>
      <c r="H40" s="992">
        <f t="shared" si="41"/>
        <v>0</v>
      </c>
      <c r="I40" s="992">
        <f t="shared" si="41"/>
        <v>0</v>
      </c>
      <c r="J40" s="992">
        <f t="shared" si="41"/>
        <v>0</v>
      </c>
      <c r="K40" s="992">
        <f t="shared" si="41"/>
        <v>0.39658738381477154</v>
      </c>
      <c r="L40" s="1092">
        <f t="shared" si="40"/>
        <v>0.99999999999999989</v>
      </c>
      <c r="N40" s="323">
        <f t="shared" si="1"/>
        <v>9743.3408654400009</v>
      </c>
      <c r="O40" s="1137">
        <f>Parameters!R143</f>
        <v>0.73</v>
      </c>
      <c r="P40" s="1137">
        <f>E40*'MSW characteristics'!$B$28+'MSW characteristics'!$B$29*'4A SWD Case 3'!F40+'4A SWD Case 3'!G40*'MSW characteristics'!$B$30+'MSW characteristics'!$B$31*'4A SWD Case 3'!H40+'4A SWD Case 3'!I40*'MSW characteristics'!$B$32+'MSW characteristics'!$B$33*'4A SWD Case 3'!J40+'4A SWD Case 3'!K40*'MSW characteristics'!$B$35</f>
        <v>0.12048152225760915</v>
      </c>
      <c r="Q40" s="1135">
        <f t="shared" si="2"/>
        <v>428.47077686018849</v>
      </c>
      <c r="R40" s="1135">
        <f t="shared" si="3"/>
        <v>428.47077686018849</v>
      </c>
      <c r="S40" s="306">
        <f t="shared" si="4"/>
        <v>0</v>
      </c>
      <c r="T40" s="1135">
        <f t="shared" si="5"/>
        <v>2750.3409667073738</v>
      </c>
      <c r="U40" s="1135">
        <f t="shared" si="6"/>
        <v>119.04483027627226</v>
      </c>
      <c r="V40" s="1311">
        <f t="shared" si="7"/>
        <v>79.363220184181515</v>
      </c>
      <c r="X40" s="323">
        <f>'Baseline data (from input)'!T28*'Baseline data (from input)'!U28</f>
        <v>25146.498965380906</v>
      </c>
      <c r="Y40" s="1137">
        <f>Parameters!S143</f>
        <v>0.71500000000000008</v>
      </c>
      <c r="Z40" s="1137">
        <f t="shared" si="8"/>
        <v>0.15</v>
      </c>
      <c r="AA40" s="1135">
        <f t="shared" si="9"/>
        <v>1348.4810070185513</v>
      </c>
      <c r="AB40" s="1135">
        <f t="shared" si="10"/>
        <v>1348.4810070185513</v>
      </c>
      <c r="AC40" s="306">
        <f t="shared" si="11"/>
        <v>0</v>
      </c>
      <c r="AD40" s="1135">
        <f t="shared" si="12"/>
        <v>10174.833732461615</v>
      </c>
      <c r="AE40" s="1135">
        <f t="shared" si="13"/>
        <v>452.53678123497366</v>
      </c>
      <c r="AF40" s="1311">
        <f t="shared" si="14"/>
        <v>301.69118748998244</v>
      </c>
      <c r="AH40" s="323">
        <f>'Baseline data (from input)'!T28*'Baseline data (from input)'!U28</f>
        <v>25146.498965380906</v>
      </c>
      <c r="AI40" s="1137">
        <f>Parameters!S143</f>
        <v>0.71500000000000008</v>
      </c>
      <c r="AJ40" s="1137">
        <f t="shared" si="15"/>
        <v>0.15</v>
      </c>
      <c r="AK40" s="1135">
        <f t="shared" si="16"/>
        <v>1348.4810070185513</v>
      </c>
      <c r="AL40" s="1135">
        <f t="shared" si="17"/>
        <v>1348.4810070185513</v>
      </c>
      <c r="AM40" s="306">
        <f t="shared" si="18"/>
        <v>0</v>
      </c>
      <c r="AN40" s="1135">
        <f t="shared" si="19"/>
        <v>10174.833732461615</v>
      </c>
      <c r="AO40" s="1135">
        <f t="shared" si="20"/>
        <v>452.53678123497366</v>
      </c>
      <c r="AP40" s="1311">
        <f t="shared" si="21"/>
        <v>301.69118748998244</v>
      </c>
      <c r="AR40" s="1143">
        <v>0</v>
      </c>
      <c r="AS40" s="1136">
        <v>1</v>
      </c>
      <c r="AT40" s="1136">
        <f t="shared" si="22"/>
        <v>0.05</v>
      </c>
      <c r="AU40" s="1135">
        <f t="shared" si="23"/>
        <v>0</v>
      </c>
      <c r="AV40" s="1135">
        <f t="shared" si="24"/>
        <v>0</v>
      </c>
      <c r="AW40" s="306">
        <f t="shared" si="25"/>
        <v>0</v>
      </c>
      <c r="AX40" s="1151">
        <f t="shared" si="26"/>
        <v>0</v>
      </c>
      <c r="AY40" s="1151">
        <f t="shared" si="27"/>
        <v>0</v>
      </c>
      <c r="AZ40" s="1311">
        <f t="shared" si="28"/>
        <v>0</v>
      </c>
      <c r="BB40" s="323">
        <f t="shared" si="29"/>
        <v>79.363220184181515</v>
      </c>
      <c r="BC40" s="324">
        <f t="shared" si="30"/>
        <v>301.69118748998244</v>
      </c>
      <c r="BD40" s="1323">
        <f t="shared" si="31"/>
        <v>0</v>
      </c>
      <c r="BE40" s="324">
        <f t="shared" si="32"/>
        <v>381.05440767416394</v>
      </c>
      <c r="BF40" s="104">
        <v>0</v>
      </c>
      <c r="BG40" s="325">
        <f t="shared" si="33"/>
        <v>381.05440767416394</v>
      </c>
      <c r="BI40" s="323">
        <f t="shared" si="34"/>
        <v>79.363220184181515</v>
      </c>
      <c r="BJ40" s="324">
        <f t="shared" si="35"/>
        <v>301.69118748998244</v>
      </c>
      <c r="BK40" s="1323">
        <f t="shared" si="36"/>
        <v>0</v>
      </c>
      <c r="BL40" s="324">
        <f t="shared" si="37"/>
        <v>381.05440767416394</v>
      </c>
      <c r="BM40" s="104">
        <v>0</v>
      </c>
      <c r="BN40" s="325">
        <f t="shared" si="38"/>
        <v>381.05440767416394</v>
      </c>
    </row>
    <row r="41" spans="1:66">
      <c r="A41" s="127">
        <f>'Input data'!A71</f>
        <v>1973</v>
      </c>
      <c r="B41" s="1082">
        <f>'Input data'!B71</f>
        <v>21.526959999999999</v>
      </c>
      <c r="C41" s="1126">
        <f>'Baseline data (from input)'!B29</f>
        <v>578.73</v>
      </c>
      <c r="D41" s="1081">
        <f>'Baseline data (from input)'!L29</f>
        <v>0.8</v>
      </c>
      <c r="E41" s="992">
        <f t="shared" si="41"/>
        <v>0.24001298204245269</v>
      </c>
      <c r="F41" s="992">
        <f t="shared" si="41"/>
        <v>0.30440139352934503</v>
      </c>
      <c r="G41" s="992">
        <f t="shared" si="41"/>
        <v>5.8998240613430578E-2</v>
      </c>
      <c r="H41" s="992">
        <f t="shared" si="41"/>
        <v>0</v>
      </c>
      <c r="I41" s="992">
        <f t="shared" si="41"/>
        <v>0</v>
      </c>
      <c r="J41" s="992">
        <f t="shared" si="41"/>
        <v>0</v>
      </c>
      <c r="K41" s="992">
        <f t="shared" si="41"/>
        <v>0.39658738381477154</v>
      </c>
      <c r="L41" s="1092">
        <f t="shared" si="40"/>
        <v>0.99999999999999989</v>
      </c>
      <c r="N41" s="323">
        <f t="shared" si="1"/>
        <v>9966.6380486400012</v>
      </c>
      <c r="O41" s="1137">
        <f>Parameters!R144</f>
        <v>0.73</v>
      </c>
      <c r="P41" s="1137">
        <f>E41*'MSW characteristics'!$B$28+'MSW characteristics'!$B$29*'4A SWD Case 3'!F41+'4A SWD Case 3'!G41*'MSW characteristics'!$B$30+'MSW characteristics'!$B$31*'4A SWD Case 3'!H41+'4A SWD Case 3'!I41*'MSW characteristics'!$B$32+'MSW characteristics'!$B$33*'4A SWD Case 3'!J41+'4A SWD Case 3'!K41*'MSW characteristics'!$B$35</f>
        <v>0.12048152225760915</v>
      </c>
      <c r="Q41" s="1135">
        <f t="shared" si="2"/>
        <v>438.29043922012539</v>
      </c>
      <c r="R41" s="1135">
        <f t="shared" si="3"/>
        <v>438.29043922012539</v>
      </c>
      <c r="S41" s="306">
        <f t="shared" si="4"/>
        <v>0</v>
      </c>
      <c r="T41" s="1135">
        <f t="shared" si="5"/>
        <v>3054.495694161918</v>
      </c>
      <c r="U41" s="1135">
        <f t="shared" si="6"/>
        <v>134.13571176558116</v>
      </c>
      <c r="V41" s="1311">
        <f t="shared" si="7"/>
        <v>89.42380784372078</v>
      </c>
      <c r="X41" s="323">
        <f>'Baseline data (from input)'!T29*'Baseline data (from input)'!U29</f>
        <v>26296.196347621255</v>
      </c>
      <c r="Y41" s="1137">
        <f>Parameters!S144</f>
        <v>0.71500000000000008</v>
      </c>
      <c r="Z41" s="1137">
        <f t="shared" si="8"/>
        <v>0.15</v>
      </c>
      <c r="AA41" s="1135">
        <f t="shared" si="9"/>
        <v>1410.1335291411899</v>
      </c>
      <c r="AB41" s="1135">
        <f t="shared" si="10"/>
        <v>1410.1335291411899</v>
      </c>
      <c r="AC41" s="306">
        <f t="shared" si="11"/>
        <v>0</v>
      </c>
      <c r="AD41" s="1135">
        <f t="shared" si="12"/>
        <v>11088.734764861105</v>
      </c>
      <c r="AE41" s="1135">
        <f t="shared" si="13"/>
        <v>496.23249674170103</v>
      </c>
      <c r="AF41" s="1311">
        <f t="shared" si="14"/>
        <v>330.82166449446737</v>
      </c>
      <c r="AH41" s="323">
        <f>'Baseline data (from input)'!T29*'Baseline data (from input)'!U29</f>
        <v>26296.196347621255</v>
      </c>
      <c r="AI41" s="1137">
        <f>Parameters!S144</f>
        <v>0.71500000000000008</v>
      </c>
      <c r="AJ41" s="1137">
        <f t="shared" si="15"/>
        <v>0.15</v>
      </c>
      <c r="AK41" s="1135">
        <f t="shared" si="16"/>
        <v>1410.1335291411899</v>
      </c>
      <c r="AL41" s="1135">
        <f t="shared" si="17"/>
        <v>1410.1335291411899</v>
      </c>
      <c r="AM41" s="306">
        <f t="shared" si="18"/>
        <v>0</v>
      </c>
      <c r="AN41" s="1135">
        <f t="shared" si="19"/>
        <v>11088.734764861105</v>
      </c>
      <c r="AO41" s="1135">
        <f t="shared" si="20"/>
        <v>496.23249674170103</v>
      </c>
      <c r="AP41" s="1311">
        <f t="shared" si="21"/>
        <v>330.82166449446737</v>
      </c>
      <c r="AR41" s="1143">
        <v>0</v>
      </c>
      <c r="AS41" s="1136">
        <v>1</v>
      </c>
      <c r="AT41" s="1136">
        <f t="shared" si="22"/>
        <v>0.05</v>
      </c>
      <c r="AU41" s="1135">
        <f t="shared" si="23"/>
        <v>0</v>
      </c>
      <c r="AV41" s="1135">
        <f t="shared" si="24"/>
        <v>0</v>
      </c>
      <c r="AW41" s="306">
        <f t="shared" si="25"/>
        <v>0</v>
      </c>
      <c r="AX41" s="1151">
        <f t="shared" si="26"/>
        <v>0</v>
      </c>
      <c r="AY41" s="1151">
        <f t="shared" si="27"/>
        <v>0</v>
      </c>
      <c r="AZ41" s="1311">
        <f t="shared" si="28"/>
        <v>0</v>
      </c>
      <c r="BB41" s="323">
        <f t="shared" si="29"/>
        <v>89.42380784372078</v>
      </c>
      <c r="BC41" s="324">
        <f t="shared" si="30"/>
        <v>330.82166449446737</v>
      </c>
      <c r="BD41" s="1323">
        <f t="shared" si="31"/>
        <v>0</v>
      </c>
      <c r="BE41" s="324">
        <f t="shared" si="32"/>
        <v>420.24547233818816</v>
      </c>
      <c r="BF41" s="104">
        <v>0</v>
      </c>
      <c r="BG41" s="325">
        <f t="shared" si="33"/>
        <v>420.24547233818816</v>
      </c>
      <c r="BI41" s="323">
        <f t="shared" si="34"/>
        <v>89.42380784372078</v>
      </c>
      <c r="BJ41" s="324">
        <f t="shared" si="35"/>
        <v>330.82166449446737</v>
      </c>
      <c r="BK41" s="1323">
        <f t="shared" si="36"/>
        <v>0</v>
      </c>
      <c r="BL41" s="324">
        <f t="shared" si="37"/>
        <v>420.24547233818816</v>
      </c>
      <c r="BM41" s="104">
        <v>0</v>
      </c>
      <c r="BN41" s="325">
        <f t="shared" si="38"/>
        <v>420.24547233818816</v>
      </c>
    </row>
    <row r="42" spans="1:66">
      <c r="A42" s="127">
        <f>'Input data'!A72</f>
        <v>1974</v>
      </c>
      <c r="B42" s="1082">
        <f>'Input data'!B72</f>
        <v>22.012900000000002</v>
      </c>
      <c r="C42" s="1126">
        <f>'Baseline data (from input)'!B30</f>
        <v>578.73</v>
      </c>
      <c r="D42" s="1081">
        <f>'Baseline data (from input)'!L30</f>
        <v>0.8</v>
      </c>
      <c r="E42" s="992">
        <f t="shared" si="41"/>
        <v>0.24001298204245269</v>
      </c>
      <c r="F42" s="992">
        <f t="shared" si="41"/>
        <v>0.30440139352934503</v>
      </c>
      <c r="G42" s="992">
        <f t="shared" si="41"/>
        <v>5.8998240613430578E-2</v>
      </c>
      <c r="H42" s="992">
        <f t="shared" si="41"/>
        <v>0</v>
      </c>
      <c r="I42" s="992">
        <f t="shared" si="41"/>
        <v>0</v>
      </c>
      <c r="J42" s="992">
        <f t="shared" si="41"/>
        <v>0</v>
      </c>
      <c r="K42" s="992">
        <f t="shared" si="41"/>
        <v>0.39658738381477154</v>
      </c>
      <c r="L42" s="1092">
        <f t="shared" si="40"/>
        <v>0.99999999999999989</v>
      </c>
      <c r="N42" s="323">
        <f t="shared" si="1"/>
        <v>10191.620493600001</v>
      </c>
      <c r="O42" s="1137">
        <f>Parameters!R145</f>
        <v>0.73</v>
      </c>
      <c r="P42" s="1137">
        <f>E42*'MSW characteristics'!$B$28+'MSW characteristics'!$B$29*'4A SWD Case 3'!F42+'4A SWD Case 3'!G42*'MSW characteristics'!$B$30+'MSW characteristics'!$B$31*'4A SWD Case 3'!H42+'4A SWD Case 3'!I42*'MSW characteristics'!$B$32+'MSW characteristics'!$B$33*'4A SWD Case 3'!J42+'4A SWD Case 3'!K42*'MSW characteristics'!$B$35</f>
        <v>0.12048152225760915</v>
      </c>
      <c r="Q42" s="1135">
        <f t="shared" si="2"/>
        <v>448.18421223938253</v>
      </c>
      <c r="R42" s="1135">
        <f t="shared" si="3"/>
        <v>448.18421223938253</v>
      </c>
      <c r="S42" s="306">
        <f t="shared" si="4"/>
        <v>0</v>
      </c>
      <c r="T42" s="1135">
        <f t="shared" si="5"/>
        <v>3353.7103935369323</v>
      </c>
      <c r="U42" s="1135">
        <f t="shared" si="6"/>
        <v>148.96951286436777</v>
      </c>
      <c r="V42" s="1311">
        <f t="shared" si="7"/>
        <v>99.313008576245181</v>
      </c>
      <c r="X42" s="323">
        <f>'Baseline data (from input)'!T30*'Baseline data (from input)'!U30</f>
        <v>27903.171227595885</v>
      </c>
      <c r="Y42" s="1137">
        <f>Parameters!S145</f>
        <v>0.71500000000000008</v>
      </c>
      <c r="Z42" s="1137">
        <f t="shared" si="8"/>
        <v>0.15</v>
      </c>
      <c r="AA42" s="1135">
        <f t="shared" si="9"/>
        <v>1496.3075570798296</v>
      </c>
      <c r="AB42" s="1135">
        <f t="shared" si="10"/>
        <v>1496.3075570798296</v>
      </c>
      <c r="AC42" s="306">
        <f t="shared" si="11"/>
        <v>0</v>
      </c>
      <c r="AD42" s="1135">
        <f t="shared" si="12"/>
        <v>12044.238345899719</v>
      </c>
      <c r="AE42" s="1135">
        <f t="shared" si="13"/>
        <v>540.80397604121572</v>
      </c>
      <c r="AF42" s="1311">
        <f t="shared" si="14"/>
        <v>360.53598402747713</v>
      </c>
      <c r="AH42" s="323">
        <f>'Baseline data (from input)'!T30*'Baseline data (from input)'!U30</f>
        <v>27903.171227595885</v>
      </c>
      <c r="AI42" s="1137">
        <f>Parameters!S145</f>
        <v>0.71500000000000008</v>
      </c>
      <c r="AJ42" s="1137">
        <f t="shared" si="15"/>
        <v>0.15</v>
      </c>
      <c r="AK42" s="1135">
        <f t="shared" si="16"/>
        <v>1496.3075570798296</v>
      </c>
      <c r="AL42" s="1135">
        <f t="shared" si="17"/>
        <v>1496.3075570798296</v>
      </c>
      <c r="AM42" s="306">
        <f t="shared" si="18"/>
        <v>0</v>
      </c>
      <c r="AN42" s="1135">
        <f t="shared" si="19"/>
        <v>12044.238345899719</v>
      </c>
      <c r="AO42" s="1135">
        <f t="shared" si="20"/>
        <v>540.80397604121572</v>
      </c>
      <c r="AP42" s="1311">
        <f t="shared" si="21"/>
        <v>360.53598402747713</v>
      </c>
      <c r="AR42" s="1143">
        <v>0</v>
      </c>
      <c r="AS42" s="1136">
        <v>1</v>
      </c>
      <c r="AT42" s="1136">
        <f t="shared" si="22"/>
        <v>0.05</v>
      </c>
      <c r="AU42" s="1135">
        <f t="shared" si="23"/>
        <v>0</v>
      </c>
      <c r="AV42" s="1135">
        <f t="shared" si="24"/>
        <v>0</v>
      </c>
      <c r="AW42" s="306">
        <f t="shared" si="25"/>
        <v>0</v>
      </c>
      <c r="AX42" s="1151">
        <f t="shared" si="26"/>
        <v>0</v>
      </c>
      <c r="AY42" s="1151">
        <f t="shared" si="27"/>
        <v>0</v>
      </c>
      <c r="AZ42" s="1311">
        <f t="shared" si="28"/>
        <v>0</v>
      </c>
      <c r="BB42" s="323">
        <f t="shared" si="29"/>
        <v>99.313008576245181</v>
      </c>
      <c r="BC42" s="324">
        <f t="shared" si="30"/>
        <v>360.53598402747713</v>
      </c>
      <c r="BD42" s="1323">
        <f t="shared" si="31"/>
        <v>0</v>
      </c>
      <c r="BE42" s="324">
        <f t="shared" si="32"/>
        <v>459.84899260372231</v>
      </c>
      <c r="BF42" s="104">
        <v>0</v>
      </c>
      <c r="BG42" s="325">
        <f t="shared" si="33"/>
        <v>459.84899260372231</v>
      </c>
      <c r="BI42" s="323">
        <f t="shared" si="34"/>
        <v>99.313008576245181</v>
      </c>
      <c r="BJ42" s="324">
        <f t="shared" si="35"/>
        <v>360.53598402747713</v>
      </c>
      <c r="BK42" s="1323">
        <f t="shared" si="36"/>
        <v>0</v>
      </c>
      <c r="BL42" s="324">
        <f t="shared" si="37"/>
        <v>459.84899260372231</v>
      </c>
      <c r="BM42" s="104">
        <v>0</v>
      </c>
      <c r="BN42" s="325">
        <f t="shared" si="38"/>
        <v>459.84899260372231</v>
      </c>
    </row>
    <row r="43" spans="1:66">
      <c r="A43" s="127">
        <f>'Input data'!A73</f>
        <v>1975</v>
      </c>
      <c r="B43" s="1082">
        <f>'Input data'!B73</f>
        <v>22.502480000000002</v>
      </c>
      <c r="C43" s="1126">
        <f>'Baseline data (from input)'!B31</f>
        <v>578.73</v>
      </c>
      <c r="D43" s="1081">
        <f>'Baseline data (from input)'!L31</f>
        <v>0.8</v>
      </c>
      <c r="E43" s="992">
        <f t="shared" si="41"/>
        <v>0.24001298204245269</v>
      </c>
      <c r="F43" s="992">
        <f t="shared" si="41"/>
        <v>0.30440139352934503</v>
      </c>
      <c r="G43" s="992">
        <f t="shared" si="41"/>
        <v>5.8998240613430578E-2</v>
      </c>
      <c r="H43" s="992">
        <f t="shared" si="41"/>
        <v>0</v>
      </c>
      <c r="I43" s="992">
        <f t="shared" si="41"/>
        <v>0</v>
      </c>
      <c r="J43" s="992">
        <f t="shared" si="41"/>
        <v>0</v>
      </c>
      <c r="K43" s="992">
        <f t="shared" si="41"/>
        <v>0.39658738381477154</v>
      </c>
      <c r="L43" s="1092">
        <f t="shared" si="40"/>
        <v>0.99999999999999989</v>
      </c>
      <c r="N43" s="323">
        <f t="shared" si="1"/>
        <v>10418.288200320001</v>
      </c>
      <c r="O43" s="1137">
        <f>Parameters!R146</f>
        <v>0.73</v>
      </c>
      <c r="P43" s="1137">
        <f>E43*'MSW characteristics'!$B$28+'MSW characteristics'!$B$29*'4A SWD Case 3'!F43+'4A SWD Case 3'!G43*'MSW characteristics'!$B$30+'MSW characteristics'!$B$31*'4A SWD Case 3'!H43+'4A SWD Case 3'!I43*'MSW characteristics'!$B$32+'MSW characteristics'!$B$33*'4A SWD Case 3'!J43+'4A SWD Case 3'!K43*'MSW characteristics'!$B$35</f>
        <v>0.12048152225760915</v>
      </c>
      <c r="Q43" s="1135">
        <f t="shared" si="2"/>
        <v>458.15209591795991</v>
      </c>
      <c r="R43" s="1135">
        <f t="shared" si="3"/>
        <v>458.15209591795991</v>
      </c>
      <c r="S43" s="306">
        <f t="shared" si="4"/>
        <v>0</v>
      </c>
      <c r="T43" s="1135">
        <f t="shared" si="5"/>
        <v>3648.3001035041589</v>
      </c>
      <c r="U43" s="1135">
        <f t="shared" si="6"/>
        <v>163.56238595073307</v>
      </c>
      <c r="V43" s="1311">
        <f t="shared" si="7"/>
        <v>109.04159063382205</v>
      </c>
      <c r="X43" s="323">
        <f>'Baseline data (from input)'!T31*'Baseline data (from input)'!U31</f>
        <v>28376.255035499355</v>
      </c>
      <c r="Y43" s="1137">
        <f>Parameters!S146</f>
        <v>0.71500000000000008</v>
      </c>
      <c r="Z43" s="1137">
        <f t="shared" si="8"/>
        <v>0.15</v>
      </c>
      <c r="AA43" s="1135">
        <f t="shared" si="9"/>
        <v>1521.6766762786531</v>
      </c>
      <c r="AB43" s="1135">
        <f t="shared" si="10"/>
        <v>1521.6766762786531</v>
      </c>
      <c r="AC43" s="306">
        <f t="shared" si="11"/>
        <v>0</v>
      </c>
      <c r="AD43" s="1135">
        <f t="shared" si="12"/>
        <v>12978.510586598275</v>
      </c>
      <c r="AE43" s="1135">
        <f t="shared" si="13"/>
        <v>587.40443558009758</v>
      </c>
      <c r="AF43" s="1311">
        <f t="shared" si="14"/>
        <v>391.60295705339837</v>
      </c>
      <c r="AH43" s="323">
        <f>'Baseline data (from input)'!T31*'Baseline data (from input)'!U31</f>
        <v>28376.255035499355</v>
      </c>
      <c r="AI43" s="1137">
        <f>Parameters!S146</f>
        <v>0.71500000000000008</v>
      </c>
      <c r="AJ43" s="1137">
        <f t="shared" si="15"/>
        <v>0.15</v>
      </c>
      <c r="AK43" s="1135">
        <f t="shared" si="16"/>
        <v>1521.6766762786531</v>
      </c>
      <c r="AL43" s="1135">
        <f t="shared" si="17"/>
        <v>1521.6766762786531</v>
      </c>
      <c r="AM43" s="306">
        <f t="shared" si="18"/>
        <v>0</v>
      </c>
      <c r="AN43" s="1135">
        <f t="shared" si="19"/>
        <v>12978.510586598275</v>
      </c>
      <c r="AO43" s="1135">
        <f t="shared" si="20"/>
        <v>587.40443558009758</v>
      </c>
      <c r="AP43" s="1311">
        <f t="shared" si="21"/>
        <v>391.60295705339837</v>
      </c>
      <c r="AR43" s="1143">
        <v>0</v>
      </c>
      <c r="AS43" s="1136">
        <v>1</v>
      </c>
      <c r="AT43" s="1136">
        <f t="shared" si="22"/>
        <v>0.05</v>
      </c>
      <c r="AU43" s="1135">
        <f t="shared" si="23"/>
        <v>0</v>
      </c>
      <c r="AV43" s="1135">
        <f t="shared" si="24"/>
        <v>0</v>
      </c>
      <c r="AW43" s="306">
        <f t="shared" si="25"/>
        <v>0</v>
      </c>
      <c r="AX43" s="1151">
        <f t="shared" si="26"/>
        <v>0</v>
      </c>
      <c r="AY43" s="1151">
        <f t="shared" si="27"/>
        <v>0</v>
      </c>
      <c r="AZ43" s="1311">
        <f t="shared" si="28"/>
        <v>0</v>
      </c>
      <c r="BB43" s="323">
        <f t="shared" si="29"/>
        <v>109.04159063382205</v>
      </c>
      <c r="BC43" s="324">
        <f t="shared" si="30"/>
        <v>391.60295705339837</v>
      </c>
      <c r="BD43" s="1323">
        <f t="shared" si="31"/>
        <v>0</v>
      </c>
      <c r="BE43" s="324">
        <f t="shared" si="32"/>
        <v>500.64454768722044</v>
      </c>
      <c r="BF43" s="104">
        <v>0</v>
      </c>
      <c r="BG43" s="325">
        <f t="shared" si="33"/>
        <v>500.64454768722044</v>
      </c>
      <c r="BI43" s="323">
        <f t="shared" si="34"/>
        <v>109.04159063382205</v>
      </c>
      <c r="BJ43" s="324">
        <f t="shared" si="35"/>
        <v>391.60295705339837</v>
      </c>
      <c r="BK43" s="1323">
        <f t="shared" si="36"/>
        <v>0</v>
      </c>
      <c r="BL43" s="324">
        <f t="shared" si="37"/>
        <v>500.64454768722044</v>
      </c>
      <c r="BM43" s="104">
        <v>0</v>
      </c>
      <c r="BN43" s="325">
        <f t="shared" si="38"/>
        <v>500.64454768722044</v>
      </c>
    </row>
    <row r="44" spans="1:66">
      <c r="A44" s="127">
        <f>'Input data'!A74</f>
        <v>1976</v>
      </c>
      <c r="B44" s="1082">
        <f>'Input data'!B74</f>
        <v>22.993880000000001</v>
      </c>
      <c r="C44" s="1126">
        <f>'Baseline data (from input)'!B32</f>
        <v>578.73</v>
      </c>
      <c r="D44" s="1081">
        <f>'Baseline data (from input)'!L32</f>
        <v>0.8</v>
      </c>
      <c r="E44" s="992">
        <f t="shared" si="41"/>
        <v>0.24001298204245269</v>
      </c>
      <c r="F44" s="992">
        <f t="shared" si="41"/>
        <v>0.30440139352934503</v>
      </c>
      <c r="G44" s="992">
        <f t="shared" si="41"/>
        <v>5.8998240613430578E-2</v>
      </c>
      <c r="H44" s="992">
        <f t="shared" si="41"/>
        <v>0</v>
      </c>
      <c r="I44" s="992">
        <f t="shared" si="41"/>
        <v>0</v>
      </c>
      <c r="J44" s="992">
        <f t="shared" si="41"/>
        <v>0</v>
      </c>
      <c r="K44" s="992">
        <f t="shared" si="41"/>
        <v>0.39658738381477154</v>
      </c>
      <c r="L44" s="1092">
        <f t="shared" si="40"/>
        <v>0.99999999999999989</v>
      </c>
      <c r="N44" s="323">
        <f t="shared" si="1"/>
        <v>10645.798537920002</v>
      </c>
      <c r="O44" s="1137">
        <f>Parameters!R147</f>
        <v>0.73</v>
      </c>
      <c r="P44" s="1137">
        <f>E44*'MSW characteristics'!$B$28+'MSW characteristics'!$B$29*'4A SWD Case 3'!F44+'4A SWD Case 3'!G44*'MSW characteristics'!$B$30+'MSW characteristics'!$B$31*'4A SWD Case 3'!H44+'4A SWD Case 3'!I44*'MSW characteristics'!$B$32+'MSW characteristics'!$B$33*'4A SWD Case 3'!J44+'4A SWD Case 3'!K44*'MSW characteristics'!$B$35</f>
        <v>0.12048152225760915</v>
      </c>
      <c r="Q44" s="1135">
        <f t="shared" si="2"/>
        <v>468.15703492619758</v>
      </c>
      <c r="R44" s="1135">
        <f t="shared" si="3"/>
        <v>468.15703492619758</v>
      </c>
      <c r="S44" s="306">
        <f t="shared" si="4"/>
        <v>0</v>
      </c>
      <c r="T44" s="1135">
        <f t="shared" si="5"/>
        <v>3938.5274427883537</v>
      </c>
      <c r="U44" s="1135">
        <f t="shared" si="6"/>
        <v>177.92969564200246</v>
      </c>
      <c r="V44" s="1311">
        <f t="shared" si="7"/>
        <v>118.6197970946683</v>
      </c>
      <c r="X44" s="323">
        <f>'Baseline data (from input)'!T32*'Baseline data (from input)'!U32</f>
        <v>29014.693547916435</v>
      </c>
      <c r="Y44" s="1137">
        <f>Parameters!S147</f>
        <v>0.71500000000000008</v>
      </c>
      <c r="Z44" s="1137">
        <f t="shared" si="8"/>
        <v>0.15</v>
      </c>
      <c r="AA44" s="1135">
        <f t="shared" si="9"/>
        <v>1555.9129415070188</v>
      </c>
      <c r="AB44" s="1135">
        <f t="shared" si="10"/>
        <v>1555.9129415070188</v>
      </c>
      <c r="AC44" s="306">
        <f t="shared" si="11"/>
        <v>0</v>
      </c>
      <c r="AD44" s="1135">
        <f t="shared" si="12"/>
        <v>13901.454097673321</v>
      </c>
      <c r="AE44" s="1135">
        <f t="shared" si="13"/>
        <v>632.96943043197359</v>
      </c>
      <c r="AF44" s="1311">
        <f t="shared" si="14"/>
        <v>421.97962028798241</v>
      </c>
      <c r="AH44" s="323">
        <f>'Baseline data (from input)'!T32*'Baseline data (from input)'!U32</f>
        <v>29014.693547916435</v>
      </c>
      <c r="AI44" s="1137">
        <f>Parameters!S147</f>
        <v>0.71500000000000008</v>
      </c>
      <c r="AJ44" s="1137">
        <f t="shared" si="15"/>
        <v>0.15</v>
      </c>
      <c r="AK44" s="1135">
        <f t="shared" si="16"/>
        <v>1555.9129415070188</v>
      </c>
      <c r="AL44" s="1135">
        <f t="shared" si="17"/>
        <v>1555.9129415070188</v>
      </c>
      <c r="AM44" s="306">
        <f t="shared" si="18"/>
        <v>0</v>
      </c>
      <c r="AN44" s="1135">
        <f t="shared" si="19"/>
        <v>13901.454097673321</v>
      </c>
      <c r="AO44" s="1135">
        <f t="shared" si="20"/>
        <v>632.96943043197359</v>
      </c>
      <c r="AP44" s="1311">
        <f t="shared" si="21"/>
        <v>421.97962028798241</v>
      </c>
      <c r="AR44" s="1143">
        <v>0</v>
      </c>
      <c r="AS44" s="1136">
        <v>1</v>
      </c>
      <c r="AT44" s="1136">
        <f t="shared" si="22"/>
        <v>0.05</v>
      </c>
      <c r="AU44" s="1135">
        <f t="shared" si="23"/>
        <v>0</v>
      </c>
      <c r="AV44" s="1135">
        <f t="shared" si="24"/>
        <v>0</v>
      </c>
      <c r="AW44" s="306">
        <f t="shared" si="25"/>
        <v>0</v>
      </c>
      <c r="AX44" s="1151">
        <f t="shared" si="26"/>
        <v>0</v>
      </c>
      <c r="AY44" s="1151">
        <f t="shared" si="27"/>
        <v>0</v>
      </c>
      <c r="AZ44" s="1311">
        <f t="shared" si="28"/>
        <v>0</v>
      </c>
      <c r="BB44" s="323">
        <f t="shared" si="29"/>
        <v>118.6197970946683</v>
      </c>
      <c r="BC44" s="324">
        <f t="shared" si="30"/>
        <v>421.97962028798241</v>
      </c>
      <c r="BD44" s="1323">
        <f t="shared" si="31"/>
        <v>0</v>
      </c>
      <c r="BE44" s="324">
        <f t="shared" si="32"/>
        <v>540.5994173826507</v>
      </c>
      <c r="BF44" s="104">
        <v>0</v>
      </c>
      <c r="BG44" s="325">
        <f t="shared" si="33"/>
        <v>540.5994173826507</v>
      </c>
      <c r="BI44" s="323">
        <f t="shared" si="34"/>
        <v>118.6197970946683</v>
      </c>
      <c r="BJ44" s="324">
        <f t="shared" si="35"/>
        <v>421.97962028798241</v>
      </c>
      <c r="BK44" s="1323">
        <f t="shared" si="36"/>
        <v>0</v>
      </c>
      <c r="BL44" s="324">
        <f t="shared" si="37"/>
        <v>540.5994173826507</v>
      </c>
      <c r="BM44" s="104">
        <v>0</v>
      </c>
      <c r="BN44" s="325">
        <f t="shared" si="38"/>
        <v>540.5994173826507</v>
      </c>
    </row>
    <row r="45" spans="1:66">
      <c r="A45" s="127">
        <f>'Input data'!A75</f>
        <v>1977</v>
      </c>
      <c r="B45" s="1082">
        <f>'Input data'!B75</f>
        <v>23.483460000000001</v>
      </c>
      <c r="C45" s="1126">
        <f>'Baseline data (from input)'!B33</f>
        <v>578.73</v>
      </c>
      <c r="D45" s="1081">
        <f>'Baseline data (from input)'!L33</f>
        <v>0.8</v>
      </c>
      <c r="E45" s="992">
        <f t="shared" si="41"/>
        <v>0.24001298204245269</v>
      </c>
      <c r="F45" s="992">
        <f t="shared" si="41"/>
        <v>0.30440139352934503</v>
      </c>
      <c r="G45" s="992">
        <f t="shared" si="41"/>
        <v>5.8998240613430578E-2</v>
      </c>
      <c r="H45" s="992">
        <f t="shared" si="41"/>
        <v>0</v>
      </c>
      <c r="I45" s="992">
        <f t="shared" si="41"/>
        <v>0</v>
      </c>
      <c r="J45" s="992">
        <f t="shared" si="41"/>
        <v>0</v>
      </c>
      <c r="K45" s="992">
        <f t="shared" si="41"/>
        <v>0.39658738381477154</v>
      </c>
      <c r="L45" s="1092">
        <f t="shared" si="40"/>
        <v>0.99999999999999989</v>
      </c>
      <c r="N45" s="323">
        <f t="shared" si="1"/>
        <v>10872.466244640002</v>
      </c>
      <c r="O45" s="1137">
        <f>Parameters!R148</f>
        <v>0.73</v>
      </c>
      <c r="P45" s="1137">
        <f>E45*'MSW characteristics'!$B$28+'MSW characteristics'!$B$29*'4A SWD Case 3'!F45+'4A SWD Case 3'!G45*'MSW characteristics'!$B$30+'MSW characteristics'!$B$31*'4A SWD Case 3'!H45+'4A SWD Case 3'!I45*'MSW characteristics'!$B$32+'MSW characteristics'!$B$33*'4A SWD Case 3'!J45+'4A SWD Case 3'!K45*'MSW characteristics'!$B$35</f>
        <v>0.12048152225760915</v>
      </c>
      <c r="Q45" s="1135">
        <f t="shared" si="2"/>
        <v>478.12491860477496</v>
      </c>
      <c r="R45" s="1135">
        <f t="shared" si="3"/>
        <v>478.12491860477496</v>
      </c>
      <c r="S45" s="306">
        <f t="shared" si="4"/>
        <v>0</v>
      </c>
      <c r="T45" s="1135">
        <f t="shared" si="5"/>
        <v>4224.5681113886094</v>
      </c>
      <c r="U45" s="1135">
        <f t="shared" si="6"/>
        <v>192.08425000451916</v>
      </c>
      <c r="V45" s="1311">
        <f t="shared" si="7"/>
        <v>128.05616666967944</v>
      </c>
      <c r="X45" s="323">
        <f>'Baseline data (from input)'!T33*'Baseline data (from input)'!U33</f>
        <v>28987.408845606311</v>
      </c>
      <c r="Y45" s="1137">
        <f>Parameters!S148</f>
        <v>0.71500000000000008</v>
      </c>
      <c r="Z45" s="1137">
        <f t="shared" si="8"/>
        <v>0.15</v>
      </c>
      <c r="AA45" s="1135">
        <f t="shared" si="9"/>
        <v>1554.4497993456384</v>
      </c>
      <c r="AB45" s="1135">
        <f t="shared" si="10"/>
        <v>1554.4497993456384</v>
      </c>
      <c r="AC45" s="306">
        <f t="shared" si="11"/>
        <v>0</v>
      </c>
      <c r="AD45" s="1135">
        <f t="shared" si="12"/>
        <v>14777.921980398523</v>
      </c>
      <c r="AE45" s="1135">
        <f t="shared" si="13"/>
        <v>677.98191662043519</v>
      </c>
      <c r="AF45" s="1311">
        <f t="shared" si="14"/>
        <v>451.98794441362344</v>
      </c>
      <c r="AH45" s="323">
        <f>'Baseline data (from input)'!T33*'Baseline data (from input)'!U33</f>
        <v>28987.408845606311</v>
      </c>
      <c r="AI45" s="1137">
        <f>Parameters!S148</f>
        <v>0.71500000000000008</v>
      </c>
      <c r="AJ45" s="1137">
        <f t="shared" si="15"/>
        <v>0.15</v>
      </c>
      <c r="AK45" s="1135">
        <f t="shared" si="16"/>
        <v>1554.4497993456384</v>
      </c>
      <c r="AL45" s="1135">
        <f t="shared" si="17"/>
        <v>1554.4497993456384</v>
      </c>
      <c r="AM45" s="306">
        <f t="shared" si="18"/>
        <v>0</v>
      </c>
      <c r="AN45" s="1135">
        <f t="shared" si="19"/>
        <v>14777.921980398523</v>
      </c>
      <c r="AO45" s="1135">
        <f t="shared" si="20"/>
        <v>677.98191662043519</v>
      </c>
      <c r="AP45" s="1311">
        <f t="shared" si="21"/>
        <v>451.98794441362344</v>
      </c>
      <c r="AR45" s="1143">
        <v>0</v>
      </c>
      <c r="AS45" s="1136">
        <v>1</v>
      </c>
      <c r="AT45" s="1136">
        <f t="shared" si="22"/>
        <v>0.05</v>
      </c>
      <c r="AU45" s="1135">
        <f t="shared" si="23"/>
        <v>0</v>
      </c>
      <c r="AV45" s="1135">
        <f t="shared" si="24"/>
        <v>0</v>
      </c>
      <c r="AW45" s="306">
        <f t="shared" si="25"/>
        <v>0</v>
      </c>
      <c r="AX45" s="1151">
        <f t="shared" si="26"/>
        <v>0</v>
      </c>
      <c r="AY45" s="1151">
        <f t="shared" si="27"/>
        <v>0</v>
      </c>
      <c r="AZ45" s="1311">
        <f t="shared" si="28"/>
        <v>0</v>
      </c>
      <c r="BB45" s="323">
        <f t="shared" si="29"/>
        <v>128.05616666967944</v>
      </c>
      <c r="BC45" s="324">
        <f t="shared" si="30"/>
        <v>451.98794441362344</v>
      </c>
      <c r="BD45" s="1323">
        <f t="shared" si="31"/>
        <v>0</v>
      </c>
      <c r="BE45" s="324">
        <f t="shared" si="32"/>
        <v>580.04411108330282</v>
      </c>
      <c r="BF45" s="104">
        <v>0</v>
      </c>
      <c r="BG45" s="325">
        <f t="shared" si="33"/>
        <v>580.04411108330282</v>
      </c>
      <c r="BI45" s="323">
        <f t="shared" si="34"/>
        <v>128.05616666967944</v>
      </c>
      <c r="BJ45" s="324">
        <f t="shared" si="35"/>
        <v>451.98794441362344</v>
      </c>
      <c r="BK45" s="1323">
        <f t="shared" si="36"/>
        <v>0</v>
      </c>
      <c r="BL45" s="324">
        <f t="shared" si="37"/>
        <v>580.04411108330282</v>
      </c>
      <c r="BM45" s="104">
        <v>0</v>
      </c>
      <c r="BN45" s="325">
        <f t="shared" si="38"/>
        <v>580.04411108330282</v>
      </c>
    </row>
    <row r="46" spans="1:66">
      <c r="A46" s="127">
        <f>'Input data'!A76</f>
        <v>1978</v>
      </c>
      <c r="B46" s="1082">
        <f>'Input data'!B76</f>
        <v>23.983049999999999</v>
      </c>
      <c r="C46" s="1126">
        <f>'Baseline data (from input)'!B34</f>
        <v>578.73</v>
      </c>
      <c r="D46" s="1081">
        <f>'Baseline data (from input)'!L34</f>
        <v>0.8</v>
      </c>
      <c r="E46" s="992">
        <f t="shared" si="41"/>
        <v>0.24001298204245269</v>
      </c>
      <c r="F46" s="992">
        <f t="shared" si="41"/>
        <v>0.30440139352934503</v>
      </c>
      <c r="G46" s="992">
        <f t="shared" si="41"/>
        <v>5.8998240613430578E-2</v>
      </c>
      <c r="H46" s="992">
        <f t="shared" si="41"/>
        <v>0</v>
      </c>
      <c r="I46" s="992">
        <f t="shared" si="41"/>
        <v>0</v>
      </c>
      <c r="J46" s="992">
        <f t="shared" si="41"/>
        <v>0</v>
      </c>
      <c r="K46" s="992">
        <f t="shared" si="41"/>
        <v>0.39658738381477154</v>
      </c>
      <c r="L46" s="1092">
        <f t="shared" si="40"/>
        <v>0.99999999999999989</v>
      </c>
      <c r="N46" s="323">
        <f t="shared" si="1"/>
        <v>11103.7684212</v>
      </c>
      <c r="O46" s="1137">
        <f>Parameters!R149</f>
        <v>0.73</v>
      </c>
      <c r="P46" s="1137">
        <f>E46*'MSW characteristics'!$B$28+'MSW characteristics'!$B$29*'4A SWD Case 3'!F46+'4A SWD Case 3'!G46*'MSW characteristics'!$B$30+'MSW characteristics'!$B$31*'4A SWD Case 3'!H46+'4A SWD Case 3'!I46*'MSW characteristics'!$B$32+'MSW characteristics'!$B$33*'4A SWD Case 3'!J46+'4A SWD Case 3'!K46*'MSW characteristics'!$B$35</f>
        <v>0.12048152225760915</v>
      </c>
      <c r="Q46" s="1135">
        <f t="shared" si="2"/>
        <v>488.29660659648306</v>
      </c>
      <c r="R46" s="1135">
        <f t="shared" si="3"/>
        <v>488.29660659648306</v>
      </c>
      <c r="S46" s="306">
        <f t="shared" si="4"/>
        <v>0</v>
      </c>
      <c r="T46" s="1135">
        <f t="shared" si="5"/>
        <v>4506.8300999567382</v>
      </c>
      <c r="U46" s="1135">
        <f t="shared" si="6"/>
        <v>206.03461802835417</v>
      </c>
      <c r="V46" s="1311">
        <f t="shared" si="7"/>
        <v>137.35641201890277</v>
      </c>
      <c r="X46" s="323">
        <f>'Baseline data (from input)'!T34*'Baseline data (from input)'!U34</f>
        <v>29861.248479231726</v>
      </c>
      <c r="Y46" s="1137">
        <f>Parameters!S149</f>
        <v>0.71500000000000008</v>
      </c>
      <c r="Z46" s="1137">
        <f t="shared" si="8"/>
        <v>0.15</v>
      </c>
      <c r="AA46" s="1135">
        <f t="shared" si="9"/>
        <v>1601.3094496988015</v>
      </c>
      <c r="AB46" s="1135">
        <f t="shared" si="10"/>
        <v>1601.3094496988015</v>
      </c>
      <c r="AC46" s="306">
        <f t="shared" si="11"/>
        <v>0</v>
      </c>
      <c r="AD46" s="1135">
        <f t="shared" si="12"/>
        <v>15658.50367042974</v>
      </c>
      <c r="AE46" s="1135">
        <f t="shared" si="13"/>
        <v>720.727759667584</v>
      </c>
      <c r="AF46" s="1311">
        <f t="shared" si="14"/>
        <v>480.48517311172264</v>
      </c>
      <c r="AH46" s="323">
        <f>'Baseline data (from input)'!T34*'Baseline data (from input)'!U34</f>
        <v>29861.248479231726</v>
      </c>
      <c r="AI46" s="1137">
        <f>Parameters!S149</f>
        <v>0.71500000000000008</v>
      </c>
      <c r="AJ46" s="1137">
        <f t="shared" si="15"/>
        <v>0.15</v>
      </c>
      <c r="AK46" s="1135">
        <f t="shared" si="16"/>
        <v>1601.3094496988015</v>
      </c>
      <c r="AL46" s="1135">
        <f t="shared" si="17"/>
        <v>1601.3094496988015</v>
      </c>
      <c r="AM46" s="306">
        <f t="shared" si="18"/>
        <v>0</v>
      </c>
      <c r="AN46" s="1135">
        <f t="shared" si="19"/>
        <v>15658.50367042974</v>
      </c>
      <c r="AO46" s="1135">
        <f t="shared" si="20"/>
        <v>720.727759667584</v>
      </c>
      <c r="AP46" s="1311">
        <f t="shared" si="21"/>
        <v>480.48517311172264</v>
      </c>
      <c r="AR46" s="1143">
        <v>0</v>
      </c>
      <c r="AS46" s="1136">
        <v>1</v>
      </c>
      <c r="AT46" s="1136">
        <f t="shared" si="22"/>
        <v>0.05</v>
      </c>
      <c r="AU46" s="1135">
        <f t="shared" si="23"/>
        <v>0</v>
      </c>
      <c r="AV46" s="1135">
        <f t="shared" si="24"/>
        <v>0</v>
      </c>
      <c r="AW46" s="306">
        <f t="shared" si="25"/>
        <v>0</v>
      </c>
      <c r="AX46" s="1151">
        <f t="shared" si="26"/>
        <v>0</v>
      </c>
      <c r="AY46" s="1151">
        <f t="shared" si="27"/>
        <v>0</v>
      </c>
      <c r="AZ46" s="1311">
        <f t="shared" si="28"/>
        <v>0</v>
      </c>
      <c r="BB46" s="323">
        <f t="shared" si="29"/>
        <v>137.35641201890277</v>
      </c>
      <c r="BC46" s="324">
        <f t="shared" si="30"/>
        <v>480.48517311172264</v>
      </c>
      <c r="BD46" s="1323">
        <f t="shared" si="31"/>
        <v>0</v>
      </c>
      <c r="BE46" s="324">
        <f t="shared" si="32"/>
        <v>617.84158513062539</v>
      </c>
      <c r="BF46" s="104">
        <v>0</v>
      </c>
      <c r="BG46" s="325">
        <f t="shared" si="33"/>
        <v>617.84158513062539</v>
      </c>
      <c r="BI46" s="323">
        <f t="shared" si="34"/>
        <v>137.35641201890277</v>
      </c>
      <c r="BJ46" s="324">
        <f t="shared" si="35"/>
        <v>480.48517311172264</v>
      </c>
      <c r="BK46" s="1323">
        <f t="shared" si="36"/>
        <v>0</v>
      </c>
      <c r="BL46" s="324">
        <f t="shared" si="37"/>
        <v>617.84158513062539</v>
      </c>
      <c r="BM46" s="104">
        <v>0</v>
      </c>
      <c r="BN46" s="325">
        <f t="shared" si="38"/>
        <v>617.84158513062539</v>
      </c>
    </row>
    <row r="47" spans="1:66">
      <c r="A47" s="127">
        <f>'Input data'!A77</f>
        <v>1979</v>
      </c>
      <c r="B47" s="1082">
        <f>'Input data'!B77</f>
        <v>24.516309999999997</v>
      </c>
      <c r="C47" s="1126">
        <f>'Baseline data (from input)'!B35</f>
        <v>578.73</v>
      </c>
      <c r="D47" s="1081">
        <f>'Baseline data (from input)'!L35</f>
        <v>0.8</v>
      </c>
      <c r="E47" s="992">
        <f t="shared" si="41"/>
        <v>0.24001298204245269</v>
      </c>
      <c r="F47" s="992">
        <f t="shared" si="41"/>
        <v>0.30440139352934503</v>
      </c>
      <c r="G47" s="992">
        <f t="shared" si="41"/>
        <v>5.8998240613430578E-2</v>
      </c>
      <c r="H47" s="992">
        <f t="shared" si="41"/>
        <v>0</v>
      </c>
      <c r="I47" s="992">
        <f t="shared" si="41"/>
        <v>0</v>
      </c>
      <c r="J47" s="992">
        <f t="shared" si="41"/>
        <v>0</v>
      </c>
      <c r="K47" s="992">
        <f t="shared" si="41"/>
        <v>0.39658738381477154</v>
      </c>
      <c r="L47" s="1092">
        <f t="shared" si="40"/>
        <v>0.99999999999999989</v>
      </c>
      <c r="N47" s="323">
        <f t="shared" si="1"/>
        <v>11350.659269039999</v>
      </c>
      <c r="O47" s="1137">
        <f>Parameters!R150</f>
        <v>0.73</v>
      </c>
      <c r="P47" s="1137">
        <f>E47*'MSW characteristics'!$B$28+'MSW characteristics'!$B$29*'4A SWD Case 3'!F47+'4A SWD Case 3'!G47*'MSW characteristics'!$B$30+'MSW characteristics'!$B$31*'4A SWD Case 3'!H47+'4A SWD Case 3'!I47*'MSW characteristics'!$B$32+'MSW characteristics'!$B$33*'4A SWD Case 3'!J47+'4A SWD Case 3'!K47*'MSW characteristics'!$B$35</f>
        <v>0.12048152225760915</v>
      </c>
      <c r="Q47" s="1135">
        <f t="shared" si="2"/>
        <v>499.15381818690378</v>
      </c>
      <c r="R47" s="1135">
        <f t="shared" si="3"/>
        <v>499.15381818690378</v>
      </c>
      <c r="S47" s="306">
        <f t="shared" si="4"/>
        <v>0</v>
      </c>
      <c r="T47" s="1135">
        <f t="shared" si="5"/>
        <v>4786.1832204912471</v>
      </c>
      <c r="U47" s="1135">
        <f t="shared" si="6"/>
        <v>219.80069765239469</v>
      </c>
      <c r="V47" s="1311">
        <f t="shared" si="7"/>
        <v>146.53379843492979</v>
      </c>
      <c r="X47" s="323">
        <f>'Baseline data (from input)'!T35*'Baseline data (from input)'!U35</f>
        <v>30993.140241147801</v>
      </c>
      <c r="Y47" s="1137">
        <f>Parameters!S150</f>
        <v>0.71500000000000008</v>
      </c>
      <c r="Z47" s="1137">
        <f t="shared" si="8"/>
        <v>0.15</v>
      </c>
      <c r="AA47" s="1135">
        <f t="shared" si="9"/>
        <v>1662.007145431551</v>
      </c>
      <c r="AB47" s="1135">
        <f t="shared" si="10"/>
        <v>1662.007145431551</v>
      </c>
      <c r="AC47" s="306">
        <f t="shared" si="11"/>
        <v>0</v>
      </c>
      <c r="AD47" s="1135">
        <f t="shared" si="12"/>
        <v>16556.83658039675</v>
      </c>
      <c r="AE47" s="1135">
        <f t="shared" si="13"/>
        <v>763.67423546454029</v>
      </c>
      <c r="AF47" s="1311">
        <f t="shared" si="14"/>
        <v>509.11615697636017</v>
      </c>
      <c r="AH47" s="323">
        <f>'Baseline data (from input)'!T35*'Baseline data (from input)'!U35</f>
        <v>30993.140241147801</v>
      </c>
      <c r="AI47" s="1137">
        <f>Parameters!S150</f>
        <v>0.71500000000000008</v>
      </c>
      <c r="AJ47" s="1137">
        <f t="shared" si="15"/>
        <v>0.15</v>
      </c>
      <c r="AK47" s="1135">
        <f t="shared" si="16"/>
        <v>1662.007145431551</v>
      </c>
      <c r="AL47" s="1135">
        <f t="shared" si="17"/>
        <v>1662.007145431551</v>
      </c>
      <c r="AM47" s="306">
        <f t="shared" si="18"/>
        <v>0</v>
      </c>
      <c r="AN47" s="1135">
        <f t="shared" si="19"/>
        <v>16556.83658039675</v>
      </c>
      <c r="AO47" s="1135">
        <f t="shared" si="20"/>
        <v>763.67423546454029</v>
      </c>
      <c r="AP47" s="1311">
        <f t="shared" si="21"/>
        <v>509.11615697636017</v>
      </c>
      <c r="AR47" s="1143">
        <v>0</v>
      </c>
      <c r="AS47" s="1136">
        <v>1</v>
      </c>
      <c r="AT47" s="1136">
        <f t="shared" si="22"/>
        <v>0.05</v>
      </c>
      <c r="AU47" s="1135">
        <f t="shared" si="23"/>
        <v>0</v>
      </c>
      <c r="AV47" s="1135">
        <f t="shared" si="24"/>
        <v>0</v>
      </c>
      <c r="AW47" s="199">
        <f t="shared" si="25"/>
        <v>0</v>
      </c>
      <c r="AX47" s="1151">
        <f t="shared" si="26"/>
        <v>0</v>
      </c>
      <c r="AY47" s="1151">
        <f t="shared" si="27"/>
        <v>0</v>
      </c>
      <c r="AZ47" s="1311">
        <f t="shared" si="28"/>
        <v>0</v>
      </c>
      <c r="BB47" s="323">
        <f t="shared" si="29"/>
        <v>146.53379843492979</v>
      </c>
      <c r="BC47" s="324">
        <f t="shared" si="30"/>
        <v>509.11615697636017</v>
      </c>
      <c r="BD47" s="1323">
        <f t="shared" si="31"/>
        <v>0</v>
      </c>
      <c r="BE47" s="324">
        <f t="shared" si="32"/>
        <v>655.64995541128997</v>
      </c>
      <c r="BF47" s="104">
        <v>0</v>
      </c>
      <c r="BG47" s="325">
        <f t="shared" si="33"/>
        <v>655.64995541128997</v>
      </c>
      <c r="BI47" s="323">
        <f t="shared" si="34"/>
        <v>146.53379843492979</v>
      </c>
      <c r="BJ47" s="324">
        <f t="shared" si="35"/>
        <v>509.11615697636017</v>
      </c>
      <c r="BK47" s="1323">
        <f t="shared" si="36"/>
        <v>0</v>
      </c>
      <c r="BL47" s="324">
        <f t="shared" si="37"/>
        <v>655.64995541128997</v>
      </c>
      <c r="BM47" s="104">
        <v>0</v>
      </c>
      <c r="BN47" s="325">
        <f t="shared" si="38"/>
        <v>655.64995541128997</v>
      </c>
    </row>
    <row r="48" spans="1:66">
      <c r="A48" s="127">
        <f>'Input data'!A78</f>
        <v>1980</v>
      </c>
      <c r="B48" s="1082">
        <f>'Input data'!B78</f>
        <v>25.094160000000002</v>
      </c>
      <c r="C48" s="1126">
        <f>'Baseline data (from input)'!B36</f>
        <v>578.73</v>
      </c>
      <c r="D48" s="1081">
        <f>'Baseline data (from input)'!L36</f>
        <v>0.8</v>
      </c>
      <c r="E48" s="992">
        <f t="shared" si="41"/>
        <v>0.24001298204245269</v>
      </c>
      <c r="F48" s="992">
        <f t="shared" si="41"/>
        <v>0.30440139352934503</v>
      </c>
      <c r="G48" s="992">
        <f t="shared" si="41"/>
        <v>5.8998240613430578E-2</v>
      </c>
      <c r="H48" s="992">
        <f t="shared" si="41"/>
        <v>0</v>
      </c>
      <c r="I48" s="992">
        <f t="shared" si="41"/>
        <v>0</v>
      </c>
      <c r="J48" s="992">
        <f t="shared" si="41"/>
        <v>0</v>
      </c>
      <c r="K48" s="992">
        <f t="shared" si="41"/>
        <v>0.39658738381477154</v>
      </c>
      <c r="L48" s="1092">
        <f t="shared" si="40"/>
        <v>0.99999999999999989</v>
      </c>
      <c r="N48" s="323">
        <f t="shared" si="1"/>
        <v>11618.194573440001</v>
      </c>
      <c r="O48" s="1137">
        <f>Parameters!R151</f>
        <v>0.73</v>
      </c>
      <c r="P48" s="1137">
        <f>E48*'MSW characteristics'!$B$28+'MSW characteristics'!$B$29*'4A SWD Case 3'!F48+'4A SWD Case 3'!G48*'MSW characteristics'!$B$30+'MSW characteristics'!$B$31*'4A SWD Case 3'!H48+'4A SWD Case 3'!I48*'MSW characteristics'!$B$32+'MSW characteristics'!$B$33*'4A SWD Case 3'!J48+'4A SWD Case 3'!K48*'MSW characteristics'!$B$35</f>
        <v>0.12048152225760915</v>
      </c>
      <c r="Q48" s="1135">
        <f t="shared" si="2"/>
        <v>510.91888535399806</v>
      </c>
      <c r="R48" s="1135">
        <f t="shared" si="3"/>
        <v>510.91888535399806</v>
      </c>
      <c r="S48" s="306">
        <f t="shared" si="4"/>
        <v>0</v>
      </c>
      <c r="T48" s="1135">
        <f t="shared" si="5"/>
        <v>5063.677195736861</v>
      </c>
      <c r="U48" s="1135">
        <f t="shared" si="6"/>
        <v>233.4249101083841</v>
      </c>
      <c r="V48" s="1311">
        <f t="shared" si="7"/>
        <v>155.61660673892274</v>
      </c>
      <c r="X48" s="323">
        <f>'Baseline data (from input)'!T36*'Baseline data (from input)'!U36</f>
        <v>33045.06746008664</v>
      </c>
      <c r="Y48" s="1137">
        <f>Parameters!S151</f>
        <v>0.71500000000000008</v>
      </c>
      <c r="Z48" s="1137">
        <f t="shared" si="8"/>
        <v>0.15</v>
      </c>
      <c r="AA48" s="1135">
        <f t="shared" si="9"/>
        <v>1772.0417425471464</v>
      </c>
      <c r="AB48" s="1135">
        <f t="shared" si="10"/>
        <v>1772.0417425471464</v>
      </c>
      <c r="AC48" s="306">
        <f t="shared" si="11"/>
        <v>0</v>
      </c>
      <c r="AD48" s="1135">
        <f t="shared" si="12"/>
        <v>17521.391874470319</v>
      </c>
      <c r="AE48" s="1135">
        <f t="shared" si="13"/>
        <v>807.48644847357969</v>
      </c>
      <c r="AF48" s="1311">
        <f t="shared" si="14"/>
        <v>538.32429898238649</v>
      </c>
      <c r="AH48" s="323">
        <f>'Baseline data (from input)'!T36*'Baseline data (from input)'!U36</f>
        <v>33045.06746008664</v>
      </c>
      <c r="AI48" s="1137">
        <f>Parameters!S151</f>
        <v>0.71500000000000008</v>
      </c>
      <c r="AJ48" s="1137">
        <f t="shared" si="15"/>
        <v>0.15</v>
      </c>
      <c r="AK48" s="1135">
        <f t="shared" si="16"/>
        <v>1772.0417425471464</v>
      </c>
      <c r="AL48" s="1135">
        <f t="shared" si="17"/>
        <v>1772.0417425471464</v>
      </c>
      <c r="AM48" s="306">
        <f t="shared" si="18"/>
        <v>0</v>
      </c>
      <c r="AN48" s="1135">
        <f t="shared" si="19"/>
        <v>17521.391874470319</v>
      </c>
      <c r="AO48" s="1135">
        <f t="shared" si="20"/>
        <v>807.48644847357969</v>
      </c>
      <c r="AP48" s="1311">
        <f t="shared" si="21"/>
        <v>538.32429898238649</v>
      </c>
      <c r="AR48" s="1143">
        <v>0</v>
      </c>
      <c r="AS48" s="1136">
        <v>1</v>
      </c>
      <c r="AT48" s="1136">
        <f t="shared" si="22"/>
        <v>0.05</v>
      </c>
      <c r="AU48" s="1135">
        <f t="shared" si="23"/>
        <v>0</v>
      </c>
      <c r="AV48" s="1135">
        <f t="shared" si="24"/>
        <v>0</v>
      </c>
      <c r="AW48" s="199">
        <f t="shared" si="25"/>
        <v>0</v>
      </c>
      <c r="AX48" s="1151">
        <f t="shared" ref="AX48:AX111" si="42">AV48+(AX47*$E$8)</f>
        <v>0</v>
      </c>
      <c r="AY48" s="1151">
        <f t="shared" si="27"/>
        <v>0</v>
      </c>
      <c r="AZ48" s="1311">
        <f t="shared" si="28"/>
        <v>0</v>
      </c>
      <c r="BB48" s="323">
        <f t="shared" si="29"/>
        <v>155.61660673892274</v>
      </c>
      <c r="BC48" s="324">
        <f t="shared" si="30"/>
        <v>538.32429898238649</v>
      </c>
      <c r="BD48" s="1323">
        <f t="shared" si="31"/>
        <v>0</v>
      </c>
      <c r="BE48" s="324">
        <f t="shared" si="32"/>
        <v>693.94090572130926</v>
      </c>
      <c r="BF48" s="104">
        <v>0</v>
      </c>
      <c r="BG48" s="325">
        <f t="shared" si="33"/>
        <v>693.94090572130926</v>
      </c>
      <c r="BI48" s="323">
        <f t="shared" si="34"/>
        <v>155.61660673892274</v>
      </c>
      <c r="BJ48" s="324">
        <f t="shared" si="35"/>
        <v>538.32429898238649</v>
      </c>
      <c r="BK48" s="1323">
        <f t="shared" si="36"/>
        <v>0</v>
      </c>
      <c r="BL48" s="324">
        <f t="shared" si="37"/>
        <v>693.94090572130926</v>
      </c>
      <c r="BM48" s="104">
        <v>0</v>
      </c>
      <c r="BN48" s="325">
        <f t="shared" si="38"/>
        <v>693.94090572130926</v>
      </c>
    </row>
    <row r="49" spans="1:66">
      <c r="A49" s="127">
        <f>'Input data'!A79</f>
        <v>1981</v>
      </c>
      <c r="B49" s="1082">
        <f>'Input data'!B79</f>
        <v>25.712049999999998</v>
      </c>
      <c r="C49" s="1126">
        <f>'Baseline data (from input)'!B37</f>
        <v>578.73</v>
      </c>
      <c r="D49" s="1081">
        <f>'Baseline data (from input)'!L37</f>
        <v>0.8</v>
      </c>
      <c r="E49" s="992">
        <f t="shared" si="41"/>
        <v>0.24001298204245269</v>
      </c>
      <c r="F49" s="992">
        <f t="shared" si="41"/>
        <v>0.30440139352934503</v>
      </c>
      <c r="G49" s="992">
        <f t="shared" si="41"/>
        <v>5.8998240613430578E-2</v>
      </c>
      <c r="H49" s="992">
        <f t="shared" si="41"/>
        <v>0</v>
      </c>
      <c r="I49" s="992">
        <f t="shared" si="41"/>
        <v>0</v>
      </c>
      <c r="J49" s="992">
        <f t="shared" si="41"/>
        <v>0</v>
      </c>
      <c r="K49" s="992">
        <f t="shared" si="41"/>
        <v>0.39658738381477154</v>
      </c>
      <c r="L49" s="1092">
        <f t="shared" si="40"/>
        <v>0.99999999999999989</v>
      </c>
      <c r="N49" s="323">
        <f t="shared" si="1"/>
        <v>11904.267757200001</v>
      </c>
      <c r="O49" s="1137">
        <f>Parameters!R152</f>
        <v>0.73</v>
      </c>
      <c r="P49" s="1137">
        <f>E49*'MSW characteristics'!$B$28+'MSW characteristics'!$B$29*'4A SWD Case 3'!F49+'4A SWD Case 3'!G49*'MSW characteristics'!$B$30+'MSW characteristics'!$B$31*'4A SWD Case 3'!H49+'4A SWD Case 3'!I49*'MSW characteristics'!$B$32+'MSW characteristics'!$B$33*'4A SWD Case 3'!J49+'4A SWD Case 3'!K49*'MSW characteristics'!$B$35</f>
        <v>0.12048152225760915</v>
      </c>
      <c r="Q49" s="1135">
        <f t="shared" si="2"/>
        <v>523.49916977361522</v>
      </c>
      <c r="R49" s="1135">
        <f t="shared" si="3"/>
        <v>523.49916977361522</v>
      </c>
      <c r="S49" s="306">
        <f t="shared" si="4"/>
        <v>0</v>
      </c>
      <c r="T49" s="1135">
        <f t="shared" si="5"/>
        <v>5340.2179145317787</v>
      </c>
      <c r="U49" s="1135">
        <f t="shared" si="6"/>
        <v>246.9584509786973</v>
      </c>
      <c r="V49" s="1311">
        <f t="shared" si="7"/>
        <v>164.63896731913152</v>
      </c>
      <c r="X49" s="323">
        <f>'Baseline data (from input)'!T37*'Baseline data (from input)'!U37</f>
        <v>34816.526756553299</v>
      </c>
      <c r="Y49" s="1137">
        <f>Parameters!S152</f>
        <v>0.71500000000000008</v>
      </c>
      <c r="Z49" s="1137">
        <f t="shared" si="8"/>
        <v>0.15</v>
      </c>
      <c r="AA49" s="1135">
        <f t="shared" si="9"/>
        <v>1867.0362473201708</v>
      </c>
      <c r="AB49" s="1135">
        <f t="shared" si="10"/>
        <v>1867.0362473201708</v>
      </c>
      <c r="AC49" s="306">
        <f t="shared" si="11"/>
        <v>0</v>
      </c>
      <c r="AD49" s="1135">
        <f t="shared" si="12"/>
        <v>18533.899756524061</v>
      </c>
      <c r="AE49" s="1135">
        <f t="shared" si="13"/>
        <v>854.52836526643068</v>
      </c>
      <c r="AF49" s="1311">
        <f t="shared" si="14"/>
        <v>569.68557684428708</v>
      </c>
      <c r="AH49" s="323">
        <f>'Baseline data (from input)'!T37*'Baseline data (from input)'!U37</f>
        <v>34816.526756553299</v>
      </c>
      <c r="AI49" s="1137">
        <f>Parameters!S152</f>
        <v>0.71500000000000008</v>
      </c>
      <c r="AJ49" s="1137">
        <f t="shared" si="15"/>
        <v>0.15</v>
      </c>
      <c r="AK49" s="1135">
        <f t="shared" si="16"/>
        <v>1867.0362473201708</v>
      </c>
      <c r="AL49" s="1135">
        <f t="shared" si="17"/>
        <v>1867.0362473201708</v>
      </c>
      <c r="AM49" s="306">
        <f t="shared" si="18"/>
        <v>0</v>
      </c>
      <c r="AN49" s="1135">
        <f t="shared" si="19"/>
        <v>18533.899756524061</v>
      </c>
      <c r="AO49" s="1135">
        <f t="shared" si="20"/>
        <v>854.52836526643068</v>
      </c>
      <c r="AP49" s="1311">
        <f t="shared" si="21"/>
        <v>569.68557684428708</v>
      </c>
      <c r="AR49" s="1143">
        <v>0</v>
      </c>
      <c r="AS49" s="1136">
        <v>1</v>
      </c>
      <c r="AT49" s="1136">
        <f t="shared" si="22"/>
        <v>0.05</v>
      </c>
      <c r="AU49" s="1135">
        <f t="shared" si="23"/>
        <v>0</v>
      </c>
      <c r="AV49" s="1135">
        <f t="shared" si="24"/>
        <v>0</v>
      </c>
      <c r="AW49" s="199">
        <f t="shared" si="25"/>
        <v>0</v>
      </c>
      <c r="AX49" s="1151">
        <f t="shared" si="42"/>
        <v>0</v>
      </c>
      <c r="AY49" s="1151">
        <f t="shared" si="27"/>
        <v>0</v>
      </c>
      <c r="AZ49" s="1311">
        <f t="shared" si="28"/>
        <v>0</v>
      </c>
      <c r="BB49" s="323">
        <f t="shared" si="29"/>
        <v>164.63896731913152</v>
      </c>
      <c r="BC49" s="324">
        <f t="shared" si="30"/>
        <v>569.68557684428708</v>
      </c>
      <c r="BD49" s="1323">
        <f t="shared" si="31"/>
        <v>0</v>
      </c>
      <c r="BE49" s="324">
        <f t="shared" si="32"/>
        <v>734.32454416341864</v>
      </c>
      <c r="BF49" s="104">
        <v>0</v>
      </c>
      <c r="BG49" s="325">
        <f t="shared" si="33"/>
        <v>734.32454416341864</v>
      </c>
      <c r="BI49" s="323">
        <f t="shared" si="34"/>
        <v>164.63896731913152</v>
      </c>
      <c r="BJ49" s="324">
        <f t="shared" si="35"/>
        <v>569.68557684428708</v>
      </c>
      <c r="BK49" s="1323">
        <f t="shared" si="36"/>
        <v>0</v>
      </c>
      <c r="BL49" s="324">
        <f t="shared" si="37"/>
        <v>734.32454416341864</v>
      </c>
      <c r="BM49" s="104">
        <v>0</v>
      </c>
      <c r="BN49" s="325">
        <f t="shared" si="38"/>
        <v>734.32454416341864</v>
      </c>
    </row>
    <row r="50" spans="1:66">
      <c r="A50" s="127">
        <f>'Input data'!A80</f>
        <v>1982</v>
      </c>
      <c r="B50" s="1082">
        <f>'Input data'!B80</f>
        <v>26.364520000000002</v>
      </c>
      <c r="C50" s="1126">
        <f>'Baseline data (from input)'!B38</f>
        <v>578.73</v>
      </c>
      <c r="D50" s="1081">
        <f>'Baseline data (from input)'!L38</f>
        <v>0.8</v>
      </c>
      <c r="E50" s="992">
        <f t="shared" si="41"/>
        <v>0.24001298204245269</v>
      </c>
      <c r="F50" s="992">
        <f t="shared" si="41"/>
        <v>0.30440139352934503</v>
      </c>
      <c r="G50" s="992">
        <f t="shared" si="41"/>
        <v>5.8998240613430578E-2</v>
      </c>
      <c r="H50" s="992">
        <f t="shared" si="41"/>
        <v>0</v>
      </c>
      <c r="I50" s="992">
        <f t="shared" si="41"/>
        <v>0</v>
      </c>
      <c r="J50" s="992">
        <f t="shared" si="41"/>
        <v>0</v>
      </c>
      <c r="K50" s="992">
        <f t="shared" si="41"/>
        <v>0.39658738381477154</v>
      </c>
      <c r="L50" s="1092">
        <f t="shared" si="40"/>
        <v>0.99999999999999989</v>
      </c>
      <c r="N50" s="323">
        <f t="shared" si="1"/>
        <v>12206.350927680003</v>
      </c>
      <c r="O50" s="1137">
        <f>Parameters!R153</f>
        <v>0.73</v>
      </c>
      <c r="P50" s="1137">
        <f>E50*'MSW characteristics'!$B$28+'MSW characteristics'!$B$29*'4A SWD Case 3'!F50+'4A SWD Case 3'!G50*'MSW characteristics'!$B$30+'MSW characteristics'!$B$31*'4A SWD Case 3'!H50+'4A SWD Case 3'!I50*'MSW characteristics'!$B$32+'MSW characteristics'!$B$33*'4A SWD Case 3'!J50+'4A SWD Case 3'!K50*'MSW characteristics'!$B$35</f>
        <v>0.12048152225760915</v>
      </c>
      <c r="Q50" s="1135">
        <f t="shared" si="2"/>
        <v>536.78350545677517</v>
      </c>
      <c r="R50" s="1135">
        <f t="shared" si="3"/>
        <v>536.78350545677517</v>
      </c>
      <c r="S50" s="306">
        <f t="shared" si="4"/>
        <v>0</v>
      </c>
      <c r="T50" s="1135">
        <f t="shared" si="5"/>
        <v>5616.5559190052418</v>
      </c>
      <c r="U50" s="1135">
        <f t="shared" si="6"/>
        <v>260.44550098331166</v>
      </c>
      <c r="V50" s="1311">
        <f t="shared" si="7"/>
        <v>173.63033398887444</v>
      </c>
      <c r="X50" s="323">
        <f>'Baseline data (from input)'!T38*'Baseline data (from input)'!U38</f>
        <v>34683.043406882258</v>
      </c>
      <c r="Y50" s="1137">
        <f>Parameters!S153</f>
        <v>0.71500000000000008</v>
      </c>
      <c r="Z50" s="1137">
        <f t="shared" si="8"/>
        <v>0.15</v>
      </c>
      <c r="AA50" s="1135">
        <f t="shared" si="9"/>
        <v>1859.8782026940612</v>
      </c>
      <c r="AB50" s="1135">
        <f t="shared" si="10"/>
        <v>1859.8782026940612</v>
      </c>
      <c r="AC50" s="306">
        <f t="shared" si="11"/>
        <v>0</v>
      </c>
      <c r="AD50" s="1135">
        <f t="shared" si="12"/>
        <v>19489.869001846368</v>
      </c>
      <c r="AE50" s="1135">
        <f t="shared" si="13"/>
        <v>903.90895737175481</v>
      </c>
      <c r="AF50" s="1311">
        <f t="shared" si="14"/>
        <v>602.60597158116991</v>
      </c>
      <c r="AH50" s="323">
        <f>'Baseline data (from input)'!T38*'Baseline data (from input)'!U38</f>
        <v>34683.043406882258</v>
      </c>
      <c r="AI50" s="1137">
        <f>Parameters!S153</f>
        <v>0.71500000000000008</v>
      </c>
      <c r="AJ50" s="1137">
        <f t="shared" si="15"/>
        <v>0.15</v>
      </c>
      <c r="AK50" s="1135">
        <f t="shared" si="16"/>
        <v>1859.8782026940612</v>
      </c>
      <c r="AL50" s="1135">
        <f t="shared" si="17"/>
        <v>1859.8782026940612</v>
      </c>
      <c r="AM50" s="306">
        <f t="shared" si="18"/>
        <v>0</v>
      </c>
      <c r="AN50" s="1135">
        <f t="shared" si="19"/>
        <v>19489.869001846368</v>
      </c>
      <c r="AO50" s="1135">
        <f t="shared" si="20"/>
        <v>903.90895737175481</v>
      </c>
      <c r="AP50" s="1311">
        <f t="shared" si="21"/>
        <v>602.60597158116991</v>
      </c>
      <c r="AR50" s="1143">
        <v>0</v>
      </c>
      <c r="AS50" s="1136">
        <v>1</v>
      </c>
      <c r="AT50" s="1136">
        <f t="shared" si="22"/>
        <v>0.05</v>
      </c>
      <c r="AU50" s="1135">
        <f t="shared" si="23"/>
        <v>0</v>
      </c>
      <c r="AV50" s="1135">
        <f t="shared" si="24"/>
        <v>0</v>
      </c>
      <c r="AW50" s="199">
        <f t="shared" si="25"/>
        <v>0</v>
      </c>
      <c r="AX50" s="1151">
        <f t="shared" si="42"/>
        <v>0</v>
      </c>
      <c r="AY50" s="1151">
        <f t="shared" si="27"/>
        <v>0</v>
      </c>
      <c r="AZ50" s="1311">
        <f t="shared" si="28"/>
        <v>0</v>
      </c>
      <c r="BB50" s="323">
        <f t="shared" si="29"/>
        <v>173.63033398887444</v>
      </c>
      <c r="BC50" s="324">
        <f t="shared" si="30"/>
        <v>602.60597158116991</v>
      </c>
      <c r="BD50" s="1323">
        <f t="shared" si="31"/>
        <v>0</v>
      </c>
      <c r="BE50" s="324">
        <f t="shared" si="32"/>
        <v>776.23630557004435</v>
      </c>
      <c r="BF50" s="104">
        <v>0</v>
      </c>
      <c r="BG50" s="325">
        <f t="shared" si="33"/>
        <v>776.23630557004435</v>
      </c>
      <c r="BI50" s="323">
        <f t="shared" si="34"/>
        <v>173.63033398887444</v>
      </c>
      <c r="BJ50" s="324">
        <f t="shared" si="35"/>
        <v>602.60597158116991</v>
      </c>
      <c r="BK50" s="1323">
        <f t="shared" si="36"/>
        <v>0</v>
      </c>
      <c r="BL50" s="324">
        <f t="shared" si="37"/>
        <v>776.23630557004435</v>
      </c>
      <c r="BM50" s="104">
        <v>0</v>
      </c>
      <c r="BN50" s="325">
        <f t="shared" si="38"/>
        <v>776.23630557004435</v>
      </c>
    </row>
    <row r="51" spans="1:66">
      <c r="A51" s="127">
        <f>'Input data'!A81</f>
        <v>1983</v>
      </c>
      <c r="B51" s="1082">
        <f>'Input data'!B81</f>
        <v>27.048839999999998</v>
      </c>
      <c r="C51" s="1126">
        <f>'Baseline data (from input)'!B39</f>
        <v>578.73</v>
      </c>
      <c r="D51" s="1081">
        <f>'Baseline data (from input)'!L39</f>
        <v>0.8</v>
      </c>
      <c r="E51" s="992">
        <f t="shared" si="41"/>
        <v>0.24001298204245269</v>
      </c>
      <c r="F51" s="992">
        <f t="shared" si="41"/>
        <v>0.30440139352934503</v>
      </c>
      <c r="G51" s="992">
        <f t="shared" si="41"/>
        <v>5.8998240613430578E-2</v>
      </c>
      <c r="H51" s="992">
        <f t="shared" si="41"/>
        <v>0</v>
      </c>
      <c r="I51" s="992">
        <f t="shared" si="41"/>
        <v>0</v>
      </c>
      <c r="J51" s="992">
        <f t="shared" si="41"/>
        <v>0</v>
      </c>
      <c r="K51" s="992">
        <f t="shared" si="41"/>
        <v>0.39658738381477154</v>
      </c>
      <c r="L51" s="1092">
        <f t="shared" si="40"/>
        <v>0.99999999999999989</v>
      </c>
      <c r="N51" s="323">
        <f t="shared" si="1"/>
        <v>12523.180138560001</v>
      </c>
      <c r="O51" s="1137">
        <f>Parameters!R154</f>
        <v>0.73</v>
      </c>
      <c r="P51" s="1137">
        <f>E51*'MSW characteristics'!$B$28+'MSW characteristics'!$B$29*'4A SWD Case 3'!F51+'4A SWD Case 3'!G51*'MSW characteristics'!$B$30+'MSW characteristics'!$B$31*'4A SWD Case 3'!H51+'4A SWD Case 3'!I51*'MSW characteristics'!$B$32+'MSW characteristics'!$B$33*'4A SWD Case 3'!J51+'4A SWD Case 3'!K51*'MSW characteristics'!$B$35</f>
        <v>0.12048152225760915</v>
      </c>
      <c r="Q51" s="1135">
        <f t="shared" si="2"/>
        <v>550.7163094089874</v>
      </c>
      <c r="R51" s="1135">
        <f t="shared" si="3"/>
        <v>550.7163094089874</v>
      </c>
      <c r="S51" s="306">
        <f t="shared" si="4"/>
        <v>0</v>
      </c>
      <c r="T51" s="1135">
        <f t="shared" si="5"/>
        <v>5893.349563920422</v>
      </c>
      <c r="U51" s="1135">
        <f t="shared" si="6"/>
        <v>273.92266449380674</v>
      </c>
      <c r="V51" s="1311">
        <f t="shared" si="7"/>
        <v>182.61510966253783</v>
      </c>
      <c r="X51" s="323">
        <f>'Baseline data (from input)'!T39*'Baseline data (from input)'!U39</f>
        <v>34042.605584396959</v>
      </c>
      <c r="Y51" s="1137">
        <f>Parameters!S154</f>
        <v>0.71500000000000008</v>
      </c>
      <c r="Z51" s="1137">
        <f t="shared" si="8"/>
        <v>0.15</v>
      </c>
      <c r="AA51" s="1135">
        <f t="shared" si="9"/>
        <v>1825.5347244632871</v>
      </c>
      <c r="AB51" s="1135">
        <f t="shared" si="10"/>
        <v>1825.5347244632871</v>
      </c>
      <c r="AC51" s="306">
        <f t="shared" si="11"/>
        <v>0</v>
      </c>
      <c r="AD51" s="1135">
        <f t="shared" si="12"/>
        <v>20364.871598683912</v>
      </c>
      <c r="AE51" s="1135">
        <f t="shared" si="13"/>
        <v>950.53212762574185</v>
      </c>
      <c r="AF51" s="1311">
        <f t="shared" si="14"/>
        <v>633.6880850838279</v>
      </c>
      <c r="AH51" s="323">
        <f>'Baseline data (from input)'!T39*'Baseline data (from input)'!U39</f>
        <v>34042.605584396959</v>
      </c>
      <c r="AI51" s="1137">
        <f>Parameters!S154</f>
        <v>0.71500000000000008</v>
      </c>
      <c r="AJ51" s="1137">
        <f t="shared" si="15"/>
        <v>0.15</v>
      </c>
      <c r="AK51" s="1135">
        <f t="shared" si="16"/>
        <v>1825.5347244632871</v>
      </c>
      <c r="AL51" s="1135">
        <f t="shared" si="17"/>
        <v>1825.5347244632871</v>
      </c>
      <c r="AM51" s="306">
        <f t="shared" si="18"/>
        <v>0</v>
      </c>
      <c r="AN51" s="1135">
        <f t="shared" si="19"/>
        <v>20364.871598683912</v>
      </c>
      <c r="AO51" s="1135">
        <f t="shared" si="20"/>
        <v>950.53212762574185</v>
      </c>
      <c r="AP51" s="1311">
        <f t="shared" si="21"/>
        <v>633.6880850838279</v>
      </c>
      <c r="AR51" s="1143">
        <v>0</v>
      </c>
      <c r="AS51" s="1136">
        <v>1</v>
      </c>
      <c r="AT51" s="1136">
        <f t="shared" si="22"/>
        <v>0.05</v>
      </c>
      <c r="AU51" s="1135">
        <f t="shared" si="23"/>
        <v>0</v>
      </c>
      <c r="AV51" s="1135">
        <f t="shared" si="24"/>
        <v>0</v>
      </c>
      <c r="AW51" s="199">
        <f t="shared" si="25"/>
        <v>0</v>
      </c>
      <c r="AX51" s="1151">
        <f t="shared" si="42"/>
        <v>0</v>
      </c>
      <c r="AY51" s="1151">
        <f t="shared" si="27"/>
        <v>0</v>
      </c>
      <c r="AZ51" s="1311">
        <f t="shared" si="28"/>
        <v>0</v>
      </c>
      <c r="BB51" s="323">
        <f t="shared" si="29"/>
        <v>182.61510966253783</v>
      </c>
      <c r="BC51" s="324">
        <f t="shared" si="30"/>
        <v>633.6880850838279</v>
      </c>
      <c r="BD51" s="1323">
        <f t="shared" si="31"/>
        <v>0</v>
      </c>
      <c r="BE51" s="324">
        <f t="shared" si="32"/>
        <v>816.30319474636576</v>
      </c>
      <c r="BF51" s="104">
        <v>0</v>
      </c>
      <c r="BG51" s="325">
        <f t="shared" si="33"/>
        <v>816.30319474636576</v>
      </c>
      <c r="BI51" s="323">
        <f t="shared" si="34"/>
        <v>182.61510966253783</v>
      </c>
      <c r="BJ51" s="324">
        <f t="shared" si="35"/>
        <v>633.6880850838279</v>
      </c>
      <c r="BK51" s="1323">
        <f t="shared" si="36"/>
        <v>0</v>
      </c>
      <c r="BL51" s="324">
        <f t="shared" si="37"/>
        <v>816.30319474636576</v>
      </c>
      <c r="BM51" s="104">
        <v>0</v>
      </c>
      <c r="BN51" s="325">
        <f t="shared" si="38"/>
        <v>816.30319474636576</v>
      </c>
    </row>
    <row r="52" spans="1:66">
      <c r="A52" s="127">
        <f>'Input data'!A82</f>
        <v>1984</v>
      </c>
      <c r="B52" s="1082">
        <f>'Input data'!B82</f>
        <v>27.759549999999997</v>
      </c>
      <c r="C52" s="1126">
        <f>'Baseline data (from input)'!B40</f>
        <v>578.73</v>
      </c>
      <c r="D52" s="1081">
        <f>'Baseline data (from input)'!L40</f>
        <v>0.8</v>
      </c>
      <c r="E52" s="992">
        <f t="shared" ref="E52:K67" si="43">E51</f>
        <v>0.24001298204245269</v>
      </c>
      <c r="F52" s="992">
        <f t="shared" si="43"/>
        <v>0.30440139352934503</v>
      </c>
      <c r="G52" s="992">
        <f t="shared" si="43"/>
        <v>5.8998240613430578E-2</v>
      </c>
      <c r="H52" s="992">
        <f t="shared" si="43"/>
        <v>0</v>
      </c>
      <c r="I52" s="992">
        <f t="shared" si="43"/>
        <v>0</v>
      </c>
      <c r="J52" s="992">
        <f t="shared" si="43"/>
        <v>0</v>
      </c>
      <c r="K52" s="992">
        <f t="shared" si="43"/>
        <v>0.39658738381477154</v>
      </c>
      <c r="L52" s="1092">
        <f t="shared" si="40"/>
        <v>0.99999999999999989</v>
      </c>
      <c r="N52" s="323">
        <f t="shared" si="1"/>
        <v>12852.2274972</v>
      </c>
      <c r="O52" s="1137">
        <f>Parameters!R155</f>
        <v>0.73</v>
      </c>
      <c r="P52" s="1137">
        <f>E52*'MSW characteristics'!$B$28+'MSW characteristics'!$B$29*'4A SWD Case 3'!F52+'4A SWD Case 3'!G52*'MSW characteristics'!$B$30+'MSW characteristics'!$B$31*'4A SWD Case 3'!H52+'4A SWD Case 3'!I52*'MSW characteristics'!$B$32+'MSW characteristics'!$B$33*'4A SWD Case 3'!J52+'4A SWD Case 3'!K52*'MSW characteristics'!$B$35</f>
        <v>0.12048152225760915</v>
      </c>
      <c r="Q52" s="1135">
        <f t="shared" si="2"/>
        <v>565.18641564127176</v>
      </c>
      <c r="R52" s="1135">
        <f t="shared" si="3"/>
        <v>565.18641564127176</v>
      </c>
      <c r="S52" s="306">
        <f t="shared" si="4"/>
        <v>0</v>
      </c>
      <c r="T52" s="1135">
        <f t="shared" si="5"/>
        <v>6171.1139297108293</v>
      </c>
      <c r="U52" s="1135">
        <f t="shared" si="6"/>
        <v>287.42204985086505</v>
      </c>
      <c r="V52" s="1311">
        <f t="shared" si="7"/>
        <v>191.61469990057671</v>
      </c>
      <c r="X52" s="323">
        <f>'Baseline data (from input)'!T40*'Baseline data (from input)'!U40</f>
        <v>35778.477161503433</v>
      </c>
      <c r="Y52" s="1137">
        <f>Parameters!S155</f>
        <v>0.71500000000000008</v>
      </c>
      <c r="Z52" s="1137">
        <f t="shared" si="8"/>
        <v>0.15</v>
      </c>
      <c r="AA52" s="1135">
        <f t="shared" si="9"/>
        <v>1918.6208377856219</v>
      </c>
      <c r="AB52" s="1135">
        <f t="shared" si="10"/>
        <v>1918.6208377856219</v>
      </c>
      <c r="AC52" s="306">
        <f t="shared" si="11"/>
        <v>0</v>
      </c>
      <c r="AD52" s="1135">
        <f t="shared" si="12"/>
        <v>21290.285928632657</v>
      </c>
      <c r="AE52" s="1135">
        <f t="shared" si="13"/>
        <v>993.20650783687859</v>
      </c>
      <c r="AF52" s="1311">
        <f t="shared" si="14"/>
        <v>662.13767189125235</v>
      </c>
      <c r="AH52" s="323">
        <f>'Baseline data (from input)'!T40*'Baseline data (from input)'!U40</f>
        <v>35778.477161503433</v>
      </c>
      <c r="AI52" s="1137">
        <f>Parameters!S155</f>
        <v>0.71500000000000008</v>
      </c>
      <c r="AJ52" s="1137">
        <f t="shared" si="15"/>
        <v>0.15</v>
      </c>
      <c r="AK52" s="1135">
        <f t="shared" si="16"/>
        <v>1918.6208377856219</v>
      </c>
      <c r="AL52" s="1135">
        <f t="shared" si="17"/>
        <v>1918.6208377856219</v>
      </c>
      <c r="AM52" s="306">
        <f t="shared" si="18"/>
        <v>0</v>
      </c>
      <c r="AN52" s="1135">
        <f t="shared" si="19"/>
        <v>21290.285928632657</v>
      </c>
      <c r="AO52" s="1135">
        <f t="shared" si="20"/>
        <v>993.20650783687859</v>
      </c>
      <c r="AP52" s="1311">
        <f t="shared" si="21"/>
        <v>662.13767189125235</v>
      </c>
      <c r="AR52" s="1143">
        <v>0</v>
      </c>
      <c r="AS52" s="1136">
        <v>1</v>
      </c>
      <c r="AT52" s="1136">
        <f t="shared" si="22"/>
        <v>0.05</v>
      </c>
      <c r="AU52" s="1135">
        <f t="shared" si="23"/>
        <v>0</v>
      </c>
      <c r="AV52" s="1135">
        <f t="shared" si="24"/>
        <v>0</v>
      </c>
      <c r="AW52" s="199">
        <f t="shared" si="25"/>
        <v>0</v>
      </c>
      <c r="AX52" s="1151">
        <f t="shared" si="42"/>
        <v>0</v>
      </c>
      <c r="AY52" s="1151">
        <f t="shared" si="27"/>
        <v>0</v>
      </c>
      <c r="AZ52" s="1311">
        <f t="shared" si="28"/>
        <v>0</v>
      </c>
      <c r="BB52" s="323">
        <f t="shared" si="29"/>
        <v>191.61469990057671</v>
      </c>
      <c r="BC52" s="324">
        <f t="shared" si="30"/>
        <v>662.13767189125235</v>
      </c>
      <c r="BD52" s="1323">
        <f t="shared" si="31"/>
        <v>0</v>
      </c>
      <c r="BE52" s="324">
        <f t="shared" si="32"/>
        <v>853.75237179182909</v>
      </c>
      <c r="BF52" s="104">
        <v>0</v>
      </c>
      <c r="BG52" s="325">
        <f t="shared" si="33"/>
        <v>853.75237179182909</v>
      </c>
      <c r="BI52" s="323">
        <f t="shared" si="34"/>
        <v>191.61469990057671</v>
      </c>
      <c r="BJ52" s="324">
        <f t="shared" si="35"/>
        <v>662.13767189125235</v>
      </c>
      <c r="BK52" s="1323">
        <f t="shared" si="36"/>
        <v>0</v>
      </c>
      <c r="BL52" s="324">
        <f t="shared" si="37"/>
        <v>853.75237179182909</v>
      </c>
      <c r="BM52" s="104">
        <v>0</v>
      </c>
      <c r="BN52" s="325">
        <f t="shared" si="38"/>
        <v>853.75237179182909</v>
      </c>
    </row>
    <row r="53" spans="1:66">
      <c r="A53" s="127">
        <f>'Input data'!A83</f>
        <v>1985</v>
      </c>
      <c r="B53" s="1082">
        <f>'Input data'!B83</f>
        <v>28.490279999999998</v>
      </c>
      <c r="C53" s="1126">
        <f>'Baseline data (from input)'!B41</f>
        <v>578.73</v>
      </c>
      <c r="D53" s="1081">
        <f>'Baseline data (from input)'!L41</f>
        <v>0.8</v>
      </c>
      <c r="E53" s="992">
        <f t="shared" si="43"/>
        <v>0.24001298204245269</v>
      </c>
      <c r="F53" s="992">
        <f t="shared" si="43"/>
        <v>0.30440139352934503</v>
      </c>
      <c r="G53" s="992">
        <f t="shared" si="43"/>
        <v>5.8998240613430578E-2</v>
      </c>
      <c r="H53" s="992">
        <f t="shared" si="43"/>
        <v>0</v>
      </c>
      <c r="I53" s="992">
        <f t="shared" si="43"/>
        <v>0</v>
      </c>
      <c r="J53" s="992">
        <f t="shared" si="43"/>
        <v>0</v>
      </c>
      <c r="K53" s="992">
        <f t="shared" si="43"/>
        <v>0.39658738381477154</v>
      </c>
      <c r="L53" s="1092">
        <f t="shared" si="40"/>
        <v>0.99999999999999989</v>
      </c>
      <c r="N53" s="323">
        <f t="shared" si="1"/>
        <v>13190.543795520001</v>
      </c>
      <c r="O53" s="1137">
        <f>Parameters!R156</f>
        <v>0.73</v>
      </c>
      <c r="P53" s="1137">
        <f>E53*'MSW characteristics'!$B$28+'MSW characteristics'!$B$29*'4A SWD Case 3'!F53+'4A SWD Case 3'!G53*'MSW characteristics'!$B$30+'MSW characteristics'!$B$31*'4A SWD Case 3'!H53+'4A SWD Case 3'!I53*'MSW characteristics'!$B$32+'MSW characteristics'!$B$33*'4A SWD Case 3'!J53+'4A SWD Case 3'!K53*'MSW characteristics'!$B$35</f>
        <v>0.12048152225760915</v>
      </c>
      <c r="Q53" s="1135">
        <f t="shared" si="2"/>
        <v>580.06413049981757</v>
      </c>
      <c r="R53" s="1135">
        <f t="shared" si="3"/>
        <v>580.06413049981757</v>
      </c>
      <c r="S53" s="306">
        <f t="shared" si="4"/>
        <v>0</v>
      </c>
      <c r="T53" s="1135">
        <f t="shared" si="5"/>
        <v>6450.2092823869898</v>
      </c>
      <c r="U53" s="1135">
        <f t="shared" si="6"/>
        <v>300.96877782365743</v>
      </c>
      <c r="V53" s="1311">
        <f t="shared" si="7"/>
        <v>200.64585188243828</v>
      </c>
      <c r="X53" s="323">
        <f>'Baseline data (from input)'!T41*'Baseline data (from input)'!U41</f>
        <v>35345.026735785679</v>
      </c>
      <c r="Y53" s="1137">
        <f>Parameters!S156</f>
        <v>0.71500000000000008</v>
      </c>
      <c r="Z53" s="1137">
        <f t="shared" si="8"/>
        <v>0.15</v>
      </c>
      <c r="AA53" s="1135">
        <f t="shared" si="9"/>
        <v>1895.3770587065073</v>
      </c>
      <c r="AB53" s="1135">
        <f t="shared" si="10"/>
        <v>1895.3770587065073</v>
      </c>
      <c r="AC53" s="306">
        <f t="shared" si="11"/>
        <v>0</v>
      </c>
      <c r="AD53" s="1135">
        <f t="shared" si="12"/>
        <v>22147.323490055402</v>
      </c>
      <c r="AE53" s="1135">
        <f t="shared" si="13"/>
        <v>1038.339497283765</v>
      </c>
      <c r="AF53" s="1311">
        <f t="shared" si="14"/>
        <v>692.22633152251001</v>
      </c>
      <c r="AH53" s="323">
        <f>'Baseline data (from input)'!T41*'Baseline data (from input)'!U41</f>
        <v>35345.026735785679</v>
      </c>
      <c r="AI53" s="1137">
        <f>Parameters!S156</f>
        <v>0.71500000000000008</v>
      </c>
      <c r="AJ53" s="1137">
        <f t="shared" si="15"/>
        <v>0.15</v>
      </c>
      <c r="AK53" s="1135">
        <f t="shared" si="16"/>
        <v>1895.3770587065073</v>
      </c>
      <c r="AL53" s="1135">
        <f t="shared" si="17"/>
        <v>1895.3770587065073</v>
      </c>
      <c r="AM53" s="306">
        <f t="shared" si="18"/>
        <v>0</v>
      </c>
      <c r="AN53" s="1135">
        <f t="shared" si="19"/>
        <v>22147.323490055402</v>
      </c>
      <c r="AO53" s="1135">
        <f t="shared" si="20"/>
        <v>1038.339497283765</v>
      </c>
      <c r="AP53" s="1311">
        <f t="shared" si="21"/>
        <v>692.22633152251001</v>
      </c>
      <c r="AR53" s="1143">
        <v>0</v>
      </c>
      <c r="AS53" s="1136">
        <v>1</v>
      </c>
      <c r="AT53" s="1136">
        <f t="shared" si="22"/>
        <v>0.05</v>
      </c>
      <c r="AU53" s="1135">
        <f t="shared" si="23"/>
        <v>0</v>
      </c>
      <c r="AV53" s="1135">
        <f t="shared" si="24"/>
        <v>0</v>
      </c>
      <c r="AW53" s="199">
        <f t="shared" si="25"/>
        <v>0</v>
      </c>
      <c r="AX53" s="1151">
        <f t="shared" si="42"/>
        <v>0</v>
      </c>
      <c r="AY53" s="1151">
        <f t="shared" si="27"/>
        <v>0</v>
      </c>
      <c r="AZ53" s="1311">
        <f t="shared" si="28"/>
        <v>0</v>
      </c>
      <c r="BB53" s="323">
        <f t="shared" si="29"/>
        <v>200.64585188243828</v>
      </c>
      <c r="BC53" s="324">
        <f t="shared" si="30"/>
        <v>692.22633152251001</v>
      </c>
      <c r="BD53" s="1323">
        <f t="shared" si="31"/>
        <v>0</v>
      </c>
      <c r="BE53" s="324">
        <f t="shared" si="32"/>
        <v>892.87218340494826</v>
      </c>
      <c r="BF53" s="104">
        <v>0</v>
      </c>
      <c r="BG53" s="325">
        <f t="shared" si="33"/>
        <v>892.87218340494826</v>
      </c>
      <c r="BI53" s="323">
        <f t="shared" si="34"/>
        <v>200.64585188243828</v>
      </c>
      <c r="BJ53" s="324">
        <f t="shared" si="35"/>
        <v>692.22633152251001</v>
      </c>
      <c r="BK53" s="1323">
        <f t="shared" si="36"/>
        <v>0</v>
      </c>
      <c r="BL53" s="324">
        <f t="shared" si="37"/>
        <v>892.87218340494826</v>
      </c>
      <c r="BM53" s="104">
        <v>0</v>
      </c>
      <c r="BN53" s="325">
        <f t="shared" si="38"/>
        <v>892.87218340494826</v>
      </c>
    </row>
    <row r="54" spans="1:66">
      <c r="A54" s="127">
        <f>'Input data'!A84</f>
        <v>1986</v>
      </c>
      <c r="B54" s="1082">
        <f>'Input data'!B84</f>
        <v>29.230110000000003</v>
      </c>
      <c r="C54" s="1126">
        <f>'Baseline data (from input)'!B42</f>
        <v>578.73</v>
      </c>
      <c r="D54" s="1081">
        <f>'Baseline data (from input)'!L42</f>
        <v>0.8</v>
      </c>
      <c r="E54" s="992">
        <f t="shared" si="43"/>
        <v>0.24001298204245269</v>
      </c>
      <c r="F54" s="992">
        <f t="shared" si="43"/>
        <v>0.30440139352934503</v>
      </c>
      <c r="G54" s="992">
        <f t="shared" si="43"/>
        <v>5.8998240613430578E-2</v>
      </c>
      <c r="H54" s="992">
        <f t="shared" si="43"/>
        <v>0</v>
      </c>
      <c r="I54" s="992">
        <f t="shared" si="43"/>
        <v>0</v>
      </c>
      <c r="J54" s="992">
        <f t="shared" si="43"/>
        <v>0</v>
      </c>
      <c r="K54" s="992">
        <f t="shared" si="43"/>
        <v>0.39658738381477154</v>
      </c>
      <c r="L54" s="1092">
        <f t="shared" si="40"/>
        <v>0.99999999999999989</v>
      </c>
      <c r="N54" s="323">
        <f t="shared" si="1"/>
        <v>13533.073248240004</v>
      </c>
      <c r="O54" s="1137">
        <f>Parameters!R157</f>
        <v>0.73</v>
      </c>
      <c r="P54" s="1137">
        <f>E54*'MSW characteristics'!$B$28+'MSW characteristics'!$B$29*'4A SWD Case 3'!F54+'4A SWD Case 3'!G54*'MSW characteristics'!$B$30+'MSW characteristics'!$B$31*'4A SWD Case 3'!H54+'4A SWD Case 3'!I54*'MSW characteristics'!$B$32+'MSW characteristics'!$B$33*'4A SWD Case 3'!J54+'4A SWD Case 3'!K54*'MSW characteristics'!$B$35</f>
        <v>0.12048152225760915</v>
      </c>
      <c r="Q54" s="1135">
        <f t="shared" si="2"/>
        <v>595.12712200666419</v>
      </c>
      <c r="R54" s="1135">
        <f t="shared" si="3"/>
        <v>595.12712200666419</v>
      </c>
      <c r="S54" s="306">
        <f t="shared" si="4"/>
        <v>0</v>
      </c>
      <c r="T54" s="1135">
        <f t="shared" si="5"/>
        <v>6730.7559856008047</v>
      </c>
      <c r="U54" s="1135">
        <f t="shared" si="6"/>
        <v>314.58041879284997</v>
      </c>
      <c r="V54" s="1311">
        <f t="shared" si="7"/>
        <v>209.7202791952333</v>
      </c>
      <c r="X54" s="323">
        <f>'Baseline data (from input)'!T42*'Baseline data (from input)'!U42</f>
        <v>35351.330442838051</v>
      </c>
      <c r="Y54" s="1137">
        <f>Parameters!S157</f>
        <v>0.71500000000000008</v>
      </c>
      <c r="Z54" s="1137">
        <f t="shared" si="8"/>
        <v>0.15</v>
      </c>
      <c r="AA54" s="1135">
        <f t="shared" si="9"/>
        <v>1895.7150949971906</v>
      </c>
      <c r="AB54" s="1135">
        <f t="shared" si="10"/>
        <v>1895.7150949971906</v>
      </c>
      <c r="AC54" s="306">
        <f t="shared" si="11"/>
        <v>0</v>
      </c>
      <c r="AD54" s="1135">
        <f t="shared" si="12"/>
        <v>22962.900872673737</v>
      </c>
      <c r="AE54" s="1135">
        <f t="shared" si="13"/>
        <v>1080.137712378857</v>
      </c>
      <c r="AF54" s="1311">
        <f t="shared" si="14"/>
        <v>720.09180825257135</v>
      </c>
      <c r="AH54" s="323">
        <f>'Baseline data (from input)'!T42*'Baseline data (from input)'!U42</f>
        <v>35351.330442838051</v>
      </c>
      <c r="AI54" s="1137">
        <f>Parameters!S157</f>
        <v>0.71500000000000008</v>
      </c>
      <c r="AJ54" s="1137">
        <f t="shared" si="15"/>
        <v>0.15</v>
      </c>
      <c r="AK54" s="1135">
        <f t="shared" si="16"/>
        <v>1895.7150949971906</v>
      </c>
      <c r="AL54" s="1135">
        <f t="shared" si="17"/>
        <v>1895.7150949971906</v>
      </c>
      <c r="AM54" s="306">
        <f t="shared" si="18"/>
        <v>0</v>
      </c>
      <c r="AN54" s="1135">
        <f t="shared" si="19"/>
        <v>22962.900872673737</v>
      </c>
      <c r="AO54" s="1135">
        <f t="shared" si="20"/>
        <v>1080.137712378857</v>
      </c>
      <c r="AP54" s="1311">
        <f t="shared" si="21"/>
        <v>720.09180825257135</v>
      </c>
      <c r="AR54" s="1143">
        <v>0</v>
      </c>
      <c r="AS54" s="1136">
        <v>1</v>
      </c>
      <c r="AT54" s="1136">
        <f t="shared" si="22"/>
        <v>0.05</v>
      </c>
      <c r="AU54" s="1135">
        <f t="shared" si="23"/>
        <v>0</v>
      </c>
      <c r="AV54" s="1135">
        <f t="shared" si="24"/>
        <v>0</v>
      </c>
      <c r="AW54" s="199">
        <f t="shared" si="25"/>
        <v>0</v>
      </c>
      <c r="AX54" s="1151">
        <f t="shared" si="42"/>
        <v>0</v>
      </c>
      <c r="AY54" s="1151">
        <f t="shared" si="27"/>
        <v>0</v>
      </c>
      <c r="AZ54" s="1311">
        <f t="shared" si="28"/>
        <v>0</v>
      </c>
      <c r="BB54" s="323">
        <f t="shared" si="29"/>
        <v>209.7202791952333</v>
      </c>
      <c r="BC54" s="324">
        <f t="shared" si="30"/>
        <v>720.09180825257135</v>
      </c>
      <c r="BD54" s="1323">
        <f t="shared" si="31"/>
        <v>0</v>
      </c>
      <c r="BE54" s="324">
        <f t="shared" si="32"/>
        <v>929.81208744780463</v>
      </c>
      <c r="BF54" s="104">
        <v>0</v>
      </c>
      <c r="BG54" s="325">
        <f t="shared" si="33"/>
        <v>929.81208744780463</v>
      </c>
      <c r="BI54" s="323">
        <f t="shared" si="34"/>
        <v>209.7202791952333</v>
      </c>
      <c r="BJ54" s="324">
        <f t="shared" si="35"/>
        <v>720.09180825257135</v>
      </c>
      <c r="BK54" s="1323">
        <f t="shared" si="36"/>
        <v>0</v>
      </c>
      <c r="BL54" s="324">
        <f t="shared" si="37"/>
        <v>929.81208744780463</v>
      </c>
      <c r="BM54" s="104">
        <v>0</v>
      </c>
      <c r="BN54" s="325">
        <f t="shared" si="38"/>
        <v>929.81208744780463</v>
      </c>
    </row>
    <row r="55" spans="1:66">
      <c r="A55" s="127">
        <f>'Input data'!A85</f>
        <v>1987</v>
      </c>
      <c r="B55" s="1082">
        <f>'Input data'!B85</f>
        <v>29.96903</v>
      </c>
      <c r="C55" s="1126">
        <f>'Baseline data (from input)'!B43</f>
        <v>578.73</v>
      </c>
      <c r="D55" s="1081">
        <f>'Baseline data (from input)'!L43</f>
        <v>0.8</v>
      </c>
      <c r="E55" s="992">
        <f t="shared" si="43"/>
        <v>0.24001298204245269</v>
      </c>
      <c r="F55" s="992">
        <f t="shared" si="43"/>
        <v>0.30440139352934503</v>
      </c>
      <c r="G55" s="992">
        <f t="shared" si="43"/>
        <v>5.8998240613430578E-2</v>
      </c>
      <c r="H55" s="992">
        <f t="shared" si="43"/>
        <v>0</v>
      </c>
      <c r="I55" s="992">
        <f t="shared" si="43"/>
        <v>0</v>
      </c>
      <c r="J55" s="992">
        <f t="shared" si="43"/>
        <v>0</v>
      </c>
      <c r="K55" s="992">
        <f t="shared" si="43"/>
        <v>0.39658738381477154</v>
      </c>
      <c r="L55" s="1092">
        <f t="shared" si="40"/>
        <v>0.99999999999999989</v>
      </c>
      <c r="N55" s="323">
        <f t="shared" si="1"/>
        <v>13875.181385520002</v>
      </c>
      <c r="O55" s="1137">
        <f>Parameters!R158</f>
        <v>0.73</v>
      </c>
      <c r="P55" s="1137">
        <f>E55*'MSW characteristics'!$B$28+'MSW characteristics'!$B$29*'4A SWD Case 3'!F55+'4A SWD Case 3'!G55*'MSW characteristics'!$B$30+'MSW characteristics'!$B$31*'4A SWD Case 3'!H55+'4A SWD Case 3'!I55*'MSW characteristics'!$B$32+'MSW characteristics'!$B$33*'4A SWD Case 3'!J55+'4A SWD Case 3'!K55*'MSW characteristics'!$B$35</f>
        <v>0.12048152225760915</v>
      </c>
      <c r="Q55" s="1135">
        <f t="shared" si="2"/>
        <v>610.17158584868059</v>
      </c>
      <c r="R55" s="1135">
        <f t="shared" si="3"/>
        <v>610.17158584868059</v>
      </c>
      <c r="S55" s="306">
        <f t="shared" si="4"/>
        <v>0</v>
      </c>
      <c r="T55" s="1135">
        <f t="shared" si="5"/>
        <v>7012.6647284864703</v>
      </c>
      <c r="U55" s="1135">
        <f t="shared" si="6"/>
        <v>328.26284296301509</v>
      </c>
      <c r="V55" s="1311">
        <f t="shared" si="7"/>
        <v>218.84189530867673</v>
      </c>
      <c r="X55" s="323">
        <f>'Baseline data (from input)'!T43*'Baseline data (from input)'!U43</f>
        <v>36093.968292542842</v>
      </c>
      <c r="Y55" s="1137">
        <f>Parameters!S158</f>
        <v>0.71500000000000008</v>
      </c>
      <c r="Z55" s="1137">
        <f t="shared" si="8"/>
        <v>0.15</v>
      </c>
      <c r="AA55" s="1135">
        <f t="shared" si="9"/>
        <v>1935.5390496876103</v>
      </c>
      <c r="AB55" s="1135">
        <f t="shared" si="10"/>
        <v>1935.5390496876103</v>
      </c>
      <c r="AC55" s="306">
        <f t="shared" si="11"/>
        <v>0</v>
      </c>
      <c r="AD55" s="1135">
        <f t="shared" si="12"/>
        <v>23778.526031667992</v>
      </c>
      <c r="AE55" s="1135">
        <f t="shared" si="13"/>
        <v>1119.9138906933545</v>
      </c>
      <c r="AF55" s="1311">
        <f t="shared" si="14"/>
        <v>746.60926046223631</v>
      </c>
      <c r="AH55" s="323">
        <f>'Baseline data (from input)'!T43*'Baseline data (from input)'!U43</f>
        <v>36093.968292542842</v>
      </c>
      <c r="AI55" s="1137">
        <f>Parameters!S158</f>
        <v>0.71500000000000008</v>
      </c>
      <c r="AJ55" s="1137">
        <f t="shared" si="15"/>
        <v>0.15</v>
      </c>
      <c r="AK55" s="1135">
        <f t="shared" si="16"/>
        <v>1935.5390496876103</v>
      </c>
      <c r="AL55" s="1135">
        <f t="shared" si="17"/>
        <v>1935.5390496876103</v>
      </c>
      <c r="AM55" s="306">
        <f t="shared" si="18"/>
        <v>0</v>
      </c>
      <c r="AN55" s="1135">
        <f t="shared" si="19"/>
        <v>23778.526031667992</v>
      </c>
      <c r="AO55" s="1135">
        <f t="shared" si="20"/>
        <v>1119.9138906933545</v>
      </c>
      <c r="AP55" s="1311">
        <f t="shared" si="21"/>
        <v>746.60926046223631</v>
      </c>
      <c r="AR55" s="1143">
        <v>0</v>
      </c>
      <c r="AS55" s="1136">
        <v>1</v>
      </c>
      <c r="AT55" s="1136">
        <f t="shared" si="22"/>
        <v>0.05</v>
      </c>
      <c r="AU55" s="1135">
        <f t="shared" si="23"/>
        <v>0</v>
      </c>
      <c r="AV55" s="1135">
        <f t="shared" si="24"/>
        <v>0</v>
      </c>
      <c r="AW55" s="199">
        <f t="shared" si="25"/>
        <v>0</v>
      </c>
      <c r="AX55" s="1151">
        <f t="shared" si="42"/>
        <v>0</v>
      </c>
      <c r="AY55" s="1151">
        <f t="shared" si="27"/>
        <v>0</v>
      </c>
      <c r="AZ55" s="1311">
        <f t="shared" si="28"/>
        <v>0</v>
      </c>
      <c r="BB55" s="323">
        <f t="shared" si="29"/>
        <v>218.84189530867673</v>
      </c>
      <c r="BC55" s="324">
        <f t="shared" si="30"/>
        <v>746.60926046223631</v>
      </c>
      <c r="BD55" s="1323">
        <f t="shared" si="31"/>
        <v>0</v>
      </c>
      <c r="BE55" s="324">
        <f t="shared" si="32"/>
        <v>965.45115577091303</v>
      </c>
      <c r="BF55" s="104">
        <v>0</v>
      </c>
      <c r="BG55" s="325">
        <f t="shared" si="33"/>
        <v>965.45115577091303</v>
      </c>
      <c r="BI55" s="323">
        <f t="shared" si="34"/>
        <v>218.84189530867673</v>
      </c>
      <c r="BJ55" s="324">
        <f t="shared" si="35"/>
        <v>746.60926046223631</v>
      </c>
      <c r="BK55" s="1323">
        <f t="shared" si="36"/>
        <v>0</v>
      </c>
      <c r="BL55" s="324">
        <f t="shared" si="37"/>
        <v>965.45115577091303</v>
      </c>
      <c r="BM55" s="104">
        <v>0</v>
      </c>
      <c r="BN55" s="325">
        <f t="shared" si="38"/>
        <v>965.45115577091303</v>
      </c>
    </row>
    <row r="56" spans="1:66">
      <c r="A56" s="127">
        <f>'Input data'!A86</f>
        <v>1988</v>
      </c>
      <c r="B56" s="1082">
        <f>'Input data'!B86</f>
        <v>30.692480000000003</v>
      </c>
      <c r="C56" s="1126">
        <f>'Baseline data (from input)'!B44</f>
        <v>578.73</v>
      </c>
      <c r="D56" s="1081">
        <f>'Baseline data (from input)'!L44</f>
        <v>0.8</v>
      </c>
      <c r="E56" s="992">
        <f t="shared" si="43"/>
        <v>0.24001298204245269</v>
      </c>
      <c r="F56" s="992">
        <f t="shared" si="43"/>
        <v>0.30440139352934503</v>
      </c>
      <c r="G56" s="992">
        <f t="shared" si="43"/>
        <v>5.8998240613430578E-2</v>
      </c>
      <c r="H56" s="992">
        <f t="shared" si="43"/>
        <v>0</v>
      </c>
      <c r="I56" s="992">
        <f t="shared" si="43"/>
        <v>0</v>
      </c>
      <c r="J56" s="992">
        <f t="shared" si="43"/>
        <v>0</v>
      </c>
      <c r="K56" s="992">
        <f t="shared" si="43"/>
        <v>0.39658738381477154</v>
      </c>
      <c r="L56" s="1092">
        <f t="shared" si="40"/>
        <v>0.99999999999999989</v>
      </c>
      <c r="N56" s="323">
        <f t="shared" si="1"/>
        <v>14210.127160320004</v>
      </c>
      <c r="O56" s="1137">
        <f>Parameters!R159</f>
        <v>0.73</v>
      </c>
      <c r="P56" s="1137">
        <f>E56*'MSW characteristics'!$B$28+'MSW characteristics'!$B$29*'4A SWD Case 3'!F56+'4A SWD Case 3'!G56*'MSW characteristics'!$B$30+'MSW characteristics'!$B$31*'4A SWD Case 3'!H56+'4A SWD Case 3'!I56*'MSW characteristics'!$B$32+'MSW characteristics'!$B$33*'4A SWD Case 3'!J56+'4A SWD Case 3'!K56*'MSW characteristics'!$B$35</f>
        <v>0.12048152225760915</v>
      </c>
      <c r="Q56" s="1135">
        <f t="shared" si="2"/>
        <v>624.90107938858603</v>
      </c>
      <c r="R56" s="1135">
        <f t="shared" si="3"/>
        <v>624.90107938858603</v>
      </c>
      <c r="S56" s="306">
        <f t="shared" si="4"/>
        <v>0</v>
      </c>
      <c r="T56" s="1135">
        <f t="shared" si="5"/>
        <v>7295.5541132832277</v>
      </c>
      <c r="U56" s="1135">
        <f t="shared" si="6"/>
        <v>342.01169459182927</v>
      </c>
      <c r="V56" s="1311">
        <f t="shared" si="7"/>
        <v>228.00779639455286</v>
      </c>
      <c r="X56" s="323">
        <f>'Baseline data (from input)'!T44*'Baseline data (from input)'!U44</f>
        <v>37609.962803023671</v>
      </c>
      <c r="Y56" s="1137">
        <f>Parameters!S159</f>
        <v>0.71500000000000008</v>
      </c>
      <c r="Z56" s="1137">
        <f t="shared" si="8"/>
        <v>0.15</v>
      </c>
      <c r="AA56" s="1135">
        <f t="shared" si="9"/>
        <v>2016.8342553121445</v>
      </c>
      <c r="AB56" s="1135">
        <f t="shared" si="10"/>
        <v>2016.8342553121445</v>
      </c>
      <c r="AC56" s="306">
        <f t="shared" si="11"/>
        <v>0</v>
      </c>
      <c r="AD56" s="1135">
        <f t="shared" si="12"/>
        <v>24635.667887890937</v>
      </c>
      <c r="AE56" s="1135">
        <f t="shared" si="13"/>
        <v>1159.692399089201</v>
      </c>
      <c r="AF56" s="1311">
        <f t="shared" si="14"/>
        <v>773.12826605946736</v>
      </c>
      <c r="AH56" s="323">
        <f>'Baseline data (from input)'!T44*'Baseline data (from input)'!U44</f>
        <v>37609.962803023671</v>
      </c>
      <c r="AI56" s="1137">
        <f>Parameters!S159</f>
        <v>0.71500000000000008</v>
      </c>
      <c r="AJ56" s="1137">
        <f t="shared" si="15"/>
        <v>0.15</v>
      </c>
      <c r="AK56" s="1135">
        <f t="shared" si="16"/>
        <v>2016.8342553121445</v>
      </c>
      <c r="AL56" s="1135">
        <f t="shared" si="17"/>
        <v>2016.8342553121445</v>
      </c>
      <c r="AM56" s="306">
        <f t="shared" si="18"/>
        <v>0</v>
      </c>
      <c r="AN56" s="1135">
        <f t="shared" si="19"/>
        <v>24635.667887890937</v>
      </c>
      <c r="AO56" s="1135">
        <f t="shared" si="20"/>
        <v>1159.692399089201</v>
      </c>
      <c r="AP56" s="1311">
        <f t="shared" si="21"/>
        <v>773.12826605946736</v>
      </c>
      <c r="AR56" s="1143">
        <v>0</v>
      </c>
      <c r="AS56" s="1136">
        <v>1</v>
      </c>
      <c r="AT56" s="1136">
        <f t="shared" si="22"/>
        <v>0.05</v>
      </c>
      <c r="AU56" s="1135">
        <f t="shared" si="23"/>
        <v>0</v>
      </c>
      <c r="AV56" s="1135">
        <f t="shared" si="24"/>
        <v>0</v>
      </c>
      <c r="AW56" s="199">
        <f t="shared" si="25"/>
        <v>0</v>
      </c>
      <c r="AX56" s="1151">
        <f t="shared" si="42"/>
        <v>0</v>
      </c>
      <c r="AY56" s="1151">
        <f t="shared" si="27"/>
        <v>0</v>
      </c>
      <c r="AZ56" s="1311">
        <f t="shared" si="28"/>
        <v>0</v>
      </c>
      <c r="BB56" s="323">
        <f t="shared" si="29"/>
        <v>228.00779639455286</v>
      </c>
      <c r="BC56" s="324">
        <f t="shared" si="30"/>
        <v>773.12826605946736</v>
      </c>
      <c r="BD56" s="1323">
        <f t="shared" si="31"/>
        <v>0</v>
      </c>
      <c r="BE56" s="324">
        <f t="shared" si="32"/>
        <v>1001.1360624540202</v>
      </c>
      <c r="BF56" s="104">
        <v>0</v>
      </c>
      <c r="BG56" s="325">
        <f t="shared" si="33"/>
        <v>1001.1360624540202</v>
      </c>
      <c r="BI56" s="323">
        <f t="shared" si="34"/>
        <v>228.00779639455286</v>
      </c>
      <c r="BJ56" s="324">
        <f t="shared" si="35"/>
        <v>773.12826605946736</v>
      </c>
      <c r="BK56" s="1323">
        <f t="shared" si="36"/>
        <v>0</v>
      </c>
      <c r="BL56" s="324">
        <f t="shared" si="37"/>
        <v>1001.1360624540202</v>
      </c>
      <c r="BM56" s="104">
        <v>0</v>
      </c>
      <c r="BN56" s="325">
        <f t="shared" si="38"/>
        <v>1001.1360624540202</v>
      </c>
    </row>
    <row r="57" spans="1:66">
      <c r="A57" s="127">
        <f>'Input data'!A87</f>
        <v>1989</v>
      </c>
      <c r="B57" s="1082">
        <f>'Input data'!B87</f>
        <v>31.386810000000001</v>
      </c>
      <c r="C57" s="1126">
        <f>'Baseline data (from input)'!B45</f>
        <v>578.73</v>
      </c>
      <c r="D57" s="1081">
        <f>'Baseline data (from input)'!L45</f>
        <v>0.8</v>
      </c>
      <c r="E57" s="992">
        <f t="shared" si="43"/>
        <v>0.24001298204245269</v>
      </c>
      <c r="F57" s="992">
        <f t="shared" si="43"/>
        <v>0.30440139352934503</v>
      </c>
      <c r="G57" s="992">
        <f t="shared" si="43"/>
        <v>5.8998240613430578E-2</v>
      </c>
      <c r="H57" s="992">
        <f t="shared" si="43"/>
        <v>0</v>
      </c>
      <c r="I57" s="992">
        <f t="shared" si="43"/>
        <v>0</v>
      </c>
      <c r="J57" s="992">
        <f t="shared" si="43"/>
        <v>0</v>
      </c>
      <c r="K57" s="992">
        <f t="shared" si="43"/>
        <v>0.39658738381477154</v>
      </c>
      <c r="L57" s="1092">
        <f t="shared" si="40"/>
        <v>0.99999999999999989</v>
      </c>
      <c r="N57" s="323">
        <f t="shared" si="1"/>
        <v>14531.590841040001</v>
      </c>
      <c r="O57" s="1137">
        <f>Parameters!R160</f>
        <v>0.73</v>
      </c>
      <c r="P57" s="1137">
        <f>E57*'MSW characteristics'!$B$28+'MSW characteristics'!$B$29*'4A SWD Case 3'!F57+'4A SWD Case 3'!G57*'MSW characteristics'!$B$30+'MSW characteristics'!$B$31*'4A SWD Case 3'!H57+'4A SWD Case 3'!I57*'MSW characteristics'!$B$32+'MSW characteristics'!$B$33*'4A SWD Case 3'!J57+'4A SWD Case 3'!K57*'MSW characteristics'!$B$35</f>
        <v>0.12048152225760915</v>
      </c>
      <c r="Q57" s="1135">
        <f t="shared" si="2"/>
        <v>639.03768765392897</v>
      </c>
      <c r="R57" s="1135">
        <f t="shared" si="3"/>
        <v>639.03768765392897</v>
      </c>
      <c r="S57" s="306">
        <f t="shared" si="4"/>
        <v>0</v>
      </c>
      <c r="T57" s="1135">
        <f t="shared" si="5"/>
        <v>7578.7834282461499</v>
      </c>
      <c r="U57" s="1135">
        <f t="shared" si="6"/>
        <v>355.80837269100607</v>
      </c>
      <c r="V57" s="1311">
        <f t="shared" si="7"/>
        <v>237.20558179400405</v>
      </c>
      <c r="X57" s="323">
        <f>'Baseline data (from input)'!T45*'Baseline data (from input)'!U45</f>
        <v>38510.64023443628</v>
      </c>
      <c r="Y57" s="1137">
        <f>Parameters!S160</f>
        <v>0.71500000000000008</v>
      </c>
      <c r="Z57" s="1137">
        <f t="shared" si="8"/>
        <v>0.15</v>
      </c>
      <c r="AA57" s="1135">
        <f t="shared" si="9"/>
        <v>2065.1330825716459</v>
      </c>
      <c r="AB57" s="1135">
        <f t="shared" si="10"/>
        <v>2065.1330825716459</v>
      </c>
      <c r="AC57" s="306">
        <f t="shared" si="11"/>
        <v>0</v>
      </c>
      <c r="AD57" s="1135">
        <f t="shared" si="12"/>
        <v>25499.305269760862</v>
      </c>
      <c r="AE57" s="1135">
        <f t="shared" si="13"/>
        <v>1201.4957007017201</v>
      </c>
      <c r="AF57" s="1311">
        <f t="shared" si="14"/>
        <v>800.99713380114679</v>
      </c>
      <c r="AH57" s="323">
        <f>'Baseline data (from input)'!T45*'Baseline data (from input)'!U45</f>
        <v>38510.64023443628</v>
      </c>
      <c r="AI57" s="1137">
        <f>Parameters!S160</f>
        <v>0.71500000000000008</v>
      </c>
      <c r="AJ57" s="1137">
        <f t="shared" si="15"/>
        <v>0.15</v>
      </c>
      <c r="AK57" s="1135">
        <f t="shared" si="16"/>
        <v>2065.1330825716459</v>
      </c>
      <c r="AL57" s="1135">
        <f t="shared" si="17"/>
        <v>2065.1330825716459</v>
      </c>
      <c r="AM57" s="306">
        <f t="shared" si="18"/>
        <v>0</v>
      </c>
      <c r="AN57" s="1135">
        <f t="shared" si="19"/>
        <v>25499.305269760862</v>
      </c>
      <c r="AO57" s="1135">
        <f t="shared" si="20"/>
        <v>1201.4957007017201</v>
      </c>
      <c r="AP57" s="1311">
        <f t="shared" si="21"/>
        <v>800.99713380114679</v>
      </c>
      <c r="AR57" s="1143">
        <v>0</v>
      </c>
      <c r="AS57" s="1136">
        <v>1</v>
      </c>
      <c r="AT57" s="1136">
        <f t="shared" si="22"/>
        <v>0.05</v>
      </c>
      <c r="AU57" s="1135">
        <f t="shared" si="23"/>
        <v>0</v>
      </c>
      <c r="AV57" s="1135">
        <f t="shared" si="24"/>
        <v>0</v>
      </c>
      <c r="AW57" s="199">
        <f t="shared" si="25"/>
        <v>0</v>
      </c>
      <c r="AX57" s="1151">
        <f t="shared" si="42"/>
        <v>0</v>
      </c>
      <c r="AY57" s="1151">
        <f t="shared" si="27"/>
        <v>0</v>
      </c>
      <c r="AZ57" s="1311">
        <f t="shared" si="28"/>
        <v>0</v>
      </c>
      <c r="BB57" s="323">
        <f t="shared" si="29"/>
        <v>237.20558179400405</v>
      </c>
      <c r="BC57" s="324">
        <f t="shared" si="30"/>
        <v>800.99713380114679</v>
      </c>
      <c r="BD57" s="1323">
        <f t="shared" si="31"/>
        <v>0</v>
      </c>
      <c r="BE57" s="324">
        <f t="shared" si="32"/>
        <v>1038.2027155951509</v>
      </c>
      <c r="BF57" s="104">
        <v>0</v>
      </c>
      <c r="BG57" s="325">
        <f t="shared" si="33"/>
        <v>1038.2027155951509</v>
      </c>
      <c r="BI57" s="323">
        <f t="shared" si="34"/>
        <v>237.20558179400405</v>
      </c>
      <c r="BJ57" s="324">
        <f t="shared" si="35"/>
        <v>800.99713380114679</v>
      </c>
      <c r="BK57" s="1323">
        <f t="shared" si="36"/>
        <v>0</v>
      </c>
      <c r="BL57" s="324">
        <f t="shared" si="37"/>
        <v>1038.2027155951509</v>
      </c>
      <c r="BM57" s="104">
        <v>0</v>
      </c>
      <c r="BN57" s="325">
        <f t="shared" si="38"/>
        <v>1038.2027155951509</v>
      </c>
    </row>
    <row r="58" spans="1:66">
      <c r="A58" s="127">
        <f>'Input data'!A88</f>
        <v>1990</v>
      </c>
      <c r="B58" s="1082">
        <f>'Input data'!B88</f>
        <v>32.032000000000004</v>
      </c>
      <c r="C58" s="1126">
        <f>'Baseline data (from input)'!B46</f>
        <v>578.73</v>
      </c>
      <c r="D58" s="1081">
        <f>'Baseline data (from input)'!L46</f>
        <v>0.8</v>
      </c>
      <c r="E58" s="992">
        <f t="shared" si="43"/>
        <v>0.24001298204245269</v>
      </c>
      <c r="F58" s="992">
        <f t="shared" si="43"/>
        <v>0.30440139352934503</v>
      </c>
      <c r="G58" s="992">
        <f t="shared" si="43"/>
        <v>5.8998240613430578E-2</v>
      </c>
      <c r="H58" s="992">
        <f t="shared" si="43"/>
        <v>0</v>
      </c>
      <c r="I58" s="992">
        <f t="shared" si="43"/>
        <v>0</v>
      </c>
      <c r="J58" s="992">
        <f t="shared" si="43"/>
        <v>0</v>
      </c>
      <c r="K58" s="992">
        <f t="shared" si="43"/>
        <v>0.39658738381477154</v>
      </c>
      <c r="L58" s="1092">
        <f t="shared" si="40"/>
        <v>0.99999999999999989</v>
      </c>
      <c r="N58" s="323">
        <f t="shared" si="1"/>
        <v>14830.303488000003</v>
      </c>
      <c r="O58" s="1137">
        <f>Parameters!R161</f>
        <v>0.73</v>
      </c>
      <c r="P58" s="1137">
        <f>E58*'MSW characteristics'!$B$28+'MSW characteristics'!$B$29*'4A SWD Case 3'!F58+'4A SWD Case 3'!G58*'MSW characteristics'!$B$30+'MSW characteristics'!$B$31*'4A SWD Case 3'!H58+'4A SWD Case 3'!I58*'MSW characteristics'!$B$32+'MSW characteristics'!$B$33*'4A SWD Case 3'!J58+'4A SWD Case 3'!K58*'MSW characteristics'!$B$35</f>
        <v>0.12048152225760915</v>
      </c>
      <c r="Q58" s="1135">
        <f t="shared" si="2"/>
        <v>652.17380201844844</v>
      </c>
      <c r="R58" s="1135">
        <f t="shared" si="3"/>
        <v>652.17380201844844</v>
      </c>
      <c r="S58" s="306">
        <f t="shared" si="4"/>
        <v>0</v>
      </c>
      <c r="T58" s="1135">
        <f t="shared" si="5"/>
        <v>7861.3356008845822</v>
      </c>
      <c r="U58" s="1135">
        <f t="shared" si="6"/>
        <v>369.62162938001632</v>
      </c>
      <c r="V58" s="1311">
        <f t="shared" si="7"/>
        <v>246.41441958667755</v>
      </c>
      <c r="X58" s="323">
        <f>'Baseline data (from input)'!T46*'Baseline data (from input)'!U46</f>
        <v>38388.258936035352</v>
      </c>
      <c r="Y58" s="1137">
        <f>Parameters!S161</f>
        <v>0.71500000000000008</v>
      </c>
      <c r="Z58" s="1137">
        <f t="shared" si="8"/>
        <v>0.15</v>
      </c>
      <c r="AA58" s="1135">
        <f t="shared" si="9"/>
        <v>2058.5703854448961</v>
      </c>
      <c r="AB58" s="1135">
        <f t="shared" si="10"/>
        <v>2058.5703854448961</v>
      </c>
      <c r="AC58" s="306">
        <f t="shared" si="11"/>
        <v>0</v>
      </c>
      <c r="AD58" s="1135">
        <f t="shared" si="12"/>
        <v>26314.259862367544</v>
      </c>
      <c r="AE58" s="1135">
        <f t="shared" si="13"/>
        <v>1243.6157928382131</v>
      </c>
      <c r="AF58" s="1311">
        <f t="shared" si="14"/>
        <v>829.07719522547541</v>
      </c>
      <c r="AH58" s="323">
        <f>'Baseline data (from input)'!T46*'Baseline data (from input)'!U46</f>
        <v>38388.258936035352</v>
      </c>
      <c r="AI58" s="1137">
        <f>Parameters!S161</f>
        <v>0.71500000000000008</v>
      </c>
      <c r="AJ58" s="1137">
        <f t="shared" si="15"/>
        <v>0.15</v>
      </c>
      <c r="AK58" s="1135">
        <f t="shared" si="16"/>
        <v>2058.5703854448961</v>
      </c>
      <c r="AL58" s="1135">
        <f t="shared" si="17"/>
        <v>2058.5703854448961</v>
      </c>
      <c r="AM58" s="306">
        <f t="shared" si="18"/>
        <v>0</v>
      </c>
      <c r="AN58" s="1135">
        <f t="shared" si="19"/>
        <v>26314.259862367544</v>
      </c>
      <c r="AO58" s="1135">
        <f t="shared" si="20"/>
        <v>1243.6157928382131</v>
      </c>
      <c r="AP58" s="1311">
        <f t="shared" si="21"/>
        <v>829.07719522547541</v>
      </c>
      <c r="AR58" s="1143">
        <v>0</v>
      </c>
      <c r="AS58" s="1136">
        <v>1</v>
      </c>
      <c r="AT58" s="1136">
        <f t="shared" si="22"/>
        <v>0.05</v>
      </c>
      <c r="AU58" s="1135">
        <f t="shared" si="23"/>
        <v>0</v>
      </c>
      <c r="AV58" s="1135">
        <f t="shared" si="24"/>
        <v>0</v>
      </c>
      <c r="AW58" s="199">
        <f t="shared" si="25"/>
        <v>0</v>
      </c>
      <c r="AX58" s="1151">
        <f t="shared" si="42"/>
        <v>0</v>
      </c>
      <c r="AY58" s="1151">
        <f t="shared" si="27"/>
        <v>0</v>
      </c>
      <c r="AZ58" s="1311">
        <f t="shared" si="28"/>
        <v>0</v>
      </c>
      <c r="BB58" s="323">
        <f t="shared" si="29"/>
        <v>246.41441958667755</v>
      </c>
      <c r="BC58" s="324">
        <f t="shared" si="30"/>
        <v>829.07719522547541</v>
      </c>
      <c r="BD58" s="1323">
        <f t="shared" si="31"/>
        <v>0</v>
      </c>
      <c r="BE58" s="324">
        <f t="shared" si="32"/>
        <v>1075.4916148121529</v>
      </c>
      <c r="BF58" s="104">
        <v>0</v>
      </c>
      <c r="BG58" s="325">
        <f t="shared" si="33"/>
        <v>1075.4916148121529</v>
      </c>
      <c r="BI58" s="323">
        <f t="shared" si="34"/>
        <v>246.41441958667755</v>
      </c>
      <c r="BJ58" s="324">
        <f t="shared" si="35"/>
        <v>829.07719522547541</v>
      </c>
      <c r="BK58" s="1323">
        <f t="shared" si="36"/>
        <v>0</v>
      </c>
      <c r="BL58" s="324">
        <f t="shared" si="37"/>
        <v>1075.4916148121529</v>
      </c>
      <c r="BM58" s="104">
        <v>0</v>
      </c>
      <c r="BN58" s="325">
        <f t="shared" si="38"/>
        <v>1075.4916148121529</v>
      </c>
    </row>
    <row r="59" spans="1:66">
      <c r="A59" s="127">
        <f>'Input data'!A89</f>
        <v>1991</v>
      </c>
      <c r="B59" s="1082">
        <f>'Input data'!B89</f>
        <v>32.69903</v>
      </c>
      <c r="C59" s="1126">
        <f>'Baseline data (from input)'!B47</f>
        <v>578.73</v>
      </c>
      <c r="D59" s="1081">
        <f>'Baseline data (from input)'!L47</f>
        <v>0.8</v>
      </c>
      <c r="E59" s="992">
        <f t="shared" si="43"/>
        <v>0.24001298204245269</v>
      </c>
      <c r="F59" s="992">
        <f t="shared" si="43"/>
        <v>0.30440139352934503</v>
      </c>
      <c r="G59" s="992">
        <f t="shared" si="43"/>
        <v>5.8998240613430578E-2</v>
      </c>
      <c r="H59" s="992">
        <f t="shared" si="43"/>
        <v>0</v>
      </c>
      <c r="I59" s="992">
        <f t="shared" si="43"/>
        <v>0</v>
      </c>
      <c r="J59" s="992">
        <f t="shared" si="43"/>
        <v>0</v>
      </c>
      <c r="K59" s="992">
        <f t="shared" si="43"/>
        <v>0.39658738381477154</v>
      </c>
      <c r="L59" s="1092">
        <f t="shared" si="40"/>
        <v>0.99999999999999989</v>
      </c>
      <c r="N59" s="323">
        <f t="shared" si="1"/>
        <v>15139.127705520003</v>
      </c>
      <c r="O59" s="1137">
        <f>Parameters!R162</f>
        <v>0.73</v>
      </c>
      <c r="P59" s="1137">
        <f>E59*'MSW characteristics'!$B$28+'MSW characteristics'!$B$29*'4A SWD Case 3'!F59+'4A SWD Case 3'!G59*'MSW characteristics'!$B$30+'MSW characteristics'!$B$31*'4A SWD Case 3'!H59+'4A SWD Case 3'!I59*'MSW characteristics'!$B$32+'MSW characteristics'!$B$33*'4A SWD Case 3'!J59+'4A SWD Case 3'!K59*'MSW characteristics'!$B$35</f>
        <v>0.12048152225760915</v>
      </c>
      <c r="Q59" s="1135">
        <f t="shared" si="2"/>
        <v>665.75458033888935</v>
      </c>
      <c r="R59" s="1135">
        <f t="shared" si="3"/>
        <v>665.75458033888935</v>
      </c>
      <c r="S59" s="306">
        <f t="shared" si="4"/>
        <v>0</v>
      </c>
      <c r="T59" s="1135">
        <f t="shared" si="5"/>
        <v>8143.688319775305</v>
      </c>
      <c r="U59" s="1135">
        <f t="shared" si="6"/>
        <v>383.40186144816624</v>
      </c>
      <c r="V59" s="1311">
        <f t="shared" si="7"/>
        <v>255.60124096544416</v>
      </c>
      <c r="X59" s="323">
        <f>'Baseline data (from input)'!T47*'Baseline data (from input)'!U47</f>
        <v>37997.382054649941</v>
      </c>
      <c r="Y59" s="1137">
        <f>Parameters!S162</f>
        <v>0.71500000000000008</v>
      </c>
      <c r="Z59" s="1137">
        <f t="shared" si="8"/>
        <v>0.15</v>
      </c>
      <c r="AA59" s="1135">
        <f t="shared" si="9"/>
        <v>2037.6096126806033</v>
      </c>
      <c r="AB59" s="1135">
        <f t="shared" si="10"/>
        <v>2037.6096126806033</v>
      </c>
      <c r="AC59" s="306">
        <f t="shared" si="11"/>
        <v>0</v>
      </c>
      <c r="AD59" s="1135">
        <f t="shared" si="12"/>
        <v>27068.507877722721</v>
      </c>
      <c r="AE59" s="1135">
        <f t="shared" si="13"/>
        <v>1283.3615973254271</v>
      </c>
      <c r="AF59" s="1311">
        <f t="shared" si="14"/>
        <v>855.57439821695141</v>
      </c>
      <c r="AH59" s="323">
        <f>'Baseline data (from input)'!T47*'Baseline data (from input)'!U47</f>
        <v>37997.382054649941</v>
      </c>
      <c r="AI59" s="1137">
        <f>Parameters!S162</f>
        <v>0.71500000000000008</v>
      </c>
      <c r="AJ59" s="1137">
        <f t="shared" si="15"/>
        <v>0.15</v>
      </c>
      <c r="AK59" s="1135">
        <f t="shared" si="16"/>
        <v>2037.6096126806033</v>
      </c>
      <c r="AL59" s="1135">
        <f t="shared" si="17"/>
        <v>2037.6096126806033</v>
      </c>
      <c r="AM59" s="306">
        <f t="shared" si="18"/>
        <v>0</v>
      </c>
      <c r="AN59" s="1135">
        <f t="shared" si="19"/>
        <v>27068.507877722721</v>
      </c>
      <c r="AO59" s="1135">
        <f t="shared" si="20"/>
        <v>1283.3615973254271</v>
      </c>
      <c r="AP59" s="1311">
        <f t="shared" si="21"/>
        <v>855.57439821695141</v>
      </c>
      <c r="AR59" s="1143">
        <v>0</v>
      </c>
      <c r="AS59" s="1136">
        <v>1</v>
      </c>
      <c r="AT59" s="1136">
        <f t="shared" si="22"/>
        <v>0.05</v>
      </c>
      <c r="AU59" s="1135">
        <f t="shared" si="23"/>
        <v>0</v>
      </c>
      <c r="AV59" s="1135">
        <f t="shared" si="24"/>
        <v>0</v>
      </c>
      <c r="AW59" s="199">
        <f t="shared" si="25"/>
        <v>0</v>
      </c>
      <c r="AX59" s="1151">
        <f t="shared" si="42"/>
        <v>0</v>
      </c>
      <c r="AY59" s="1151">
        <f t="shared" si="27"/>
        <v>0</v>
      </c>
      <c r="AZ59" s="1311">
        <f t="shared" si="28"/>
        <v>0</v>
      </c>
      <c r="BB59" s="323">
        <f t="shared" si="29"/>
        <v>255.60124096544416</v>
      </c>
      <c r="BC59" s="324">
        <f t="shared" si="30"/>
        <v>855.57439821695141</v>
      </c>
      <c r="BD59" s="1323">
        <f t="shared" si="31"/>
        <v>0</v>
      </c>
      <c r="BE59" s="324">
        <f t="shared" si="32"/>
        <v>1111.1756391823956</v>
      </c>
      <c r="BF59" s="104">
        <v>0</v>
      </c>
      <c r="BG59" s="325">
        <f t="shared" si="33"/>
        <v>1111.1756391823956</v>
      </c>
      <c r="BI59" s="323">
        <f t="shared" si="34"/>
        <v>255.60124096544416</v>
      </c>
      <c r="BJ59" s="324">
        <f t="shared" si="35"/>
        <v>855.57439821695141</v>
      </c>
      <c r="BK59" s="1323">
        <f t="shared" si="36"/>
        <v>0</v>
      </c>
      <c r="BL59" s="324">
        <f t="shared" si="37"/>
        <v>1111.1756391823956</v>
      </c>
      <c r="BM59" s="104">
        <v>0</v>
      </c>
      <c r="BN59" s="325">
        <f t="shared" si="38"/>
        <v>1111.1756391823956</v>
      </c>
    </row>
    <row r="60" spans="1:66">
      <c r="A60" s="127">
        <f>'Input data'!A90</f>
        <v>1992</v>
      </c>
      <c r="B60" s="1082">
        <f>'Input data'!B90</f>
        <v>33.388809999999999</v>
      </c>
      <c r="C60" s="1126">
        <f>'Baseline data (from input)'!B48</f>
        <v>578.73</v>
      </c>
      <c r="D60" s="1081">
        <f>'Baseline data (from input)'!L48</f>
        <v>0.8</v>
      </c>
      <c r="E60" s="992">
        <f t="shared" si="43"/>
        <v>0.24001298204245269</v>
      </c>
      <c r="F60" s="992">
        <f t="shared" si="43"/>
        <v>0.30440139352934503</v>
      </c>
      <c r="G60" s="992">
        <f t="shared" si="43"/>
        <v>5.8998240613430578E-2</v>
      </c>
      <c r="H60" s="992">
        <f t="shared" si="43"/>
        <v>0</v>
      </c>
      <c r="I60" s="992">
        <f t="shared" si="43"/>
        <v>0</v>
      </c>
      <c r="J60" s="992">
        <f t="shared" si="43"/>
        <v>0</v>
      </c>
      <c r="K60" s="992">
        <f t="shared" si="43"/>
        <v>0.39658738381477154</v>
      </c>
      <c r="L60" s="1092">
        <f t="shared" si="40"/>
        <v>0.99999999999999989</v>
      </c>
      <c r="N60" s="323">
        <f t="shared" si="1"/>
        <v>15458.484809039999</v>
      </c>
      <c r="O60" s="1137">
        <f>Parameters!R163</f>
        <v>0.73</v>
      </c>
      <c r="P60" s="1137">
        <f>E60*'MSW characteristics'!$B$28+'MSW characteristics'!$B$29*'4A SWD Case 3'!F60+'4A SWD Case 3'!G60*'MSW characteristics'!$B$30+'MSW characteristics'!$B$31*'4A SWD Case 3'!H60+'4A SWD Case 3'!I60*'MSW characteristics'!$B$32+'MSW characteristics'!$B$33*'4A SWD Case 3'!J60+'4A SWD Case 3'!K60*'MSW characteristics'!$B$35</f>
        <v>0.12048152225760915</v>
      </c>
      <c r="Q60" s="1135">
        <f t="shared" si="2"/>
        <v>679.79855028008194</v>
      </c>
      <c r="R60" s="1135">
        <f t="shared" si="3"/>
        <v>679.79855028008194</v>
      </c>
      <c r="S60" s="306">
        <f t="shared" si="4"/>
        <v>0</v>
      </c>
      <c r="T60" s="1135">
        <f t="shared" si="5"/>
        <v>8426.3145040131312</v>
      </c>
      <c r="U60" s="1135">
        <f t="shared" si="6"/>
        <v>397.17236604225491</v>
      </c>
      <c r="V60" s="1311">
        <f t="shared" si="7"/>
        <v>264.78157736150325</v>
      </c>
      <c r="X60" s="323">
        <f>'Baseline data (from input)'!T48*'Baseline data (from input)'!U48</f>
        <v>37185.356383811391</v>
      </c>
      <c r="Y60" s="1137">
        <f>Parameters!S163</f>
        <v>0.71500000000000008</v>
      </c>
      <c r="Z60" s="1137">
        <f t="shared" si="8"/>
        <v>0.15</v>
      </c>
      <c r="AA60" s="1135">
        <f t="shared" si="9"/>
        <v>1994.0647360818859</v>
      </c>
      <c r="AB60" s="1135">
        <f t="shared" si="10"/>
        <v>1994.0647360818859</v>
      </c>
      <c r="AC60" s="306">
        <f t="shared" si="11"/>
        <v>0</v>
      </c>
      <c r="AD60" s="1135">
        <f t="shared" si="12"/>
        <v>27742.425906701115</v>
      </c>
      <c r="AE60" s="1135">
        <f t="shared" si="13"/>
        <v>1320.1467071034933</v>
      </c>
      <c r="AF60" s="1311">
        <f t="shared" si="14"/>
        <v>880.09780473566218</v>
      </c>
      <c r="AH60" s="323">
        <f>'Baseline data (from input)'!T48*'Baseline data (from input)'!U48</f>
        <v>37185.356383811391</v>
      </c>
      <c r="AI60" s="1137">
        <f>Parameters!S163</f>
        <v>0.71500000000000008</v>
      </c>
      <c r="AJ60" s="1137">
        <f t="shared" si="15"/>
        <v>0.15</v>
      </c>
      <c r="AK60" s="1135">
        <f t="shared" si="16"/>
        <v>1994.0647360818859</v>
      </c>
      <c r="AL60" s="1135">
        <f t="shared" si="17"/>
        <v>1994.0647360818859</v>
      </c>
      <c r="AM60" s="306">
        <f t="shared" si="18"/>
        <v>0</v>
      </c>
      <c r="AN60" s="1135">
        <f t="shared" si="19"/>
        <v>27742.425906701115</v>
      </c>
      <c r="AO60" s="1135">
        <f t="shared" si="20"/>
        <v>1320.1467071034933</v>
      </c>
      <c r="AP60" s="1311">
        <f t="shared" si="21"/>
        <v>880.09780473566218</v>
      </c>
      <c r="AR60" s="1143">
        <v>0</v>
      </c>
      <c r="AS60" s="1136">
        <v>1</v>
      </c>
      <c r="AT60" s="1136">
        <f t="shared" si="22"/>
        <v>0.05</v>
      </c>
      <c r="AU60" s="1135">
        <f t="shared" si="23"/>
        <v>0</v>
      </c>
      <c r="AV60" s="1135">
        <f t="shared" si="24"/>
        <v>0</v>
      </c>
      <c r="AW60" s="199">
        <f t="shared" si="25"/>
        <v>0</v>
      </c>
      <c r="AX60" s="1151">
        <f t="shared" si="42"/>
        <v>0</v>
      </c>
      <c r="AY60" s="1151">
        <f t="shared" si="27"/>
        <v>0</v>
      </c>
      <c r="AZ60" s="1311">
        <f t="shared" si="28"/>
        <v>0</v>
      </c>
      <c r="BB60" s="323">
        <f t="shared" si="29"/>
        <v>264.78157736150325</v>
      </c>
      <c r="BC60" s="324">
        <f t="shared" si="30"/>
        <v>880.09780473566218</v>
      </c>
      <c r="BD60" s="1323">
        <f t="shared" si="31"/>
        <v>0</v>
      </c>
      <c r="BE60" s="324">
        <f t="shared" si="32"/>
        <v>1144.8793820971655</v>
      </c>
      <c r="BF60" s="104">
        <v>0</v>
      </c>
      <c r="BG60" s="325">
        <f t="shared" si="33"/>
        <v>1144.8793820971655</v>
      </c>
      <c r="BI60" s="323">
        <f t="shared" si="34"/>
        <v>264.78157736150325</v>
      </c>
      <c r="BJ60" s="324">
        <f t="shared" si="35"/>
        <v>880.09780473566218</v>
      </c>
      <c r="BK60" s="1323">
        <f t="shared" si="36"/>
        <v>0</v>
      </c>
      <c r="BL60" s="324">
        <f t="shared" si="37"/>
        <v>1144.8793820971655</v>
      </c>
      <c r="BM60" s="104">
        <v>0</v>
      </c>
      <c r="BN60" s="325">
        <f t="shared" si="38"/>
        <v>1144.8793820971655</v>
      </c>
    </row>
    <row r="61" spans="1:66">
      <c r="A61" s="127">
        <f>'Input data'!A91</f>
        <v>1993</v>
      </c>
      <c r="B61" s="1082">
        <f>'Input data'!B91</f>
        <v>34.101339999999993</v>
      </c>
      <c r="C61" s="1126">
        <f>'Baseline data (from input)'!B49</f>
        <v>578.73</v>
      </c>
      <c r="D61" s="1081">
        <f>'Baseline data (from input)'!L49</f>
        <v>0.8</v>
      </c>
      <c r="E61" s="992">
        <f t="shared" si="43"/>
        <v>0.24001298204245269</v>
      </c>
      <c r="F61" s="992">
        <f t="shared" si="43"/>
        <v>0.30440139352934503</v>
      </c>
      <c r="G61" s="992">
        <f t="shared" si="43"/>
        <v>5.8998240613430578E-2</v>
      </c>
      <c r="H61" s="992">
        <f t="shared" si="43"/>
        <v>0</v>
      </c>
      <c r="I61" s="992">
        <f t="shared" si="43"/>
        <v>0</v>
      </c>
      <c r="J61" s="992">
        <f t="shared" si="43"/>
        <v>0</v>
      </c>
      <c r="K61" s="992">
        <f t="shared" si="43"/>
        <v>0.39658738381477154</v>
      </c>
      <c r="L61" s="1092">
        <f t="shared" si="40"/>
        <v>0.99999999999999989</v>
      </c>
      <c r="N61" s="323">
        <f t="shared" si="1"/>
        <v>15788.374798559998</v>
      </c>
      <c r="O61" s="1137">
        <f>Parameters!R164</f>
        <v>0.73</v>
      </c>
      <c r="P61" s="1137">
        <f>E61*'MSW characteristics'!$B$28+'MSW characteristics'!$B$29*'4A SWD Case 3'!F61+'4A SWD Case 3'!G61*'MSW characteristics'!$B$30+'MSW characteristics'!$B$31*'4A SWD Case 3'!H61+'4A SWD Case 3'!I61*'MSW characteristics'!$B$32+'MSW characteristics'!$B$33*'4A SWD Case 3'!J61+'4A SWD Case 3'!K61*'MSW characteristics'!$B$35</f>
        <v>0.12048152225760915</v>
      </c>
      <c r="Q61" s="1135">
        <f t="shared" si="2"/>
        <v>694.30571184202631</v>
      </c>
      <c r="R61" s="1135">
        <f t="shared" si="3"/>
        <v>694.30571184202631</v>
      </c>
      <c r="S61" s="306">
        <f t="shared" si="4"/>
        <v>0</v>
      </c>
      <c r="T61" s="1135">
        <f t="shared" si="5"/>
        <v>8709.6640081564565</v>
      </c>
      <c r="U61" s="1135">
        <f t="shared" si="6"/>
        <v>410.95620769870095</v>
      </c>
      <c r="V61" s="1311">
        <f t="shared" si="7"/>
        <v>273.97080513246732</v>
      </c>
      <c r="X61" s="323">
        <f>'Baseline data (from input)'!T49*'Baseline data (from input)'!U49</f>
        <v>37644.045159525725</v>
      </c>
      <c r="Y61" s="1137">
        <f>Parameters!S164</f>
        <v>0.71500000000000008</v>
      </c>
      <c r="Z61" s="1137">
        <f t="shared" si="8"/>
        <v>0.15</v>
      </c>
      <c r="AA61" s="1135">
        <f t="shared" si="9"/>
        <v>2018.6619216795671</v>
      </c>
      <c r="AB61" s="1135">
        <f t="shared" si="10"/>
        <v>2018.6619216795671</v>
      </c>
      <c r="AC61" s="306">
        <f t="shared" si="11"/>
        <v>0</v>
      </c>
      <c r="AD61" s="1135">
        <f t="shared" si="12"/>
        <v>28408.073751164568</v>
      </c>
      <c r="AE61" s="1135">
        <f t="shared" si="13"/>
        <v>1353.0140772161142</v>
      </c>
      <c r="AF61" s="1311">
        <f t="shared" si="14"/>
        <v>902.00938481074274</v>
      </c>
      <c r="AH61" s="323">
        <f>'Baseline data (from input)'!T49*'Baseline data (from input)'!U49</f>
        <v>37644.045159525725</v>
      </c>
      <c r="AI61" s="1137">
        <f>Parameters!S164</f>
        <v>0.71500000000000008</v>
      </c>
      <c r="AJ61" s="1137">
        <f t="shared" si="15"/>
        <v>0.15</v>
      </c>
      <c r="AK61" s="1135">
        <f t="shared" si="16"/>
        <v>2018.6619216795671</v>
      </c>
      <c r="AL61" s="1135">
        <f t="shared" si="17"/>
        <v>2018.6619216795671</v>
      </c>
      <c r="AM61" s="306">
        <f t="shared" si="18"/>
        <v>0</v>
      </c>
      <c r="AN61" s="1135">
        <f t="shared" si="19"/>
        <v>28408.073751164568</v>
      </c>
      <c r="AO61" s="1135">
        <f t="shared" si="20"/>
        <v>1353.0140772161142</v>
      </c>
      <c r="AP61" s="1311">
        <f t="shared" si="21"/>
        <v>902.00938481074274</v>
      </c>
      <c r="AR61" s="1143">
        <v>0</v>
      </c>
      <c r="AS61" s="1136">
        <v>1</v>
      </c>
      <c r="AT61" s="1136">
        <f t="shared" si="22"/>
        <v>0.05</v>
      </c>
      <c r="AU61" s="1135">
        <f t="shared" si="23"/>
        <v>0</v>
      </c>
      <c r="AV61" s="1135">
        <f t="shared" si="24"/>
        <v>0</v>
      </c>
      <c r="AW61" s="199">
        <f t="shared" si="25"/>
        <v>0</v>
      </c>
      <c r="AX61" s="1151">
        <f t="shared" si="42"/>
        <v>0</v>
      </c>
      <c r="AY61" s="1151">
        <f t="shared" si="27"/>
        <v>0</v>
      </c>
      <c r="AZ61" s="1311">
        <f t="shared" si="28"/>
        <v>0</v>
      </c>
      <c r="BB61" s="323">
        <f t="shared" si="29"/>
        <v>273.97080513246732</v>
      </c>
      <c r="BC61" s="324">
        <f t="shared" si="30"/>
        <v>902.00938481074274</v>
      </c>
      <c r="BD61" s="1323">
        <f t="shared" si="31"/>
        <v>0</v>
      </c>
      <c r="BE61" s="324">
        <f t="shared" si="32"/>
        <v>1175.98018994321</v>
      </c>
      <c r="BF61" s="104">
        <v>0</v>
      </c>
      <c r="BG61" s="325">
        <f t="shared" si="33"/>
        <v>1175.98018994321</v>
      </c>
      <c r="BI61" s="323">
        <f t="shared" si="34"/>
        <v>273.97080513246732</v>
      </c>
      <c r="BJ61" s="324">
        <f t="shared" si="35"/>
        <v>902.00938481074274</v>
      </c>
      <c r="BK61" s="1323">
        <f t="shared" si="36"/>
        <v>0</v>
      </c>
      <c r="BL61" s="324">
        <f t="shared" si="37"/>
        <v>1175.98018994321</v>
      </c>
      <c r="BM61" s="104">
        <v>0</v>
      </c>
      <c r="BN61" s="325">
        <f t="shared" si="38"/>
        <v>1175.98018994321</v>
      </c>
    </row>
    <row r="62" spans="1:66">
      <c r="A62" s="127">
        <f>'Input data'!A92</f>
        <v>1994</v>
      </c>
      <c r="B62" s="1082">
        <f>'Input data'!B92</f>
        <v>34.837530000000001</v>
      </c>
      <c r="C62" s="1126">
        <f>'Baseline data (from input)'!B50</f>
        <v>578.73</v>
      </c>
      <c r="D62" s="1081">
        <f>'Baseline data (from input)'!L50</f>
        <v>0.8</v>
      </c>
      <c r="E62" s="992">
        <f t="shared" si="43"/>
        <v>0.24001298204245269</v>
      </c>
      <c r="F62" s="992">
        <f t="shared" si="43"/>
        <v>0.30440139352934503</v>
      </c>
      <c r="G62" s="992">
        <f t="shared" si="43"/>
        <v>5.8998240613430578E-2</v>
      </c>
      <c r="H62" s="992">
        <f t="shared" si="43"/>
        <v>0</v>
      </c>
      <c r="I62" s="992">
        <f t="shared" si="43"/>
        <v>0</v>
      </c>
      <c r="J62" s="992">
        <f t="shared" si="43"/>
        <v>0</v>
      </c>
      <c r="K62" s="992">
        <f t="shared" si="43"/>
        <v>0.39658738381477154</v>
      </c>
      <c r="L62" s="1092">
        <f t="shared" si="40"/>
        <v>0.99999999999999989</v>
      </c>
      <c r="N62" s="323">
        <f t="shared" si="1"/>
        <v>16129.218989520003</v>
      </c>
      <c r="O62" s="1137">
        <f>Parameters!R165</f>
        <v>0.73</v>
      </c>
      <c r="P62" s="1137">
        <f>E62*'MSW characteristics'!$B$28+'MSW characteristics'!$B$29*'4A SWD Case 3'!F62+'4A SWD Case 3'!G62*'MSW characteristics'!$B$30+'MSW characteristics'!$B$31*'4A SWD Case 3'!H62+'4A SWD Case 3'!I62*'MSW characteristics'!$B$32+'MSW characteristics'!$B$33*'4A SWD Case 3'!J62+'4A SWD Case 3'!K62*'MSW characteristics'!$B$35</f>
        <v>0.12048152225760915</v>
      </c>
      <c r="Q62" s="1135">
        <f t="shared" si="2"/>
        <v>709.29459268955281</v>
      </c>
      <c r="R62" s="1135">
        <f t="shared" si="3"/>
        <v>709.29459268955281</v>
      </c>
      <c r="S62" s="306">
        <f t="shared" si="4"/>
        <v>0</v>
      </c>
      <c r="T62" s="1135">
        <f t="shared" si="5"/>
        <v>8994.1832747628014</v>
      </c>
      <c r="U62" s="1135">
        <f t="shared" si="6"/>
        <v>424.77532608320826</v>
      </c>
      <c r="V62" s="1311">
        <f t="shared" si="7"/>
        <v>283.18355072213882</v>
      </c>
      <c r="X62" s="323">
        <f>'Baseline data (from input)'!T50*'Baseline data (from input)'!U50</f>
        <v>38848.654999516577</v>
      </c>
      <c r="Y62" s="1137">
        <f>Parameters!S165</f>
        <v>0.71500000000000008</v>
      </c>
      <c r="Z62" s="1137">
        <f t="shared" si="8"/>
        <v>0.15</v>
      </c>
      <c r="AA62" s="1135">
        <f t="shared" si="9"/>
        <v>2083.259124349077</v>
      </c>
      <c r="AB62" s="1135">
        <f t="shared" si="10"/>
        <v>2083.259124349077</v>
      </c>
      <c r="AC62" s="306">
        <f t="shared" si="11"/>
        <v>0</v>
      </c>
      <c r="AD62" s="1135">
        <f t="shared" si="12"/>
        <v>29105.854769843187</v>
      </c>
      <c r="AE62" s="1135">
        <f t="shared" si="13"/>
        <v>1385.478105670456</v>
      </c>
      <c r="AF62" s="1311">
        <f t="shared" si="14"/>
        <v>923.6520704469707</v>
      </c>
      <c r="AH62" s="323">
        <f>'Baseline data (from input)'!T50*'Baseline data (from input)'!U50</f>
        <v>38848.654999516577</v>
      </c>
      <c r="AI62" s="1137">
        <f>Parameters!S165</f>
        <v>0.71500000000000008</v>
      </c>
      <c r="AJ62" s="1137">
        <f t="shared" si="15"/>
        <v>0.15</v>
      </c>
      <c r="AK62" s="1135">
        <f t="shared" si="16"/>
        <v>2083.259124349077</v>
      </c>
      <c r="AL62" s="1135">
        <f t="shared" si="17"/>
        <v>2083.259124349077</v>
      </c>
      <c r="AM62" s="306">
        <f t="shared" si="18"/>
        <v>0</v>
      </c>
      <c r="AN62" s="1135">
        <f t="shared" si="19"/>
        <v>29105.854769843187</v>
      </c>
      <c r="AO62" s="1135">
        <f t="shared" si="20"/>
        <v>1385.478105670456</v>
      </c>
      <c r="AP62" s="1311">
        <f t="shared" si="21"/>
        <v>923.6520704469707</v>
      </c>
      <c r="AR62" s="1143">
        <v>0</v>
      </c>
      <c r="AS62" s="1136">
        <v>1</v>
      </c>
      <c r="AT62" s="1136">
        <f t="shared" si="22"/>
        <v>0.05</v>
      </c>
      <c r="AU62" s="1135">
        <f t="shared" si="23"/>
        <v>0</v>
      </c>
      <c r="AV62" s="1135">
        <f t="shared" si="24"/>
        <v>0</v>
      </c>
      <c r="AW62" s="199">
        <f t="shared" si="25"/>
        <v>0</v>
      </c>
      <c r="AX62" s="1151">
        <f t="shared" si="42"/>
        <v>0</v>
      </c>
      <c r="AY62" s="1151">
        <f t="shared" si="27"/>
        <v>0</v>
      </c>
      <c r="AZ62" s="1311">
        <f t="shared" si="28"/>
        <v>0</v>
      </c>
      <c r="BB62" s="323">
        <f t="shared" si="29"/>
        <v>283.18355072213882</v>
      </c>
      <c r="BC62" s="324">
        <f t="shared" si="30"/>
        <v>923.6520704469707</v>
      </c>
      <c r="BD62" s="1323">
        <f t="shared" si="31"/>
        <v>0</v>
      </c>
      <c r="BE62" s="324">
        <f t="shared" si="32"/>
        <v>1206.8356211691096</v>
      </c>
      <c r="BF62" s="104">
        <v>0</v>
      </c>
      <c r="BG62" s="325">
        <f t="shared" si="33"/>
        <v>1206.8356211691096</v>
      </c>
      <c r="BI62" s="323">
        <f t="shared" si="34"/>
        <v>283.18355072213882</v>
      </c>
      <c r="BJ62" s="324">
        <f t="shared" si="35"/>
        <v>923.6520704469707</v>
      </c>
      <c r="BK62" s="1323">
        <f t="shared" si="36"/>
        <v>0</v>
      </c>
      <c r="BL62" s="324">
        <f t="shared" si="37"/>
        <v>1206.8356211691096</v>
      </c>
      <c r="BM62" s="104">
        <v>0</v>
      </c>
      <c r="BN62" s="325">
        <f t="shared" si="38"/>
        <v>1206.8356211691096</v>
      </c>
    </row>
    <row r="63" spans="1:66">
      <c r="A63" s="127">
        <f>'Input data'!A93</f>
        <v>1995</v>
      </c>
      <c r="B63" s="1082">
        <f>'Input data'!B93</f>
        <v>35.599199999999996</v>
      </c>
      <c r="C63" s="1126">
        <f>'Baseline data (from input)'!B51</f>
        <v>578.73</v>
      </c>
      <c r="D63" s="1081">
        <f>'Baseline data (from input)'!L51</f>
        <v>0.8</v>
      </c>
      <c r="E63" s="992">
        <f t="shared" si="43"/>
        <v>0.24001298204245269</v>
      </c>
      <c r="F63" s="992">
        <f t="shared" si="43"/>
        <v>0.30440139352934503</v>
      </c>
      <c r="G63" s="992">
        <f t="shared" si="43"/>
        <v>5.8998240613430578E-2</v>
      </c>
      <c r="H63" s="992">
        <f t="shared" si="43"/>
        <v>0</v>
      </c>
      <c r="I63" s="992">
        <f t="shared" si="43"/>
        <v>0</v>
      </c>
      <c r="J63" s="992">
        <f t="shared" si="43"/>
        <v>0</v>
      </c>
      <c r="K63" s="992">
        <f t="shared" si="43"/>
        <v>0.39658738381477154</v>
      </c>
      <c r="L63" s="1092">
        <f t="shared" si="40"/>
        <v>0.99999999999999989</v>
      </c>
      <c r="N63" s="323">
        <f t="shared" si="1"/>
        <v>16481.8600128</v>
      </c>
      <c r="O63" s="1137">
        <f>Parameters!R166</f>
        <v>0.73</v>
      </c>
      <c r="P63" s="1137">
        <f>E63*'MSW characteristics'!$B$28+'MSW characteristics'!$B$29*'4A SWD Case 3'!F63+'4A SWD Case 3'!G63*'MSW characteristics'!$B$30+'MSW characteristics'!$B$31*'4A SWD Case 3'!H63+'4A SWD Case 3'!I63*'MSW characteristics'!$B$32+'MSW characteristics'!$B$33*'4A SWD Case 3'!J63+'4A SWD Case 3'!K63*'MSW characteristics'!$B$35</f>
        <v>0.12048152225760915</v>
      </c>
      <c r="Q63" s="1135">
        <f t="shared" si="2"/>
        <v>724.80224815232089</v>
      </c>
      <c r="R63" s="1135">
        <f t="shared" si="3"/>
        <v>724.80224815232089</v>
      </c>
      <c r="S63" s="306">
        <f t="shared" si="4"/>
        <v>0</v>
      </c>
      <c r="T63" s="1135">
        <f t="shared" si="5"/>
        <v>9280.3340284588867</v>
      </c>
      <c r="U63" s="1135">
        <f t="shared" si="6"/>
        <v>438.65149445623445</v>
      </c>
      <c r="V63" s="1311">
        <f t="shared" si="7"/>
        <v>292.43432963748961</v>
      </c>
      <c r="X63" s="323">
        <f>'Baseline data (from input)'!T51*'Baseline data (from input)'!U51</f>
        <v>40052.961524456216</v>
      </c>
      <c r="Y63" s="1137">
        <f>Parameters!S166</f>
        <v>0.71500000000000008</v>
      </c>
      <c r="Z63" s="1137">
        <f t="shared" si="8"/>
        <v>0.15</v>
      </c>
      <c r="AA63" s="1135">
        <f t="shared" si="9"/>
        <v>2147.8400617489647</v>
      </c>
      <c r="AB63" s="1135">
        <f t="shared" si="10"/>
        <v>2147.8400617489647</v>
      </c>
      <c r="AC63" s="306">
        <f t="shared" si="11"/>
        <v>0</v>
      </c>
      <c r="AD63" s="1135">
        <f t="shared" si="12"/>
        <v>29834.185544068259</v>
      </c>
      <c r="AE63" s="1135">
        <f t="shared" si="13"/>
        <v>1419.5092875238902</v>
      </c>
      <c r="AF63" s="1311">
        <f t="shared" si="14"/>
        <v>946.33952501592682</v>
      </c>
      <c r="AH63" s="323">
        <f>'Baseline data (from input)'!T51*'Baseline data (from input)'!U51</f>
        <v>40052.961524456216</v>
      </c>
      <c r="AI63" s="1137">
        <f>Parameters!S166</f>
        <v>0.71500000000000008</v>
      </c>
      <c r="AJ63" s="1137">
        <f t="shared" si="15"/>
        <v>0.15</v>
      </c>
      <c r="AK63" s="1135">
        <f t="shared" si="16"/>
        <v>2147.8400617489647</v>
      </c>
      <c r="AL63" s="1135">
        <f t="shared" si="17"/>
        <v>2147.8400617489647</v>
      </c>
      <c r="AM63" s="306">
        <f t="shared" si="18"/>
        <v>0</v>
      </c>
      <c r="AN63" s="1135">
        <f t="shared" si="19"/>
        <v>29834.185544068259</v>
      </c>
      <c r="AO63" s="1135">
        <f t="shared" si="20"/>
        <v>1419.5092875238902</v>
      </c>
      <c r="AP63" s="1311">
        <f t="shared" si="21"/>
        <v>946.33952501592682</v>
      </c>
      <c r="AR63" s="1143">
        <v>0</v>
      </c>
      <c r="AS63" s="1136">
        <v>1</v>
      </c>
      <c r="AT63" s="1136">
        <f t="shared" si="22"/>
        <v>0.05</v>
      </c>
      <c r="AU63" s="1135">
        <f t="shared" si="23"/>
        <v>0</v>
      </c>
      <c r="AV63" s="1135">
        <f t="shared" si="24"/>
        <v>0</v>
      </c>
      <c r="AW63" s="199">
        <f t="shared" si="25"/>
        <v>0</v>
      </c>
      <c r="AX63" s="1151">
        <f t="shared" si="42"/>
        <v>0</v>
      </c>
      <c r="AY63" s="1151">
        <f t="shared" si="27"/>
        <v>0</v>
      </c>
      <c r="AZ63" s="1311">
        <f t="shared" si="28"/>
        <v>0</v>
      </c>
      <c r="BB63" s="323">
        <f t="shared" si="29"/>
        <v>292.43432963748961</v>
      </c>
      <c r="BC63" s="324">
        <f t="shared" si="30"/>
        <v>946.33952501592682</v>
      </c>
      <c r="BD63" s="1323">
        <f t="shared" si="31"/>
        <v>0</v>
      </c>
      <c r="BE63" s="324">
        <f t="shared" si="32"/>
        <v>1238.7738546534165</v>
      </c>
      <c r="BF63" s="104">
        <v>0</v>
      </c>
      <c r="BG63" s="325">
        <f t="shared" si="33"/>
        <v>1238.7738546534165</v>
      </c>
      <c r="BI63" s="323">
        <f t="shared" si="34"/>
        <v>292.43432963748961</v>
      </c>
      <c r="BJ63" s="324">
        <f t="shared" si="35"/>
        <v>946.33952501592682</v>
      </c>
      <c r="BK63" s="1323">
        <f t="shared" si="36"/>
        <v>0</v>
      </c>
      <c r="BL63" s="324">
        <f t="shared" si="37"/>
        <v>1238.7738546534165</v>
      </c>
      <c r="BM63" s="104">
        <v>0</v>
      </c>
      <c r="BN63" s="325">
        <f t="shared" si="38"/>
        <v>1238.7738546534165</v>
      </c>
    </row>
    <row r="64" spans="1:66">
      <c r="A64" s="127">
        <f>'Input data'!A94</f>
        <v>1996</v>
      </c>
      <c r="B64" s="1082">
        <f>'Input data'!B94</f>
        <v>36.4</v>
      </c>
      <c r="C64" s="1126">
        <f>'Baseline data (from input)'!B52</f>
        <v>578.73</v>
      </c>
      <c r="D64" s="1081">
        <f>'Baseline data (from input)'!L52</f>
        <v>0.8</v>
      </c>
      <c r="E64" s="992">
        <f t="shared" si="43"/>
        <v>0.24001298204245269</v>
      </c>
      <c r="F64" s="992">
        <f t="shared" si="43"/>
        <v>0.30440139352934503</v>
      </c>
      <c r="G64" s="992">
        <f t="shared" si="43"/>
        <v>5.8998240613430578E-2</v>
      </c>
      <c r="H64" s="992">
        <f t="shared" si="43"/>
        <v>0</v>
      </c>
      <c r="I64" s="992">
        <f t="shared" si="43"/>
        <v>0</v>
      </c>
      <c r="J64" s="992">
        <f t="shared" si="43"/>
        <v>0</v>
      </c>
      <c r="K64" s="992">
        <f t="shared" si="43"/>
        <v>0.39658738381477154</v>
      </c>
      <c r="L64" s="1092">
        <f t="shared" si="40"/>
        <v>0.99999999999999989</v>
      </c>
      <c r="N64" s="323">
        <f t="shared" si="1"/>
        <v>16852.617600000001</v>
      </c>
      <c r="O64" s="1137">
        <f>Parameters!R167</f>
        <v>0.73</v>
      </c>
      <c r="P64" s="1137">
        <f>E64*'MSW characteristics'!$B$28+'MSW characteristics'!$B$29*'4A SWD Case 3'!F64+'4A SWD Case 3'!G64*'MSW characteristics'!$B$30+'MSW characteristics'!$B$31*'4A SWD Case 3'!H64+'4A SWD Case 3'!I64*'MSW characteristics'!$B$32+'MSW characteristics'!$B$33*'4A SWD Case 3'!J64+'4A SWD Case 3'!K64*'MSW characteristics'!$B$35</f>
        <v>0.12048152225760915</v>
      </c>
      <c r="Q64" s="1135">
        <f t="shared" si="2"/>
        <v>741.10659320278216</v>
      </c>
      <c r="R64" s="1135">
        <f t="shared" si="3"/>
        <v>741.10659320278216</v>
      </c>
      <c r="S64" s="306">
        <f t="shared" si="4"/>
        <v>0</v>
      </c>
      <c r="T64" s="1135">
        <f t="shared" si="5"/>
        <v>9568.8333902681206</v>
      </c>
      <c r="U64" s="1135">
        <f t="shared" si="6"/>
        <v>452.60723139354695</v>
      </c>
      <c r="V64" s="1311">
        <f t="shared" si="7"/>
        <v>301.73815426236462</v>
      </c>
      <c r="X64" s="323">
        <f>'Baseline data (from input)'!T52*'Baseline data (from input)'!U52</f>
        <v>41775.238453857564</v>
      </c>
      <c r="Y64" s="1137">
        <f>Parameters!S167</f>
        <v>0.71500000000000008</v>
      </c>
      <c r="Z64" s="1137">
        <f t="shared" si="8"/>
        <v>0.15</v>
      </c>
      <c r="AA64" s="1135">
        <f t="shared" si="9"/>
        <v>2240.1971620881122</v>
      </c>
      <c r="AB64" s="1135">
        <f t="shared" si="10"/>
        <v>2240.1971620881122</v>
      </c>
      <c r="AC64" s="306">
        <f t="shared" si="11"/>
        <v>0</v>
      </c>
      <c r="AD64" s="1135">
        <f t="shared" si="12"/>
        <v>30619.352307619683</v>
      </c>
      <c r="AE64" s="1135">
        <f t="shared" si="13"/>
        <v>1455.0303985366875</v>
      </c>
      <c r="AF64" s="1311">
        <f t="shared" si="14"/>
        <v>970.02026569112502</v>
      </c>
      <c r="AH64" s="323">
        <f>'Baseline data (from input)'!T52*'Baseline data (from input)'!U52</f>
        <v>41775.238453857564</v>
      </c>
      <c r="AI64" s="1137">
        <f>Parameters!S167</f>
        <v>0.71500000000000008</v>
      </c>
      <c r="AJ64" s="1137">
        <f t="shared" si="15"/>
        <v>0.15</v>
      </c>
      <c r="AK64" s="1135">
        <f t="shared" si="16"/>
        <v>2240.1971620881122</v>
      </c>
      <c r="AL64" s="1135">
        <f t="shared" si="17"/>
        <v>2240.1971620881122</v>
      </c>
      <c r="AM64" s="306">
        <f t="shared" si="18"/>
        <v>0</v>
      </c>
      <c r="AN64" s="1135">
        <f t="shared" si="19"/>
        <v>30619.352307619683</v>
      </c>
      <c r="AO64" s="1135">
        <f t="shared" si="20"/>
        <v>1455.0303985366875</v>
      </c>
      <c r="AP64" s="1311">
        <f t="shared" si="21"/>
        <v>970.02026569112502</v>
      </c>
      <c r="AR64" s="323">
        <f>V64*W64*X64</f>
        <v>0</v>
      </c>
      <c r="AS64" s="1136">
        <v>1</v>
      </c>
      <c r="AT64" s="1136">
        <f t="shared" si="22"/>
        <v>0.05</v>
      </c>
      <c r="AU64" s="1135">
        <f t="shared" si="23"/>
        <v>0</v>
      </c>
      <c r="AV64" s="1135">
        <f t="shared" si="24"/>
        <v>0</v>
      </c>
      <c r="AW64" s="199">
        <f t="shared" si="25"/>
        <v>0</v>
      </c>
      <c r="AX64" s="1151">
        <f t="shared" si="42"/>
        <v>0</v>
      </c>
      <c r="AY64" s="1151">
        <f t="shared" si="27"/>
        <v>0</v>
      </c>
      <c r="AZ64" s="1311">
        <f t="shared" si="28"/>
        <v>0</v>
      </c>
      <c r="BB64" s="323">
        <f t="shared" si="29"/>
        <v>301.73815426236462</v>
      </c>
      <c r="BC64" s="324">
        <f t="shared" si="30"/>
        <v>970.02026569112502</v>
      </c>
      <c r="BD64" s="1323">
        <f t="shared" si="31"/>
        <v>0</v>
      </c>
      <c r="BE64" s="324">
        <f t="shared" si="32"/>
        <v>1271.7584199534897</v>
      </c>
      <c r="BF64" s="104">
        <v>0</v>
      </c>
      <c r="BG64" s="325">
        <f t="shared" si="33"/>
        <v>1271.7584199534897</v>
      </c>
      <c r="BI64" s="323">
        <f t="shared" si="34"/>
        <v>301.73815426236462</v>
      </c>
      <c r="BJ64" s="324">
        <f t="shared" si="35"/>
        <v>970.02026569112502</v>
      </c>
      <c r="BK64" s="1323">
        <f t="shared" si="36"/>
        <v>0</v>
      </c>
      <c r="BL64" s="324">
        <f t="shared" si="37"/>
        <v>1271.7584199534897</v>
      </c>
      <c r="BM64" s="104">
        <v>0</v>
      </c>
      <c r="BN64" s="325">
        <f t="shared" si="38"/>
        <v>1271.7584199534897</v>
      </c>
    </row>
    <row r="65" spans="1:66">
      <c r="A65" s="127">
        <f>'Input data'!A95</f>
        <v>1997</v>
      </c>
      <c r="B65" s="1082">
        <f>'Input data'!B95</f>
        <v>37.242660000000001</v>
      </c>
      <c r="C65" s="1126">
        <f>'Baseline data (from input)'!B53</f>
        <v>578.73</v>
      </c>
      <c r="D65" s="1081">
        <f>'Baseline data (from input)'!L53</f>
        <v>0.8</v>
      </c>
      <c r="E65" s="992">
        <f t="shared" si="43"/>
        <v>0.24001298204245269</v>
      </c>
      <c r="F65" s="992">
        <f t="shared" si="43"/>
        <v>0.30440139352934503</v>
      </c>
      <c r="G65" s="992">
        <f t="shared" si="43"/>
        <v>5.8998240613430578E-2</v>
      </c>
      <c r="H65" s="992">
        <f t="shared" si="43"/>
        <v>0</v>
      </c>
      <c r="I65" s="992">
        <f t="shared" si="43"/>
        <v>0</v>
      </c>
      <c r="J65" s="992">
        <f t="shared" si="43"/>
        <v>0</v>
      </c>
      <c r="K65" s="992">
        <f t="shared" si="43"/>
        <v>0.39658738381477154</v>
      </c>
      <c r="L65" s="1092">
        <f t="shared" si="40"/>
        <v>0.99999999999999989</v>
      </c>
      <c r="N65" s="323">
        <f t="shared" si="1"/>
        <v>17242.755697440003</v>
      </c>
      <c r="O65" s="1137">
        <f>Parameters!R168</f>
        <v>0.73</v>
      </c>
      <c r="P65" s="1137">
        <f>E65*'MSW characteristics'!$B$28+'MSW characteristics'!$B$29*'4A SWD Case 3'!F65+'4A SWD Case 3'!G65*'MSW characteristics'!$B$30+'MSW characteristics'!$B$31*'4A SWD Case 3'!H65+'4A SWD Case 3'!I65*'MSW characteristics'!$B$32+'MSW characteristics'!$B$33*'4A SWD Case 3'!J65+'4A SWD Case 3'!K65*'MSW characteristics'!$B$35</f>
        <v>0.12048152225760915</v>
      </c>
      <c r="Q65" s="1135">
        <f t="shared" si="2"/>
        <v>758.26321083542666</v>
      </c>
      <c r="R65" s="1135">
        <f t="shared" si="3"/>
        <v>758.26321083542666</v>
      </c>
      <c r="S65" s="306">
        <f t="shared" si="4"/>
        <v>0</v>
      </c>
      <c r="T65" s="1135">
        <f t="shared" si="5"/>
        <v>9860.4190898033867</v>
      </c>
      <c r="U65" s="1135">
        <f t="shared" si="6"/>
        <v>466.67751130016006</v>
      </c>
      <c r="V65" s="1311">
        <f t="shared" si="7"/>
        <v>311.11834086677339</v>
      </c>
      <c r="X65" s="323">
        <f>'Baseline data (from input)'!T53*'Baseline data (from input)'!U53</f>
        <v>42861.395537621902</v>
      </c>
      <c r="Y65" s="1137">
        <f>Parameters!S168</f>
        <v>0.71500000000000008</v>
      </c>
      <c r="Z65" s="1137">
        <f t="shared" si="8"/>
        <v>0.15</v>
      </c>
      <c r="AA65" s="1135">
        <f t="shared" si="9"/>
        <v>2298.4423357049745</v>
      </c>
      <c r="AB65" s="1135">
        <f t="shared" si="10"/>
        <v>2298.4423357049745</v>
      </c>
      <c r="AC65" s="306">
        <f t="shared" si="11"/>
        <v>0</v>
      </c>
      <c r="AD65" s="1135">
        <f t="shared" si="12"/>
        <v>31424.471209866657</v>
      </c>
      <c r="AE65" s="1135">
        <f t="shared" si="13"/>
        <v>1493.3234334580022</v>
      </c>
      <c r="AF65" s="1311">
        <f t="shared" si="14"/>
        <v>995.54895563866819</v>
      </c>
      <c r="AH65" s="323">
        <f>'Baseline data (from input)'!T53*'Baseline data (from input)'!U53</f>
        <v>42861.395537621902</v>
      </c>
      <c r="AI65" s="1137">
        <f>Parameters!S168</f>
        <v>0.71500000000000008</v>
      </c>
      <c r="AJ65" s="1137">
        <f t="shared" si="15"/>
        <v>0.15</v>
      </c>
      <c r="AK65" s="1135">
        <f t="shared" si="16"/>
        <v>2298.4423357049745</v>
      </c>
      <c r="AL65" s="1135">
        <f t="shared" si="17"/>
        <v>2298.4423357049745</v>
      </c>
      <c r="AM65" s="306">
        <f t="shared" si="18"/>
        <v>0</v>
      </c>
      <c r="AN65" s="1135">
        <f t="shared" si="19"/>
        <v>31424.471209866657</v>
      </c>
      <c r="AO65" s="1135">
        <f t="shared" si="20"/>
        <v>1493.3234334580022</v>
      </c>
      <c r="AP65" s="1311">
        <f t="shared" si="21"/>
        <v>995.54895563866819</v>
      </c>
      <c r="AR65" s="323">
        <f>V65*W65*X65</f>
        <v>0</v>
      </c>
      <c r="AS65" s="1136">
        <v>1</v>
      </c>
      <c r="AT65" s="1136">
        <f t="shared" si="22"/>
        <v>0.05</v>
      </c>
      <c r="AU65" s="1135">
        <f t="shared" si="23"/>
        <v>0</v>
      </c>
      <c r="AV65" s="1135">
        <f t="shared" si="24"/>
        <v>0</v>
      </c>
      <c r="AW65" s="199">
        <f t="shared" si="25"/>
        <v>0</v>
      </c>
      <c r="AX65" s="1151">
        <f t="shared" si="42"/>
        <v>0</v>
      </c>
      <c r="AY65" s="1151">
        <f t="shared" si="27"/>
        <v>0</v>
      </c>
      <c r="AZ65" s="1311">
        <f t="shared" si="28"/>
        <v>0</v>
      </c>
      <c r="BB65" s="323">
        <f t="shared" si="29"/>
        <v>311.11834086677339</v>
      </c>
      <c r="BC65" s="324">
        <f t="shared" si="30"/>
        <v>995.54895563866819</v>
      </c>
      <c r="BD65" s="1323">
        <f t="shared" si="31"/>
        <v>0</v>
      </c>
      <c r="BE65" s="324">
        <f t="shared" si="32"/>
        <v>1306.6672965054415</v>
      </c>
      <c r="BF65" s="104">
        <v>0</v>
      </c>
      <c r="BG65" s="325">
        <f t="shared" si="33"/>
        <v>1306.6672965054415</v>
      </c>
      <c r="BI65" s="323">
        <f t="shared" si="34"/>
        <v>311.11834086677339</v>
      </c>
      <c r="BJ65" s="324">
        <f t="shared" si="35"/>
        <v>995.54895563866819</v>
      </c>
      <c r="BK65" s="1323">
        <f t="shared" si="36"/>
        <v>0</v>
      </c>
      <c r="BL65" s="324">
        <f t="shared" si="37"/>
        <v>1306.6672965054415</v>
      </c>
      <c r="BM65" s="104">
        <v>0</v>
      </c>
      <c r="BN65" s="325">
        <f t="shared" si="38"/>
        <v>1306.6672965054415</v>
      </c>
    </row>
    <row r="66" spans="1:66">
      <c r="A66" s="127">
        <f>'Input data'!A96</f>
        <v>1998</v>
      </c>
      <c r="B66" s="1082">
        <f>'Input data'!B96</f>
        <v>38.128999999999998</v>
      </c>
      <c r="C66" s="1126">
        <f>'Baseline data (from input)'!B54</f>
        <v>578.73</v>
      </c>
      <c r="D66" s="1081">
        <f>'Baseline data (from input)'!L54</f>
        <v>0.8</v>
      </c>
      <c r="E66" s="992">
        <f t="shared" si="43"/>
        <v>0.24001298204245269</v>
      </c>
      <c r="F66" s="992">
        <f t="shared" si="43"/>
        <v>0.30440139352934503</v>
      </c>
      <c r="G66" s="992">
        <f t="shared" si="43"/>
        <v>5.8998240613430578E-2</v>
      </c>
      <c r="H66" s="992">
        <f t="shared" si="43"/>
        <v>0</v>
      </c>
      <c r="I66" s="992">
        <f t="shared" si="43"/>
        <v>0</v>
      </c>
      <c r="J66" s="992">
        <f t="shared" si="43"/>
        <v>0</v>
      </c>
      <c r="K66" s="992">
        <f t="shared" si="43"/>
        <v>0.39658738381477154</v>
      </c>
      <c r="L66" s="1092">
        <f t="shared" si="40"/>
        <v>0.99999999999999989</v>
      </c>
      <c r="N66" s="323">
        <f t="shared" si="1"/>
        <v>17653.116936000002</v>
      </c>
      <c r="O66" s="1137">
        <f>Parameters!R169</f>
        <v>0.73</v>
      </c>
      <c r="P66" s="1137">
        <f>E66*'MSW characteristics'!$B$28+'MSW characteristics'!$B$29*'4A SWD Case 3'!F66+'4A SWD Case 3'!G66*'MSW characteristics'!$B$30+'MSW characteristics'!$B$31*'4A SWD Case 3'!H66+'4A SWD Case 3'!I66*'MSW characteristics'!$B$32+'MSW characteristics'!$B$33*'4A SWD Case 3'!J66+'4A SWD Case 3'!K66*'MSW characteristics'!$B$35</f>
        <v>0.12048152225760915</v>
      </c>
      <c r="Q66" s="1135">
        <f t="shared" si="2"/>
        <v>776.30915637991438</v>
      </c>
      <c r="R66" s="1135">
        <f t="shared" si="3"/>
        <v>776.30915637991438</v>
      </c>
      <c r="S66" s="306">
        <f t="shared" si="4"/>
        <v>0</v>
      </c>
      <c r="T66" s="1135">
        <f t="shared" si="5"/>
        <v>10155.829932509445</v>
      </c>
      <c r="U66" s="1135">
        <f t="shared" si="6"/>
        <v>480.89831367385688</v>
      </c>
      <c r="V66" s="1311">
        <f t="shared" si="7"/>
        <v>320.59887578257127</v>
      </c>
      <c r="X66" s="323">
        <f>'Baseline data (from input)'!T54*'Baseline data (from input)'!U54</f>
        <v>43075.702903205638</v>
      </c>
      <c r="Y66" s="1137">
        <f>Parameters!S169</f>
        <v>0.71500000000000008</v>
      </c>
      <c r="Z66" s="1137">
        <f t="shared" si="8"/>
        <v>0.15</v>
      </c>
      <c r="AA66" s="1135">
        <f t="shared" si="9"/>
        <v>2309.9345681844025</v>
      </c>
      <c r="AB66" s="1135">
        <f t="shared" si="10"/>
        <v>2309.9345681844025</v>
      </c>
      <c r="AC66" s="306">
        <f t="shared" si="11"/>
        <v>0</v>
      </c>
      <c r="AD66" s="1135">
        <f t="shared" si="12"/>
        <v>32201.816232385117</v>
      </c>
      <c r="AE66" s="1135">
        <f t="shared" si="13"/>
        <v>1532.5895456659405</v>
      </c>
      <c r="AF66" s="1311">
        <f t="shared" si="14"/>
        <v>1021.7263637772936</v>
      </c>
      <c r="AH66" s="323">
        <f>'Baseline data (from input)'!T54*'Baseline data (from input)'!U54</f>
        <v>43075.702903205638</v>
      </c>
      <c r="AI66" s="1137">
        <f>Parameters!S169</f>
        <v>0.71500000000000008</v>
      </c>
      <c r="AJ66" s="1137">
        <f t="shared" si="15"/>
        <v>0.15</v>
      </c>
      <c r="AK66" s="1135">
        <f t="shared" si="16"/>
        <v>2309.9345681844025</v>
      </c>
      <c r="AL66" s="1135">
        <f t="shared" si="17"/>
        <v>2309.9345681844025</v>
      </c>
      <c r="AM66" s="306">
        <f t="shared" si="18"/>
        <v>0</v>
      </c>
      <c r="AN66" s="1135">
        <f t="shared" si="19"/>
        <v>32201.816232385117</v>
      </c>
      <c r="AO66" s="1135">
        <f t="shared" si="20"/>
        <v>1532.5895456659405</v>
      </c>
      <c r="AP66" s="1311">
        <f t="shared" si="21"/>
        <v>1021.7263637772936</v>
      </c>
      <c r="AR66" s="323">
        <f>V66*W66*X66</f>
        <v>0</v>
      </c>
      <c r="AS66" s="1136">
        <v>1</v>
      </c>
      <c r="AT66" s="1136">
        <f t="shared" si="22"/>
        <v>0.05</v>
      </c>
      <c r="AU66" s="1135">
        <f t="shared" si="23"/>
        <v>0</v>
      </c>
      <c r="AV66" s="1135">
        <f t="shared" si="24"/>
        <v>0</v>
      </c>
      <c r="AW66" s="199">
        <f t="shared" si="25"/>
        <v>0</v>
      </c>
      <c r="AX66" s="1151">
        <f t="shared" si="42"/>
        <v>0</v>
      </c>
      <c r="AY66" s="1151">
        <f t="shared" si="27"/>
        <v>0</v>
      </c>
      <c r="AZ66" s="1311">
        <f t="shared" si="28"/>
        <v>0</v>
      </c>
      <c r="BB66" s="323">
        <f t="shared" si="29"/>
        <v>320.59887578257127</v>
      </c>
      <c r="BC66" s="324">
        <f t="shared" si="30"/>
        <v>1021.7263637772936</v>
      </c>
      <c r="BD66" s="1323">
        <f t="shared" si="31"/>
        <v>0</v>
      </c>
      <c r="BE66" s="324">
        <f t="shared" si="32"/>
        <v>1342.3252395598649</v>
      </c>
      <c r="BF66" s="104">
        <v>0</v>
      </c>
      <c r="BG66" s="325">
        <f t="shared" si="33"/>
        <v>1342.3252395598649</v>
      </c>
      <c r="BI66" s="323">
        <f t="shared" si="34"/>
        <v>320.59887578257127</v>
      </c>
      <c r="BJ66" s="324">
        <f t="shared" si="35"/>
        <v>1021.7263637772936</v>
      </c>
      <c r="BK66" s="1323">
        <f t="shared" si="36"/>
        <v>0</v>
      </c>
      <c r="BL66" s="324">
        <f t="shared" si="37"/>
        <v>1342.3252395598649</v>
      </c>
      <c r="BM66" s="104">
        <v>0</v>
      </c>
      <c r="BN66" s="325">
        <f t="shared" si="38"/>
        <v>1342.3252395598649</v>
      </c>
    </row>
    <row r="67" spans="1:66" ht="15.75" thickBot="1">
      <c r="A67" s="127">
        <f>'Input data'!A97</f>
        <v>1999</v>
      </c>
      <c r="B67" s="1082">
        <f>'Input data'!B97</f>
        <v>39.059930000000001</v>
      </c>
      <c r="C67" s="1126">
        <f>'Baseline data (from input)'!B55</f>
        <v>578.73</v>
      </c>
      <c r="D67" s="1081">
        <f>'Baseline data (from input)'!L55</f>
        <v>0.8</v>
      </c>
      <c r="E67" s="992">
        <f t="shared" si="43"/>
        <v>0.24001298204245269</v>
      </c>
      <c r="F67" s="992">
        <f t="shared" si="43"/>
        <v>0.30440139352934503</v>
      </c>
      <c r="G67" s="992">
        <f t="shared" si="43"/>
        <v>5.8998240613430578E-2</v>
      </c>
      <c r="H67" s="992">
        <f t="shared" si="43"/>
        <v>0</v>
      </c>
      <c r="I67" s="992">
        <f t="shared" si="43"/>
        <v>0</v>
      </c>
      <c r="J67" s="992">
        <f t="shared" si="43"/>
        <v>0</v>
      </c>
      <c r="K67" s="992">
        <f t="shared" si="43"/>
        <v>0.39658738381477154</v>
      </c>
      <c r="L67" s="1092">
        <f t="shared" si="40"/>
        <v>0.99999999999999989</v>
      </c>
      <c r="N67" s="1145">
        <f t="shared" si="1"/>
        <v>18084.122631120001</v>
      </c>
      <c r="O67" s="1146">
        <f>Parameters!R170</f>
        <v>0.73</v>
      </c>
      <c r="P67" s="1146">
        <f>E67*'MSW characteristics'!$B$28+'MSW characteristics'!$B$29*'4A SWD Case 3'!F67+'4A SWD Case 3'!G67*'MSW characteristics'!$B$30+'MSW characteristics'!$B$31*'4A SWD Case 3'!H67+'4A SWD Case 3'!I67*'MSW characteristics'!$B$32+'MSW characteristics'!$B$33*'4A SWD Case 3'!J67+'4A SWD Case 3'!K67*'MSW characteristics'!$B$35</f>
        <v>0.12048152225760915</v>
      </c>
      <c r="Q67" s="1147">
        <f t="shared" si="2"/>
        <v>795.26295750107545</v>
      </c>
      <c r="R67" s="1147">
        <f t="shared" si="3"/>
        <v>795.26295750107545</v>
      </c>
      <c r="S67" s="1148">
        <f t="shared" si="4"/>
        <v>0</v>
      </c>
      <c r="T67" s="1147">
        <f t="shared" si="5"/>
        <v>10455.78721952916</v>
      </c>
      <c r="U67" s="1147">
        <f t="shared" si="6"/>
        <v>495.30567048136038</v>
      </c>
      <c r="V67" s="1319">
        <f t="shared" si="7"/>
        <v>330.2037803209069</v>
      </c>
      <c r="X67" s="1145">
        <f>'Baseline data (from input)'!T55*'Baseline data (from input)'!U55</f>
        <v>44109.518155389938</v>
      </c>
      <c r="Y67" s="1146">
        <f>Parameters!S170</f>
        <v>0.71500000000000008</v>
      </c>
      <c r="Z67" s="1146">
        <f t="shared" si="8"/>
        <v>0.15</v>
      </c>
      <c r="AA67" s="1147">
        <f t="shared" si="9"/>
        <v>2365.3729110827858</v>
      </c>
      <c r="AB67" s="1147">
        <f t="shared" si="10"/>
        <v>2365.3729110827858</v>
      </c>
      <c r="AC67" s="1148">
        <f t="shared" si="11"/>
        <v>0</v>
      </c>
      <c r="AD67" s="1147">
        <f t="shared" si="12"/>
        <v>32996.688033692233</v>
      </c>
      <c r="AE67" s="1147">
        <f t="shared" si="13"/>
        <v>1570.5011097756712</v>
      </c>
      <c r="AF67" s="1319">
        <f t="shared" si="14"/>
        <v>1047.0007398504474</v>
      </c>
      <c r="AH67" s="1145">
        <f>'Baseline data (from input)'!T55*'Baseline data (from input)'!U55</f>
        <v>44109.518155389938</v>
      </c>
      <c r="AI67" s="1146">
        <f>Parameters!S170</f>
        <v>0.71500000000000008</v>
      </c>
      <c r="AJ67" s="1146">
        <f t="shared" si="15"/>
        <v>0.15</v>
      </c>
      <c r="AK67" s="1147">
        <f t="shared" si="16"/>
        <v>2365.3729110827858</v>
      </c>
      <c r="AL67" s="1147">
        <f t="shared" si="17"/>
        <v>2365.3729110827858</v>
      </c>
      <c r="AM67" s="1148">
        <f t="shared" si="18"/>
        <v>0</v>
      </c>
      <c r="AN67" s="1147">
        <f t="shared" si="19"/>
        <v>32996.688033692233</v>
      </c>
      <c r="AO67" s="1147">
        <f t="shared" si="20"/>
        <v>1570.5011097756712</v>
      </c>
      <c r="AP67" s="1319">
        <f t="shared" si="21"/>
        <v>1047.0007398504474</v>
      </c>
      <c r="AR67" s="1145">
        <f>V67*W67*X67</f>
        <v>0</v>
      </c>
      <c r="AS67" s="1152">
        <v>1</v>
      </c>
      <c r="AT67" s="1152">
        <f t="shared" si="22"/>
        <v>0.05</v>
      </c>
      <c r="AU67" s="1147">
        <f t="shared" si="23"/>
        <v>0</v>
      </c>
      <c r="AV67" s="1147">
        <f t="shared" si="24"/>
        <v>0</v>
      </c>
      <c r="AW67" s="1153">
        <f t="shared" si="25"/>
        <v>0</v>
      </c>
      <c r="AX67" s="1154">
        <f t="shared" si="42"/>
        <v>0</v>
      </c>
      <c r="AY67" s="1154">
        <f t="shared" si="27"/>
        <v>0</v>
      </c>
      <c r="AZ67" s="1319">
        <f t="shared" si="28"/>
        <v>0</v>
      </c>
      <c r="BB67" s="323">
        <f t="shared" si="29"/>
        <v>330.2037803209069</v>
      </c>
      <c r="BC67" s="324">
        <f t="shared" si="30"/>
        <v>1047.0007398504474</v>
      </c>
      <c r="BD67" s="1323">
        <f t="shared" si="31"/>
        <v>0</v>
      </c>
      <c r="BE67" s="324">
        <f t="shared" si="32"/>
        <v>1377.2045201713543</v>
      </c>
      <c r="BF67" s="104">
        <v>0</v>
      </c>
      <c r="BG67" s="325">
        <f t="shared" si="33"/>
        <v>1377.2045201713543</v>
      </c>
      <c r="BI67" s="323">
        <f t="shared" si="34"/>
        <v>330.2037803209069</v>
      </c>
      <c r="BJ67" s="324">
        <f t="shared" si="35"/>
        <v>1047.0007398504474</v>
      </c>
      <c r="BK67" s="1323">
        <f t="shared" si="36"/>
        <v>0</v>
      </c>
      <c r="BL67" s="324">
        <f t="shared" si="37"/>
        <v>1377.2045201713543</v>
      </c>
      <c r="BM67" s="104">
        <v>0</v>
      </c>
      <c r="BN67" s="325">
        <f t="shared" si="38"/>
        <v>1377.2045201713543</v>
      </c>
    </row>
    <row r="68" spans="1:66">
      <c r="A68" s="1099">
        <f>'Input data'!A98</f>
        <v>2000</v>
      </c>
      <c r="B68" s="1100">
        <f>'Input data'!B98</f>
        <v>44</v>
      </c>
      <c r="C68" s="1127">
        <f>'Baseline data (from input)'!B56</f>
        <v>578.73</v>
      </c>
      <c r="D68" s="1101">
        <f>'Baseline data (from input)'!L56</f>
        <v>0.8</v>
      </c>
      <c r="E68" s="1102">
        <f t="shared" ref="E68:K83" si="44">E67</f>
        <v>0.24001298204245269</v>
      </c>
      <c r="F68" s="1102">
        <f t="shared" si="44"/>
        <v>0.30440139352934503</v>
      </c>
      <c r="G68" s="1102">
        <f t="shared" si="44"/>
        <v>5.8998240613430578E-2</v>
      </c>
      <c r="H68" s="1102">
        <f t="shared" si="44"/>
        <v>0</v>
      </c>
      <c r="I68" s="1102">
        <f t="shared" si="44"/>
        <v>0</v>
      </c>
      <c r="J68" s="1102">
        <f t="shared" si="44"/>
        <v>0</v>
      </c>
      <c r="K68" s="1102">
        <f t="shared" si="44"/>
        <v>0.39658738381477154</v>
      </c>
      <c r="L68" s="1103">
        <f t="shared" si="40"/>
        <v>0.99999999999999989</v>
      </c>
      <c r="N68" s="1111">
        <f t="shared" si="1"/>
        <v>20371.296000000002</v>
      </c>
      <c r="O68" s="1105">
        <f>Parameters!R171</f>
        <v>0.73</v>
      </c>
      <c r="P68" s="1105">
        <f>E68*'MSW characteristics'!$B$28+'MSW characteristics'!$B$29*'4A SWD Case 3'!F68+'4A SWD Case 3'!G68*'MSW characteristics'!$B$30+'MSW characteristics'!$B$31*'4A SWD Case 3'!H68+'4A SWD Case 3'!I68*'MSW characteristics'!$B$32+'MSW characteristics'!$B$33*'4A SWD Case 3'!J68+'4A SWD Case 3'!K68*'MSW characteristics'!$B$35</f>
        <v>0.12048152225760915</v>
      </c>
      <c r="Q68" s="1104">
        <f t="shared" si="2"/>
        <v>895.84313464072579</v>
      </c>
      <c r="R68" s="1104">
        <f t="shared" si="3"/>
        <v>895.84313464072579</v>
      </c>
      <c r="S68" s="1106">
        <f t="shared" si="4"/>
        <v>0</v>
      </c>
      <c r="T68" s="1104">
        <f t="shared" si="5"/>
        <v>10841.695594175369</v>
      </c>
      <c r="U68" s="1104">
        <f t="shared" si="6"/>
        <v>509.93475999451641</v>
      </c>
      <c r="V68" s="1117">
        <f t="shared" si="7"/>
        <v>339.95650666301094</v>
      </c>
      <c r="X68" s="1107">
        <f>'Baseline data (from input)'!T56*'Baseline data (from input)'!U56</f>
        <v>45962.119451163169</v>
      </c>
      <c r="Y68" s="1108">
        <f>Parameters!S171</f>
        <v>0.71500000000000008</v>
      </c>
      <c r="Z68" s="1108">
        <f t="shared" si="8"/>
        <v>0.15</v>
      </c>
      <c r="AA68" s="1109">
        <f t="shared" si="9"/>
        <v>2464.7186555686253</v>
      </c>
      <c r="AB68" s="1109">
        <f t="shared" si="10"/>
        <v>2464.7186555686253</v>
      </c>
      <c r="AC68" s="1110">
        <f t="shared" si="11"/>
        <v>0</v>
      </c>
      <c r="AD68" s="1109">
        <f t="shared" si="12"/>
        <v>33852.139224287283</v>
      </c>
      <c r="AE68" s="1109">
        <f t="shared" si="13"/>
        <v>1609.2674649735734</v>
      </c>
      <c r="AF68" s="1116">
        <f t="shared" si="14"/>
        <v>1072.8449766490489</v>
      </c>
      <c r="AH68" s="1107">
        <f>'Baseline data (from input)'!T56*'Baseline data (from input)'!U56</f>
        <v>45962.119451163169</v>
      </c>
      <c r="AI68" s="1108">
        <f>Parameters!S171</f>
        <v>0.71500000000000008</v>
      </c>
      <c r="AJ68" s="1108">
        <f t="shared" si="15"/>
        <v>0.15</v>
      </c>
      <c r="AK68" s="1109">
        <f t="shared" si="16"/>
        <v>2464.7186555686253</v>
      </c>
      <c r="AL68" s="1109">
        <f t="shared" si="17"/>
        <v>2464.7186555686253</v>
      </c>
      <c r="AM68" s="1110">
        <f t="shared" si="18"/>
        <v>0</v>
      </c>
      <c r="AN68" s="1109">
        <f t="shared" si="19"/>
        <v>33852.139224287283</v>
      </c>
      <c r="AO68" s="1109">
        <f t="shared" si="20"/>
        <v>1609.2674649735734</v>
      </c>
      <c r="AP68" s="1116">
        <f t="shared" si="21"/>
        <v>1072.8449766490489</v>
      </c>
      <c r="AR68" s="1119">
        <v>501</v>
      </c>
      <c r="AS68" s="1105">
        <v>1</v>
      </c>
      <c r="AT68" s="1105">
        <f t="shared" si="22"/>
        <v>0.05</v>
      </c>
      <c r="AU68" s="1104">
        <f t="shared" si="23"/>
        <v>12.525</v>
      </c>
      <c r="AV68" s="1104">
        <f t="shared" si="24"/>
        <v>12.525</v>
      </c>
      <c r="AW68" s="1106">
        <f t="shared" si="25"/>
        <v>0</v>
      </c>
      <c r="AX68" s="1104">
        <f t="shared" si="42"/>
        <v>12.525</v>
      </c>
      <c r="AY68" s="1104">
        <f>AW68+AX67*(1-$E$8)</f>
        <v>0</v>
      </c>
      <c r="AZ68" s="1120">
        <f>AY68*16/12*$E$11</f>
        <v>0</v>
      </c>
      <c r="BB68" s="1320">
        <f t="shared" si="29"/>
        <v>339.95650666301094</v>
      </c>
      <c r="BC68" s="1123">
        <f t="shared" si="30"/>
        <v>1072.8449766490489</v>
      </c>
      <c r="BD68" s="1324">
        <f>AZ68</f>
        <v>0</v>
      </c>
      <c r="BE68" s="1123">
        <f t="shared" si="32"/>
        <v>1412.8014833120599</v>
      </c>
      <c r="BF68" s="115">
        <v>0</v>
      </c>
      <c r="BG68" s="1313">
        <f t="shared" si="33"/>
        <v>1412.8014833120599</v>
      </c>
      <c r="BI68" s="1320">
        <f t="shared" si="34"/>
        <v>339.95650666301094</v>
      </c>
      <c r="BJ68" s="1123">
        <f t="shared" si="35"/>
        <v>1072.8449766490489</v>
      </c>
      <c r="BK68" s="1324">
        <f t="shared" si="36"/>
        <v>0</v>
      </c>
      <c r="BL68" s="1123">
        <f t="shared" si="37"/>
        <v>1412.8014833120599</v>
      </c>
      <c r="BM68" s="115">
        <v>0</v>
      </c>
      <c r="BN68" s="1313">
        <f t="shared" si="38"/>
        <v>1412.8014833120599</v>
      </c>
    </row>
    <row r="69" spans="1:66">
      <c r="A69" s="1034">
        <f>'Input data'!A99</f>
        <v>2001</v>
      </c>
      <c r="B69" s="1083">
        <f>'Input data'!B99</f>
        <v>44.91</v>
      </c>
      <c r="C69" s="1128">
        <f>'Baseline data (from input)'!B57</f>
        <v>578.73</v>
      </c>
      <c r="D69" s="1084">
        <f>'Baseline data (from input)'!L57</f>
        <v>0.8</v>
      </c>
      <c r="E69" s="1085">
        <f t="shared" si="44"/>
        <v>0.24001298204245269</v>
      </c>
      <c r="F69" s="1085">
        <f t="shared" si="44"/>
        <v>0.30440139352934503</v>
      </c>
      <c r="G69" s="1085">
        <f t="shared" si="44"/>
        <v>5.8998240613430578E-2</v>
      </c>
      <c r="H69" s="1085">
        <f t="shared" si="44"/>
        <v>0</v>
      </c>
      <c r="I69" s="1085">
        <f t="shared" si="44"/>
        <v>0</v>
      </c>
      <c r="J69" s="1085">
        <f t="shared" si="44"/>
        <v>0</v>
      </c>
      <c r="K69" s="1085">
        <f t="shared" si="44"/>
        <v>0.39658738381477154</v>
      </c>
      <c r="L69" s="1093">
        <f t="shared" si="40"/>
        <v>0.99999999999999989</v>
      </c>
      <c r="N69" s="1111">
        <f t="shared" si="1"/>
        <v>20792.611440000001</v>
      </c>
      <c r="O69" s="1105">
        <f>Parameters!R172</f>
        <v>0.73</v>
      </c>
      <c r="P69" s="1105">
        <f>E69*'MSW characteristics'!$B$28+'MSW characteristics'!$B$29*'4A SWD Case 3'!F69+'4A SWD Case 3'!G69*'MSW characteristics'!$B$30+'MSW characteristics'!$B$31*'4A SWD Case 3'!H69+'4A SWD Case 3'!I69*'MSW characteristics'!$B$32+'MSW characteristics'!$B$33*'4A SWD Case 3'!J69+'4A SWD Case 3'!K69*'MSW characteristics'!$B$35</f>
        <v>0.12048152225760915</v>
      </c>
      <c r="Q69" s="1104">
        <f t="shared" si="2"/>
        <v>914.37079947079519</v>
      </c>
      <c r="R69" s="1104">
        <f t="shared" si="3"/>
        <v>914.37079947079519</v>
      </c>
      <c r="S69" s="1106">
        <f t="shared" si="4"/>
        <v>0</v>
      </c>
      <c r="T69" s="1104">
        <f t="shared" si="5"/>
        <v>11227.310660130159</v>
      </c>
      <c r="U69" s="1104">
        <f t="shared" si="6"/>
        <v>528.7557335160061</v>
      </c>
      <c r="V69" s="1117">
        <f t="shared" si="7"/>
        <v>352.50382234400405</v>
      </c>
      <c r="X69" s="1111">
        <f>'Baseline data (from input)'!T57*'Baseline data (from input)'!U57</f>
        <v>47203.094179222629</v>
      </c>
      <c r="Y69" s="1105">
        <f>Parameters!S172</f>
        <v>0.71500000000000008</v>
      </c>
      <c r="Z69" s="1105">
        <f t="shared" si="8"/>
        <v>0.15</v>
      </c>
      <c r="AA69" s="1104">
        <f t="shared" si="9"/>
        <v>2531.2659253608135</v>
      </c>
      <c r="AB69" s="1104">
        <f t="shared" si="10"/>
        <v>2531.2659253608135</v>
      </c>
      <c r="AC69" s="1106">
        <f t="shared" si="11"/>
        <v>0</v>
      </c>
      <c r="AD69" s="1104">
        <f t="shared" si="12"/>
        <v>34732.416837797653</v>
      </c>
      <c r="AE69" s="1104">
        <f t="shared" si="13"/>
        <v>1650.9883118504433</v>
      </c>
      <c r="AF69" s="1117">
        <f t="shared" si="14"/>
        <v>1100.6588745669621</v>
      </c>
      <c r="AH69" s="1111">
        <f>'Baseline data (from input)'!T57*'Baseline data (from input)'!U57</f>
        <v>47203.094179222629</v>
      </c>
      <c r="AI69" s="1105">
        <f>Parameters!S172</f>
        <v>0.71500000000000008</v>
      </c>
      <c r="AJ69" s="1105">
        <f t="shared" si="15"/>
        <v>0.15</v>
      </c>
      <c r="AK69" s="1104">
        <f t="shared" si="16"/>
        <v>2531.2659253608135</v>
      </c>
      <c r="AL69" s="1104">
        <f t="shared" si="17"/>
        <v>2531.2659253608135</v>
      </c>
      <c r="AM69" s="1106">
        <f t="shared" si="18"/>
        <v>0</v>
      </c>
      <c r="AN69" s="1104">
        <f t="shared" si="19"/>
        <v>34732.416837797653</v>
      </c>
      <c r="AO69" s="1104">
        <f t="shared" si="20"/>
        <v>1650.9883118504433</v>
      </c>
      <c r="AP69" s="1117">
        <f t="shared" si="21"/>
        <v>1100.6588745669621</v>
      </c>
      <c r="AR69" s="1119">
        <v>501</v>
      </c>
      <c r="AS69" s="1105">
        <v>1</v>
      </c>
      <c r="AT69" s="1105">
        <f t="shared" si="22"/>
        <v>0.05</v>
      </c>
      <c r="AU69" s="1104">
        <f t="shared" si="23"/>
        <v>12.525</v>
      </c>
      <c r="AV69" s="1104">
        <f t="shared" si="24"/>
        <v>12.525</v>
      </c>
      <c r="AW69" s="1106">
        <f t="shared" si="25"/>
        <v>0</v>
      </c>
      <c r="AX69" s="1104">
        <f t="shared" si="42"/>
        <v>24.320600783142716</v>
      </c>
      <c r="AY69" s="1104">
        <f>AW69+AX68*(1-$E$8)</f>
        <v>0.72939921685728482</v>
      </c>
      <c r="AZ69" s="1120">
        <f t="shared" ref="AZ69:AZ118" si="45">AY69*16/12*$E$11</f>
        <v>0.48626614457152323</v>
      </c>
      <c r="BB69" s="323">
        <f t="shared" si="29"/>
        <v>352.50382234400405</v>
      </c>
      <c r="BC69" s="324">
        <f t="shared" si="30"/>
        <v>1100.6588745669621</v>
      </c>
      <c r="BD69" s="1323">
        <f t="shared" ref="BD69:BD85" si="46">AZ69</f>
        <v>0.48626614457152323</v>
      </c>
      <c r="BE69" s="324">
        <f t="shared" si="32"/>
        <v>1453.6489630555377</v>
      </c>
      <c r="BF69" s="104">
        <v>0</v>
      </c>
      <c r="BG69" s="1314">
        <f t="shared" si="33"/>
        <v>1453.6489630555377</v>
      </c>
      <c r="BI69" s="323">
        <f t="shared" si="34"/>
        <v>352.50382234400405</v>
      </c>
      <c r="BJ69" s="324">
        <f t="shared" si="35"/>
        <v>1100.6588745669621</v>
      </c>
      <c r="BK69" s="1323">
        <f t="shared" si="36"/>
        <v>0.48626614457152323</v>
      </c>
      <c r="BL69" s="324">
        <f t="shared" si="37"/>
        <v>1453.6489630555377</v>
      </c>
      <c r="BM69" s="104">
        <v>0</v>
      </c>
      <c r="BN69" s="1314">
        <f t="shared" si="38"/>
        <v>1453.6489630555377</v>
      </c>
    </row>
    <row r="70" spans="1:66">
      <c r="A70" s="1034">
        <f>'Input data'!A100</f>
        <v>2002</v>
      </c>
      <c r="B70" s="1083">
        <f>'Input data'!B100</f>
        <v>45.533000000000001</v>
      </c>
      <c r="C70" s="1128">
        <f>'Baseline data (from input)'!B58</f>
        <v>578.73</v>
      </c>
      <c r="D70" s="1084">
        <f>'Baseline data (from input)'!L58</f>
        <v>0.8</v>
      </c>
      <c r="E70" s="1085">
        <f t="shared" si="44"/>
        <v>0.24001298204245269</v>
      </c>
      <c r="F70" s="1085">
        <f t="shared" si="44"/>
        <v>0.30440139352934503</v>
      </c>
      <c r="G70" s="1085">
        <f t="shared" si="44"/>
        <v>5.8998240613430578E-2</v>
      </c>
      <c r="H70" s="1085">
        <f t="shared" si="44"/>
        <v>0</v>
      </c>
      <c r="I70" s="1085">
        <f t="shared" si="44"/>
        <v>0</v>
      </c>
      <c r="J70" s="1085">
        <f t="shared" si="44"/>
        <v>0</v>
      </c>
      <c r="K70" s="1085">
        <f t="shared" si="44"/>
        <v>0.39658738381477154</v>
      </c>
      <c r="L70" s="1093">
        <f t="shared" si="40"/>
        <v>0.99999999999999989</v>
      </c>
      <c r="N70" s="1111">
        <f t="shared" si="1"/>
        <v>21081.050472000003</v>
      </c>
      <c r="O70" s="1105">
        <f>Parameters!R173</f>
        <v>0.73</v>
      </c>
      <c r="P70" s="1105">
        <f>E70*'MSW characteristics'!$B$28+'MSW characteristics'!$B$29*'4A SWD Case 3'!F70+'4A SWD Case 3'!G70*'MSW characteristics'!$B$30+'MSW characteristics'!$B$31*'4A SWD Case 3'!H70+'4A SWD Case 3'!I70*'MSW characteristics'!$B$32+'MSW characteristics'!$B$33*'4A SWD Case 3'!J70+'4A SWD Case 3'!K70*'MSW characteristics'!$B$35</f>
        <v>0.12048152225760915</v>
      </c>
      <c r="Q70" s="1104">
        <f t="shared" si="2"/>
        <v>927.05512385445832</v>
      </c>
      <c r="R70" s="1104">
        <f t="shared" si="3"/>
        <v>927.05512385445832</v>
      </c>
      <c r="S70" s="1106">
        <f t="shared" si="4"/>
        <v>0</v>
      </c>
      <c r="T70" s="1104">
        <f t="shared" si="5"/>
        <v>11606.803381780801</v>
      </c>
      <c r="U70" s="1104">
        <f t="shared" si="6"/>
        <v>547.5624022038163</v>
      </c>
      <c r="V70" s="1117">
        <f t="shared" si="7"/>
        <v>365.04160146921089</v>
      </c>
      <c r="X70" s="1111">
        <f>'Baseline data (from input)'!T58*'Baseline data (from input)'!U58</f>
        <v>48949.789145828523</v>
      </c>
      <c r="Y70" s="1105">
        <f>Parameters!S173</f>
        <v>0.71500000000000008</v>
      </c>
      <c r="Z70" s="1105">
        <f t="shared" si="8"/>
        <v>0.15</v>
      </c>
      <c r="AA70" s="1104">
        <f t="shared" si="9"/>
        <v>2624.9324429450548</v>
      </c>
      <c r="AB70" s="1104">
        <f t="shared" si="10"/>
        <v>2624.9324429450548</v>
      </c>
      <c r="AC70" s="1106">
        <f t="shared" si="11"/>
        <v>0</v>
      </c>
      <c r="AD70" s="1104">
        <f t="shared" si="12"/>
        <v>35663.42932308223</v>
      </c>
      <c r="AE70" s="1104">
        <f t="shared" si="13"/>
        <v>1693.9199576604822</v>
      </c>
      <c r="AF70" s="1117">
        <f t="shared" si="14"/>
        <v>1129.2799717736548</v>
      </c>
      <c r="AH70" s="1111">
        <f>'Baseline data (from input)'!T58*'Baseline data (from input)'!U58</f>
        <v>48949.789145828523</v>
      </c>
      <c r="AI70" s="1105">
        <f>Parameters!S173</f>
        <v>0.71500000000000008</v>
      </c>
      <c r="AJ70" s="1105">
        <f t="shared" si="15"/>
        <v>0.15</v>
      </c>
      <c r="AK70" s="1104">
        <f t="shared" si="16"/>
        <v>2624.9324429450548</v>
      </c>
      <c r="AL70" s="1104">
        <f t="shared" si="17"/>
        <v>2624.9324429450548</v>
      </c>
      <c r="AM70" s="1106">
        <f t="shared" si="18"/>
        <v>0</v>
      </c>
      <c r="AN70" s="1104">
        <f t="shared" si="19"/>
        <v>35663.42932308223</v>
      </c>
      <c r="AO70" s="1104">
        <f t="shared" si="20"/>
        <v>1693.9199576604822</v>
      </c>
      <c r="AP70" s="1117">
        <f t="shared" si="21"/>
        <v>1129.2799717736548</v>
      </c>
      <c r="AR70" s="1119">
        <v>501</v>
      </c>
      <c r="AS70" s="1105">
        <v>1</v>
      </c>
      <c r="AT70" s="1105">
        <f t="shared" si="22"/>
        <v>0.05</v>
      </c>
      <c r="AU70" s="1104">
        <f t="shared" si="23"/>
        <v>12.525</v>
      </c>
      <c r="AV70" s="1104">
        <f t="shared" si="24"/>
        <v>12.525</v>
      </c>
      <c r="AW70" s="1106">
        <f t="shared" si="25"/>
        <v>0</v>
      </c>
      <c r="AX70" s="1104">
        <f t="shared" si="42"/>
        <v>35.429279253025115</v>
      </c>
      <c r="AY70" s="1104">
        <f t="shared" ref="AY70:AY118" si="47">AW70+AX69*(1-$E$8)</f>
        <v>1.416321530117602</v>
      </c>
      <c r="AZ70" s="1120">
        <f t="shared" si="45"/>
        <v>0.94421435341173465</v>
      </c>
      <c r="BB70" s="323">
        <f t="shared" si="29"/>
        <v>365.04160146921089</v>
      </c>
      <c r="BC70" s="324">
        <f t="shared" si="30"/>
        <v>1129.2799717736548</v>
      </c>
      <c r="BD70" s="1323">
        <f t="shared" si="46"/>
        <v>0.94421435341173465</v>
      </c>
      <c r="BE70" s="324">
        <f t="shared" si="32"/>
        <v>1495.2657875962775</v>
      </c>
      <c r="BF70" s="104">
        <v>0</v>
      </c>
      <c r="BG70" s="1314">
        <f t="shared" si="33"/>
        <v>1495.2657875962775</v>
      </c>
      <c r="BI70" s="323">
        <f t="shared" si="34"/>
        <v>365.04160146921089</v>
      </c>
      <c r="BJ70" s="324">
        <f t="shared" si="35"/>
        <v>1129.2799717736548</v>
      </c>
      <c r="BK70" s="1323">
        <f t="shared" si="36"/>
        <v>0.94421435341173465</v>
      </c>
      <c r="BL70" s="324">
        <f t="shared" si="37"/>
        <v>1495.2657875962775</v>
      </c>
      <c r="BM70" s="104">
        <v>0</v>
      </c>
      <c r="BN70" s="1314">
        <f t="shared" si="38"/>
        <v>1495.2657875962775</v>
      </c>
    </row>
    <row r="71" spans="1:66">
      <c r="A71" s="1034">
        <f>'Input data'!A101</f>
        <v>2003</v>
      </c>
      <c r="B71" s="1083">
        <f>'Input data'!B101</f>
        <v>46.116</v>
      </c>
      <c r="C71" s="1128">
        <f>'Baseline data (from input)'!B59</f>
        <v>578.73</v>
      </c>
      <c r="D71" s="1084">
        <f>'Baseline data (from input)'!L59</f>
        <v>0.8</v>
      </c>
      <c r="E71" s="1085">
        <f t="shared" si="44"/>
        <v>0.24001298204245269</v>
      </c>
      <c r="F71" s="1085">
        <f t="shared" si="44"/>
        <v>0.30440139352934503</v>
      </c>
      <c r="G71" s="1085">
        <f t="shared" si="44"/>
        <v>5.8998240613430578E-2</v>
      </c>
      <c r="H71" s="1085">
        <f t="shared" si="44"/>
        <v>0</v>
      </c>
      <c r="I71" s="1085">
        <f t="shared" si="44"/>
        <v>0</v>
      </c>
      <c r="J71" s="1085">
        <f t="shared" si="44"/>
        <v>0</v>
      </c>
      <c r="K71" s="1085">
        <f t="shared" si="44"/>
        <v>0.39658738381477154</v>
      </c>
      <c r="L71" s="1093">
        <f t="shared" si="40"/>
        <v>0.99999999999999989</v>
      </c>
      <c r="N71" s="1111">
        <f t="shared" si="1"/>
        <v>21350.970144000003</v>
      </c>
      <c r="O71" s="1105">
        <f>Parameters!R174</f>
        <v>0.73</v>
      </c>
      <c r="P71" s="1105">
        <f>E71*'MSW characteristics'!$B$28+'MSW characteristics'!$B$29*'4A SWD Case 3'!F71+'4A SWD Case 3'!G71*'MSW characteristics'!$B$30+'MSW characteristics'!$B$31*'4A SWD Case 3'!H71+'4A SWD Case 3'!I71*'MSW characteristics'!$B$32+'MSW characteristics'!$B$33*'4A SWD Case 3'!J71+'4A SWD Case 3'!K71*'MSW characteristics'!$B$35</f>
        <v>0.12048152225760915</v>
      </c>
      <c r="Q71" s="1104">
        <f t="shared" si="2"/>
        <v>938.92504538844787</v>
      </c>
      <c r="R71" s="1104">
        <f t="shared" si="3"/>
        <v>938.92504538844787</v>
      </c>
      <c r="S71" s="1106">
        <f t="shared" si="4"/>
        <v>0</v>
      </c>
      <c r="T71" s="1104">
        <f t="shared" si="5"/>
        <v>11979.657946532741</v>
      </c>
      <c r="U71" s="1104">
        <f t="shared" si="6"/>
        <v>566.07048063650848</v>
      </c>
      <c r="V71" s="1117">
        <f t="shared" si="7"/>
        <v>377.380320424339</v>
      </c>
      <c r="X71" s="1111">
        <f>'Baseline data (from input)'!T59*'Baseline data (from input)'!U59</f>
        <v>50393.357165133653</v>
      </c>
      <c r="Y71" s="1105">
        <f>Parameters!S174</f>
        <v>0.71500000000000008</v>
      </c>
      <c r="Z71" s="1105">
        <f t="shared" si="8"/>
        <v>0.15</v>
      </c>
      <c r="AA71" s="1104">
        <f t="shared" si="9"/>
        <v>2702.3437779802925</v>
      </c>
      <c r="AB71" s="1104">
        <f t="shared" si="10"/>
        <v>2702.3437779802925</v>
      </c>
      <c r="AC71" s="1106">
        <f t="shared" si="11"/>
        <v>0</v>
      </c>
      <c r="AD71" s="1104">
        <f t="shared" si="12"/>
        <v>36626.447128697691</v>
      </c>
      <c r="AE71" s="1104">
        <f t="shared" si="13"/>
        <v>1739.3259723648316</v>
      </c>
      <c r="AF71" s="1117">
        <f t="shared" si="14"/>
        <v>1159.5506482432211</v>
      </c>
      <c r="AH71" s="1111">
        <f>'Baseline data (from input)'!T59*'Baseline data (from input)'!U59</f>
        <v>50393.357165133653</v>
      </c>
      <c r="AI71" s="1105">
        <f>Parameters!S174</f>
        <v>0.71500000000000008</v>
      </c>
      <c r="AJ71" s="1105">
        <f t="shared" si="15"/>
        <v>0.15</v>
      </c>
      <c r="AK71" s="1104">
        <f t="shared" si="16"/>
        <v>2702.3437779802925</v>
      </c>
      <c r="AL71" s="1104">
        <f t="shared" si="17"/>
        <v>2702.3437779802925</v>
      </c>
      <c r="AM71" s="1106">
        <f t="shared" si="18"/>
        <v>0</v>
      </c>
      <c r="AN71" s="1104">
        <f t="shared" si="19"/>
        <v>36626.447128697691</v>
      </c>
      <c r="AO71" s="1104">
        <f t="shared" si="20"/>
        <v>1739.3259723648316</v>
      </c>
      <c r="AP71" s="1117">
        <f t="shared" si="21"/>
        <v>1159.5506482432211</v>
      </c>
      <c r="AR71" s="1119">
        <v>501</v>
      </c>
      <c r="AS71" s="1105">
        <v>1</v>
      </c>
      <c r="AT71" s="1105">
        <f t="shared" si="22"/>
        <v>0.05</v>
      </c>
      <c r="AU71" s="1104">
        <f t="shared" si="23"/>
        <v>12.525</v>
      </c>
      <c r="AV71" s="1104">
        <f t="shared" si="24"/>
        <v>12.525</v>
      </c>
      <c r="AW71" s="1106">
        <f t="shared" si="25"/>
        <v>0</v>
      </c>
      <c r="AX71" s="1104">
        <f t="shared" si="42"/>
        <v>45.891038650951295</v>
      </c>
      <c r="AY71" s="1104">
        <f t="shared" si="47"/>
        <v>2.0632406020738179</v>
      </c>
      <c r="AZ71" s="1120">
        <f t="shared" si="45"/>
        <v>1.3754937347158787</v>
      </c>
      <c r="BB71" s="323">
        <f t="shared" si="29"/>
        <v>377.380320424339</v>
      </c>
      <c r="BC71" s="324">
        <f t="shared" si="30"/>
        <v>1159.5506482432211</v>
      </c>
      <c r="BD71" s="1323">
        <f t="shared" si="46"/>
        <v>1.3754937347158787</v>
      </c>
      <c r="BE71" s="324">
        <f t="shared" si="32"/>
        <v>1538.3064624022761</v>
      </c>
      <c r="BF71" s="104">
        <v>0</v>
      </c>
      <c r="BG71" s="1314">
        <f t="shared" si="33"/>
        <v>1538.3064624022761</v>
      </c>
      <c r="BI71" s="323">
        <f t="shared" si="34"/>
        <v>377.380320424339</v>
      </c>
      <c r="BJ71" s="324">
        <f t="shared" si="35"/>
        <v>1159.5506482432211</v>
      </c>
      <c r="BK71" s="1323">
        <f t="shared" si="36"/>
        <v>1.3754937347158787</v>
      </c>
      <c r="BL71" s="324">
        <f t="shared" si="37"/>
        <v>1538.3064624022761</v>
      </c>
      <c r="BM71" s="104">
        <v>0</v>
      </c>
      <c r="BN71" s="1314">
        <f t="shared" si="38"/>
        <v>1538.3064624022761</v>
      </c>
    </row>
    <row r="72" spans="1:66">
      <c r="A72" s="1034">
        <f>'Input data'!A102</f>
        <v>2004</v>
      </c>
      <c r="B72" s="1083">
        <f>'Input data'!B102</f>
        <v>46.664999999999999</v>
      </c>
      <c r="C72" s="1128">
        <f>'Baseline data (from input)'!B60</f>
        <v>578.73</v>
      </c>
      <c r="D72" s="1084">
        <f>'Baseline data (from input)'!L60</f>
        <v>0.8</v>
      </c>
      <c r="E72" s="1085">
        <f t="shared" si="44"/>
        <v>0.24001298204245269</v>
      </c>
      <c r="F72" s="1085">
        <f t="shared" si="44"/>
        <v>0.30440139352934503</v>
      </c>
      <c r="G72" s="1085">
        <f t="shared" si="44"/>
        <v>5.8998240613430578E-2</v>
      </c>
      <c r="H72" s="1085">
        <f t="shared" si="44"/>
        <v>0</v>
      </c>
      <c r="I72" s="1085">
        <f t="shared" si="44"/>
        <v>0</v>
      </c>
      <c r="J72" s="1085">
        <f t="shared" si="44"/>
        <v>0</v>
      </c>
      <c r="K72" s="1085">
        <f t="shared" si="44"/>
        <v>0.39658738381477154</v>
      </c>
      <c r="L72" s="1093">
        <f t="shared" si="40"/>
        <v>0.99999999999999989</v>
      </c>
      <c r="N72" s="1111">
        <f t="shared" si="1"/>
        <v>21605.148360000003</v>
      </c>
      <c r="O72" s="1105">
        <f>Parameters!R175</f>
        <v>0.73</v>
      </c>
      <c r="P72" s="1105">
        <f>E72*'MSW characteristics'!$B$28+'MSW characteristics'!$B$29*'4A SWD Case 3'!F72+'4A SWD Case 3'!G72*'MSW characteristics'!$B$30+'MSW characteristics'!$B$31*'4A SWD Case 3'!H72+'4A SWD Case 3'!I72*'MSW characteristics'!$B$32+'MSW characteristics'!$B$33*'4A SWD Case 3'!J72+'4A SWD Case 3'!K72*'MSW characteristics'!$B$35</f>
        <v>0.12048152225760915</v>
      </c>
      <c r="Q72" s="1104">
        <f t="shared" si="2"/>
        <v>950.10272450021512</v>
      </c>
      <c r="R72" s="1104">
        <f t="shared" si="3"/>
        <v>950.10272450021512</v>
      </c>
      <c r="S72" s="1106">
        <f t="shared" si="4"/>
        <v>0</v>
      </c>
      <c r="T72" s="1104">
        <f t="shared" si="5"/>
        <v>12345.50585869596</v>
      </c>
      <c r="U72" s="1104">
        <f t="shared" si="6"/>
        <v>584.25481233699634</v>
      </c>
      <c r="V72" s="1117">
        <f t="shared" si="7"/>
        <v>389.50320822466421</v>
      </c>
      <c r="X72" s="1111">
        <f>'Baseline data (from input)'!T60*'Baseline data (from input)'!U60</f>
        <v>52688.549197195905</v>
      </c>
      <c r="Y72" s="1105">
        <f>Parameters!S175</f>
        <v>0.71500000000000008</v>
      </c>
      <c r="Z72" s="1105">
        <f t="shared" si="8"/>
        <v>0.15</v>
      </c>
      <c r="AA72" s="1104">
        <f t="shared" si="9"/>
        <v>2825.4234506996308</v>
      </c>
      <c r="AB72" s="1104">
        <f t="shared" si="10"/>
        <v>2825.4234506996308</v>
      </c>
      <c r="AC72" s="1106">
        <f t="shared" si="11"/>
        <v>0</v>
      </c>
      <c r="AD72" s="1104">
        <f t="shared" si="12"/>
        <v>37665.577674436565</v>
      </c>
      <c r="AE72" s="1104">
        <f t="shared" si="13"/>
        <v>1786.2929049607571</v>
      </c>
      <c r="AF72" s="1117">
        <f t="shared" si="14"/>
        <v>1190.8619366405048</v>
      </c>
      <c r="AH72" s="1111">
        <f>'Baseline data (from input)'!T60*'Baseline data (from input)'!U60</f>
        <v>52688.549197195905</v>
      </c>
      <c r="AI72" s="1105">
        <f>Parameters!S175</f>
        <v>0.71500000000000008</v>
      </c>
      <c r="AJ72" s="1105">
        <f t="shared" si="15"/>
        <v>0.15</v>
      </c>
      <c r="AK72" s="1104">
        <f t="shared" si="16"/>
        <v>2825.4234506996308</v>
      </c>
      <c r="AL72" s="1104">
        <f t="shared" si="17"/>
        <v>2825.4234506996308</v>
      </c>
      <c r="AM72" s="1106">
        <f t="shared" si="18"/>
        <v>0</v>
      </c>
      <c r="AN72" s="1104">
        <f t="shared" si="19"/>
        <v>37665.577674436565</v>
      </c>
      <c r="AO72" s="1104">
        <f t="shared" si="20"/>
        <v>1786.2929049607571</v>
      </c>
      <c r="AP72" s="1117">
        <f t="shared" si="21"/>
        <v>1190.8619366405048</v>
      </c>
      <c r="AR72" s="1119">
        <v>501</v>
      </c>
      <c r="AS72" s="1105">
        <v>1</v>
      </c>
      <c r="AT72" s="1105">
        <f t="shared" si="22"/>
        <v>0.05</v>
      </c>
      <c r="AU72" s="1104">
        <f t="shared" si="23"/>
        <v>12.525</v>
      </c>
      <c r="AV72" s="1104">
        <f t="shared" si="24"/>
        <v>12.525</v>
      </c>
      <c r="AW72" s="1106">
        <f t="shared" si="25"/>
        <v>0</v>
      </c>
      <c r="AX72" s="1104">
        <f t="shared" si="42"/>
        <v>55.743552610809878</v>
      </c>
      <c r="AY72" s="1104">
        <f t="shared" si="47"/>
        <v>2.6724860401414179</v>
      </c>
      <c r="AZ72" s="1120">
        <f t="shared" si="45"/>
        <v>1.7816573600942787</v>
      </c>
      <c r="BB72" s="323">
        <f t="shared" si="29"/>
        <v>389.50320822466421</v>
      </c>
      <c r="BC72" s="324">
        <f t="shared" si="30"/>
        <v>1190.8619366405048</v>
      </c>
      <c r="BD72" s="1323">
        <f t="shared" si="46"/>
        <v>1.7816573600942787</v>
      </c>
      <c r="BE72" s="324">
        <f t="shared" si="32"/>
        <v>1582.1468022252632</v>
      </c>
      <c r="BF72" s="104">
        <v>0</v>
      </c>
      <c r="BG72" s="1314">
        <f t="shared" si="33"/>
        <v>1582.1468022252632</v>
      </c>
      <c r="BI72" s="323">
        <f t="shared" si="34"/>
        <v>389.50320822466421</v>
      </c>
      <c r="BJ72" s="324">
        <f t="shared" si="35"/>
        <v>1190.8619366405048</v>
      </c>
      <c r="BK72" s="1323">
        <f t="shared" si="36"/>
        <v>1.7816573600942787</v>
      </c>
      <c r="BL72" s="324">
        <f t="shared" si="37"/>
        <v>1582.1468022252632</v>
      </c>
      <c r="BM72" s="104">
        <v>0</v>
      </c>
      <c r="BN72" s="1314">
        <f t="shared" si="38"/>
        <v>1582.1468022252632</v>
      </c>
    </row>
    <row r="73" spans="1:66">
      <c r="A73" s="1034">
        <f>'Input data'!A103</f>
        <v>2005</v>
      </c>
      <c r="B73" s="1083">
        <f>'Input data'!B103</f>
        <v>47.198</v>
      </c>
      <c r="C73" s="1128">
        <f>'Baseline data (from input)'!B61</f>
        <v>578.73</v>
      </c>
      <c r="D73" s="1084">
        <f>'Baseline data (from input)'!L61</f>
        <v>0.8</v>
      </c>
      <c r="E73" s="1085">
        <f t="shared" si="44"/>
        <v>0.24001298204245269</v>
      </c>
      <c r="F73" s="1085">
        <f t="shared" si="44"/>
        <v>0.30440139352934503</v>
      </c>
      <c r="G73" s="1085">
        <f t="shared" si="44"/>
        <v>5.8998240613430578E-2</v>
      </c>
      <c r="H73" s="1085">
        <f t="shared" si="44"/>
        <v>0</v>
      </c>
      <c r="I73" s="1085">
        <f t="shared" si="44"/>
        <v>0</v>
      </c>
      <c r="J73" s="1085">
        <f t="shared" si="44"/>
        <v>0</v>
      </c>
      <c r="K73" s="1085">
        <f t="shared" si="44"/>
        <v>0.39658738381477154</v>
      </c>
      <c r="L73" s="1093">
        <f t="shared" si="40"/>
        <v>0.99999999999999989</v>
      </c>
      <c r="N73" s="1111">
        <f t="shared" si="1"/>
        <v>21851.918832000003</v>
      </c>
      <c r="O73" s="1105">
        <f>Parameters!R176</f>
        <v>0.73</v>
      </c>
      <c r="P73" s="1105">
        <f>E73*'MSW characteristics'!$B$28+'MSW characteristics'!$B$29*'4A SWD Case 3'!F73+'4A SWD Case 3'!G73*'MSW characteristics'!$B$30+'MSW characteristics'!$B$31*'4A SWD Case 3'!H73+'4A SWD Case 3'!I73*'MSW characteristics'!$B$32+'MSW characteristics'!$B$33*'4A SWD Case 3'!J73+'4A SWD Case 3'!K73*'MSW characteristics'!$B$35</f>
        <v>0.12048152225760915</v>
      </c>
      <c r="Q73" s="1104">
        <f t="shared" si="2"/>
        <v>960.95464247211305</v>
      </c>
      <c r="R73" s="1104">
        <f t="shared" si="3"/>
        <v>960.95464247211305</v>
      </c>
      <c r="S73" s="1106">
        <f t="shared" si="4"/>
        <v>0</v>
      </c>
      <c r="T73" s="1104">
        <f t="shared" si="5"/>
        <v>12704.363075609665</v>
      </c>
      <c r="U73" s="1104">
        <f t="shared" si="6"/>
        <v>602.09742555840876</v>
      </c>
      <c r="V73" s="1117">
        <f t="shared" si="7"/>
        <v>401.39828370560582</v>
      </c>
      <c r="X73" s="1111">
        <f>'Baseline data (from input)'!T61*'Baseline data (from input)'!U61</f>
        <v>55468.953608307747</v>
      </c>
      <c r="Y73" s="1105">
        <f>Parameters!S176</f>
        <v>0.71500000000000008</v>
      </c>
      <c r="Z73" s="1105">
        <f t="shared" si="8"/>
        <v>0.15</v>
      </c>
      <c r="AA73" s="1104">
        <f t="shared" si="9"/>
        <v>2974.5226372455031</v>
      </c>
      <c r="AB73" s="1104">
        <f t="shared" si="10"/>
        <v>2974.5226372455031</v>
      </c>
      <c r="AC73" s="1106">
        <f t="shared" si="11"/>
        <v>0</v>
      </c>
      <c r="AD73" s="1104">
        <f t="shared" si="12"/>
        <v>38803.128411986734</v>
      </c>
      <c r="AE73" s="1104">
        <f t="shared" si="13"/>
        <v>1836.9718996953291</v>
      </c>
      <c r="AF73" s="1117">
        <f t="shared" si="14"/>
        <v>1224.6479331302194</v>
      </c>
      <c r="AH73" s="1111">
        <f>'Baseline data (from input)'!T61*'Baseline data (from input)'!U61</f>
        <v>55468.953608307747</v>
      </c>
      <c r="AI73" s="1105">
        <f>Parameters!S176</f>
        <v>0.71500000000000008</v>
      </c>
      <c r="AJ73" s="1105">
        <f t="shared" si="15"/>
        <v>0.15</v>
      </c>
      <c r="AK73" s="1104">
        <f t="shared" si="16"/>
        <v>2974.5226372455031</v>
      </c>
      <c r="AL73" s="1104">
        <f t="shared" si="17"/>
        <v>2974.5226372455031</v>
      </c>
      <c r="AM73" s="1106">
        <f t="shared" si="18"/>
        <v>0</v>
      </c>
      <c r="AN73" s="1104">
        <f t="shared" si="19"/>
        <v>38803.128411986734</v>
      </c>
      <c r="AO73" s="1104">
        <f t="shared" si="20"/>
        <v>1836.9718996953291</v>
      </c>
      <c r="AP73" s="1117">
        <f t="shared" si="21"/>
        <v>1224.6479331302194</v>
      </c>
      <c r="AR73" s="1119">
        <v>501</v>
      </c>
      <c r="AS73" s="1105">
        <v>1</v>
      </c>
      <c r="AT73" s="1105">
        <f t="shared" si="22"/>
        <v>0.05</v>
      </c>
      <c r="AU73" s="1104">
        <f t="shared" si="23"/>
        <v>12.525</v>
      </c>
      <c r="AV73" s="1104">
        <f t="shared" si="24"/>
        <v>12.525</v>
      </c>
      <c r="AW73" s="1106">
        <f t="shared" si="25"/>
        <v>0</v>
      </c>
      <c r="AX73" s="1104">
        <f t="shared" si="42"/>
        <v>65.022300824848401</v>
      </c>
      <c r="AY73" s="1104">
        <f t="shared" si="47"/>
        <v>3.2462517859614834</v>
      </c>
      <c r="AZ73" s="1120">
        <f t="shared" si="45"/>
        <v>2.1641678573076555</v>
      </c>
      <c r="BB73" s="323">
        <f t="shared" si="29"/>
        <v>401.39828370560582</v>
      </c>
      <c r="BC73" s="324">
        <f t="shared" si="30"/>
        <v>1224.6479331302194</v>
      </c>
      <c r="BD73" s="1323">
        <f t="shared" si="46"/>
        <v>2.1641678573076555</v>
      </c>
      <c r="BE73" s="324">
        <f t="shared" si="32"/>
        <v>1628.2103846931327</v>
      </c>
      <c r="BF73" s="104">
        <v>0</v>
      </c>
      <c r="BG73" s="1314">
        <f t="shared" si="33"/>
        <v>1628.2103846931327</v>
      </c>
      <c r="BI73" s="323">
        <f t="shared" si="34"/>
        <v>401.39828370560582</v>
      </c>
      <c r="BJ73" s="324">
        <f t="shared" si="35"/>
        <v>1224.6479331302194</v>
      </c>
      <c r="BK73" s="1323">
        <f t="shared" si="36"/>
        <v>2.1641678573076555</v>
      </c>
      <c r="BL73" s="324">
        <f t="shared" si="37"/>
        <v>1628.2103846931327</v>
      </c>
      <c r="BM73" s="104">
        <v>0</v>
      </c>
      <c r="BN73" s="1314">
        <f t="shared" si="38"/>
        <v>1628.2103846931327</v>
      </c>
    </row>
    <row r="74" spans="1:66">
      <c r="A74" s="1034">
        <f>'Input data'!A104</f>
        <v>2006</v>
      </c>
      <c r="B74" s="1083">
        <f>'Input data'!B104</f>
        <v>47.731000000000002</v>
      </c>
      <c r="C74" s="1128">
        <f>'Baseline data (from input)'!B62</f>
        <v>578.73</v>
      </c>
      <c r="D74" s="1084">
        <f>'Baseline data (from input)'!L62</f>
        <v>0.8</v>
      </c>
      <c r="E74" s="1085">
        <f t="shared" si="44"/>
        <v>0.24001298204245269</v>
      </c>
      <c r="F74" s="1085">
        <f t="shared" si="44"/>
        <v>0.30440139352934503</v>
      </c>
      <c r="G74" s="1085">
        <f t="shared" si="44"/>
        <v>5.8998240613430578E-2</v>
      </c>
      <c r="H74" s="1085">
        <f t="shared" si="44"/>
        <v>0</v>
      </c>
      <c r="I74" s="1085">
        <f t="shared" si="44"/>
        <v>0</v>
      </c>
      <c r="J74" s="1085">
        <f t="shared" si="44"/>
        <v>0</v>
      </c>
      <c r="K74" s="1085">
        <f t="shared" si="44"/>
        <v>0.39658738381477154</v>
      </c>
      <c r="L74" s="1093">
        <f t="shared" si="40"/>
        <v>0.99999999999999989</v>
      </c>
      <c r="N74" s="1111">
        <f t="shared" si="1"/>
        <v>22098.689304000003</v>
      </c>
      <c r="O74" s="1105">
        <f>Parameters!R177</f>
        <v>0.73</v>
      </c>
      <c r="P74" s="1105">
        <f>E74*'MSW characteristics'!$B$28+'MSW characteristics'!$B$29*'4A SWD Case 3'!F74+'4A SWD Case 3'!G74*'MSW characteristics'!$B$30+'MSW characteristics'!$B$31*'4A SWD Case 3'!H74+'4A SWD Case 3'!I74*'MSW characteristics'!$B$32+'MSW characteristics'!$B$33*'4A SWD Case 3'!J74+'4A SWD Case 3'!K74*'MSW characteristics'!$B$35</f>
        <v>0.12048152225760915</v>
      </c>
      <c r="Q74" s="1104">
        <f t="shared" si="2"/>
        <v>971.80656044401098</v>
      </c>
      <c r="R74" s="1104">
        <f t="shared" si="3"/>
        <v>971.80656044401098</v>
      </c>
      <c r="S74" s="1106">
        <f t="shared" si="4"/>
        <v>0</v>
      </c>
      <c r="T74" s="1104">
        <f t="shared" si="5"/>
        <v>13056.570537504313</v>
      </c>
      <c r="U74" s="1104">
        <f t="shared" si="6"/>
        <v>619.59909854936222</v>
      </c>
      <c r="V74" s="1117">
        <f t="shared" si="7"/>
        <v>413.06606569957484</v>
      </c>
      <c r="X74" s="1111">
        <f>'Baseline data (from input)'!T62*'Baseline data (from input)'!U62</f>
        <v>58577.321530972527</v>
      </c>
      <c r="Y74" s="1105">
        <f>Parameters!S177</f>
        <v>0.71500000000000008</v>
      </c>
      <c r="Z74" s="1105">
        <f t="shared" si="8"/>
        <v>0.15</v>
      </c>
      <c r="AA74" s="1104">
        <f t="shared" si="9"/>
        <v>3141.2088670984022</v>
      </c>
      <c r="AB74" s="1104">
        <f t="shared" si="10"/>
        <v>3141.2088670984022</v>
      </c>
      <c r="AC74" s="1106">
        <f t="shared" si="11"/>
        <v>0</v>
      </c>
      <c r="AD74" s="1104">
        <f t="shared" si="12"/>
        <v>40051.886375259848</v>
      </c>
      <c r="AE74" s="1104">
        <f t="shared" si="13"/>
        <v>1892.4509038252882</v>
      </c>
      <c r="AF74" s="1117">
        <f t="shared" si="14"/>
        <v>1261.6339358835255</v>
      </c>
      <c r="AH74" s="1111">
        <f>'Baseline data (from input)'!T62*'Baseline data (from input)'!U62</f>
        <v>58577.321530972527</v>
      </c>
      <c r="AI74" s="1105">
        <f>Parameters!S177</f>
        <v>0.71500000000000008</v>
      </c>
      <c r="AJ74" s="1105">
        <f t="shared" si="15"/>
        <v>0.15</v>
      </c>
      <c r="AK74" s="1104">
        <f t="shared" si="16"/>
        <v>3141.2088670984022</v>
      </c>
      <c r="AL74" s="1104">
        <f t="shared" si="17"/>
        <v>3141.2088670984022</v>
      </c>
      <c r="AM74" s="1106">
        <f t="shared" si="18"/>
        <v>0</v>
      </c>
      <c r="AN74" s="1104">
        <f t="shared" si="19"/>
        <v>40051.886375259848</v>
      </c>
      <c r="AO74" s="1104">
        <f t="shared" si="20"/>
        <v>1892.4509038252882</v>
      </c>
      <c r="AP74" s="1117">
        <f t="shared" si="21"/>
        <v>1261.6339358835255</v>
      </c>
      <c r="AR74" s="1119">
        <v>501</v>
      </c>
      <c r="AS74" s="1105">
        <v>1</v>
      </c>
      <c r="AT74" s="1105">
        <f t="shared" si="22"/>
        <v>0.05</v>
      </c>
      <c r="AU74" s="1104">
        <f t="shared" si="23"/>
        <v>12.525</v>
      </c>
      <c r="AV74" s="1104">
        <f t="shared" si="24"/>
        <v>12.525</v>
      </c>
      <c r="AW74" s="1106">
        <f t="shared" si="25"/>
        <v>0</v>
      </c>
      <c r="AX74" s="1104">
        <f t="shared" si="42"/>
        <v>73.760696808888071</v>
      </c>
      <c r="AY74" s="1104">
        <f t="shared" si="47"/>
        <v>3.7866040159603358</v>
      </c>
      <c r="AZ74" s="1120">
        <f t="shared" si="45"/>
        <v>2.5244026773068904</v>
      </c>
      <c r="BB74" s="323">
        <f t="shared" si="29"/>
        <v>413.06606569957484</v>
      </c>
      <c r="BC74" s="324">
        <f t="shared" si="30"/>
        <v>1261.6339358835255</v>
      </c>
      <c r="BD74" s="1323">
        <f t="shared" si="46"/>
        <v>2.5244026773068904</v>
      </c>
      <c r="BE74" s="324">
        <f t="shared" si="32"/>
        <v>1677.2244042604073</v>
      </c>
      <c r="BF74" s="104">
        <v>0</v>
      </c>
      <c r="BG74" s="1314">
        <f t="shared" si="33"/>
        <v>1677.2244042604073</v>
      </c>
      <c r="BI74" s="323">
        <f t="shared" si="34"/>
        <v>413.06606569957484</v>
      </c>
      <c r="BJ74" s="324">
        <f t="shared" si="35"/>
        <v>1261.6339358835255</v>
      </c>
      <c r="BK74" s="1323">
        <f t="shared" si="36"/>
        <v>2.5244026773068904</v>
      </c>
      <c r="BL74" s="324">
        <f t="shared" si="37"/>
        <v>1677.2244042604073</v>
      </c>
      <c r="BM74" s="104">
        <v>0</v>
      </c>
      <c r="BN74" s="1314">
        <f t="shared" si="38"/>
        <v>1677.2244042604073</v>
      </c>
    </row>
    <row r="75" spans="1:66">
      <c r="A75" s="1034">
        <f>'Input data'!A105</f>
        <v>2007</v>
      </c>
      <c r="B75" s="1083">
        <f>'Input data'!B105</f>
        <v>48.256999999999998</v>
      </c>
      <c r="C75" s="1128">
        <f>'Baseline data (from input)'!B63</f>
        <v>578.73</v>
      </c>
      <c r="D75" s="1084">
        <f>'Baseline data (from input)'!L63</f>
        <v>0.8</v>
      </c>
      <c r="E75" s="1085">
        <f t="shared" si="44"/>
        <v>0.24001298204245269</v>
      </c>
      <c r="F75" s="1085">
        <f t="shared" si="44"/>
        <v>0.30440139352934503</v>
      </c>
      <c r="G75" s="1085">
        <f t="shared" si="44"/>
        <v>5.8998240613430578E-2</v>
      </c>
      <c r="H75" s="1085">
        <f t="shared" si="44"/>
        <v>0</v>
      </c>
      <c r="I75" s="1085">
        <f t="shared" si="44"/>
        <v>0</v>
      </c>
      <c r="J75" s="1085">
        <f t="shared" si="44"/>
        <v>0</v>
      </c>
      <c r="K75" s="1085">
        <f t="shared" si="44"/>
        <v>0.39658738381477154</v>
      </c>
      <c r="L75" s="1093">
        <f t="shared" si="40"/>
        <v>0.99999999999999989</v>
      </c>
      <c r="N75" s="1111">
        <f t="shared" si="1"/>
        <v>22342.218888000003</v>
      </c>
      <c r="O75" s="1105">
        <f>Parameters!R178</f>
        <v>0.73</v>
      </c>
      <c r="P75" s="1105">
        <f>E75*'MSW characteristics'!$B$28+'MSW characteristics'!$B$29*'4A SWD Case 3'!F75+'4A SWD Case 3'!G75*'MSW characteristics'!$B$30+'MSW characteristics'!$B$31*'4A SWD Case 3'!H75+'4A SWD Case 3'!I75*'MSW characteristics'!$B$32+'MSW characteristics'!$B$33*'4A SWD Case 3'!J75+'4A SWD Case 3'!K75*'MSW characteristics'!$B$35</f>
        <v>0.12048152225760915</v>
      </c>
      <c r="Q75" s="1104">
        <f t="shared" si="2"/>
        <v>982.51595791721593</v>
      </c>
      <c r="R75" s="1104">
        <f t="shared" si="3"/>
        <v>982.51595791721593</v>
      </c>
      <c r="S75" s="1106">
        <f t="shared" si="4"/>
        <v>0</v>
      </c>
      <c r="T75" s="1104">
        <f t="shared" si="5"/>
        <v>13402.310036260422</v>
      </c>
      <c r="U75" s="1104">
        <f t="shared" si="6"/>
        <v>636.77645916110703</v>
      </c>
      <c r="V75" s="1117">
        <f t="shared" si="7"/>
        <v>424.51763944073804</v>
      </c>
      <c r="X75" s="1111">
        <f>'Baseline data (from input)'!T63*'Baseline data (from input)'!U63</f>
        <v>61717.344729233853</v>
      </c>
      <c r="Y75" s="1105">
        <f>Parameters!S178</f>
        <v>0.71500000000000008</v>
      </c>
      <c r="Z75" s="1105">
        <f t="shared" si="8"/>
        <v>0.15</v>
      </c>
      <c r="AA75" s="1104">
        <f t="shared" si="9"/>
        <v>3309.5926111051654</v>
      </c>
      <c r="AB75" s="1104">
        <f t="shared" si="10"/>
        <v>3309.5926111051654</v>
      </c>
      <c r="AC75" s="1106">
        <f t="shared" si="11"/>
        <v>0</v>
      </c>
      <c r="AD75" s="1104">
        <f t="shared" si="12"/>
        <v>41408.125438011579</v>
      </c>
      <c r="AE75" s="1104">
        <f t="shared" si="13"/>
        <v>1953.353548353434</v>
      </c>
      <c r="AF75" s="1117">
        <f t="shared" si="14"/>
        <v>1302.2356989022894</v>
      </c>
      <c r="AH75" s="1111">
        <f>'Baseline data (from input)'!T63*'Baseline data (from input)'!U63</f>
        <v>61717.344729233853</v>
      </c>
      <c r="AI75" s="1105">
        <f>Parameters!S178</f>
        <v>0.71500000000000008</v>
      </c>
      <c r="AJ75" s="1105">
        <f t="shared" si="15"/>
        <v>0.15</v>
      </c>
      <c r="AK75" s="1104">
        <f t="shared" si="16"/>
        <v>3309.5926111051654</v>
      </c>
      <c r="AL75" s="1104">
        <f t="shared" si="17"/>
        <v>3309.5926111051654</v>
      </c>
      <c r="AM75" s="1106">
        <f t="shared" si="18"/>
        <v>0</v>
      </c>
      <c r="AN75" s="1104">
        <f t="shared" si="19"/>
        <v>41408.125438011579</v>
      </c>
      <c r="AO75" s="1104">
        <f t="shared" si="20"/>
        <v>1953.353548353434</v>
      </c>
      <c r="AP75" s="1117">
        <f t="shared" si="21"/>
        <v>1302.2356989022894</v>
      </c>
      <c r="AR75" s="1119">
        <v>501</v>
      </c>
      <c r="AS75" s="1105">
        <v>1</v>
      </c>
      <c r="AT75" s="1105">
        <f t="shared" si="22"/>
        <v>0.05</v>
      </c>
      <c r="AU75" s="1104">
        <f t="shared" si="23"/>
        <v>12.525</v>
      </c>
      <c r="AV75" s="1104">
        <f t="shared" si="24"/>
        <v>12.525</v>
      </c>
      <c r="AW75" s="1106">
        <f t="shared" si="25"/>
        <v>0</v>
      </c>
      <c r="AX75" s="1104">
        <f t="shared" si="42"/>
        <v>81.990208227071662</v>
      </c>
      <c r="AY75" s="1104">
        <f t="shared" si="47"/>
        <v>4.2954885818164135</v>
      </c>
      <c r="AZ75" s="1120">
        <f t="shared" si="45"/>
        <v>2.8636590545442755</v>
      </c>
      <c r="BB75" s="323">
        <f t="shared" si="29"/>
        <v>424.51763944073804</v>
      </c>
      <c r="BC75" s="324">
        <f t="shared" si="30"/>
        <v>1302.2356989022894</v>
      </c>
      <c r="BD75" s="1323">
        <f t="shared" si="46"/>
        <v>2.8636590545442755</v>
      </c>
      <c r="BE75" s="324">
        <f t="shared" si="32"/>
        <v>1729.6169973975718</v>
      </c>
      <c r="BF75" s="104">
        <v>0</v>
      </c>
      <c r="BG75" s="1314">
        <f t="shared" si="33"/>
        <v>1729.6169973975718</v>
      </c>
      <c r="BI75" s="323">
        <f t="shared" si="34"/>
        <v>424.51763944073804</v>
      </c>
      <c r="BJ75" s="324">
        <f t="shared" si="35"/>
        <v>1302.2356989022894</v>
      </c>
      <c r="BK75" s="1323">
        <f t="shared" si="36"/>
        <v>2.8636590545442755</v>
      </c>
      <c r="BL75" s="324">
        <f t="shared" si="37"/>
        <v>1729.6169973975718</v>
      </c>
      <c r="BM75" s="104">
        <v>0</v>
      </c>
      <c r="BN75" s="1314">
        <f t="shared" si="38"/>
        <v>1729.6169973975718</v>
      </c>
    </row>
    <row r="76" spans="1:66">
      <c r="A76" s="1034">
        <f>'Input data'!A106</f>
        <v>2008</v>
      </c>
      <c r="B76" s="1083">
        <f>'Input data'!B106</f>
        <v>48.792999999999999</v>
      </c>
      <c r="C76" s="1128">
        <f>'Baseline data (from input)'!B64</f>
        <v>578.73</v>
      </c>
      <c r="D76" s="1084">
        <f>'Baseline data (from input)'!L64</f>
        <v>0.8</v>
      </c>
      <c r="E76" s="1085">
        <f t="shared" si="44"/>
        <v>0.24001298204245269</v>
      </c>
      <c r="F76" s="1085">
        <f t="shared" si="44"/>
        <v>0.30440139352934503</v>
      </c>
      <c r="G76" s="1085">
        <f t="shared" si="44"/>
        <v>5.8998240613430578E-2</v>
      </c>
      <c r="H76" s="1085">
        <f t="shared" si="44"/>
        <v>0</v>
      </c>
      <c r="I76" s="1085">
        <f t="shared" si="44"/>
        <v>0</v>
      </c>
      <c r="J76" s="1085">
        <f t="shared" si="44"/>
        <v>0</v>
      </c>
      <c r="K76" s="1085">
        <f t="shared" si="44"/>
        <v>0.39658738381477154</v>
      </c>
      <c r="L76" s="1093">
        <f t="shared" si="40"/>
        <v>0.99999999999999989</v>
      </c>
      <c r="N76" s="1111">
        <f t="shared" si="1"/>
        <v>22590.378312000001</v>
      </c>
      <c r="O76" s="1105">
        <f>Parameters!R179</f>
        <v>0.73</v>
      </c>
      <c r="P76" s="1105">
        <f>E76*'MSW characteristics'!$B$28+'MSW characteristics'!$B$29*'4A SWD Case 3'!F76+'4A SWD Case 3'!G76*'MSW characteristics'!$B$30+'MSW characteristics'!$B$31*'4A SWD Case 3'!H76+'4A SWD Case 3'!I76*'MSW characteristics'!$B$32+'MSW characteristics'!$B$33*'4A SWD Case 3'!J76+'4A SWD Case 3'!K76*'MSW characteristics'!$B$35</f>
        <v>0.12048152225760915</v>
      </c>
      <c r="Q76" s="1104">
        <f t="shared" si="2"/>
        <v>993.42895610283927</v>
      </c>
      <c r="R76" s="1104">
        <f t="shared" si="3"/>
        <v>993.42895610283927</v>
      </c>
      <c r="S76" s="1106">
        <f t="shared" si="4"/>
        <v>0</v>
      </c>
      <c r="T76" s="1104">
        <f t="shared" si="5"/>
        <v>13742.100618874985</v>
      </c>
      <c r="U76" s="1104">
        <f t="shared" si="6"/>
        <v>653.63837348827713</v>
      </c>
      <c r="V76" s="1117">
        <f t="shared" si="7"/>
        <v>435.75891565885144</v>
      </c>
      <c r="X76" s="1111">
        <f>'Baseline data (from input)'!T64*'Baseline data (from input)'!U64</f>
        <v>63686.774046847793</v>
      </c>
      <c r="Y76" s="1105">
        <f>Parameters!S179</f>
        <v>0.71500000000000008</v>
      </c>
      <c r="Z76" s="1105">
        <f t="shared" si="8"/>
        <v>0.15</v>
      </c>
      <c r="AA76" s="1104">
        <f t="shared" si="9"/>
        <v>3415.2032582622128</v>
      </c>
      <c r="AB76" s="1104">
        <f t="shared" si="10"/>
        <v>3415.2032582622128</v>
      </c>
      <c r="AC76" s="1106">
        <f t="shared" si="11"/>
        <v>0</v>
      </c>
      <c r="AD76" s="1104">
        <f t="shared" si="12"/>
        <v>42803.830588315344</v>
      </c>
      <c r="AE76" s="1104">
        <f t="shared" si="13"/>
        <v>2019.4981079584481</v>
      </c>
      <c r="AF76" s="1117">
        <f t="shared" si="14"/>
        <v>1346.3320719722988</v>
      </c>
      <c r="AH76" s="1111">
        <f>'Baseline data (from input)'!T64*'Baseline data (from input)'!U64</f>
        <v>63686.774046847793</v>
      </c>
      <c r="AI76" s="1105">
        <f>Parameters!S179</f>
        <v>0.71500000000000008</v>
      </c>
      <c r="AJ76" s="1105">
        <f t="shared" si="15"/>
        <v>0.15</v>
      </c>
      <c r="AK76" s="1104">
        <f t="shared" si="16"/>
        <v>3415.2032582622128</v>
      </c>
      <c r="AL76" s="1104">
        <f t="shared" si="17"/>
        <v>3415.2032582622128</v>
      </c>
      <c r="AM76" s="1106">
        <f t="shared" si="18"/>
        <v>0</v>
      </c>
      <c r="AN76" s="1104">
        <f t="shared" si="19"/>
        <v>42803.830588315344</v>
      </c>
      <c r="AO76" s="1104">
        <f t="shared" si="20"/>
        <v>2019.4981079584481</v>
      </c>
      <c r="AP76" s="1117">
        <f t="shared" si="21"/>
        <v>1346.3320719722988</v>
      </c>
      <c r="AR76" s="1119">
        <v>501</v>
      </c>
      <c r="AS76" s="1105">
        <v>1</v>
      </c>
      <c r="AT76" s="1105">
        <f t="shared" si="22"/>
        <v>0.05</v>
      </c>
      <c r="AU76" s="1104">
        <f t="shared" si="23"/>
        <v>12.525</v>
      </c>
      <c r="AV76" s="1104">
        <f t="shared" si="24"/>
        <v>12.525</v>
      </c>
      <c r="AW76" s="1106">
        <f t="shared" si="25"/>
        <v>0</v>
      </c>
      <c r="AX76" s="1104">
        <f t="shared" si="42"/>
        <v>89.740470209443586</v>
      </c>
      <c r="AY76" s="1104">
        <f t="shared" si="47"/>
        <v>4.7747380176280858</v>
      </c>
      <c r="AZ76" s="1120">
        <f t="shared" si="45"/>
        <v>3.183158678418724</v>
      </c>
      <c r="BB76" s="323">
        <f t="shared" si="29"/>
        <v>435.75891565885144</v>
      </c>
      <c r="BC76" s="324">
        <f t="shared" si="30"/>
        <v>1346.3320719722988</v>
      </c>
      <c r="BD76" s="1323">
        <f t="shared" si="46"/>
        <v>3.183158678418724</v>
      </c>
      <c r="BE76" s="324">
        <f t="shared" si="32"/>
        <v>1785.274146309569</v>
      </c>
      <c r="BF76" s="104">
        <v>0</v>
      </c>
      <c r="BG76" s="1314">
        <f t="shared" si="33"/>
        <v>1785.274146309569</v>
      </c>
      <c r="BI76" s="323">
        <f t="shared" si="34"/>
        <v>435.75891565885144</v>
      </c>
      <c r="BJ76" s="324">
        <f t="shared" si="35"/>
        <v>1346.3320719722988</v>
      </c>
      <c r="BK76" s="1323">
        <f t="shared" si="36"/>
        <v>3.183158678418724</v>
      </c>
      <c r="BL76" s="324">
        <f t="shared" si="37"/>
        <v>1785.274146309569</v>
      </c>
      <c r="BM76" s="104">
        <v>0</v>
      </c>
      <c r="BN76" s="1314">
        <f t="shared" si="38"/>
        <v>1785.274146309569</v>
      </c>
    </row>
    <row r="77" spans="1:66">
      <c r="A77" s="1034">
        <f>'Input data'!A107</f>
        <v>2009</v>
      </c>
      <c r="B77" s="1083">
        <f>'Input data'!B107</f>
        <v>49.32</v>
      </c>
      <c r="C77" s="1128">
        <f>'Baseline data (from input)'!B65</f>
        <v>578.73</v>
      </c>
      <c r="D77" s="1084">
        <f>'Baseline data (from input)'!L65</f>
        <v>0.8</v>
      </c>
      <c r="E77" s="1085">
        <f t="shared" si="44"/>
        <v>0.24001298204245269</v>
      </c>
      <c r="F77" s="1085">
        <f t="shared" si="44"/>
        <v>0.30440139352934503</v>
      </c>
      <c r="G77" s="1085">
        <f t="shared" si="44"/>
        <v>5.8998240613430578E-2</v>
      </c>
      <c r="H77" s="1085">
        <f t="shared" si="44"/>
        <v>0</v>
      </c>
      <c r="I77" s="1085">
        <f t="shared" si="44"/>
        <v>0</v>
      </c>
      <c r="J77" s="1085">
        <f t="shared" si="44"/>
        <v>0</v>
      </c>
      <c r="K77" s="1085">
        <f t="shared" si="44"/>
        <v>0.39658738381477154</v>
      </c>
      <c r="L77" s="1093">
        <f t="shared" si="40"/>
        <v>0.99999999999999989</v>
      </c>
      <c r="N77" s="1111">
        <f t="shared" si="1"/>
        <v>22834.370880000002</v>
      </c>
      <c r="O77" s="1105">
        <f>Parameters!R180</f>
        <v>0.73</v>
      </c>
      <c r="P77" s="1105">
        <f>E77*'MSW characteristics'!$B$28+'MSW characteristics'!$B$29*'4A SWD Case 3'!F77+'4A SWD Case 3'!G77*'MSW characteristics'!$B$30+'MSW characteristics'!$B$31*'4A SWD Case 3'!H77+'4A SWD Case 3'!I77*'MSW characteristics'!$B$32+'MSW characteristics'!$B$33*'4A SWD Case 3'!J77+'4A SWD Case 3'!K77*'MSW characteristics'!$B$35</f>
        <v>0.12048152225760915</v>
      </c>
      <c r="Q77" s="1104">
        <f t="shared" si="2"/>
        <v>1004.1587136472863</v>
      </c>
      <c r="R77" s="1104">
        <f t="shared" si="3"/>
        <v>1004.1587136472863</v>
      </c>
      <c r="S77" s="1106">
        <f t="shared" si="4"/>
        <v>0</v>
      </c>
      <c r="T77" s="1104">
        <f t="shared" si="5"/>
        <v>14076.049176770644</v>
      </c>
      <c r="U77" s="1104">
        <f t="shared" si="6"/>
        <v>670.2101557516271</v>
      </c>
      <c r="V77" s="1117">
        <f t="shared" si="7"/>
        <v>446.80677050108471</v>
      </c>
      <c r="X77" s="1111">
        <f>'Baseline data (from input)'!T65*'Baseline data (from input)'!U65</f>
        <v>62707.214568064555</v>
      </c>
      <c r="Y77" s="1105">
        <f>Parameters!S180</f>
        <v>0.71500000000000008</v>
      </c>
      <c r="Z77" s="1105">
        <f t="shared" si="8"/>
        <v>0.15</v>
      </c>
      <c r="AA77" s="1104">
        <f t="shared" si="9"/>
        <v>3362.6743812124623</v>
      </c>
      <c r="AB77" s="1104">
        <f t="shared" si="10"/>
        <v>3362.6743812124623</v>
      </c>
      <c r="AC77" s="1106">
        <f t="shared" si="11"/>
        <v>0</v>
      </c>
      <c r="AD77" s="1104">
        <f t="shared" si="12"/>
        <v>44078.937518161729</v>
      </c>
      <c r="AE77" s="1104">
        <f t="shared" si="13"/>
        <v>2087.5674513660801</v>
      </c>
      <c r="AF77" s="1117">
        <f t="shared" si="14"/>
        <v>1391.7116342440534</v>
      </c>
      <c r="AH77" s="1111">
        <f>'Baseline data (from input)'!T65*'Baseline data (from input)'!U65</f>
        <v>62707.214568064555</v>
      </c>
      <c r="AI77" s="1105">
        <f>Parameters!S180</f>
        <v>0.71500000000000008</v>
      </c>
      <c r="AJ77" s="1105">
        <f t="shared" si="15"/>
        <v>0.15</v>
      </c>
      <c r="AK77" s="1104">
        <f t="shared" si="16"/>
        <v>3362.6743812124623</v>
      </c>
      <c r="AL77" s="1104">
        <f t="shared" si="17"/>
        <v>3362.6743812124623</v>
      </c>
      <c r="AM77" s="1106">
        <f t="shared" si="18"/>
        <v>0</v>
      </c>
      <c r="AN77" s="1104">
        <f t="shared" si="19"/>
        <v>44078.937518161729</v>
      </c>
      <c r="AO77" s="1104">
        <f t="shared" si="20"/>
        <v>2087.5674513660801</v>
      </c>
      <c r="AP77" s="1117">
        <f t="shared" si="21"/>
        <v>1391.7116342440534</v>
      </c>
      <c r="AR77" s="1119">
        <v>501</v>
      </c>
      <c r="AS77" s="1105">
        <v>1</v>
      </c>
      <c r="AT77" s="1105">
        <f t="shared" si="22"/>
        <v>0.05</v>
      </c>
      <c r="AU77" s="1104">
        <f t="shared" si="23"/>
        <v>12.525</v>
      </c>
      <c r="AV77" s="1104">
        <f t="shared" si="24"/>
        <v>12.525</v>
      </c>
      <c r="AW77" s="1106">
        <f t="shared" si="25"/>
        <v>0</v>
      </c>
      <c r="AX77" s="1104">
        <f t="shared" si="42"/>
        <v>97.039392070427809</v>
      </c>
      <c r="AY77" s="1104">
        <f t="shared" si="47"/>
        <v>5.2260781390157804</v>
      </c>
      <c r="AZ77" s="1120">
        <f t="shared" si="45"/>
        <v>3.484052092677187</v>
      </c>
      <c r="BB77" s="323">
        <f t="shared" si="29"/>
        <v>446.80677050108471</v>
      </c>
      <c r="BC77" s="324">
        <f t="shared" si="30"/>
        <v>1391.7116342440534</v>
      </c>
      <c r="BD77" s="1323">
        <f t="shared" si="46"/>
        <v>3.484052092677187</v>
      </c>
      <c r="BE77" s="324">
        <f t="shared" si="32"/>
        <v>1842.0024568378151</v>
      </c>
      <c r="BF77" s="104">
        <v>0</v>
      </c>
      <c r="BG77" s="1314">
        <f t="shared" si="33"/>
        <v>1842.0024568378151</v>
      </c>
      <c r="BI77" s="323">
        <f t="shared" si="34"/>
        <v>446.80677050108471</v>
      </c>
      <c r="BJ77" s="324">
        <f t="shared" si="35"/>
        <v>1391.7116342440534</v>
      </c>
      <c r="BK77" s="1323">
        <f t="shared" si="36"/>
        <v>3.484052092677187</v>
      </c>
      <c r="BL77" s="324">
        <f t="shared" si="37"/>
        <v>1842.0024568378151</v>
      </c>
      <c r="BM77" s="104">
        <v>0</v>
      </c>
      <c r="BN77" s="1314">
        <f t="shared" si="38"/>
        <v>1842.0024568378151</v>
      </c>
    </row>
    <row r="78" spans="1:66">
      <c r="A78" s="1034">
        <f>'Input data'!A108</f>
        <v>2010</v>
      </c>
      <c r="B78" s="1083">
        <f>'Input data'!B108</f>
        <v>49.87</v>
      </c>
      <c r="C78" s="1128">
        <f>'Baseline data (from input)'!B66</f>
        <v>559.42164173673609</v>
      </c>
      <c r="D78" s="1084">
        <f>'Baseline data (from input)'!L66</f>
        <v>0.75808980601378384</v>
      </c>
      <c r="E78" s="1085">
        <f t="shared" si="44"/>
        <v>0.24001298204245269</v>
      </c>
      <c r="F78" s="1085">
        <f t="shared" si="44"/>
        <v>0.30440139352934503</v>
      </c>
      <c r="G78" s="1085">
        <f t="shared" si="44"/>
        <v>5.8998240613430578E-2</v>
      </c>
      <c r="H78" s="1085">
        <f t="shared" si="44"/>
        <v>0</v>
      </c>
      <c r="I78" s="1085">
        <f t="shared" si="44"/>
        <v>0</v>
      </c>
      <c r="J78" s="1085">
        <f t="shared" si="44"/>
        <v>0</v>
      </c>
      <c r="K78" s="1085">
        <f t="shared" si="44"/>
        <v>0.39658738381477154</v>
      </c>
      <c r="L78" s="1093">
        <f t="shared" si="40"/>
        <v>0.99999999999999989</v>
      </c>
      <c r="N78" s="1111">
        <f t="shared" si="1"/>
        <v>21149.460253503403</v>
      </c>
      <c r="O78" s="1105">
        <f>Parameters!R181</f>
        <v>0.73</v>
      </c>
      <c r="P78" s="1105">
        <f>E78*'MSW characteristics'!$B$28+'MSW characteristics'!$B$29*'4A SWD Case 3'!F78+'4A SWD Case 3'!G78*'MSW characteristics'!$B$30+'MSW characteristics'!$B$31*'4A SWD Case 3'!H78+'4A SWD Case 3'!I78*'MSW characteristics'!$B$32+'MSW characteristics'!$B$33*'4A SWD Case 3'!J78+'4A SWD Case 3'!K78*'MSW characteristics'!$B$35</f>
        <v>0.12048152225760915</v>
      </c>
      <c r="Q78" s="1104">
        <f t="shared" si="2"/>
        <v>930.06349568814494</v>
      </c>
      <c r="R78" s="1104">
        <f t="shared" si="3"/>
        <v>930.06349568814494</v>
      </c>
      <c r="S78" s="1106">
        <f t="shared" si="4"/>
        <v>0</v>
      </c>
      <c r="T78" s="1104">
        <f t="shared" si="5"/>
        <v>14319.615653351433</v>
      </c>
      <c r="U78" s="1104">
        <f t="shared" si="6"/>
        <v>686.49701910735507</v>
      </c>
      <c r="V78" s="1117">
        <f t="shared" si="7"/>
        <v>457.66467940490338</v>
      </c>
      <c r="X78" s="1111">
        <f>'Baseline data (from input)'!T66*'Baseline data (from input)'!U66</f>
        <v>64613.345091891104</v>
      </c>
      <c r="Y78" s="1105">
        <f>Parameters!S181</f>
        <v>0.71500000000000008</v>
      </c>
      <c r="Z78" s="1105">
        <f t="shared" si="8"/>
        <v>0.15</v>
      </c>
      <c r="AA78" s="1104">
        <f t="shared" si="9"/>
        <v>3464.8906305526602</v>
      </c>
      <c r="AB78" s="1104">
        <f t="shared" si="10"/>
        <v>3464.8906305526602</v>
      </c>
      <c r="AC78" s="1106">
        <f t="shared" si="11"/>
        <v>0</v>
      </c>
      <c r="AD78" s="1104">
        <f t="shared" si="12"/>
        <v>45394.072998556578</v>
      </c>
      <c r="AE78" s="1104">
        <f t="shared" si="13"/>
        <v>2149.7551501578159</v>
      </c>
      <c r="AF78" s="1117">
        <f t="shared" si="14"/>
        <v>1433.1701001052106</v>
      </c>
      <c r="AH78" s="1111">
        <f>'Baseline data (from input)'!T66*'Baseline data (from input)'!U66</f>
        <v>64613.345091891104</v>
      </c>
      <c r="AI78" s="1105">
        <f>Parameters!S181</f>
        <v>0.71500000000000008</v>
      </c>
      <c r="AJ78" s="1105">
        <f t="shared" si="15"/>
        <v>0.15</v>
      </c>
      <c r="AK78" s="1104">
        <f t="shared" si="16"/>
        <v>3464.8906305526602</v>
      </c>
      <c r="AL78" s="1104">
        <f t="shared" si="17"/>
        <v>3464.8906305526602</v>
      </c>
      <c r="AM78" s="1106">
        <f t="shared" si="18"/>
        <v>0</v>
      </c>
      <c r="AN78" s="1104">
        <f t="shared" si="19"/>
        <v>45394.072998556578</v>
      </c>
      <c r="AO78" s="1104">
        <f t="shared" si="20"/>
        <v>2149.7551501578159</v>
      </c>
      <c r="AP78" s="1117">
        <f t="shared" si="21"/>
        <v>1433.1701001052106</v>
      </c>
      <c r="AR78" s="1119">
        <v>501</v>
      </c>
      <c r="AS78" s="1105">
        <v>1</v>
      </c>
      <c r="AT78" s="1105">
        <f t="shared" si="22"/>
        <v>0.05</v>
      </c>
      <c r="AU78" s="1104">
        <f t="shared" si="23"/>
        <v>12.525</v>
      </c>
      <c r="AV78" s="1104">
        <f t="shared" si="24"/>
        <v>12.525</v>
      </c>
      <c r="AW78" s="1106">
        <f t="shared" si="25"/>
        <v>0</v>
      </c>
      <c r="AX78" s="1104">
        <f t="shared" si="42"/>
        <v>103.91325781250549</v>
      </c>
      <c r="AY78" s="1104">
        <f t="shared" si="47"/>
        <v>5.6511342579223198</v>
      </c>
      <c r="AZ78" s="1120">
        <f t="shared" si="45"/>
        <v>3.76742283861488</v>
      </c>
      <c r="BB78" s="323">
        <f t="shared" si="29"/>
        <v>457.66467940490338</v>
      </c>
      <c r="BC78" s="324">
        <f t="shared" si="30"/>
        <v>1433.1701001052106</v>
      </c>
      <c r="BD78" s="1323">
        <f t="shared" si="46"/>
        <v>3.76742283861488</v>
      </c>
      <c r="BE78" s="324">
        <f t="shared" si="32"/>
        <v>1894.602202348729</v>
      </c>
      <c r="BF78" s="104">
        <v>0</v>
      </c>
      <c r="BG78" s="1314">
        <f t="shared" si="33"/>
        <v>1894.602202348729</v>
      </c>
      <c r="BI78" s="323">
        <f t="shared" si="34"/>
        <v>457.66467940490338</v>
      </c>
      <c r="BJ78" s="324">
        <f t="shared" si="35"/>
        <v>1433.1701001052106</v>
      </c>
      <c r="BK78" s="1323">
        <f t="shared" si="36"/>
        <v>3.76742283861488</v>
      </c>
      <c r="BL78" s="324">
        <f t="shared" si="37"/>
        <v>1894.602202348729</v>
      </c>
      <c r="BM78" s="104">
        <v>0</v>
      </c>
      <c r="BN78" s="1314">
        <f t="shared" si="38"/>
        <v>1894.602202348729</v>
      </c>
    </row>
    <row r="79" spans="1:66">
      <c r="A79" s="1034">
        <f>'Input data'!A109</f>
        <v>2011</v>
      </c>
      <c r="B79" s="1083">
        <f>'Input data'!B109</f>
        <v>51.771000000000001</v>
      </c>
      <c r="C79" s="1128">
        <f>'Baseline data (from input)'!B67</f>
        <v>540.11328347347217</v>
      </c>
      <c r="D79" s="1084">
        <f>'Baseline data (from input)'!L67</f>
        <v>0.71617961202756764</v>
      </c>
      <c r="E79" s="1085">
        <f t="shared" si="44"/>
        <v>0.24001298204245269</v>
      </c>
      <c r="F79" s="1085">
        <f t="shared" si="44"/>
        <v>0.30440139352934503</v>
      </c>
      <c r="G79" s="1085">
        <f t="shared" si="44"/>
        <v>5.8998240613430578E-2</v>
      </c>
      <c r="H79" s="1085">
        <f t="shared" si="44"/>
        <v>0</v>
      </c>
      <c r="I79" s="1085">
        <f t="shared" si="44"/>
        <v>0</v>
      </c>
      <c r="J79" s="1085">
        <f t="shared" si="44"/>
        <v>0</v>
      </c>
      <c r="K79" s="1085">
        <f t="shared" si="44"/>
        <v>0.39658738381477154</v>
      </c>
      <c r="L79" s="1093">
        <f t="shared" si="40"/>
        <v>0.99999999999999989</v>
      </c>
      <c r="N79" s="1111">
        <f t="shared" si="1"/>
        <v>20025.960984172027</v>
      </c>
      <c r="O79" s="1105">
        <f>Parameters!R182</f>
        <v>0.73</v>
      </c>
      <c r="P79" s="1105">
        <f>E79*'MSW characteristics'!$B$28+'MSW characteristics'!$B$29*'4A SWD Case 3'!F79+'4A SWD Case 3'!G79*'MSW characteristics'!$B$30+'MSW characteristics'!$B$31*'4A SWD Case 3'!H79+'4A SWD Case 3'!I79*'MSW characteristics'!$B$32+'MSW characteristics'!$B$33*'4A SWD Case 3'!J79+'4A SWD Case 3'!K79*'MSW characteristics'!$B$35</f>
        <v>0.12048152225760915</v>
      </c>
      <c r="Q79" s="1104">
        <f t="shared" si="2"/>
        <v>880.65676637625506</v>
      </c>
      <c r="R79" s="1104">
        <f t="shared" si="3"/>
        <v>880.65676637625506</v>
      </c>
      <c r="S79" s="1106">
        <f t="shared" si="4"/>
        <v>0</v>
      </c>
      <c r="T79" s="1104">
        <f t="shared" si="5"/>
        <v>14501.896523385154</v>
      </c>
      <c r="U79" s="1104">
        <f t="shared" si="6"/>
        <v>698.37589634253345</v>
      </c>
      <c r="V79" s="1117">
        <f t="shared" si="7"/>
        <v>465.58393089502232</v>
      </c>
      <c r="X79" s="1111">
        <f>'Baseline data (from input)'!T67*'Baseline data (from input)'!U67</f>
        <v>66735.355986879513</v>
      </c>
      <c r="Y79" s="1105">
        <f>Parameters!S182</f>
        <v>0.71500000000000008</v>
      </c>
      <c r="Z79" s="1105">
        <f t="shared" si="8"/>
        <v>0.15</v>
      </c>
      <c r="AA79" s="1104">
        <f t="shared" si="9"/>
        <v>3578.6834647964142</v>
      </c>
      <c r="AB79" s="1104">
        <f t="shared" si="10"/>
        <v>3578.6834647964142</v>
      </c>
      <c r="AC79" s="1106">
        <f t="shared" si="11"/>
        <v>0</v>
      </c>
      <c r="AD79" s="1104">
        <f t="shared" si="12"/>
        <v>46758.861398956789</v>
      </c>
      <c r="AE79" s="1104">
        <f t="shared" si="13"/>
        <v>2213.895064396203</v>
      </c>
      <c r="AF79" s="1117">
        <f t="shared" si="14"/>
        <v>1475.9300429308021</v>
      </c>
      <c r="AH79" s="1111">
        <f>'Baseline data (from input)'!T67*'Baseline data (from input)'!U67</f>
        <v>66735.355986879513</v>
      </c>
      <c r="AI79" s="1105">
        <f>Parameters!S182</f>
        <v>0.71500000000000008</v>
      </c>
      <c r="AJ79" s="1105">
        <f t="shared" si="15"/>
        <v>0.15</v>
      </c>
      <c r="AK79" s="1104">
        <f t="shared" si="16"/>
        <v>3578.6834647964142</v>
      </c>
      <c r="AL79" s="1104">
        <f t="shared" si="17"/>
        <v>3578.6834647964142</v>
      </c>
      <c r="AM79" s="1106">
        <f t="shared" si="18"/>
        <v>0</v>
      </c>
      <c r="AN79" s="1104">
        <f t="shared" si="19"/>
        <v>46758.861398956789</v>
      </c>
      <c r="AO79" s="1104">
        <f t="shared" si="20"/>
        <v>2213.895064396203</v>
      </c>
      <c r="AP79" s="1117">
        <f t="shared" si="21"/>
        <v>1475.9300429308021</v>
      </c>
      <c r="AR79" s="1119">
        <v>501</v>
      </c>
      <c r="AS79" s="1105">
        <v>1</v>
      </c>
      <c r="AT79" s="1105">
        <f t="shared" si="22"/>
        <v>0.05</v>
      </c>
      <c r="AU79" s="1104">
        <f t="shared" si="23"/>
        <v>12.525</v>
      </c>
      <c r="AV79" s="1104">
        <f t="shared" si="24"/>
        <v>12.525</v>
      </c>
      <c r="AW79" s="1106">
        <f t="shared" si="25"/>
        <v>0</v>
      </c>
      <c r="AX79" s="1104">
        <f t="shared" si="42"/>
        <v>110.38682077701402</v>
      </c>
      <c r="AY79" s="1104">
        <f t="shared" si="47"/>
        <v>6.0514370354914675</v>
      </c>
      <c r="AZ79" s="1120">
        <f t="shared" si="45"/>
        <v>4.034291356994312</v>
      </c>
      <c r="BB79" s="323">
        <f t="shared" si="29"/>
        <v>465.58393089502232</v>
      </c>
      <c r="BC79" s="324">
        <f t="shared" si="30"/>
        <v>1475.9300429308021</v>
      </c>
      <c r="BD79" s="1323">
        <f t="shared" si="46"/>
        <v>4.034291356994312</v>
      </c>
      <c r="BE79" s="324">
        <f t="shared" si="32"/>
        <v>1945.5482651828188</v>
      </c>
      <c r="BF79" s="104">
        <v>0</v>
      </c>
      <c r="BG79" s="1314">
        <f t="shared" si="33"/>
        <v>1945.5482651828188</v>
      </c>
      <c r="BI79" s="323">
        <f t="shared" si="34"/>
        <v>465.58393089502232</v>
      </c>
      <c r="BJ79" s="324">
        <f t="shared" si="35"/>
        <v>1475.9300429308021</v>
      </c>
      <c r="BK79" s="1323">
        <f t="shared" si="36"/>
        <v>4.034291356994312</v>
      </c>
      <c r="BL79" s="324">
        <f t="shared" si="37"/>
        <v>1945.5482651828188</v>
      </c>
      <c r="BM79" s="104">
        <v>0</v>
      </c>
      <c r="BN79" s="1314">
        <f t="shared" si="38"/>
        <v>1945.5482651828188</v>
      </c>
    </row>
    <row r="80" spans="1:66">
      <c r="A80" s="1034">
        <f>'Input data'!A110</f>
        <v>2012</v>
      </c>
      <c r="B80" s="1083">
        <f>'Input data'!B110</f>
        <v>52.325000000000003</v>
      </c>
      <c r="C80" s="1128">
        <f>'Baseline data (from input)'!B68</f>
        <v>520.80492521020824</v>
      </c>
      <c r="D80" s="1084">
        <f>'Baseline data (from input)'!L68</f>
        <v>0.67426941804135143</v>
      </c>
      <c r="E80" s="1085">
        <f t="shared" si="44"/>
        <v>0.24001298204245269</v>
      </c>
      <c r="F80" s="1085">
        <f t="shared" si="44"/>
        <v>0.30440139352934503</v>
      </c>
      <c r="G80" s="1085">
        <f t="shared" si="44"/>
        <v>5.8998240613430578E-2</v>
      </c>
      <c r="H80" s="1085">
        <f t="shared" si="44"/>
        <v>0</v>
      </c>
      <c r="I80" s="1085">
        <f t="shared" si="44"/>
        <v>0</v>
      </c>
      <c r="J80" s="1085">
        <f t="shared" si="44"/>
        <v>0</v>
      </c>
      <c r="K80" s="1085">
        <f t="shared" si="44"/>
        <v>0.39658738381477154</v>
      </c>
      <c r="L80" s="1093">
        <f t="shared" si="40"/>
        <v>0.99999999999999989</v>
      </c>
      <c r="N80" s="1111">
        <f t="shared" si="1"/>
        <v>18374.59528039318</v>
      </c>
      <c r="O80" s="1105">
        <f>Parameters!R183</f>
        <v>0.73</v>
      </c>
      <c r="P80" s="1105">
        <f>E80*'MSW characteristics'!$B$28+'MSW characteristics'!$B$29*'4A SWD Case 3'!F80+'4A SWD Case 3'!G80*'MSW characteristics'!$B$30+'MSW characteristics'!$B$31*'4A SWD Case 3'!H80+'4A SWD Case 3'!I80*'MSW characteristics'!$B$32+'MSW characteristics'!$B$33*'4A SWD Case 3'!J80+'4A SWD Case 3'!K80*'MSW characteristics'!$B$35</f>
        <v>0.12048152225760915</v>
      </c>
      <c r="Q80" s="1104">
        <f t="shared" si="2"/>
        <v>808.03671174097656</v>
      </c>
      <c r="R80" s="1104">
        <f t="shared" si="3"/>
        <v>808.03671174097656</v>
      </c>
      <c r="S80" s="1106">
        <f t="shared" si="4"/>
        <v>0</v>
      </c>
      <c r="T80" s="1104">
        <f t="shared" si="5"/>
        <v>14602.667395849543</v>
      </c>
      <c r="U80" s="1104">
        <f t="shared" si="6"/>
        <v>707.26583927658862</v>
      </c>
      <c r="V80" s="1117">
        <f t="shared" si="7"/>
        <v>471.51055951772577</v>
      </c>
      <c r="X80" s="1111">
        <f>'Baseline data (from input)'!T68*'Baseline data (from input)'!U68</f>
        <v>68212.799804891765</v>
      </c>
      <c r="Y80" s="1105">
        <f>Parameters!S183</f>
        <v>0.71500000000000008</v>
      </c>
      <c r="Z80" s="1105">
        <f t="shared" si="8"/>
        <v>0.15</v>
      </c>
      <c r="AA80" s="1104">
        <f t="shared" si="9"/>
        <v>3657.9113895373212</v>
      </c>
      <c r="AB80" s="1104">
        <f t="shared" si="10"/>
        <v>3657.9113895373212</v>
      </c>
      <c r="AC80" s="1106">
        <f t="shared" si="11"/>
        <v>0</v>
      </c>
      <c r="AD80" s="1104">
        <f t="shared" si="12"/>
        <v>48136.31620837564</v>
      </c>
      <c r="AE80" s="1104">
        <f t="shared" si="13"/>
        <v>2280.4565801184713</v>
      </c>
      <c r="AF80" s="1117">
        <f t="shared" si="14"/>
        <v>1520.3043867456474</v>
      </c>
      <c r="AH80" s="1111">
        <f>'Baseline data (from input)'!T68*'Baseline data (from input)'!U68</f>
        <v>68212.799804891765</v>
      </c>
      <c r="AI80" s="1105">
        <f>Parameters!S183</f>
        <v>0.71500000000000008</v>
      </c>
      <c r="AJ80" s="1105">
        <f t="shared" si="15"/>
        <v>0.15</v>
      </c>
      <c r="AK80" s="1104">
        <f t="shared" si="16"/>
        <v>3657.9113895373212</v>
      </c>
      <c r="AL80" s="1104">
        <f t="shared" si="17"/>
        <v>3657.9113895373212</v>
      </c>
      <c r="AM80" s="1106">
        <f t="shared" si="18"/>
        <v>0</v>
      </c>
      <c r="AN80" s="1104">
        <f t="shared" si="19"/>
        <v>48136.31620837564</v>
      </c>
      <c r="AO80" s="1104">
        <f t="shared" si="20"/>
        <v>2280.4565801184713</v>
      </c>
      <c r="AP80" s="1117">
        <f t="shared" si="21"/>
        <v>1520.3043867456474</v>
      </c>
      <c r="AR80" s="1119">
        <v>501</v>
      </c>
      <c r="AS80" s="1105">
        <v>1</v>
      </c>
      <c r="AT80" s="1105">
        <f t="shared" si="22"/>
        <v>0.05</v>
      </c>
      <c r="AU80" s="1104">
        <f t="shared" si="23"/>
        <v>12.525</v>
      </c>
      <c r="AV80" s="1104">
        <f t="shared" si="24"/>
        <v>12.525</v>
      </c>
      <c r="AW80" s="1106">
        <f t="shared" si="25"/>
        <v>0</v>
      </c>
      <c r="AX80" s="1104">
        <f t="shared" si="42"/>
        <v>116.48339278291267</v>
      </c>
      <c r="AY80" s="1104">
        <f t="shared" si="47"/>
        <v>6.428427994101356</v>
      </c>
      <c r="AZ80" s="1120">
        <f t="shared" si="45"/>
        <v>4.2856186627342376</v>
      </c>
      <c r="BB80" s="323">
        <f t="shared" si="29"/>
        <v>471.51055951772577</v>
      </c>
      <c r="BC80" s="324">
        <f t="shared" si="30"/>
        <v>1520.3043867456474</v>
      </c>
      <c r="BD80" s="1323">
        <f t="shared" si="46"/>
        <v>4.2856186627342376</v>
      </c>
      <c r="BE80" s="324">
        <f t="shared" si="32"/>
        <v>1996.1005649261076</v>
      </c>
      <c r="BF80" s="104">
        <v>0</v>
      </c>
      <c r="BG80" s="1314">
        <f t="shared" si="33"/>
        <v>1996.1005649261076</v>
      </c>
      <c r="BI80" s="323">
        <f t="shared" si="34"/>
        <v>471.51055951772577</v>
      </c>
      <c r="BJ80" s="324">
        <f t="shared" si="35"/>
        <v>1520.3043867456474</v>
      </c>
      <c r="BK80" s="1323">
        <f t="shared" si="36"/>
        <v>4.2856186627342376</v>
      </c>
      <c r="BL80" s="324">
        <f t="shared" si="37"/>
        <v>1996.1005649261076</v>
      </c>
      <c r="BM80" s="104">
        <v>0</v>
      </c>
      <c r="BN80" s="1314">
        <f t="shared" si="38"/>
        <v>1996.1005649261076</v>
      </c>
    </row>
    <row r="81" spans="1:66">
      <c r="A81" s="1034">
        <f>'Input data'!A111</f>
        <v>2013</v>
      </c>
      <c r="B81" s="1083">
        <f>'Input data'!B111</f>
        <v>53.103999999999999</v>
      </c>
      <c r="C81" s="1128">
        <f>'Baseline data (from input)'!B69</f>
        <v>501.49656694694431</v>
      </c>
      <c r="D81" s="1084">
        <f>'Baseline data (from input)'!L69</f>
        <v>0.63235922405513523</v>
      </c>
      <c r="E81" s="1085">
        <f t="shared" si="44"/>
        <v>0.24001298204245269</v>
      </c>
      <c r="F81" s="1085">
        <f t="shared" si="44"/>
        <v>0.30440139352934503</v>
      </c>
      <c r="G81" s="1085">
        <f t="shared" si="44"/>
        <v>5.8998240613430578E-2</v>
      </c>
      <c r="H81" s="1085">
        <f t="shared" si="44"/>
        <v>0</v>
      </c>
      <c r="I81" s="1085">
        <f t="shared" si="44"/>
        <v>0</v>
      </c>
      <c r="J81" s="1085">
        <f t="shared" si="44"/>
        <v>0</v>
      </c>
      <c r="K81" s="1085">
        <f t="shared" si="44"/>
        <v>0.39658738381477154</v>
      </c>
      <c r="L81" s="1093">
        <f t="shared" si="40"/>
        <v>0.99999999999999989</v>
      </c>
      <c r="N81" s="1111">
        <f t="shared" si="1"/>
        <v>16840.658038780697</v>
      </c>
      <c r="O81" s="1105">
        <f>Parameters!R184</f>
        <v>0.73</v>
      </c>
      <c r="P81" s="1105">
        <f>E81*'MSW characteristics'!$B$28+'MSW characteristics'!$B$29*'4A SWD Case 3'!F81+'4A SWD Case 3'!G81*'MSW characteristics'!$B$30+'MSW characteristics'!$B$31*'4A SWD Case 3'!H81+'4A SWD Case 3'!I81*'MSW characteristics'!$B$32+'MSW characteristics'!$B$33*'4A SWD Case 3'!J81+'4A SWD Case 3'!K81*'MSW characteristics'!$B$35</f>
        <v>0.12048152225760915</v>
      </c>
      <c r="Q81" s="1104">
        <f t="shared" si="2"/>
        <v>740.58066246123144</v>
      </c>
      <c r="R81" s="1104">
        <f t="shared" si="3"/>
        <v>740.58066246123144</v>
      </c>
      <c r="S81" s="1106">
        <f t="shared" si="4"/>
        <v>0</v>
      </c>
      <c r="T81" s="1104">
        <f t="shared" si="5"/>
        <v>14631.067565590532</v>
      </c>
      <c r="U81" s="1104">
        <f t="shared" si="6"/>
        <v>712.180492720242</v>
      </c>
      <c r="V81" s="1117">
        <f t="shared" si="7"/>
        <v>474.78699514682802</v>
      </c>
      <c r="X81" s="1111">
        <f>'Baseline data (from input)'!T69*'Baseline data (from input)'!U69</f>
        <v>69902.808589170294</v>
      </c>
      <c r="Y81" s="1105">
        <f>Parameters!S184</f>
        <v>0.71500000000000008</v>
      </c>
      <c r="Z81" s="1105">
        <f t="shared" si="8"/>
        <v>0.15</v>
      </c>
      <c r="AA81" s="1104">
        <f t="shared" si="9"/>
        <v>3748.5381105942574</v>
      </c>
      <c r="AB81" s="1104">
        <f t="shared" si="10"/>
        <v>3748.5381105942574</v>
      </c>
      <c r="AC81" s="1106">
        <f t="shared" si="11"/>
        <v>0</v>
      </c>
      <c r="AD81" s="1104">
        <f t="shared" si="12"/>
        <v>49537.218475071808</v>
      </c>
      <c r="AE81" s="1104">
        <f t="shared" si="13"/>
        <v>2347.6358438980878</v>
      </c>
      <c r="AF81" s="1117">
        <f t="shared" si="14"/>
        <v>1565.0905625987252</v>
      </c>
      <c r="AH81" s="1111">
        <f>'Baseline data (from input)'!T69*'Baseline data (from input)'!U69</f>
        <v>69902.808589170294</v>
      </c>
      <c r="AI81" s="1105">
        <f>Parameters!S184</f>
        <v>0.71500000000000008</v>
      </c>
      <c r="AJ81" s="1105">
        <f t="shared" si="15"/>
        <v>0.15</v>
      </c>
      <c r="AK81" s="1104">
        <f t="shared" si="16"/>
        <v>3748.5381105942574</v>
      </c>
      <c r="AL81" s="1104">
        <f t="shared" si="17"/>
        <v>3748.5381105942574</v>
      </c>
      <c r="AM81" s="1106">
        <f t="shared" si="18"/>
        <v>0</v>
      </c>
      <c r="AN81" s="1104">
        <f t="shared" si="19"/>
        <v>49537.218475071808</v>
      </c>
      <c r="AO81" s="1104">
        <f t="shared" si="20"/>
        <v>2347.6358438980878</v>
      </c>
      <c r="AP81" s="1117">
        <f t="shared" si="21"/>
        <v>1565.0905625987252</v>
      </c>
      <c r="AR81" s="1119">
        <v>501</v>
      </c>
      <c r="AS81" s="1105">
        <v>1</v>
      </c>
      <c r="AT81" s="1105">
        <f t="shared" si="22"/>
        <v>0.05</v>
      </c>
      <c r="AU81" s="1104">
        <f t="shared" si="23"/>
        <v>12.525</v>
      </c>
      <c r="AV81" s="1104">
        <f t="shared" si="24"/>
        <v>12.525</v>
      </c>
      <c r="AW81" s="1106">
        <f t="shared" si="25"/>
        <v>0</v>
      </c>
      <c r="AX81" s="1104">
        <f t="shared" si="42"/>
        <v>122.2249280745106</v>
      </c>
      <c r="AY81" s="1104">
        <f t="shared" si="47"/>
        <v>6.783464708402076</v>
      </c>
      <c r="AZ81" s="1120">
        <f t="shared" si="45"/>
        <v>4.5223098056013837</v>
      </c>
      <c r="BB81" s="323">
        <f t="shared" si="29"/>
        <v>474.78699514682802</v>
      </c>
      <c r="BC81" s="324">
        <f t="shared" si="30"/>
        <v>1565.0905625987252</v>
      </c>
      <c r="BD81" s="1323">
        <f t="shared" si="46"/>
        <v>4.5223098056013837</v>
      </c>
      <c r="BE81" s="324">
        <f t="shared" si="32"/>
        <v>2044.3998675511548</v>
      </c>
      <c r="BF81" s="104">
        <v>0</v>
      </c>
      <c r="BG81" s="1314">
        <f t="shared" si="33"/>
        <v>2044.3998675511548</v>
      </c>
      <c r="BI81" s="323">
        <f t="shared" si="34"/>
        <v>474.78699514682802</v>
      </c>
      <c r="BJ81" s="324">
        <f t="shared" si="35"/>
        <v>1565.0905625987252</v>
      </c>
      <c r="BK81" s="1323">
        <f t="shared" si="36"/>
        <v>4.5223098056013837</v>
      </c>
      <c r="BL81" s="324">
        <f t="shared" si="37"/>
        <v>2044.3998675511548</v>
      </c>
      <c r="BM81" s="104">
        <v>0</v>
      </c>
      <c r="BN81" s="1314">
        <f t="shared" si="38"/>
        <v>2044.3998675511548</v>
      </c>
    </row>
    <row r="82" spans="1:66">
      <c r="A82" s="1034">
        <f>'Input data'!A112</f>
        <v>2014</v>
      </c>
      <c r="B82" s="1083">
        <f>'Input data'!B112</f>
        <v>53.911999999999999</v>
      </c>
      <c r="C82" s="1128">
        <f>'Baseline data (from input)'!B70</f>
        <v>482.18820868368039</v>
      </c>
      <c r="D82" s="1084">
        <f>'Baseline data (from input)'!L70</f>
        <v>0.59044903006891902</v>
      </c>
      <c r="E82" s="1085">
        <f t="shared" si="44"/>
        <v>0.24001298204245269</v>
      </c>
      <c r="F82" s="1085">
        <f t="shared" si="44"/>
        <v>0.30440139352934503</v>
      </c>
      <c r="G82" s="1085">
        <f t="shared" si="44"/>
        <v>5.8998240613430578E-2</v>
      </c>
      <c r="H82" s="1085">
        <f t="shared" si="44"/>
        <v>0</v>
      </c>
      <c r="I82" s="1085">
        <f t="shared" si="44"/>
        <v>0</v>
      </c>
      <c r="J82" s="1085">
        <f t="shared" si="44"/>
        <v>0</v>
      </c>
      <c r="K82" s="1085">
        <f t="shared" si="44"/>
        <v>0.39658738381477154</v>
      </c>
      <c r="L82" s="1093">
        <f t="shared" si="40"/>
        <v>0.99999999999999989</v>
      </c>
      <c r="N82" s="1111">
        <f t="shared" si="1"/>
        <v>15349.153981617965</v>
      </c>
      <c r="O82" s="1105">
        <f>Parameters!R185</f>
        <v>0.73</v>
      </c>
      <c r="P82" s="1105">
        <f>E82*'MSW characteristics'!$B$28+'MSW characteristics'!$B$29*'4A SWD Case 3'!F82+'4A SWD Case 3'!G82*'MSW characteristics'!$B$30+'MSW characteristics'!$B$31*'4A SWD Case 3'!H82+'4A SWD Case 3'!I82*'MSW characteristics'!$B$32+'MSW characteristics'!$B$33*'4A SWD Case 3'!J82+'4A SWD Case 3'!K82*'MSW characteristics'!$B$35</f>
        <v>0.12048152225760915</v>
      </c>
      <c r="Q82" s="1104">
        <f t="shared" si="2"/>
        <v>674.99064453119786</v>
      </c>
      <c r="R82" s="1104">
        <f t="shared" si="3"/>
        <v>674.99064453119786</v>
      </c>
      <c r="S82" s="1106">
        <f t="shared" si="4"/>
        <v>0</v>
      </c>
      <c r="T82" s="1104">
        <f t="shared" si="5"/>
        <v>14592.492624778943</v>
      </c>
      <c r="U82" s="1104">
        <f t="shared" si="6"/>
        <v>713.56558534278747</v>
      </c>
      <c r="V82" s="1117">
        <f t="shared" si="7"/>
        <v>475.710390228525</v>
      </c>
      <c r="X82" s="1111">
        <f>'Baseline data (from input)'!T70*'Baseline data (from input)'!U70</f>
        <v>71215.63588999986</v>
      </c>
      <c r="Y82" s="1105">
        <f>Parameters!S185</f>
        <v>0.71500000000000008</v>
      </c>
      <c r="Z82" s="1105">
        <f t="shared" si="8"/>
        <v>0.15</v>
      </c>
      <c r="AA82" s="1104">
        <f t="shared" si="9"/>
        <v>3818.9384746012424</v>
      </c>
      <c r="AB82" s="1104">
        <f t="shared" si="10"/>
        <v>3818.9384746012424</v>
      </c>
      <c r="AC82" s="1106">
        <f t="shared" si="11"/>
        <v>0</v>
      </c>
      <c r="AD82" s="1104">
        <f t="shared" si="12"/>
        <v>50940.198296009934</v>
      </c>
      <c r="AE82" s="1104">
        <f t="shared" si="13"/>
        <v>2415.9586536631141</v>
      </c>
      <c r="AF82" s="1117">
        <f t="shared" si="14"/>
        <v>1610.6391024420761</v>
      </c>
      <c r="AH82" s="1111">
        <f>'Baseline data (from input)'!T70*'Baseline data (from input)'!U70</f>
        <v>71215.63588999986</v>
      </c>
      <c r="AI82" s="1105">
        <f>Parameters!S185</f>
        <v>0.71500000000000008</v>
      </c>
      <c r="AJ82" s="1105">
        <f t="shared" si="15"/>
        <v>0.15</v>
      </c>
      <c r="AK82" s="1104">
        <f t="shared" si="16"/>
        <v>3818.9384746012424</v>
      </c>
      <c r="AL82" s="1104">
        <f t="shared" si="17"/>
        <v>3818.9384746012424</v>
      </c>
      <c r="AM82" s="1106">
        <f t="shared" si="18"/>
        <v>0</v>
      </c>
      <c r="AN82" s="1104">
        <f t="shared" si="19"/>
        <v>50940.198296009934</v>
      </c>
      <c r="AO82" s="1104">
        <f t="shared" si="20"/>
        <v>2415.9586536631141</v>
      </c>
      <c r="AP82" s="1117">
        <f t="shared" si="21"/>
        <v>1610.6391024420761</v>
      </c>
      <c r="AR82" s="1119">
        <v>501</v>
      </c>
      <c r="AS82" s="1105">
        <v>1</v>
      </c>
      <c r="AT82" s="1105">
        <f t="shared" si="22"/>
        <v>0.05</v>
      </c>
      <c r="AU82" s="1104">
        <f t="shared" si="23"/>
        <v>12.525</v>
      </c>
      <c r="AV82" s="1104">
        <f t="shared" si="24"/>
        <v>12.525</v>
      </c>
      <c r="AW82" s="1106">
        <f t="shared" si="25"/>
        <v>0</v>
      </c>
      <c r="AX82" s="1104">
        <f t="shared" si="42"/>
        <v>127.63210238045983</v>
      </c>
      <c r="AY82" s="1104">
        <f t="shared" si="47"/>
        <v>7.1178256940507776</v>
      </c>
      <c r="AZ82" s="1120">
        <f t="shared" si="45"/>
        <v>4.7452171293671848</v>
      </c>
      <c r="BB82" s="323">
        <f t="shared" si="29"/>
        <v>475.710390228525</v>
      </c>
      <c r="BC82" s="324">
        <f t="shared" si="30"/>
        <v>1610.6391024420761</v>
      </c>
      <c r="BD82" s="1323">
        <f t="shared" si="46"/>
        <v>4.7452171293671848</v>
      </c>
      <c r="BE82" s="324">
        <f t="shared" ref="BE82:BE118" si="48">SUM(BB82:BD82)</f>
        <v>2091.0947097999683</v>
      </c>
      <c r="BF82" s="104">
        <v>0</v>
      </c>
      <c r="BG82" s="1314">
        <f t="shared" si="33"/>
        <v>2091.0947097999683</v>
      </c>
      <c r="BI82" s="323">
        <f t="shared" si="34"/>
        <v>475.710390228525</v>
      </c>
      <c r="BJ82" s="324">
        <f t="shared" si="35"/>
        <v>1610.6391024420761</v>
      </c>
      <c r="BK82" s="1323">
        <f t="shared" si="36"/>
        <v>4.7452171293671848</v>
      </c>
      <c r="BL82" s="324">
        <f t="shared" ref="BL82:BL118" si="49">SUM(BI82:BK82)</f>
        <v>2091.0947097999683</v>
      </c>
      <c r="BM82" s="104">
        <v>0</v>
      </c>
      <c r="BN82" s="1314">
        <f t="shared" si="38"/>
        <v>2091.0947097999683</v>
      </c>
    </row>
    <row r="83" spans="1:66">
      <c r="A83" s="1034">
        <f>'Input data'!A113</f>
        <v>2015</v>
      </c>
      <c r="B83" s="1083">
        <f>'Input data'!B113</f>
        <v>54.75</v>
      </c>
      <c r="C83" s="1128">
        <f>'Baseline data (from input)'!B71</f>
        <v>462.87985042041646</v>
      </c>
      <c r="D83" s="1084">
        <f>'Baseline data (from input)'!L71</f>
        <v>0.54853883608270282</v>
      </c>
      <c r="E83" s="1085">
        <f t="shared" si="44"/>
        <v>0.24001298204245269</v>
      </c>
      <c r="F83" s="1085">
        <f t="shared" si="44"/>
        <v>0.30440139352934503</v>
      </c>
      <c r="G83" s="1085">
        <f t="shared" si="44"/>
        <v>5.8998240613430578E-2</v>
      </c>
      <c r="H83" s="1085">
        <f t="shared" si="44"/>
        <v>0</v>
      </c>
      <c r="I83" s="1085">
        <f t="shared" si="44"/>
        <v>0</v>
      </c>
      <c r="J83" s="1085">
        <f t="shared" si="44"/>
        <v>0</v>
      </c>
      <c r="K83" s="1085">
        <f t="shared" si="44"/>
        <v>0.39658738381477154</v>
      </c>
      <c r="L83" s="1093">
        <f t="shared" si="40"/>
        <v>0.99999999999999989</v>
      </c>
      <c r="N83" s="1111">
        <f t="shared" ref="N83:N118" si="50">B83*C83*D83</f>
        <v>13901.439698167358</v>
      </c>
      <c r="O83" s="1105">
        <f>Parameters!R186</f>
        <v>0.73</v>
      </c>
      <c r="P83" s="1105">
        <f>E83*'MSW characteristics'!$B$28+'MSW characteristics'!$B$29*'4A SWD Case 3'!F83+'4A SWD Case 3'!G83*'MSW characteristics'!$B$30+'MSW characteristics'!$B$31*'4A SWD Case 3'!H83+'4A SWD Case 3'!I83*'MSW characteristics'!$B$32+'MSW characteristics'!$B$33*'4A SWD Case 3'!J83+'4A SWD Case 3'!K83*'MSW characteristics'!$B$35</f>
        <v>0.12048152225760915</v>
      </c>
      <c r="Q83" s="1104">
        <f t="shared" ref="Q83:Q118" si="51">N83*P83*O83*$C$4</f>
        <v>611.32631498876003</v>
      </c>
      <c r="R83" s="1104">
        <f t="shared" ref="R83:R118" si="52">Q83*$C$10</f>
        <v>611.32631498876003</v>
      </c>
      <c r="S83" s="1106">
        <f t="shared" ref="S83:S118" si="53">Q83*(1-$C$10)</f>
        <v>0</v>
      </c>
      <c r="T83" s="1104">
        <f t="shared" ref="T83:T113" si="54">R83+(T82*$C$8)</f>
        <v>14492.134676488147</v>
      </c>
      <c r="U83" s="1104">
        <f t="shared" ref="U83:U118" si="55">S83+T82*(1-$C$8)</f>
        <v>711.68426327955535</v>
      </c>
      <c r="V83" s="1117">
        <f t="shared" ref="V83:V118" si="56">U83*16/12*$C$11</f>
        <v>474.45617551970355</v>
      </c>
      <c r="X83" s="1111">
        <f>'Baseline data (from input)'!T71*'Baseline data (from input)'!U71</f>
        <v>72122.993096121791</v>
      </c>
      <c r="Y83" s="1105">
        <f>Parameters!S186</f>
        <v>0.71500000000000008</v>
      </c>
      <c r="Z83" s="1105">
        <f t="shared" ref="Z83:Z118" si="57">$D$3</f>
        <v>0.15</v>
      </c>
      <c r="AA83" s="1104">
        <f t="shared" ref="AA83:AA118" si="58">X83*Z83*Y83*$D$4</f>
        <v>3867.5955047795314</v>
      </c>
      <c r="AB83" s="1104">
        <f t="shared" ref="AB83:AB118" si="59">AA83*$D$10</f>
        <v>3867.5955047795314</v>
      </c>
      <c r="AC83" s="1106">
        <f t="shared" ref="AC83:AC118" si="60">AA83*(1-$D$10)</f>
        <v>0</v>
      </c>
      <c r="AD83" s="1104">
        <f t="shared" ref="AD83:AD118" si="61">AB83+(AD82*$D$8)</f>
        <v>52323.411013845311</v>
      </c>
      <c r="AE83" s="1104">
        <f t="shared" ref="AE83:AE118" si="62">AC83+AD82*(1-$D$8)</f>
        <v>2484.3827869441516</v>
      </c>
      <c r="AF83" s="1117">
        <f t="shared" ref="AF83:AF118" si="63">AE83*16/12*$D$11</f>
        <v>1656.255191296101</v>
      </c>
      <c r="AH83" s="1111">
        <f>'Baseline data (from input)'!T71*'Baseline data (from input)'!U71</f>
        <v>72122.993096121791</v>
      </c>
      <c r="AI83" s="1105">
        <f>Parameters!S186</f>
        <v>0.71500000000000008</v>
      </c>
      <c r="AJ83" s="1105">
        <f t="shared" ref="AJ83:AJ118" si="64">$D$3</f>
        <v>0.15</v>
      </c>
      <c r="AK83" s="1104">
        <f t="shared" ref="AK83:AK118" si="65">AH83*AJ83*AI83*$D$4</f>
        <v>3867.5955047795314</v>
      </c>
      <c r="AL83" s="1104">
        <f t="shared" ref="AL83:AL118" si="66">AK83*$D$10</f>
        <v>3867.5955047795314</v>
      </c>
      <c r="AM83" s="1106">
        <f t="shared" ref="AM83:AM118" si="67">AK83*(1-$D$10)</f>
        <v>0</v>
      </c>
      <c r="AN83" s="1104">
        <f t="shared" ref="AN83:AN118" si="68">AL83+(AN82*$D$8)</f>
        <v>52323.411013845311</v>
      </c>
      <c r="AO83" s="1104">
        <f t="shared" ref="AO83:AO118" si="69">AM83+AN82*(1-$D$8)</f>
        <v>2484.3827869441516</v>
      </c>
      <c r="AP83" s="1117">
        <f t="shared" ref="AP83:AP118" si="70">AO83*16/12*$D$11</f>
        <v>1656.255191296101</v>
      </c>
      <c r="AR83" s="1119">
        <v>501</v>
      </c>
      <c r="AS83" s="1105">
        <v>1</v>
      </c>
      <c r="AT83" s="1105">
        <f t="shared" ref="AT83:AT118" si="71">$E$3</f>
        <v>0.05</v>
      </c>
      <c r="AU83" s="1104">
        <f t="shared" ref="AU83:AU118" si="72">AR83*AT83*AS83*$E$4</f>
        <v>12.525</v>
      </c>
      <c r="AV83" s="1104">
        <f t="shared" ref="AV83:AV118" si="73">AU83*$E$10</f>
        <v>12.525</v>
      </c>
      <c r="AW83" s="1106">
        <f t="shared" ref="AW83:AW118" si="74">AU83*(1-$C$10)</f>
        <v>0</v>
      </c>
      <c r="AX83" s="1104">
        <f t="shared" si="42"/>
        <v>132.72438736871084</v>
      </c>
      <c r="AY83" s="1104">
        <f t="shared" si="47"/>
        <v>7.4327150117489973</v>
      </c>
      <c r="AZ83" s="1120">
        <f t="shared" si="45"/>
        <v>4.9551433411659982</v>
      </c>
      <c r="BB83" s="323">
        <f t="shared" ref="BB83:BB118" si="75">V83</f>
        <v>474.45617551970355</v>
      </c>
      <c r="BC83" s="324">
        <f t="shared" ref="BC83:BC118" si="76">AF83</f>
        <v>1656.255191296101</v>
      </c>
      <c r="BD83" s="1323">
        <f t="shared" si="46"/>
        <v>4.9551433411659982</v>
      </c>
      <c r="BE83" s="324">
        <f t="shared" si="48"/>
        <v>2135.6665101569706</v>
      </c>
      <c r="BF83" s="104">
        <v>0</v>
      </c>
      <c r="BG83" s="1314">
        <f t="shared" ref="BG83:BG118" si="77">BE83-BF83</f>
        <v>2135.6665101569706</v>
      </c>
      <c r="BI83" s="323">
        <f t="shared" ref="BI83:BI118" si="78">V83</f>
        <v>474.45617551970355</v>
      </c>
      <c r="BJ83" s="324">
        <f t="shared" ref="BJ83:BJ118" si="79">AP83</f>
        <v>1656.255191296101</v>
      </c>
      <c r="BK83" s="1323">
        <f t="shared" ref="BK83:BK118" si="80">AZ83</f>
        <v>4.9551433411659982</v>
      </c>
      <c r="BL83" s="324">
        <f t="shared" si="49"/>
        <v>2135.6665101569706</v>
      </c>
      <c r="BM83" s="104">
        <v>0</v>
      </c>
      <c r="BN83" s="1314">
        <f t="shared" ref="BN83:BN118" si="81">BL83-BM83</f>
        <v>2135.6665101569706</v>
      </c>
    </row>
    <row r="84" spans="1:66">
      <c r="A84" s="1034">
        <f>'Input data'!A114</f>
        <v>2016</v>
      </c>
      <c r="B84" s="1083">
        <f>'Input data'!B114</f>
        <v>55.62</v>
      </c>
      <c r="C84" s="1128">
        <f>'Baseline data (from input)'!B72</f>
        <v>443.57149215715253</v>
      </c>
      <c r="D84" s="1084">
        <f>'Baseline data (from input)'!L72</f>
        <v>0.50662864209648661</v>
      </c>
      <c r="E84" s="1085">
        <f t="shared" ref="E84:K85" si="82">E83</f>
        <v>0.24001298204245269</v>
      </c>
      <c r="F84" s="1085">
        <f t="shared" si="82"/>
        <v>0.30440139352934503</v>
      </c>
      <c r="G84" s="1085">
        <f t="shared" si="82"/>
        <v>5.8998240613430578E-2</v>
      </c>
      <c r="H84" s="1085">
        <f t="shared" si="82"/>
        <v>0</v>
      </c>
      <c r="I84" s="1085">
        <f t="shared" si="82"/>
        <v>0</v>
      </c>
      <c r="J84" s="1085">
        <f t="shared" si="82"/>
        <v>0</v>
      </c>
      <c r="K84" s="1085">
        <f t="shared" si="82"/>
        <v>0.39658738381477154</v>
      </c>
      <c r="L84" s="1093">
        <f t="shared" ref="L84:L118" si="83">SUM(E84:K84)</f>
        <v>0.99999999999999989</v>
      </c>
      <c r="N84" s="1111">
        <f t="shared" si="50"/>
        <v>12499.261385037438</v>
      </c>
      <c r="O84" s="1105">
        <f>Parameters!R187</f>
        <v>0.73</v>
      </c>
      <c r="P84" s="1105">
        <f>E84*'MSW characteristics'!$B$28+'MSW characteristics'!$B$29*'4A SWD Case 3'!F84+'4A SWD Case 3'!G84*'MSW characteristics'!$B$30+'MSW characteristics'!$B$31*'4A SWD Case 3'!H84+'4A SWD Case 3'!I84*'MSW characteristics'!$B$32+'MSW characteristics'!$B$33*'4A SWD Case 3'!J84+'4A SWD Case 3'!K84*'MSW characteristics'!$B$35</f>
        <v>0.12048152225760915</v>
      </c>
      <c r="Q84" s="1104">
        <f t="shared" si="51"/>
        <v>549.66446414924781</v>
      </c>
      <c r="R84" s="1104">
        <f t="shared" si="52"/>
        <v>549.66446414924781</v>
      </c>
      <c r="S84" s="1106">
        <f t="shared" si="53"/>
        <v>0</v>
      </c>
      <c r="T84" s="1104">
        <f t="shared" si="54"/>
        <v>14335.00939225191</v>
      </c>
      <c r="U84" s="1104">
        <f t="shared" si="55"/>
        <v>706.78974838548561</v>
      </c>
      <c r="V84" s="1117">
        <f t="shared" si="56"/>
        <v>471.19316559032376</v>
      </c>
      <c r="X84" s="1111">
        <f>'Baseline data (from input)'!T72*'Baseline data (from input)'!U72</f>
        <v>72699.845027371557</v>
      </c>
      <c r="Y84" s="1105">
        <f>Parameters!S187</f>
        <v>0.71500000000000008</v>
      </c>
      <c r="Z84" s="1105">
        <f t="shared" si="57"/>
        <v>0.15</v>
      </c>
      <c r="AA84" s="1104">
        <f t="shared" si="58"/>
        <v>3898.5291895928003</v>
      </c>
      <c r="AB84" s="1104">
        <f t="shared" si="59"/>
        <v>3898.5291895928003</v>
      </c>
      <c r="AC84" s="1106">
        <f t="shared" si="60"/>
        <v>0</v>
      </c>
      <c r="AD84" s="1104">
        <f t="shared" si="61"/>
        <v>53670.097336207196</v>
      </c>
      <c r="AE84" s="1104">
        <f t="shared" si="62"/>
        <v>2551.8428672309146</v>
      </c>
      <c r="AF84" s="1117">
        <f t="shared" si="63"/>
        <v>1701.2285781539431</v>
      </c>
      <c r="AH84" s="1111">
        <f>'Baseline data (from input)'!T72*'Baseline data (from input)'!U72</f>
        <v>72699.845027371557</v>
      </c>
      <c r="AI84" s="1105">
        <f>Parameters!S187</f>
        <v>0.71500000000000008</v>
      </c>
      <c r="AJ84" s="1105">
        <f t="shared" si="64"/>
        <v>0.15</v>
      </c>
      <c r="AK84" s="1104">
        <f t="shared" si="65"/>
        <v>3898.5291895928003</v>
      </c>
      <c r="AL84" s="1104">
        <f t="shared" si="66"/>
        <v>3898.5291895928003</v>
      </c>
      <c r="AM84" s="1106">
        <f t="shared" si="67"/>
        <v>0</v>
      </c>
      <c r="AN84" s="1104">
        <f t="shared" si="68"/>
        <v>53670.097336207196</v>
      </c>
      <c r="AO84" s="1104">
        <f t="shared" si="69"/>
        <v>2551.8428672309146</v>
      </c>
      <c r="AP84" s="1117">
        <f t="shared" si="70"/>
        <v>1701.2285781539431</v>
      </c>
      <c r="AR84" s="1119">
        <v>501</v>
      </c>
      <c r="AS84" s="1105">
        <v>1</v>
      </c>
      <c r="AT84" s="1105">
        <f t="shared" si="71"/>
        <v>0.05</v>
      </c>
      <c r="AU84" s="1104">
        <f t="shared" si="72"/>
        <v>12.525</v>
      </c>
      <c r="AV84" s="1104">
        <f t="shared" si="73"/>
        <v>12.525</v>
      </c>
      <c r="AW84" s="1106">
        <f t="shared" si="74"/>
        <v>0</v>
      </c>
      <c r="AX84" s="1104">
        <f t="shared" si="42"/>
        <v>137.52012076554911</v>
      </c>
      <c r="AY84" s="1104">
        <f t="shared" si="47"/>
        <v>7.7292666031617232</v>
      </c>
      <c r="AZ84" s="1120">
        <f t="shared" si="45"/>
        <v>5.1528444021078155</v>
      </c>
      <c r="BB84" s="323">
        <f t="shared" si="75"/>
        <v>471.19316559032376</v>
      </c>
      <c r="BC84" s="324">
        <f t="shared" si="76"/>
        <v>1701.2285781539431</v>
      </c>
      <c r="BD84" s="1323">
        <f t="shared" si="46"/>
        <v>5.1528444021078155</v>
      </c>
      <c r="BE84" s="324">
        <f t="shared" si="48"/>
        <v>2177.5745881463745</v>
      </c>
      <c r="BF84" s="104">
        <v>0</v>
      </c>
      <c r="BG84" s="1314">
        <f t="shared" si="77"/>
        <v>2177.5745881463745</v>
      </c>
      <c r="BI84" s="323">
        <f t="shared" si="78"/>
        <v>471.19316559032376</v>
      </c>
      <c r="BJ84" s="324">
        <f t="shared" si="79"/>
        <v>1701.2285781539431</v>
      </c>
      <c r="BK84" s="1323">
        <f t="shared" si="80"/>
        <v>5.1528444021078155</v>
      </c>
      <c r="BL84" s="324">
        <f t="shared" si="49"/>
        <v>2177.5745881463745</v>
      </c>
      <c r="BM84" s="104">
        <v>0</v>
      </c>
      <c r="BN84" s="1314">
        <f t="shared" si="81"/>
        <v>2177.5745881463745</v>
      </c>
    </row>
    <row r="85" spans="1:66" ht="13.15" customHeight="1" thickBot="1">
      <c r="A85" s="1034">
        <f>'Input data'!A115</f>
        <v>2017</v>
      </c>
      <c r="B85" s="1083">
        <f>'Input data'!B115</f>
        <v>56.521999999999998</v>
      </c>
      <c r="C85" s="1128">
        <f>'Baseline data (from input)'!B73</f>
        <v>424.26313389388866</v>
      </c>
      <c r="D85" s="1084">
        <f>'Baseline data (from input)'!L73</f>
        <v>0.46471844811027063</v>
      </c>
      <c r="E85" s="1085">
        <f t="shared" si="82"/>
        <v>0.24001298204245269</v>
      </c>
      <c r="F85" s="1085">
        <f t="shared" si="82"/>
        <v>0.30440139352934503</v>
      </c>
      <c r="G85" s="1085">
        <f t="shared" si="82"/>
        <v>5.8998240613430578E-2</v>
      </c>
      <c r="H85" s="1085">
        <f t="shared" si="82"/>
        <v>0</v>
      </c>
      <c r="I85" s="1085">
        <f t="shared" si="82"/>
        <v>0</v>
      </c>
      <c r="J85" s="1085">
        <f t="shared" si="82"/>
        <v>0</v>
      </c>
      <c r="K85" s="1085">
        <f t="shared" si="82"/>
        <v>0.39658738381477154</v>
      </c>
      <c r="L85" s="1093">
        <f t="shared" si="83"/>
        <v>0.99999999999999989</v>
      </c>
      <c r="N85" s="1112">
        <f t="shared" si="50"/>
        <v>11144.041726220405</v>
      </c>
      <c r="O85" s="1113">
        <f>Parameters!R188</f>
        <v>0.73</v>
      </c>
      <c r="P85" s="1113">
        <f>E85*'MSW characteristics'!$B$28+'MSW characteristics'!$B$29*'4A SWD Case 3'!F85+'4A SWD Case 3'!G85*'MSW characteristics'!$B$30+'MSW characteristics'!$B$31*'4A SWD Case 3'!H85+'4A SWD Case 3'!I85*'MSW characteristics'!$B$32+'MSW characteristics'!$B$33*'4A SWD Case 3'!J85+'4A SWD Case 3'!K85*'MSW characteristics'!$B$35</f>
        <v>0.12048152225760915</v>
      </c>
      <c r="Q85" s="1114">
        <f t="shared" si="51"/>
        <v>490.06765561623229</v>
      </c>
      <c r="R85" s="1114">
        <f t="shared" si="52"/>
        <v>490.06765561623229</v>
      </c>
      <c r="S85" s="1115">
        <f t="shared" si="53"/>
        <v>0</v>
      </c>
      <c r="T85" s="1114">
        <f t="shared" si="54"/>
        <v>14125.950390020347</v>
      </c>
      <c r="U85" s="1114">
        <f t="shared" si="55"/>
        <v>699.12665784779551</v>
      </c>
      <c r="V85" s="1118">
        <f t="shared" si="56"/>
        <v>466.08443856519699</v>
      </c>
      <c r="X85" s="1111">
        <f>'Baseline data (from input)'!T73*'Baseline data (from input)'!U73</f>
        <v>73563.119147615391</v>
      </c>
      <c r="Y85" s="1105">
        <f>Parameters!S188</f>
        <v>0.71500000000000008</v>
      </c>
      <c r="Z85" s="1105">
        <f t="shared" si="57"/>
        <v>0.15</v>
      </c>
      <c r="AA85" s="1104">
        <f t="shared" si="58"/>
        <v>3944.8222642908754</v>
      </c>
      <c r="AB85" s="1104">
        <f t="shared" si="59"/>
        <v>3944.8222642908754</v>
      </c>
      <c r="AC85" s="1106">
        <f t="shared" si="60"/>
        <v>0</v>
      </c>
      <c r="AD85" s="1104">
        <f t="shared" si="61"/>
        <v>54997.398066308546</v>
      </c>
      <c r="AE85" s="1104">
        <f t="shared" si="62"/>
        <v>2617.5215341895205</v>
      </c>
      <c r="AF85" s="1117">
        <f t="shared" si="63"/>
        <v>1745.0143561263469</v>
      </c>
      <c r="AH85" s="1111">
        <f>'Baseline data (from input)'!T73*'Baseline data (from input)'!U73</f>
        <v>73563.119147615391</v>
      </c>
      <c r="AI85" s="1105">
        <f>Parameters!S188</f>
        <v>0.71500000000000008</v>
      </c>
      <c r="AJ85" s="1105">
        <f t="shared" si="64"/>
        <v>0.15</v>
      </c>
      <c r="AK85" s="1104">
        <f t="shared" si="65"/>
        <v>3944.8222642908754</v>
      </c>
      <c r="AL85" s="1104">
        <f t="shared" si="66"/>
        <v>3944.8222642908754</v>
      </c>
      <c r="AM85" s="1106">
        <f t="shared" si="67"/>
        <v>0</v>
      </c>
      <c r="AN85" s="1104">
        <f t="shared" si="68"/>
        <v>54997.398066308546</v>
      </c>
      <c r="AO85" s="1104">
        <f t="shared" si="69"/>
        <v>2617.5215341895205</v>
      </c>
      <c r="AP85" s="1117">
        <f t="shared" si="70"/>
        <v>1745.0143561263469</v>
      </c>
      <c r="AR85" s="1119">
        <v>501</v>
      </c>
      <c r="AS85" s="1105">
        <v>1</v>
      </c>
      <c r="AT85" s="1105">
        <f t="shared" si="71"/>
        <v>0.05</v>
      </c>
      <c r="AU85" s="1104">
        <f t="shared" si="72"/>
        <v>12.525</v>
      </c>
      <c r="AV85" s="1104">
        <f t="shared" si="73"/>
        <v>12.525</v>
      </c>
      <c r="AW85" s="1106">
        <f t="shared" si="74"/>
        <v>0</v>
      </c>
      <c r="AX85" s="1104">
        <f t="shared" si="42"/>
        <v>142.03657239121691</v>
      </c>
      <c r="AY85" s="1104">
        <f t="shared" si="47"/>
        <v>8.0085483743321948</v>
      </c>
      <c r="AZ85" s="1120">
        <f t="shared" si="45"/>
        <v>5.3390322495547968</v>
      </c>
      <c r="BB85" s="1145">
        <f t="shared" si="75"/>
        <v>466.08443856519699</v>
      </c>
      <c r="BC85" s="326">
        <f t="shared" si="76"/>
        <v>1745.0143561263469</v>
      </c>
      <c r="BD85" s="1325">
        <f t="shared" si="46"/>
        <v>5.3390322495547968</v>
      </c>
      <c r="BE85" s="326">
        <f t="shared" si="48"/>
        <v>2216.4378269410986</v>
      </c>
      <c r="BF85" s="163">
        <v>0</v>
      </c>
      <c r="BG85" s="1315">
        <f t="shared" si="77"/>
        <v>2216.4378269410986</v>
      </c>
      <c r="BI85" s="1145">
        <f t="shared" si="78"/>
        <v>466.08443856519699</v>
      </c>
      <c r="BJ85" s="326">
        <f t="shared" si="79"/>
        <v>1745.0143561263469</v>
      </c>
      <c r="BK85" s="1325">
        <f t="shared" si="80"/>
        <v>5.3390322495547968</v>
      </c>
      <c r="BL85" s="326">
        <f t="shared" si="49"/>
        <v>2216.4378269410986</v>
      </c>
      <c r="BM85" s="163">
        <v>0</v>
      </c>
      <c r="BN85" s="1315">
        <f t="shared" si="81"/>
        <v>2216.4378269410986</v>
      </c>
    </row>
    <row r="86" spans="1:66">
      <c r="A86" s="1155">
        <f>'Input data'!A116</f>
        <v>2018</v>
      </c>
      <c r="B86" s="1035">
        <f>'Input data'!B116</f>
        <v>57.436</v>
      </c>
      <c r="C86" s="1129">
        <f>'Recycling - Case 3'!AD96</f>
        <v>2.4602355132358533E-2</v>
      </c>
      <c r="D86" s="1036">
        <f>'Recycling - Case 3'!AM96</f>
        <v>0.44785359440039618</v>
      </c>
      <c r="E86" s="1037">
        <f>'Recycling - Case 3'!BE96</f>
        <v>0.23492828183802922</v>
      </c>
      <c r="F86" s="1037">
        <f>'Recycling - Case 3'!BF96</f>
        <v>0.30174137217960728</v>
      </c>
      <c r="G86" s="1037">
        <f>'Recycling - Case 3'!BG96</f>
        <v>5.9380849168749056E-2</v>
      </c>
      <c r="H86" s="1037">
        <f>'Recycling - Case 3'!BH96</f>
        <v>0</v>
      </c>
      <c r="I86" s="1037">
        <f>'Recycling - Case 3'!BI96</f>
        <v>0</v>
      </c>
      <c r="J86" s="1037">
        <f>'Recycling - Case 3'!BJ96</f>
        <v>0</v>
      </c>
      <c r="K86" s="1037">
        <f>'Recycling - Case 3'!BK96</f>
        <v>0.40394949681361447</v>
      </c>
      <c r="L86" s="1038">
        <f t="shared" si="83"/>
        <v>1</v>
      </c>
      <c r="M86" s="4"/>
      <c r="N86" s="1250">
        <f>B86*C86*D86</f>
        <v>0.63284438945934229</v>
      </c>
      <c r="O86" s="1251">
        <f>Parameters!R259</f>
        <v>0.75076923076923086</v>
      </c>
      <c r="P86" s="1252">
        <f>E86*'MSW characteristics'!$B$28+'MSW characteristics'!$B$29*'4A SWD Case 3'!F86+'4A SWD Case 3'!G86*'MSW characteristics'!$B$30+'MSW characteristics'!$B$31*'4A SWD Case 3'!H86+'4A SWD Case 3'!I86*'MSW characteristics'!$B$32+'MSW characteristics'!$B$33*'4A SWD Case 3'!J86+'4A SWD Case 3'!K86*'MSW characteristics'!$B$35</f>
        <v>0.11933985637912546</v>
      </c>
      <c r="Q86" s="1051">
        <f t="shared" si="51"/>
        <v>2.8350381978173592E-2</v>
      </c>
      <c r="R86" s="1051">
        <f t="shared" si="52"/>
        <v>2.8350381978173592E-2</v>
      </c>
      <c r="S86" s="1052">
        <f t="shared" si="53"/>
        <v>0</v>
      </c>
      <c r="T86" s="1051">
        <f t="shared" si="54"/>
        <v>13437.048010406668</v>
      </c>
      <c r="U86" s="1051">
        <f t="shared" si="55"/>
        <v>688.93072999565561</v>
      </c>
      <c r="V86" s="1253">
        <f t="shared" si="56"/>
        <v>459.28715333043709</v>
      </c>
      <c r="X86" s="1245">
        <f>'Recycling - Case 3'!W136*'Recycling - Case 3'!AE136*'Recycling - Case 3'!C136</f>
        <v>69851.785363996736</v>
      </c>
      <c r="Y86" s="1246">
        <f>Parameters!S258</f>
        <v>0.71500000000000008</v>
      </c>
      <c r="Z86" s="1246">
        <f t="shared" si="57"/>
        <v>0.15</v>
      </c>
      <c r="AA86" s="1247">
        <f t="shared" si="58"/>
        <v>3745.8019901443254</v>
      </c>
      <c r="AB86" s="1247">
        <f t="shared" si="59"/>
        <v>3745.8019901443254</v>
      </c>
      <c r="AC86" s="1248">
        <f t="shared" si="60"/>
        <v>0</v>
      </c>
      <c r="AD86" s="1247">
        <f t="shared" si="61"/>
        <v>56060.945301795684</v>
      </c>
      <c r="AE86" s="1247">
        <f t="shared" si="62"/>
        <v>2682.2547546571859</v>
      </c>
      <c r="AF86" s="1249">
        <f t="shared" si="63"/>
        <v>1788.1698364381239</v>
      </c>
      <c r="AH86" s="1245">
        <f>'Recycling - Case 3'!C176*'Recycling - Case 3'!W176*'Recycling - Case 3'!AE176</f>
        <v>69851.785363996736</v>
      </c>
      <c r="AI86" s="1246">
        <f>Parameters!S258</f>
        <v>0.71500000000000008</v>
      </c>
      <c r="AJ86" s="1246">
        <f t="shared" si="64"/>
        <v>0.15</v>
      </c>
      <c r="AK86" s="1247">
        <f t="shared" si="65"/>
        <v>3745.8019901443254</v>
      </c>
      <c r="AL86" s="1247">
        <f t="shared" si="66"/>
        <v>3745.8019901443254</v>
      </c>
      <c r="AM86" s="1248">
        <f t="shared" si="67"/>
        <v>0</v>
      </c>
      <c r="AN86" s="1247">
        <f t="shared" si="68"/>
        <v>56060.945301795684</v>
      </c>
      <c r="AO86" s="1247">
        <f t="shared" si="69"/>
        <v>2682.2547546571859</v>
      </c>
      <c r="AP86" s="1249">
        <f t="shared" si="70"/>
        <v>1788.1698364381239</v>
      </c>
      <c r="AR86" s="1064">
        <f>'Recycling - Case 3'!G96</f>
        <v>519.97374548094456</v>
      </c>
      <c r="AS86" s="1062">
        <v>1</v>
      </c>
      <c r="AT86" s="1062">
        <f t="shared" si="71"/>
        <v>0.05</v>
      </c>
      <c r="AU86" s="1051">
        <f t="shared" si="72"/>
        <v>12.999343637023614</v>
      </c>
      <c r="AV86" s="1051">
        <f t="shared" si="73"/>
        <v>12.999343637023614</v>
      </c>
      <c r="AW86" s="1052">
        <f t="shared" si="74"/>
        <v>0</v>
      </c>
      <c r="AX86" s="1051">
        <f t="shared" si="42"/>
        <v>146.76434998694339</v>
      </c>
      <c r="AY86" s="1051">
        <f t="shared" si="47"/>
        <v>8.2715660412971381</v>
      </c>
      <c r="AZ86" s="1158">
        <f t="shared" si="45"/>
        <v>5.514377360864759</v>
      </c>
      <c r="BA86" s="4"/>
      <c r="BB86" s="1291">
        <f t="shared" si="75"/>
        <v>459.28715333043709</v>
      </c>
      <c r="BC86" s="1292">
        <f t="shared" si="76"/>
        <v>1788.1698364381239</v>
      </c>
      <c r="BD86" s="1326">
        <f>AZ86</f>
        <v>5.514377360864759</v>
      </c>
      <c r="BE86" s="1292">
        <f t="shared" si="48"/>
        <v>2252.9713671294257</v>
      </c>
      <c r="BF86" s="1293">
        <v>0</v>
      </c>
      <c r="BG86" s="1316">
        <f t="shared" si="77"/>
        <v>2252.9713671294257</v>
      </c>
      <c r="BI86" s="1291">
        <f t="shared" si="78"/>
        <v>459.28715333043709</v>
      </c>
      <c r="BJ86" s="1292">
        <f t="shared" si="79"/>
        <v>1788.1698364381239</v>
      </c>
      <c r="BK86" s="1326">
        <f t="shared" si="80"/>
        <v>5.514377360864759</v>
      </c>
      <c r="BL86" s="1292">
        <f t="shared" si="49"/>
        <v>2252.9713671294257</v>
      </c>
      <c r="BM86" s="1293">
        <v>0</v>
      </c>
      <c r="BN86" s="1316">
        <f t="shared" si="81"/>
        <v>2252.9713671294257</v>
      </c>
    </row>
    <row r="87" spans="1:66">
      <c r="A87" s="1156">
        <f>'Input data'!A117</f>
        <v>2019</v>
      </c>
      <c r="B87" s="1039">
        <f>'Input data'!B117</f>
        <v>58.365000000000002</v>
      </c>
      <c r="C87" s="1130">
        <f>'Recycling - Case 3'!AD97</f>
        <v>4.0347508485998995E-2</v>
      </c>
      <c r="D87" s="1040">
        <f>'Recycling - Case 3'!AM97</f>
        <v>0.43098874069052173</v>
      </c>
      <c r="E87" s="1041">
        <f>'Recycling - Case 3'!BE97</f>
        <v>0.22944564675962828</v>
      </c>
      <c r="F87" s="1041">
        <f>'Recycling - Case 3'!BF97</f>
        <v>0.29887317429673499</v>
      </c>
      <c r="G87" s="1041">
        <f>'Recycling - Case 3'!BG97</f>
        <v>5.9793401138845577E-2</v>
      </c>
      <c r="H87" s="1041">
        <f>'Recycling - Case 3'!BH97</f>
        <v>0</v>
      </c>
      <c r="I87" s="1041">
        <f>'Recycling - Case 3'!BI97</f>
        <v>0</v>
      </c>
      <c r="J87" s="1041">
        <f>'Recycling - Case 3'!BJ97</f>
        <v>0</v>
      </c>
      <c r="K87" s="1041">
        <f>'Recycling - Case 3'!BK97</f>
        <v>0.41188777780479113</v>
      </c>
      <c r="L87" s="1042">
        <f t="shared" si="83"/>
        <v>1</v>
      </c>
      <c r="M87" s="4"/>
      <c r="N87" s="1053">
        <f t="shared" si="50"/>
        <v>1.0149277710815081</v>
      </c>
      <c r="O87" s="1048">
        <f>Parameters!R260</f>
        <v>0.77153846153846162</v>
      </c>
      <c r="P87" s="1049">
        <f>E87*'MSW characteristics'!$B$28+'MSW characteristics'!$B$29*'4A SWD Case 3'!F87+'4A SWD Case 3'!G87*'MSW characteristics'!$B$30+'MSW characteristics'!$B$31*'4A SWD Case 3'!H87+'4A SWD Case 3'!I87*'MSW characteristics'!$B$32+'MSW characteristics'!$B$33*'4A SWD Case 3'!J87+'4A SWD Case 3'!K87*'MSW characteristics'!$B$35</f>
        <v>0.11810884232882947</v>
      </c>
      <c r="Q87" s="1047">
        <f t="shared" si="51"/>
        <v>4.6242907662340627E-2</v>
      </c>
      <c r="R87" s="1047">
        <f t="shared" si="52"/>
        <v>4.6242907662340627E-2</v>
      </c>
      <c r="S87" s="1050">
        <f t="shared" si="53"/>
        <v>0</v>
      </c>
      <c r="T87" s="1047">
        <f t="shared" si="54"/>
        <v>12781.76168883526</v>
      </c>
      <c r="U87" s="1047">
        <f t="shared" si="55"/>
        <v>655.33256447906888</v>
      </c>
      <c r="V87" s="1054">
        <f t="shared" si="56"/>
        <v>436.88837631937923</v>
      </c>
      <c r="X87" s="1067">
        <f>'Recycling - Case 3'!W137*'Recycling - Case 3'!AE137*'Recycling - Case 3'!C137</f>
        <v>66703.793342367542</v>
      </c>
      <c r="Y87" s="1068">
        <f>Parameters!S259</f>
        <v>0.71500000000000008</v>
      </c>
      <c r="Z87" s="1068">
        <f t="shared" si="57"/>
        <v>0.15</v>
      </c>
      <c r="AA87" s="1069">
        <f t="shared" si="58"/>
        <v>3576.9909179844594</v>
      </c>
      <c r="AB87" s="1069">
        <f t="shared" si="59"/>
        <v>3576.9909179844594</v>
      </c>
      <c r="AC87" s="1070">
        <f t="shared" si="60"/>
        <v>0</v>
      </c>
      <c r="AD87" s="1069">
        <f t="shared" si="61"/>
        <v>56903.811654377576</v>
      </c>
      <c r="AE87" s="1069">
        <f t="shared" si="62"/>
        <v>2734.1245654025684</v>
      </c>
      <c r="AF87" s="1071">
        <f t="shared" si="63"/>
        <v>1822.749710268379</v>
      </c>
      <c r="AH87" s="1067">
        <f>'Recycling - Case 3'!C177*'Recycling - Case 3'!W177*'Recycling - Case 3'!AE177</f>
        <v>66703.793342367571</v>
      </c>
      <c r="AI87" s="1068">
        <f>Parameters!S259</f>
        <v>0.71500000000000008</v>
      </c>
      <c r="AJ87" s="1068">
        <f t="shared" si="64"/>
        <v>0.15</v>
      </c>
      <c r="AK87" s="1069">
        <f t="shared" si="65"/>
        <v>3576.9909179844612</v>
      </c>
      <c r="AL87" s="1069">
        <f t="shared" si="66"/>
        <v>3576.9909179844612</v>
      </c>
      <c r="AM87" s="1070">
        <f t="shared" si="67"/>
        <v>0</v>
      </c>
      <c r="AN87" s="1069">
        <f t="shared" si="68"/>
        <v>56903.811654377576</v>
      </c>
      <c r="AO87" s="1069">
        <f t="shared" si="69"/>
        <v>2734.1245654025684</v>
      </c>
      <c r="AP87" s="1071">
        <f t="shared" si="70"/>
        <v>1822.749710268379</v>
      </c>
      <c r="AR87" s="1065">
        <f>'Recycling - Case 3'!G97</f>
        <v>539.43215426439122</v>
      </c>
      <c r="AS87" s="1061">
        <v>1</v>
      </c>
      <c r="AT87" s="1061">
        <f t="shared" si="71"/>
        <v>0.05</v>
      </c>
      <c r="AU87" s="1047">
        <f t="shared" si="72"/>
        <v>13.485803856609781</v>
      </c>
      <c r="AV87" s="1047">
        <f t="shared" si="73"/>
        <v>13.485803856609781</v>
      </c>
      <c r="AW87" s="1050">
        <f t="shared" si="74"/>
        <v>0</v>
      </c>
      <c r="AX87" s="1047">
        <f t="shared" si="42"/>
        <v>151.70326346885895</v>
      </c>
      <c r="AY87" s="1047">
        <f t="shared" si="47"/>
        <v>8.5468903746942093</v>
      </c>
      <c r="AZ87" s="1159">
        <f t="shared" si="45"/>
        <v>5.6979269164628059</v>
      </c>
      <c r="BA87" s="4"/>
      <c r="BB87" s="1294">
        <f t="shared" si="75"/>
        <v>436.88837631937923</v>
      </c>
      <c r="BC87" s="1295">
        <f t="shared" si="76"/>
        <v>1822.749710268379</v>
      </c>
      <c r="BD87" s="1327">
        <f t="shared" ref="BD87:BD118" si="84">AZ87</f>
        <v>5.6979269164628059</v>
      </c>
      <c r="BE87" s="1295">
        <f t="shared" si="48"/>
        <v>2265.3360135042208</v>
      </c>
      <c r="BF87" s="167">
        <v>0</v>
      </c>
      <c r="BG87" s="1317">
        <f t="shared" si="77"/>
        <v>2265.3360135042208</v>
      </c>
      <c r="BI87" s="1294">
        <f t="shared" si="78"/>
        <v>436.88837631937923</v>
      </c>
      <c r="BJ87" s="1295">
        <f t="shared" si="79"/>
        <v>1822.749710268379</v>
      </c>
      <c r="BK87" s="1327">
        <f t="shared" si="80"/>
        <v>5.6979269164628059</v>
      </c>
      <c r="BL87" s="1295">
        <f t="shared" si="49"/>
        <v>2265.3360135042208</v>
      </c>
      <c r="BM87" s="167">
        <v>0</v>
      </c>
      <c r="BN87" s="1317">
        <f t="shared" si="81"/>
        <v>2265.3360135042208</v>
      </c>
    </row>
    <row r="88" spans="1:66">
      <c r="A88" s="1156">
        <f>'Input data'!A118</f>
        <v>2020</v>
      </c>
      <c r="B88" s="1039">
        <f>'Input data'!B118</f>
        <v>59.308999999999997</v>
      </c>
      <c r="C88" s="1130">
        <f>'Recycling - Case 3'!AD98</f>
        <v>6.2400003527468412E-2</v>
      </c>
      <c r="D88" s="1040">
        <f>'Recycling - Case 3'!AM98</f>
        <v>0.40147391679341488</v>
      </c>
      <c r="E88" s="1041">
        <f>'Recycling - Case 3'!BE98</f>
        <v>0.21480478945036316</v>
      </c>
      <c r="F88" s="1041">
        <f>'Recycling - Case 3'!BF98</f>
        <v>0.28933636276268687</v>
      </c>
      <c r="G88" s="1041">
        <f>'Recycling - Case 3'!BG98</f>
        <v>6.2137632196248523E-2</v>
      </c>
      <c r="H88" s="1041">
        <f>'Recycling - Case 3'!BH98</f>
        <v>0</v>
      </c>
      <c r="I88" s="1041">
        <f>'Recycling - Case 3'!BI98</f>
        <v>0</v>
      </c>
      <c r="J88" s="1041">
        <f>'Recycling - Case 3'!BJ98</f>
        <v>0</v>
      </c>
      <c r="K88" s="1041">
        <f>'Recycling - Case 3'!BK98</f>
        <v>0.43372121559070159</v>
      </c>
      <c r="L88" s="1042">
        <f t="shared" si="83"/>
        <v>1.0000000000000002</v>
      </c>
      <c r="M88" s="4"/>
      <c r="N88" s="1053">
        <f t="shared" si="50"/>
        <v>1.4858075155332886</v>
      </c>
      <c r="O88" s="1048">
        <f>Parameters!R261</f>
        <v>0.79230769230769238</v>
      </c>
      <c r="P88" s="1049">
        <f>E88*'MSW characteristics'!$B$28+'MSW characteristics'!$B$29*'4A SWD Case 3'!F88+'4A SWD Case 3'!G88*'MSW characteristics'!$B$30+'MSW characteristics'!$B$31*'4A SWD Case 3'!H88+'4A SWD Case 3'!I88*'MSW characteristics'!$B$32+'MSW characteristics'!$B$33*'4A SWD Case 3'!J88+'4A SWD Case 3'!K88*'MSW characteristics'!$B$35</f>
        <v>0.11494304384859126</v>
      </c>
      <c r="Q88" s="1047">
        <f t="shared" si="51"/>
        <v>6.7656436754140195E-2</v>
      </c>
      <c r="R88" s="1047">
        <f t="shared" si="52"/>
        <v>6.7656436754140195E-2</v>
      </c>
      <c r="S88" s="1050">
        <f t="shared" si="53"/>
        <v>0</v>
      </c>
      <c r="T88" s="1047">
        <f t="shared" si="54"/>
        <v>12158.455471812795</v>
      </c>
      <c r="U88" s="1047">
        <f t="shared" si="55"/>
        <v>623.37387345922116</v>
      </c>
      <c r="V88" s="1054">
        <f t="shared" si="56"/>
        <v>415.58258230614746</v>
      </c>
      <c r="X88" s="1067">
        <f>'Recycling - Case 3'!W138*'Recycling - Case 3'!AE138*'Recycling - Case 3'!C138</f>
        <v>56309.074771224383</v>
      </c>
      <c r="Y88" s="1068">
        <f>Parameters!S260</f>
        <v>0.71500000000000008</v>
      </c>
      <c r="Z88" s="1068">
        <f t="shared" si="57"/>
        <v>0.15</v>
      </c>
      <c r="AA88" s="1069">
        <f t="shared" si="58"/>
        <v>3019.5741346069076</v>
      </c>
      <c r="AB88" s="1069">
        <f t="shared" si="59"/>
        <v>3019.5741346069076</v>
      </c>
      <c r="AC88" s="1070">
        <f t="shared" si="60"/>
        <v>0</v>
      </c>
      <c r="AD88" s="1069">
        <f t="shared" si="61"/>
        <v>57148.154146497509</v>
      </c>
      <c r="AE88" s="1069">
        <f t="shared" si="62"/>
        <v>2775.2316424869714</v>
      </c>
      <c r="AF88" s="1071">
        <f t="shared" si="63"/>
        <v>1850.1544283246476</v>
      </c>
      <c r="AH88" s="1067">
        <f>'Recycling - Case 3'!C178*'Recycling - Case 3'!W178*'Recycling - Case 3'!AE178</f>
        <v>56309.07477122439</v>
      </c>
      <c r="AI88" s="1068">
        <f>Parameters!S260</f>
        <v>0.71500000000000008</v>
      </c>
      <c r="AJ88" s="1068">
        <f t="shared" si="64"/>
        <v>0.15</v>
      </c>
      <c r="AK88" s="1069">
        <f t="shared" si="65"/>
        <v>3019.5741346069085</v>
      </c>
      <c r="AL88" s="1069">
        <f t="shared" si="66"/>
        <v>3019.5741346069085</v>
      </c>
      <c r="AM88" s="1070">
        <f t="shared" si="67"/>
        <v>0</v>
      </c>
      <c r="AN88" s="1069">
        <f t="shared" si="68"/>
        <v>57148.154146497516</v>
      </c>
      <c r="AO88" s="1069">
        <f t="shared" si="69"/>
        <v>2775.2316424869714</v>
      </c>
      <c r="AP88" s="1071">
        <f t="shared" si="70"/>
        <v>1850.1544283246476</v>
      </c>
      <c r="AR88" s="1065">
        <f>'Recycling - Case 3'!G98</f>
        <v>559.38374453121867</v>
      </c>
      <c r="AS88" s="1061">
        <v>1</v>
      </c>
      <c r="AT88" s="1061">
        <f t="shared" si="71"/>
        <v>0.05</v>
      </c>
      <c r="AU88" s="1047">
        <f t="shared" si="72"/>
        <v>13.984593613280467</v>
      </c>
      <c r="AV88" s="1047">
        <f t="shared" si="73"/>
        <v>13.984593613280467</v>
      </c>
      <c r="AW88" s="1050">
        <f t="shared" si="74"/>
        <v>0</v>
      </c>
      <c r="AX88" s="1047">
        <f t="shared" si="42"/>
        <v>156.85334677723881</v>
      </c>
      <c r="AY88" s="1047">
        <f t="shared" si="47"/>
        <v>8.8345103049006042</v>
      </c>
      <c r="AZ88" s="1159">
        <f t="shared" si="45"/>
        <v>5.8896735366004025</v>
      </c>
      <c r="BA88" s="4"/>
      <c r="BB88" s="1294">
        <f t="shared" si="75"/>
        <v>415.58258230614746</v>
      </c>
      <c r="BC88" s="1295">
        <f t="shared" si="76"/>
        <v>1850.1544283246476</v>
      </c>
      <c r="BD88" s="1327">
        <f t="shared" si="84"/>
        <v>5.8896735366004025</v>
      </c>
      <c r="BE88" s="1295">
        <f t="shared" si="48"/>
        <v>2271.6266841673951</v>
      </c>
      <c r="BF88" s="167">
        <v>0</v>
      </c>
      <c r="BG88" s="1317">
        <f t="shared" si="77"/>
        <v>2271.6266841673951</v>
      </c>
      <c r="BI88" s="1294">
        <f t="shared" si="78"/>
        <v>415.58258230614746</v>
      </c>
      <c r="BJ88" s="1295">
        <f t="shared" si="79"/>
        <v>1850.1544283246476</v>
      </c>
      <c r="BK88" s="1327">
        <f t="shared" si="80"/>
        <v>5.8896735366004025</v>
      </c>
      <c r="BL88" s="1295">
        <f t="shared" si="49"/>
        <v>2271.6266841673951</v>
      </c>
      <c r="BM88" s="167">
        <v>0</v>
      </c>
      <c r="BN88" s="1317">
        <f t="shared" si="81"/>
        <v>2271.6266841673951</v>
      </c>
    </row>
    <row r="89" spans="1:66">
      <c r="A89" s="1156">
        <f>'Input data'!A119</f>
        <v>2021</v>
      </c>
      <c r="B89" s="1039">
        <f>'Input data'!B119</f>
        <v>59.991999999999997</v>
      </c>
      <c r="C89" s="1130">
        <f>'Recycling - Case 3'!AD99</f>
        <v>0.12863402257166001</v>
      </c>
      <c r="D89" s="1040">
        <f>'Recycling - Case 3'!AM99</f>
        <v>0.34665915252184321</v>
      </c>
      <c r="E89" s="1041">
        <f>'Recycling - Case 3'!BE99</f>
        <v>0.17578817506720093</v>
      </c>
      <c r="F89" s="1041">
        <f>'Recycling - Case 3'!BF99</f>
        <v>0.26210489985233038</v>
      </c>
      <c r="G89" s="1041">
        <f>'Recycling - Case 3'!BG99</f>
        <v>6.9587069380026595E-2</v>
      </c>
      <c r="H89" s="1041">
        <f>'Recycling - Case 3'!BH99</f>
        <v>0</v>
      </c>
      <c r="I89" s="1041">
        <f>'Recycling - Case 3'!BI99</f>
        <v>0</v>
      </c>
      <c r="J89" s="1041">
        <f>'Recycling - Case 3'!BJ99</f>
        <v>0</v>
      </c>
      <c r="K89" s="1041">
        <f>'Recycling - Case 3'!BK99</f>
        <v>0.49251985570044204</v>
      </c>
      <c r="L89" s="1042">
        <f t="shared" si="83"/>
        <v>1</v>
      </c>
      <c r="M89" s="4"/>
      <c r="N89" s="1053">
        <f t="shared" si="50"/>
        <v>2.6751729377200371</v>
      </c>
      <c r="O89" s="1048">
        <f>Parameters!R262</f>
        <v>0.81307692307692303</v>
      </c>
      <c r="P89" s="1049">
        <f>E89*'MSW characteristics'!$B$28+'MSW characteristics'!$B$29*'4A SWD Case 3'!F89+'4A SWD Case 3'!G89*'MSW characteristics'!$B$30+'MSW characteristics'!$B$31*'4A SWD Case 3'!H89+'4A SWD Case 3'!I89*'MSW characteristics'!$B$32+'MSW characteristics'!$B$33*'4A SWD Case 3'!J89+'4A SWD Case 3'!K89*'MSW characteristics'!$B$35</f>
        <v>0.10662403398255686</v>
      </c>
      <c r="Q89" s="1047">
        <f t="shared" si="51"/>
        <v>0.11596010801663705</v>
      </c>
      <c r="R89" s="1047">
        <f t="shared" si="52"/>
        <v>0.11596010801663705</v>
      </c>
      <c r="S89" s="1050">
        <f t="shared" si="53"/>
        <v>0</v>
      </c>
      <c r="T89" s="1047">
        <f t="shared" si="54"/>
        <v>11565.596561378059</v>
      </c>
      <c r="U89" s="1047">
        <f t="shared" si="55"/>
        <v>592.97487054275268</v>
      </c>
      <c r="V89" s="1054">
        <f t="shared" si="56"/>
        <v>395.31658036183512</v>
      </c>
      <c r="W89" s="4"/>
      <c r="X89" s="1067">
        <f>'Recycling - Case 3'!W139*'Recycling - Case 3'!AE139*'Recycling - Case 3'!C139</f>
        <v>46189.338003205477</v>
      </c>
      <c r="Y89" s="1068">
        <f>Parameters!S261</f>
        <v>0.71500000000000008</v>
      </c>
      <c r="Z89" s="1068">
        <f t="shared" si="57"/>
        <v>0.15</v>
      </c>
      <c r="AA89" s="1069">
        <f t="shared" si="58"/>
        <v>2476.903250421894</v>
      </c>
      <c r="AB89" s="1069">
        <f t="shared" si="59"/>
        <v>2476.903250421894</v>
      </c>
      <c r="AC89" s="1070">
        <f t="shared" si="60"/>
        <v>0</v>
      </c>
      <c r="AD89" s="1069">
        <f t="shared" si="61"/>
        <v>56837.909030472809</v>
      </c>
      <c r="AE89" s="1069">
        <f t="shared" si="62"/>
        <v>2787.14836644659</v>
      </c>
      <c r="AF89" s="1071">
        <f t="shared" si="63"/>
        <v>1858.0989109643933</v>
      </c>
      <c r="AG89" s="4"/>
      <c r="AH89" s="1067">
        <f>'Recycling - Case 3'!C179*'Recycling - Case 3'!W179*'Recycling - Case 3'!AE179</f>
        <v>46189.338003205456</v>
      </c>
      <c r="AI89" s="1068">
        <f>Parameters!S261</f>
        <v>0.71500000000000008</v>
      </c>
      <c r="AJ89" s="1068">
        <f t="shared" si="64"/>
        <v>0.15</v>
      </c>
      <c r="AK89" s="1069">
        <f t="shared" si="65"/>
        <v>2476.9032504218926</v>
      </c>
      <c r="AL89" s="1069">
        <f t="shared" si="66"/>
        <v>2476.9032504218926</v>
      </c>
      <c r="AM89" s="1070">
        <f t="shared" si="67"/>
        <v>0</v>
      </c>
      <c r="AN89" s="1069">
        <f t="shared" si="68"/>
        <v>56837.909030472816</v>
      </c>
      <c r="AO89" s="1069">
        <f t="shared" si="69"/>
        <v>2787.1483664465904</v>
      </c>
      <c r="AP89" s="1071">
        <f t="shared" si="70"/>
        <v>1858.0989109643936</v>
      </c>
      <c r="AR89" s="1065">
        <f>'Recycling - Case 3'!G99</f>
        <v>577.18164484407419</v>
      </c>
      <c r="AS89" s="1061">
        <v>1</v>
      </c>
      <c r="AT89" s="1061">
        <f t="shared" si="71"/>
        <v>0.05</v>
      </c>
      <c r="AU89" s="1047">
        <f t="shared" si="72"/>
        <v>14.429541121101856</v>
      </c>
      <c r="AV89" s="1047">
        <f t="shared" si="73"/>
        <v>14.429541121101856</v>
      </c>
      <c r="AW89" s="1050">
        <f t="shared" si="74"/>
        <v>0</v>
      </c>
      <c r="AX89" s="1047">
        <f t="shared" si="42"/>
        <v>162.14846008989659</v>
      </c>
      <c r="AY89" s="1047">
        <f t="shared" si="47"/>
        <v>9.1344278084440802</v>
      </c>
      <c r="AZ89" s="1159">
        <f t="shared" si="45"/>
        <v>6.0896185389627204</v>
      </c>
      <c r="BA89" s="4"/>
      <c r="BB89" s="1294">
        <f t="shared" si="75"/>
        <v>395.31658036183512</v>
      </c>
      <c r="BC89" s="1295">
        <f t="shared" si="76"/>
        <v>1858.0989109643933</v>
      </c>
      <c r="BD89" s="1327">
        <f t="shared" si="84"/>
        <v>6.0896185389627204</v>
      </c>
      <c r="BE89" s="1295">
        <f t="shared" si="48"/>
        <v>2259.5051098651911</v>
      </c>
      <c r="BF89" s="167">
        <v>0</v>
      </c>
      <c r="BG89" s="1317">
        <f t="shared" si="77"/>
        <v>2259.5051098651911</v>
      </c>
      <c r="BI89" s="1294">
        <f t="shared" si="78"/>
        <v>395.31658036183512</v>
      </c>
      <c r="BJ89" s="1295">
        <f t="shared" si="79"/>
        <v>1858.0989109643936</v>
      </c>
      <c r="BK89" s="1327">
        <f t="shared" si="80"/>
        <v>6.0896185389627204</v>
      </c>
      <c r="BL89" s="1295">
        <f t="shared" si="49"/>
        <v>2259.5051098651916</v>
      </c>
      <c r="BM89" s="167">
        <v>0</v>
      </c>
      <c r="BN89" s="1317">
        <f t="shared" si="81"/>
        <v>2259.5051098651916</v>
      </c>
    </row>
    <row r="90" spans="1:66">
      <c r="A90" s="1156">
        <f>'Input data'!A120</f>
        <v>2022</v>
      </c>
      <c r="B90" s="1039">
        <f>'Input data'!B120</f>
        <v>60.682000000000002</v>
      </c>
      <c r="C90" s="1130">
        <f>'Recycling - Case 3'!AD100</f>
        <v>0.26733917941166707</v>
      </c>
      <c r="D90" s="1040">
        <f>'Recycling - Case 3'!AM100</f>
        <v>0.3171443286247364</v>
      </c>
      <c r="E90" s="1041">
        <f>'Recycling - Case 3'!BE100</f>
        <v>0.15226067517689335</v>
      </c>
      <c r="F90" s="1041">
        <f>'Recycling - Case 3'!BF100</f>
        <v>0.24661040796962494</v>
      </c>
      <c r="G90" s="1041">
        <f>'Recycling - Case 3'!BG100</f>
        <v>7.3466079366628398E-2</v>
      </c>
      <c r="H90" s="1041">
        <f>'Recycling - Case 3'!BH100</f>
        <v>0</v>
      </c>
      <c r="I90" s="1041">
        <f>'Recycling - Case 3'!BI100</f>
        <v>0</v>
      </c>
      <c r="J90" s="1041">
        <f>'Recycling - Case 3'!BJ100</f>
        <v>0</v>
      </c>
      <c r="K90" s="1041">
        <f>'Recycling - Case 3'!BK100</f>
        <v>0.52766283748685339</v>
      </c>
      <c r="L90" s="1042">
        <f t="shared" si="83"/>
        <v>1</v>
      </c>
      <c r="M90" s="4"/>
      <c r="N90" s="1053">
        <f t="shared" si="50"/>
        <v>5.1449297154925349</v>
      </c>
      <c r="O90" s="1048">
        <f>Parameters!R263</f>
        <v>0.83384615384615368</v>
      </c>
      <c r="P90" s="1049">
        <f>E90*'MSW characteristics'!$B$28+'MSW characteristics'!$B$29*'4A SWD Case 3'!F90+'4A SWD Case 3'!G90*'MSW characteristics'!$B$30+'MSW characteristics'!$B$31*'4A SWD Case 3'!H90+'4A SWD Case 3'!I90*'MSW characteristics'!$B$32+'MSW characteristics'!$B$33*'4A SWD Case 3'!J90+'4A SWD Case 3'!K90*'MSW characteristics'!$B$35</f>
        <v>0.10154761461711034</v>
      </c>
      <c r="Q90" s="1047">
        <f t="shared" si="51"/>
        <v>0.21782368789975198</v>
      </c>
      <c r="R90" s="1047">
        <f t="shared" si="52"/>
        <v>0.21782368789975198</v>
      </c>
      <c r="S90" s="1050">
        <f t="shared" si="53"/>
        <v>0</v>
      </c>
      <c r="T90" s="1047">
        <f t="shared" si="54"/>
        <v>11001.753584774988</v>
      </c>
      <c r="U90" s="1047">
        <f t="shared" si="55"/>
        <v>564.06080029097097</v>
      </c>
      <c r="V90" s="1054">
        <f t="shared" si="56"/>
        <v>376.04053352731398</v>
      </c>
      <c r="W90" s="4"/>
      <c r="X90" s="1067">
        <f>'Recycling - Case 3'!W140*'Recycling - Case 3'!AE140*'Recycling - Case 3'!C140</f>
        <v>40208.107037406837</v>
      </c>
      <c r="Y90" s="1068">
        <f>Parameters!S262</f>
        <v>0.71500000000000008</v>
      </c>
      <c r="Z90" s="1068">
        <f t="shared" si="57"/>
        <v>0.15</v>
      </c>
      <c r="AA90" s="1069">
        <f t="shared" si="58"/>
        <v>2156.1597398809417</v>
      </c>
      <c r="AB90" s="1069">
        <f t="shared" si="59"/>
        <v>2156.1597398809417</v>
      </c>
      <c r="AC90" s="1070">
        <f t="shared" si="60"/>
        <v>0</v>
      </c>
      <c r="AD90" s="1069">
        <f t="shared" si="61"/>
        <v>56222.051236761523</v>
      </c>
      <c r="AE90" s="1069">
        <f t="shared" si="62"/>
        <v>2772.0175335922227</v>
      </c>
      <c r="AF90" s="1071">
        <f t="shared" si="63"/>
        <v>1848.0116890614818</v>
      </c>
      <c r="AG90" s="4"/>
      <c r="AH90" s="1067">
        <f>'Recycling - Case 3'!C180*'Recycling - Case 3'!W180*'Recycling - Case 3'!AE180</f>
        <v>42821.697303123481</v>
      </c>
      <c r="AI90" s="1068">
        <f>Parameters!S262</f>
        <v>0.71500000000000008</v>
      </c>
      <c r="AJ90" s="1068">
        <f t="shared" si="64"/>
        <v>0.15</v>
      </c>
      <c r="AK90" s="1069">
        <f t="shared" si="65"/>
        <v>2296.3135178799967</v>
      </c>
      <c r="AL90" s="1069">
        <f t="shared" si="66"/>
        <v>2296.3135178799967</v>
      </c>
      <c r="AM90" s="1070">
        <f t="shared" si="67"/>
        <v>0</v>
      </c>
      <c r="AN90" s="1069">
        <f t="shared" si="68"/>
        <v>56362.205014760591</v>
      </c>
      <c r="AO90" s="1069">
        <f t="shared" si="69"/>
        <v>2772.0175335922231</v>
      </c>
      <c r="AP90" s="1071">
        <f t="shared" si="70"/>
        <v>1848.011689061482</v>
      </c>
      <c r="AR90" s="1065">
        <f>'Recycling - Case 3'!G100</f>
        <v>595.30679115833243</v>
      </c>
      <c r="AS90" s="1061">
        <v>1</v>
      </c>
      <c r="AT90" s="1061">
        <f t="shared" si="71"/>
        <v>0.05</v>
      </c>
      <c r="AU90" s="1047">
        <f t="shared" si="72"/>
        <v>14.882669778958311</v>
      </c>
      <c r="AV90" s="1047">
        <f t="shared" si="73"/>
        <v>14.882669778958311</v>
      </c>
      <c r="AW90" s="1050">
        <f t="shared" si="74"/>
        <v>0</v>
      </c>
      <c r="AX90" s="1047">
        <f t="shared" si="42"/>
        <v>167.58833866692393</v>
      </c>
      <c r="AY90" s="1047">
        <f t="shared" si="47"/>
        <v>9.4427912019309588</v>
      </c>
      <c r="AZ90" s="1159">
        <f t="shared" si="45"/>
        <v>6.2951941346206395</v>
      </c>
      <c r="BA90" s="4"/>
      <c r="BB90" s="1294">
        <f t="shared" si="75"/>
        <v>376.04053352731398</v>
      </c>
      <c r="BC90" s="1295">
        <f t="shared" si="76"/>
        <v>1848.0116890614818</v>
      </c>
      <c r="BD90" s="1327">
        <f t="shared" si="84"/>
        <v>6.2951941346206395</v>
      </c>
      <c r="BE90" s="1295">
        <f t="shared" si="48"/>
        <v>2230.3474167234162</v>
      </c>
      <c r="BF90" s="167">
        <v>0</v>
      </c>
      <c r="BG90" s="1317">
        <f t="shared" si="77"/>
        <v>2230.3474167234162</v>
      </c>
      <c r="BI90" s="1294">
        <f t="shared" si="78"/>
        <v>376.04053352731398</v>
      </c>
      <c r="BJ90" s="1295">
        <f t="shared" si="79"/>
        <v>1848.011689061482</v>
      </c>
      <c r="BK90" s="1327">
        <f t="shared" si="80"/>
        <v>6.2951941346206395</v>
      </c>
      <c r="BL90" s="1295">
        <f t="shared" si="49"/>
        <v>2230.3474167234167</v>
      </c>
      <c r="BM90" s="167">
        <v>0</v>
      </c>
      <c r="BN90" s="1317">
        <f t="shared" si="81"/>
        <v>2230.3474167234167</v>
      </c>
    </row>
    <row r="91" spans="1:66">
      <c r="A91" s="1156">
        <f>'Input data'!A121</f>
        <v>2023</v>
      </c>
      <c r="B91" s="1039">
        <f>'Input data'!B121</f>
        <v>61.381</v>
      </c>
      <c r="C91" s="1130">
        <f>'Recycling - Case 3'!AD101</f>
        <v>0.30202263152140379</v>
      </c>
      <c r="D91" s="1040">
        <f>'Recycling - Case 3'!AM101</f>
        <v>0.31292944510209436</v>
      </c>
      <c r="E91" s="1041">
        <f>'Recycling - Case 3'!BE101</f>
        <v>0.15431149212938583</v>
      </c>
      <c r="F91" s="1041">
        <f>'Recycling - Case 3'!BF101</f>
        <v>0.2499320325764883</v>
      </c>
      <c r="G91" s="1041">
        <f>'Recycling - Case 3'!BG101</f>
        <v>7.1823558597211609E-2</v>
      </c>
      <c r="H91" s="1041">
        <f>'Recycling - Case 3'!BH101</f>
        <v>0</v>
      </c>
      <c r="I91" s="1041">
        <f>'Recycling - Case 3'!BI101</f>
        <v>0</v>
      </c>
      <c r="J91" s="1041">
        <f>'Recycling - Case 3'!BJ101</f>
        <v>0</v>
      </c>
      <c r="K91" s="1041">
        <f>'Recycling - Case 3'!BK101</f>
        <v>0.52393291669691444</v>
      </c>
      <c r="L91" s="1042">
        <f t="shared" si="83"/>
        <v>1.0000000000000002</v>
      </c>
      <c r="M91" s="4"/>
      <c r="N91" s="1053">
        <f t="shared" si="50"/>
        <v>5.8012272299870915</v>
      </c>
      <c r="O91" s="1048">
        <f>Parameters!R264</f>
        <v>0.85461538461538455</v>
      </c>
      <c r="P91" s="1049">
        <f>E91*'MSW characteristics'!$B$28+'MSW characteristics'!$B$29*'4A SWD Case 3'!F91+'4A SWD Case 3'!G91*'MSW characteristics'!$B$30+'MSW characteristics'!$B$31*'4A SWD Case 3'!H91+'4A SWD Case 3'!I91*'MSW characteristics'!$B$32+'MSW characteristics'!$B$33*'4A SWD Case 3'!J91+'4A SWD Case 3'!K91*'MSW characteristics'!$B$35</f>
        <v>0.10186255377359017</v>
      </c>
      <c r="Q91" s="1047">
        <f t="shared" si="51"/>
        <v>0.25250800336979012</v>
      </c>
      <c r="R91" s="1047">
        <f t="shared" si="52"/>
        <v>0.25250800336979012</v>
      </c>
      <c r="S91" s="1050">
        <f t="shared" si="53"/>
        <v>0</v>
      </c>
      <c r="T91" s="1047">
        <f t="shared" si="54"/>
        <v>10465.44423894755</v>
      </c>
      <c r="U91" s="1047">
        <f t="shared" si="55"/>
        <v>536.56185383080879</v>
      </c>
      <c r="V91" s="1054">
        <f t="shared" si="56"/>
        <v>357.70790255387254</v>
      </c>
      <c r="W91" s="4"/>
      <c r="X91" s="1067">
        <f>'Recycling - Case 3'!W141*'Recycling - Case 3'!AE141*'Recycling - Case 3'!C141</f>
        <v>39178.134672881097</v>
      </c>
      <c r="Y91" s="1068">
        <f>Parameters!S263</f>
        <v>0.71500000000000008</v>
      </c>
      <c r="Z91" s="1068">
        <f t="shared" si="57"/>
        <v>0.15</v>
      </c>
      <c r="AA91" s="1069">
        <f t="shared" si="58"/>
        <v>2100.927471833249</v>
      </c>
      <c r="AB91" s="1069">
        <f t="shared" si="59"/>
        <v>2100.927471833249</v>
      </c>
      <c r="AC91" s="1070">
        <f t="shared" si="60"/>
        <v>0</v>
      </c>
      <c r="AD91" s="1069">
        <f t="shared" si="61"/>
        <v>55580.996914027564</v>
      </c>
      <c r="AE91" s="1069">
        <f t="shared" si="62"/>
        <v>2741.981794567203</v>
      </c>
      <c r="AF91" s="1071">
        <f t="shared" si="63"/>
        <v>1827.987863044802</v>
      </c>
      <c r="AG91" s="4"/>
      <c r="AH91" s="1067">
        <f>'Recycling - Case 3'!C181*'Recycling - Case 3'!W181*'Recycling - Case 3'!AE181</f>
        <v>41625.305187523605</v>
      </c>
      <c r="AI91" s="1068">
        <f>Parameters!S263</f>
        <v>0.71500000000000008</v>
      </c>
      <c r="AJ91" s="1068">
        <f t="shared" si="64"/>
        <v>0.15</v>
      </c>
      <c r="AK91" s="1069">
        <f t="shared" si="65"/>
        <v>2232.1569906809536</v>
      </c>
      <c r="AL91" s="1069">
        <f t="shared" si="66"/>
        <v>2232.1569906809536</v>
      </c>
      <c r="AM91" s="1070">
        <f t="shared" si="67"/>
        <v>0</v>
      </c>
      <c r="AN91" s="1069">
        <f t="shared" si="68"/>
        <v>55845.544830462924</v>
      </c>
      <c r="AO91" s="1069">
        <f t="shared" si="69"/>
        <v>2748.8171749786165</v>
      </c>
      <c r="AP91" s="1071">
        <f t="shared" si="70"/>
        <v>1832.5447833190776</v>
      </c>
      <c r="AQ91" s="4"/>
      <c r="AR91" s="1065">
        <f>'Recycling - Case 3'!G101</f>
        <v>613.78315775045917</v>
      </c>
      <c r="AS91" s="1061">
        <v>1</v>
      </c>
      <c r="AT91" s="1061">
        <f t="shared" si="71"/>
        <v>0.05</v>
      </c>
      <c r="AU91" s="1047">
        <f t="shared" si="72"/>
        <v>15.34457894376148</v>
      </c>
      <c r="AV91" s="1047">
        <f t="shared" si="73"/>
        <v>15.34457894376148</v>
      </c>
      <c r="AW91" s="1050">
        <f t="shared" si="74"/>
        <v>0</v>
      </c>
      <c r="AX91" s="1047">
        <f t="shared" si="42"/>
        <v>173.17333254257622</v>
      </c>
      <c r="AY91" s="1047">
        <f t="shared" si="47"/>
        <v>9.7595850681091996</v>
      </c>
      <c r="AZ91" s="1159">
        <f t="shared" si="45"/>
        <v>6.5063900454061327</v>
      </c>
      <c r="BA91" s="4"/>
      <c r="BB91" s="1294">
        <f t="shared" si="75"/>
        <v>357.70790255387254</v>
      </c>
      <c r="BC91" s="1295">
        <f t="shared" si="76"/>
        <v>1827.987863044802</v>
      </c>
      <c r="BD91" s="1327">
        <f t="shared" si="84"/>
        <v>6.5063900454061327</v>
      </c>
      <c r="BE91" s="1295">
        <f t="shared" si="48"/>
        <v>2192.2021556440804</v>
      </c>
      <c r="BF91" s="167">
        <v>0</v>
      </c>
      <c r="BG91" s="1317">
        <f t="shared" si="77"/>
        <v>2192.2021556440804</v>
      </c>
      <c r="BI91" s="1294">
        <f t="shared" si="78"/>
        <v>357.70790255387254</v>
      </c>
      <c r="BJ91" s="1295">
        <f t="shared" si="79"/>
        <v>1832.5447833190776</v>
      </c>
      <c r="BK91" s="1327">
        <f t="shared" si="80"/>
        <v>6.5063900454061327</v>
      </c>
      <c r="BL91" s="1295">
        <f t="shared" si="49"/>
        <v>2196.7590759183563</v>
      </c>
      <c r="BM91" s="167">
        <v>0</v>
      </c>
      <c r="BN91" s="1317">
        <f t="shared" si="81"/>
        <v>2196.7590759183563</v>
      </c>
    </row>
    <row r="92" spans="1:66">
      <c r="A92" s="1156">
        <f>'Input data'!A122</f>
        <v>2024</v>
      </c>
      <c r="B92" s="1039">
        <f>'Input data'!B122</f>
        <v>62.088000000000001</v>
      </c>
      <c r="C92" s="1130">
        <f>'Recycling - Case 3'!AD102</f>
        <v>0.33765315078636471</v>
      </c>
      <c r="D92" s="1040">
        <f>'Recycling - Case 3'!AM102</f>
        <v>0.30871456157945232</v>
      </c>
      <c r="E92" s="1041">
        <f>'Recycling - Case 3'!BE102</f>
        <v>0.15641830873759127</v>
      </c>
      <c r="F92" s="1041">
        <f>'Recycling - Case 3'!BF102</f>
        <v>0.25334435754262352</v>
      </c>
      <c r="G92" s="1041">
        <f>'Recycling - Case 3'!BG102</f>
        <v>7.0136187117214879E-2</v>
      </c>
      <c r="H92" s="1041">
        <f>'Recycling - Case 3'!BH102</f>
        <v>0</v>
      </c>
      <c r="I92" s="1041">
        <f>'Recycling - Case 3'!BI102</f>
        <v>0</v>
      </c>
      <c r="J92" s="1041">
        <f>'Recycling - Case 3'!BJ102</f>
        <v>0</v>
      </c>
      <c r="K92" s="1041">
        <f>'Recycling - Case 3'!BK102</f>
        <v>0.52010114660257045</v>
      </c>
      <c r="L92" s="1042">
        <f t="shared" si="83"/>
        <v>1</v>
      </c>
      <c r="M92" s="4"/>
      <c r="N92" s="1053">
        <f t="shared" si="50"/>
        <v>6.4719565365860268</v>
      </c>
      <c r="O92" s="1048">
        <f>Parameters!R265</f>
        <v>0.87538461538461509</v>
      </c>
      <c r="P92" s="1049">
        <f>E92*'MSW characteristics'!$B$28+'MSW characteristics'!$B$29*'4A SWD Case 3'!F92+'4A SWD Case 3'!G92*'MSW characteristics'!$B$30+'MSW characteristics'!$B$31*'4A SWD Case 3'!H92+'4A SWD Case 3'!I92*'MSW characteristics'!$B$32+'MSW characteristics'!$B$33*'4A SWD Case 3'!J92+'4A SWD Case 3'!K92*'MSW characteristics'!$B$35</f>
        <v>0.10218609266604936</v>
      </c>
      <c r="Q92" s="1047">
        <f t="shared" si="51"/>
        <v>0.28946515981939158</v>
      </c>
      <c r="R92" s="1047">
        <f t="shared" si="52"/>
        <v>0.28946515981939158</v>
      </c>
      <c r="S92" s="1050">
        <f t="shared" si="53"/>
        <v>0</v>
      </c>
      <c r="T92" s="1047">
        <f t="shared" si="54"/>
        <v>9955.3279657182102</v>
      </c>
      <c r="U92" s="1047">
        <f t="shared" si="55"/>
        <v>510.40573838915901</v>
      </c>
      <c r="V92" s="1054">
        <f t="shared" si="56"/>
        <v>340.27049225943932</v>
      </c>
      <c r="W92" s="4"/>
      <c r="X92" s="1067">
        <f>'Recycling - Case 3'!W142*'Recycling - Case 3'!AE142*'Recycling - Case 3'!C142</f>
        <v>38049.117602452425</v>
      </c>
      <c r="Y92" s="1068">
        <f>Parameters!S264</f>
        <v>0.71500000000000008</v>
      </c>
      <c r="Z92" s="1068">
        <f t="shared" si="57"/>
        <v>0.15</v>
      </c>
      <c r="AA92" s="1069">
        <f t="shared" si="58"/>
        <v>2040.3839314315114</v>
      </c>
      <c r="AB92" s="1069">
        <f t="shared" si="59"/>
        <v>2040.3839314315114</v>
      </c>
      <c r="AC92" s="1070">
        <f t="shared" si="60"/>
        <v>0</v>
      </c>
      <c r="AD92" s="1069">
        <f t="shared" si="61"/>
        <v>54910.663639137914</v>
      </c>
      <c r="AE92" s="1069">
        <f t="shared" si="62"/>
        <v>2710.7172063211628</v>
      </c>
      <c r="AF92" s="1071">
        <f t="shared" si="63"/>
        <v>1807.1448042141085</v>
      </c>
      <c r="AG92" s="4"/>
      <c r="AH92" s="1067">
        <f>'Recycling - Case 3'!C182*'Recycling - Case 3'!W182*'Recycling - Case 3'!AE182</f>
        <v>40426.381000038884</v>
      </c>
      <c r="AI92" s="1068">
        <f>Parameters!S264</f>
        <v>0.71500000000000008</v>
      </c>
      <c r="AJ92" s="1068">
        <f t="shared" si="64"/>
        <v>0.15</v>
      </c>
      <c r="AK92" s="1069">
        <f t="shared" si="65"/>
        <v>2167.8646811270855</v>
      </c>
      <c r="AL92" s="1069">
        <f t="shared" si="66"/>
        <v>2167.8646811270855</v>
      </c>
      <c r="AM92" s="1070">
        <f t="shared" si="67"/>
        <v>0</v>
      </c>
      <c r="AN92" s="1069">
        <f t="shared" si="68"/>
        <v>55289.79015113716</v>
      </c>
      <c r="AO92" s="1069">
        <f t="shared" si="69"/>
        <v>2723.6193604528521</v>
      </c>
      <c r="AP92" s="1071">
        <f t="shared" si="70"/>
        <v>1815.7462403019015</v>
      </c>
      <c r="AQ92" s="4"/>
      <c r="AR92" s="1065">
        <f>'Recycling - Case 3'!G102</f>
        <v>632.60566667337889</v>
      </c>
      <c r="AS92" s="1061">
        <v>1</v>
      </c>
      <c r="AT92" s="1061">
        <f t="shared" si="71"/>
        <v>0.05</v>
      </c>
      <c r="AU92" s="1047">
        <f t="shared" si="72"/>
        <v>15.815141666834473</v>
      </c>
      <c r="AV92" s="1047">
        <f t="shared" si="73"/>
        <v>15.815141666834473</v>
      </c>
      <c r="AW92" s="1050">
        <f t="shared" si="74"/>
        <v>0</v>
      </c>
      <c r="AX92" s="1047">
        <f t="shared" si="42"/>
        <v>178.90364441802376</v>
      </c>
      <c r="AY92" s="1047">
        <f t="shared" si="47"/>
        <v>10.084829791386925</v>
      </c>
      <c r="AZ92" s="1159">
        <f t="shared" si="45"/>
        <v>6.7232198609246163</v>
      </c>
      <c r="BA92" s="4"/>
      <c r="BB92" s="1294">
        <f t="shared" si="75"/>
        <v>340.27049225943932</v>
      </c>
      <c r="BC92" s="1295">
        <f t="shared" si="76"/>
        <v>1807.1448042141085</v>
      </c>
      <c r="BD92" s="1327">
        <f t="shared" si="84"/>
        <v>6.7232198609246163</v>
      </c>
      <c r="BE92" s="1295">
        <f t="shared" si="48"/>
        <v>2154.1385163344721</v>
      </c>
      <c r="BF92" s="167">
        <v>0</v>
      </c>
      <c r="BG92" s="1317">
        <f t="shared" si="77"/>
        <v>2154.1385163344721</v>
      </c>
      <c r="BI92" s="1294">
        <f t="shared" si="78"/>
        <v>340.27049225943932</v>
      </c>
      <c r="BJ92" s="1295">
        <f t="shared" si="79"/>
        <v>1815.7462403019015</v>
      </c>
      <c r="BK92" s="1327">
        <f t="shared" si="80"/>
        <v>6.7232198609246163</v>
      </c>
      <c r="BL92" s="1295">
        <f t="shared" si="49"/>
        <v>2162.7399524222651</v>
      </c>
      <c r="BM92" s="167">
        <v>0</v>
      </c>
      <c r="BN92" s="1317">
        <f t="shared" si="81"/>
        <v>2162.7399524222651</v>
      </c>
    </row>
    <row r="93" spans="1:66">
      <c r="A93" s="1156">
        <f>'Input data'!A123</f>
        <v>2025</v>
      </c>
      <c r="B93" s="1039">
        <f>'Input data'!B123</f>
        <v>62.802999999999997</v>
      </c>
      <c r="C93" s="1130">
        <f>'Recycling - Case 3'!AD103</f>
        <v>0.37427006510771088</v>
      </c>
      <c r="D93" s="1040">
        <f>'Recycling - Case 3'!AM103</f>
        <v>0.30449967805681033</v>
      </c>
      <c r="E93" s="1041">
        <f>'Recycling - Case 3'!BE103</f>
        <v>0.15858345044264952</v>
      </c>
      <c r="F93" s="1041">
        <f>'Recycling - Case 3'!BF103</f>
        <v>0.25685114929023756</v>
      </c>
      <c r="G93" s="1041">
        <f>'Recycling - Case 3'!BG103</f>
        <v>6.8402102456481775E-2</v>
      </c>
      <c r="H93" s="1041">
        <f>'Recycling - Case 3'!BH103</f>
        <v>0</v>
      </c>
      <c r="I93" s="1041">
        <f>'Recycling - Case 3'!BI103</f>
        <v>0</v>
      </c>
      <c r="J93" s="1041">
        <f>'Recycling - Case 3'!BJ103</f>
        <v>0</v>
      </c>
      <c r="K93" s="1041">
        <f>'Recycling - Case 3'!BK103</f>
        <v>0.51616329781063119</v>
      </c>
      <c r="L93" s="1042">
        <f t="shared" si="83"/>
        <v>1</v>
      </c>
      <c r="M93" s="4"/>
      <c r="N93" s="1053">
        <f t="shared" si="50"/>
        <v>7.157351075367437</v>
      </c>
      <c r="O93" s="1048">
        <f>Parameters!R266</f>
        <v>0.89615384615384586</v>
      </c>
      <c r="P93" s="1049">
        <f>E93*'MSW characteristics'!$B$28+'MSW characteristics'!$B$29*'4A SWD Case 3'!F93+'4A SWD Case 3'!G93*'MSW characteristics'!$B$30+'MSW characteristics'!$B$31*'4A SWD Case 3'!H93+'4A SWD Case 3'!I93*'MSW characteristics'!$B$32+'MSW characteristics'!$B$33*'4A SWD Case 3'!J93+'4A SWD Case 3'!K93*'MSW characteristics'!$B$35</f>
        <v>0.10251858840703765</v>
      </c>
      <c r="Q93" s="1047">
        <f t="shared" si="51"/>
        <v>0.32878160817769447</v>
      </c>
      <c r="R93" s="1047">
        <f t="shared" si="52"/>
        <v>0.32878160817769447</v>
      </c>
      <c r="S93" s="1050">
        <f t="shared" si="53"/>
        <v>0</v>
      </c>
      <c r="T93" s="1047">
        <f t="shared" si="54"/>
        <v>9470.1296731541752</v>
      </c>
      <c r="U93" s="1047">
        <f t="shared" si="55"/>
        <v>485.52707417221313</v>
      </c>
      <c r="V93" s="1054">
        <f t="shared" si="56"/>
        <v>323.68471611480874</v>
      </c>
      <c r="W93" s="4"/>
      <c r="X93" s="1067">
        <f>'Recycling - Case 3'!W143*'Recycling - Case 3'!AE143*'Recycling - Case 3'!C143</f>
        <v>37562.686783480676</v>
      </c>
      <c r="Y93" s="1068">
        <f>Parameters!S265</f>
        <v>0.71500000000000008</v>
      </c>
      <c r="Z93" s="1068">
        <f t="shared" si="57"/>
        <v>0.15</v>
      </c>
      <c r="AA93" s="1069">
        <f t="shared" si="58"/>
        <v>2014.2990787641515</v>
      </c>
      <c r="AB93" s="1069">
        <f t="shared" si="59"/>
        <v>2014.2990787641515</v>
      </c>
      <c r="AC93" s="1070">
        <f t="shared" si="60"/>
        <v>0</v>
      </c>
      <c r="AD93" s="1069">
        <f t="shared" si="61"/>
        <v>54246.938051173594</v>
      </c>
      <c r="AE93" s="1069">
        <f t="shared" si="62"/>
        <v>2678.0246667284732</v>
      </c>
      <c r="AF93" s="1071">
        <f t="shared" si="63"/>
        <v>1785.3497778189821</v>
      </c>
      <c r="AG93" s="4"/>
      <c r="AH93" s="1067">
        <f>'Recycling - Case 3'!C183*'Recycling - Case 3'!W183*'Recycling - Case 3'!AE183</f>
        <v>39230.394015940583</v>
      </c>
      <c r="AI93" s="1068">
        <f>Parameters!S265</f>
        <v>0.71500000000000008</v>
      </c>
      <c r="AJ93" s="1068">
        <f t="shared" si="64"/>
        <v>0.15</v>
      </c>
      <c r="AK93" s="1069">
        <f t="shared" si="65"/>
        <v>2103.7298791048138</v>
      </c>
      <c r="AL93" s="1069">
        <f t="shared" si="66"/>
        <v>2103.7298791048138</v>
      </c>
      <c r="AM93" s="1070">
        <f t="shared" si="67"/>
        <v>0</v>
      </c>
      <c r="AN93" s="1069">
        <f t="shared" si="68"/>
        <v>54697.005145336261</v>
      </c>
      <c r="AO93" s="1069">
        <f t="shared" si="69"/>
        <v>2696.5148849057136</v>
      </c>
      <c r="AP93" s="1071">
        <f t="shared" si="70"/>
        <v>1797.6765899371424</v>
      </c>
      <c r="AQ93" s="4"/>
      <c r="AR93" s="1065">
        <f>'Recycling - Case 3'!G103</f>
        <v>651.7788609568936</v>
      </c>
      <c r="AS93" s="1061">
        <v>1</v>
      </c>
      <c r="AT93" s="1061">
        <f t="shared" si="71"/>
        <v>0.05</v>
      </c>
      <c r="AU93" s="1047">
        <f t="shared" si="72"/>
        <v>16.29447152392234</v>
      </c>
      <c r="AV93" s="1047">
        <f t="shared" si="73"/>
        <v>16.29447152392234</v>
      </c>
      <c r="AW93" s="1050">
        <f t="shared" si="74"/>
        <v>0</v>
      </c>
      <c r="AX93" s="1047">
        <f t="shared" si="42"/>
        <v>184.77957876578478</v>
      </c>
      <c r="AY93" s="1047">
        <f t="shared" si="47"/>
        <v>10.418537176161331</v>
      </c>
      <c r="AZ93" s="1159">
        <f t="shared" si="45"/>
        <v>6.9456914507742207</v>
      </c>
      <c r="BA93" s="4"/>
      <c r="BB93" s="1294">
        <f t="shared" si="75"/>
        <v>323.68471611480874</v>
      </c>
      <c r="BC93" s="1295">
        <f t="shared" si="76"/>
        <v>1785.3497778189821</v>
      </c>
      <c r="BD93" s="1327">
        <f t="shared" si="84"/>
        <v>6.9456914507742207</v>
      </c>
      <c r="BE93" s="1295">
        <f t="shared" si="48"/>
        <v>2115.9801853845652</v>
      </c>
      <c r="BF93" s="167">
        <v>0</v>
      </c>
      <c r="BG93" s="1317">
        <f t="shared" si="77"/>
        <v>2115.9801853845652</v>
      </c>
      <c r="BI93" s="1294">
        <f t="shared" si="78"/>
        <v>323.68471611480874</v>
      </c>
      <c r="BJ93" s="1295">
        <f t="shared" si="79"/>
        <v>1797.6765899371424</v>
      </c>
      <c r="BK93" s="1327">
        <f t="shared" si="80"/>
        <v>6.9456914507742207</v>
      </c>
      <c r="BL93" s="1295">
        <f t="shared" si="49"/>
        <v>2128.3069975027252</v>
      </c>
      <c r="BM93" s="167">
        <v>0</v>
      </c>
      <c r="BN93" s="1317">
        <f t="shared" si="81"/>
        <v>2128.3069975027252</v>
      </c>
    </row>
    <row r="94" spans="1:66">
      <c r="A94" s="1156">
        <f>'Input data'!A124</f>
        <v>2026</v>
      </c>
      <c r="B94" s="1039">
        <f>'Input data'!B124</f>
        <v>63.420999999999999</v>
      </c>
      <c r="C94" s="1130">
        <f>'Recycling - Case 3'!AD104</f>
        <v>0.41191491045741591</v>
      </c>
      <c r="D94" s="1040">
        <f>'Recycling - Case 3'!AM104</f>
        <v>0.30028479453416823</v>
      </c>
      <c r="E94" s="1041">
        <f>'Recycling - Case 3'!BE104</f>
        <v>0.16080937324793626</v>
      </c>
      <c r="F94" s="1041">
        <f>'Recycling - Case 3'!BF104</f>
        <v>0.26045638570786744</v>
      </c>
      <c r="G94" s="1041">
        <f>'Recycling - Case 3'!BG104</f>
        <v>6.6619337576194218E-2</v>
      </c>
      <c r="H94" s="1041">
        <f>'Recycling - Case 3'!BH104</f>
        <v>0</v>
      </c>
      <c r="I94" s="1041">
        <f>'Recycling - Case 3'!BI104</f>
        <v>0</v>
      </c>
      <c r="J94" s="1041">
        <f>'Recycling - Case 3'!BJ104</f>
        <v>0</v>
      </c>
      <c r="K94" s="1041">
        <f>'Recycling - Case 3'!BK104</f>
        <v>0.51211490346800204</v>
      </c>
      <c r="L94" s="1042">
        <f t="shared" si="83"/>
        <v>1</v>
      </c>
      <c r="M94" s="4"/>
      <c r="N94" s="1053">
        <f t="shared" si="50"/>
        <v>7.8446566490629257</v>
      </c>
      <c r="O94" s="1048">
        <f>Parameters!R267</f>
        <v>0.91692307692307662</v>
      </c>
      <c r="P94" s="1049">
        <f>E94*'MSW characteristics'!$B$28+'MSW characteristics'!$B$29*'4A SWD Case 3'!F94+'4A SWD Case 3'!G94*'MSW characteristics'!$B$30+'MSW characteristics'!$B$31*'4A SWD Case 3'!H94+'4A SWD Case 3'!I94*'MSW characteristics'!$B$32+'MSW characteristics'!$B$33*'4A SWD Case 3'!J94+'4A SWD Case 3'!K94*'MSW characteristics'!$B$35</f>
        <v>0.10286041815924163</v>
      </c>
      <c r="Q94" s="1047">
        <f t="shared" si="51"/>
        <v>0.36993475330001491</v>
      </c>
      <c r="R94" s="1047">
        <f t="shared" si="52"/>
        <v>0.36993475330001491</v>
      </c>
      <c r="S94" s="1050">
        <f t="shared" si="53"/>
        <v>0</v>
      </c>
      <c r="T94" s="1047">
        <f t="shared" si="54"/>
        <v>9008.6359336948808</v>
      </c>
      <c r="U94" s="1047">
        <f t="shared" si="55"/>
        <v>461.86367421259422</v>
      </c>
      <c r="V94" s="1054">
        <f t="shared" si="56"/>
        <v>307.9091161417295</v>
      </c>
      <c r="W94" s="4"/>
      <c r="X94" s="1067">
        <f>'Recycling - Case 3'!W144*'Recycling - Case 3'!AE144*'Recycling - Case 3'!C144</f>
        <v>36519.627847712531</v>
      </c>
      <c r="Y94" s="1068">
        <f>Parameters!S266</f>
        <v>0.71500000000000008</v>
      </c>
      <c r="Z94" s="1068">
        <f t="shared" si="57"/>
        <v>0.15</v>
      </c>
      <c r="AA94" s="1069">
        <f t="shared" si="58"/>
        <v>1958.3650433335845</v>
      </c>
      <c r="AB94" s="1069">
        <f t="shared" si="59"/>
        <v>1958.3650433335845</v>
      </c>
      <c r="AC94" s="1070">
        <f t="shared" si="60"/>
        <v>0</v>
      </c>
      <c r="AD94" s="1069">
        <f t="shared" si="61"/>
        <v>53559.648706677326</v>
      </c>
      <c r="AE94" s="1069">
        <f t="shared" si="62"/>
        <v>2645.6543878298517</v>
      </c>
      <c r="AF94" s="1071">
        <f t="shared" si="63"/>
        <v>1763.7695918865677</v>
      </c>
      <c r="AG94" s="4"/>
      <c r="AH94" s="1067">
        <f>'Recycling - Case 3'!C184*'Recycling - Case 3'!W184*'Recycling - Case 3'!AE184</f>
        <v>38047.877654269701</v>
      </c>
      <c r="AI94" s="1068">
        <f>Parameters!S266</f>
        <v>0.71500000000000008</v>
      </c>
      <c r="AJ94" s="1068">
        <f t="shared" si="64"/>
        <v>0.15</v>
      </c>
      <c r="AK94" s="1069">
        <f t="shared" si="65"/>
        <v>2040.3174392102128</v>
      </c>
      <c r="AL94" s="1069">
        <f t="shared" si="66"/>
        <v>2040.3174392102128</v>
      </c>
      <c r="AM94" s="1070">
        <f t="shared" si="67"/>
        <v>0</v>
      </c>
      <c r="AN94" s="1069">
        <f t="shared" si="68"/>
        <v>54069.718165521022</v>
      </c>
      <c r="AO94" s="1069">
        <f t="shared" si="69"/>
        <v>2667.6044190254561</v>
      </c>
      <c r="AP94" s="1071">
        <f t="shared" si="70"/>
        <v>1778.4029460169706</v>
      </c>
      <c r="AQ94" s="4"/>
      <c r="AR94" s="1065">
        <f>'Recycling - Case 3'!G104</f>
        <v>670.19770228173195</v>
      </c>
      <c r="AS94" s="1061">
        <v>1</v>
      </c>
      <c r="AT94" s="1061">
        <f t="shared" si="71"/>
        <v>0.05</v>
      </c>
      <c r="AU94" s="1047">
        <f t="shared" si="72"/>
        <v>16.7549425570433</v>
      </c>
      <c r="AV94" s="1047">
        <f t="shared" si="73"/>
        <v>16.7549425570433</v>
      </c>
      <c r="AW94" s="1050">
        <f t="shared" si="74"/>
        <v>0</v>
      </c>
      <c r="AX94" s="1047">
        <f t="shared" si="42"/>
        <v>190.77379636929655</v>
      </c>
      <c r="AY94" s="1047">
        <f t="shared" si="47"/>
        <v>10.760724953531527</v>
      </c>
      <c r="AZ94" s="1159">
        <f t="shared" si="45"/>
        <v>7.1738166356876851</v>
      </c>
      <c r="BA94" s="4"/>
      <c r="BB94" s="1294">
        <f t="shared" si="75"/>
        <v>307.9091161417295</v>
      </c>
      <c r="BC94" s="1295">
        <f t="shared" si="76"/>
        <v>1763.7695918865677</v>
      </c>
      <c r="BD94" s="1327">
        <f t="shared" si="84"/>
        <v>7.1738166356876851</v>
      </c>
      <c r="BE94" s="1295">
        <f t="shared" si="48"/>
        <v>2078.8525246639847</v>
      </c>
      <c r="BF94" s="167">
        <v>0</v>
      </c>
      <c r="BG94" s="1317">
        <f t="shared" si="77"/>
        <v>2078.8525246639847</v>
      </c>
      <c r="BI94" s="1294">
        <f t="shared" si="78"/>
        <v>307.9091161417295</v>
      </c>
      <c r="BJ94" s="1295">
        <f t="shared" si="79"/>
        <v>1778.4029460169706</v>
      </c>
      <c r="BK94" s="1327">
        <f t="shared" si="80"/>
        <v>7.1738166356876851</v>
      </c>
      <c r="BL94" s="1295">
        <f t="shared" si="49"/>
        <v>2093.4858787943876</v>
      </c>
      <c r="BM94" s="167">
        <v>0</v>
      </c>
      <c r="BN94" s="1317">
        <f t="shared" si="81"/>
        <v>2093.4858787943876</v>
      </c>
    </row>
    <row r="95" spans="1:66">
      <c r="A95" s="1156">
        <f>'Input data'!A125</f>
        <v>2027</v>
      </c>
      <c r="B95" s="1039">
        <f>'Input data'!B125</f>
        <v>64.046000000000006</v>
      </c>
      <c r="C95" s="1130">
        <f>'Recycling - Case 3'!AD105</f>
        <v>0.45063158804995024</v>
      </c>
      <c r="D95" s="1040">
        <f>'Recycling - Case 3'!AM105</f>
        <v>0.29606991101152619</v>
      </c>
      <c r="E95" s="1041">
        <f>'Recycling - Case 3'!BE105</f>
        <v>0.16309867301255412</v>
      </c>
      <c r="F95" s="1041">
        <f>'Recycling - Case 3'!BF105</f>
        <v>0.2641642712026695</v>
      </c>
      <c r="G95" s="1041">
        <f>'Recycling - Case 3'!BG105</f>
        <v>6.4785813425618149E-2</v>
      </c>
      <c r="H95" s="1041">
        <f>'Recycling - Case 3'!BH105</f>
        <v>0</v>
      </c>
      <c r="I95" s="1041">
        <f>'Recycling - Case 3'!BI105</f>
        <v>0</v>
      </c>
      <c r="J95" s="1041">
        <f>'Recycling - Case 3'!BJ105</f>
        <v>0</v>
      </c>
      <c r="K95" s="1041">
        <f>'Recycling - Case 3'!BK105</f>
        <v>0.50795124235915801</v>
      </c>
      <c r="L95" s="1042">
        <f t="shared" si="83"/>
        <v>0.99999999999999978</v>
      </c>
      <c r="M95" s="4"/>
      <c r="N95" s="1053">
        <f t="shared" si="50"/>
        <v>8.5449183159595705</v>
      </c>
      <c r="O95" s="1048">
        <f>Parameters!R268</f>
        <v>0.93769230769230727</v>
      </c>
      <c r="P95" s="1049">
        <f>E95*'MSW characteristics'!$B$28+'MSW characteristics'!$B$29*'4A SWD Case 3'!F95+'4A SWD Case 3'!G95*'MSW characteristics'!$B$30+'MSW characteristics'!$B$31*'4A SWD Case 3'!H95+'4A SWD Case 3'!I95*'MSW characteristics'!$B$32+'MSW characteristics'!$B$33*'4A SWD Case 3'!J95+'4A SWD Case 3'!K95*'MSW characteristics'!$B$35</f>
        <v>0.10321198056266428</v>
      </c>
      <c r="Q95" s="1047">
        <f t="shared" si="51"/>
        <v>0.41349321257047633</v>
      </c>
      <c r="R95" s="1047">
        <f t="shared" si="52"/>
        <v>0.41349321257047633</v>
      </c>
      <c r="S95" s="1050">
        <f t="shared" si="53"/>
        <v>0</v>
      </c>
      <c r="T95" s="1047">
        <f t="shared" si="54"/>
        <v>8569.6930679576053</v>
      </c>
      <c r="U95" s="1047">
        <f t="shared" si="55"/>
        <v>439.35635894984688</v>
      </c>
      <c r="V95" s="1054">
        <f t="shared" si="56"/>
        <v>292.90423929989794</v>
      </c>
      <c r="W95" s="4"/>
      <c r="X95" s="1067">
        <f>'Recycling - Case 3'!W145*'Recycling - Case 3'!AE145*'Recycling - Case 3'!C145</f>
        <v>35468.670932693924</v>
      </c>
      <c r="Y95" s="1068">
        <f>Parameters!S267</f>
        <v>0.71500000000000008</v>
      </c>
      <c r="Z95" s="1068">
        <f t="shared" si="57"/>
        <v>0.15</v>
      </c>
      <c r="AA95" s="1069">
        <f t="shared" si="58"/>
        <v>1902.007478765712</v>
      </c>
      <c r="AB95" s="1069">
        <f t="shared" si="59"/>
        <v>1902.007478765712</v>
      </c>
      <c r="AC95" s="1070">
        <f t="shared" si="60"/>
        <v>0</v>
      </c>
      <c r="AD95" s="1069">
        <f t="shared" si="61"/>
        <v>52849.5212944788</v>
      </c>
      <c r="AE95" s="1069">
        <f t="shared" si="62"/>
        <v>2612.1348909642415</v>
      </c>
      <c r="AF95" s="1071">
        <f t="shared" si="63"/>
        <v>1741.4232606428277</v>
      </c>
      <c r="AG95" s="4"/>
      <c r="AH95" s="1067">
        <f>'Recycling - Case 3'!C185*'Recycling - Case 3'!W185*'Recycling - Case 3'!AE185</f>
        <v>36864.528522290035</v>
      </c>
      <c r="AI95" s="1068">
        <f>Parameters!S267</f>
        <v>0.71500000000000008</v>
      </c>
      <c r="AJ95" s="1068">
        <f t="shared" si="64"/>
        <v>0.15</v>
      </c>
      <c r="AK95" s="1069">
        <f t="shared" si="65"/>
        <v>1976.8603420078032</v>
      </c>
      <c r="AL95" s="1069">
        <f t="shared" si="66"/>
        <v>1976.8603420078032</v>
      </c>
      <c r="AM95" s="1070">
        <f t="shared" si="67"/>
        <v>0</v>
      </c>
      <c r="AN95" s="1069">
        <f t="shared" si="68"/>
        <v>53409.567235512164</v>
      </c>
      <c r="AO95" s="1069">
        <f t="shared" si="69"/>
        <v>2637.011272016658</v>
      </c>
      <c r="AP95" s="1071">
        <f t="shared" si="70"/>
        <v>1758.007514677772</v>
      </c>
      <c r="AQ95" s="4"/>
      <c r="AR95" s="1065">
        <f>'Recycling - Case 3'!G105</f>
        <v>688.92580678167349</v>
      </c>
      <c r="AS95" s="1061">
        <v>1</v>
      </c>
      <c r="AT95" s="1061">
        <f t="shared" si="71"/>
        <v>0.05</v>
      </c>
      <c r="AU95" s="1047">
        <f t="shared" si="72"/>
        <v>17.223145169541837</v>
      </c>
      <c r="AV95" s="1047">
        <f t="shared" si="73"/>
        <v>17.223145169541837</v>
      </c>
      <c r="AW95" s="1050">
        <f t="shared" si="74"/>
        <v>0</v>
      </c>
      <c r="AX95" s="1047">
        <f t="shared" si="42"/>
        <v>196.88714052736884</v>
      </c>
      <c r="AY95" s="1047">
        <f t="shared" si="47"/>
        <v>11.109801011469543</v>
      </c>
      <c r="AZ95" s="1159">
        <f t="shared" si="45"/>
        <v>7.4065340076463615</v>
      </c>
      <c r="BA95" s="4"/>
      <c r="BB95" s="1294">
        <f t="shared" si="75"/>
        <v>292.90423929989794</v>
      </c>
      <c r="BC95" s="1295">
        <f t="shared" si="76"/>
        <v>1741.4232606428277</v>
      </c>
      <c r="BD95" s="1327">
        <f t="shared" si="84"/>
        <v>7.4065340076463615</v>
      </c>
      <c r="BE95" s="1295">
        <f t="shared" si="48"/>
        <v>2041.7340339503719</v>
      </c>
      <c r="BF95" s="167">
        <v>0</v>
      </c>
      <c r="BG95" s="1317">
        <f t="shared" si="77"/>
        <v>2041.7340339503719</v>
      </c>
      <c r="BI95" s="1294">
        <f t="shared" si="78"/>
        <v>292.90423929989794</v>
      </c>
      <c r="BJ95" s="1295">
        <f t="shared" si="79"/>
        <v>1758.007514677772</v>
      </c>
      <c r="BK95" s="1327">
        <f t="shared" si="80"/>
        <v>7.4065340076463615</v>
      </c>
      <c r="BL95" s="1295">
        <f t="shared" si="49"/>
        <v>2058.3182879853161</v>
      </c>
      <c r="BM95" s="167">
        <v>0</v>
      </c>
      <c r="BN95" s="1317">
        <f t="shared" si="81"/>
        <v>2058.3182879853161</v>
      </c>
    </row>
    <row r="96" spans="1:66">
      <c r="A96" s="1156">
        <f>'Input data'!A126</f>
        <v>2028</v>
      </c>
      <c r="B96" s="1039">
        <f>'Input data'!B126</f>
        <v>64.676000000000002</v>
      </c>
      <c r="C96" s="1130">
        <f>'Recycling - Case 3'!AD106</f>
        <v>0.49046653513292493</v>
      </c>
      <c r="D96" s="1040">
        <f>'Recycling - Case 3'!AM106</f>
        <v>0.29185502748888414</v>
      </c>
      <c r="E96" s="1041">
        <f>'Recycling - Case 3'!BE106</f>
        <v>0.16545409555010687</v>
      </c>
      <c r="F96" s="1041">
        <f>'Recycling - Case 3'!BF106</f>
        <v>0.267979253056992</v>
      </c>
      <c r="G96" s="1041">
        <f>'Recycling - Case 3'!BG106</f>
        <v>6.2899330853889504E-2</v>
      </c>
      <c r="H96" s="1041">
        <f>'Recycling - Case 3'!BH106</f>
        <v>0</v>
      </c>
      <c r="I96" s="1041">
        <f>'Recycling - Case 3'!BI106</f>
        <v>0</v>
      </c>
      <c r="J96" s="1041">
        <f>'Recycling - Case 3'!BJ106</f>
        <v>0</v>
      </c>
      <c r="K96" s="1041">
        <f>'Recycling - Case 3'!BK106</f>
        <v>0.50366732053901153</v>
      </c>
      <c r="L96" s="1042">
        <f t="shared" si="83"/>
        <v>0.99999999999999989</v>
      </c>
      <c r="M96" s="4"/>
      <c r="N96" s="1053">
        <f t="shared" si="50"/>
        <v>9.2580540458775165</v>
      </c>
      <c r="O96" s="1048">
        <f>Parameters!R269</f>
        <v>0.95846153846153803</v>
      </c>
      <c r="P96" s="1049">
        <f>E96*'MSW characteristics'!$B$28+'MSW characteristics'!$B$29*'4A SWD Case 3'!F96+'4A SWD Case 3'!G96*'MSW characteristics'!$B$30+'MSW characteristics'!$B$31*'4A SWD Case 3'!H96+'4A SWD Case 3'!I96*'MSW characteristics'!$B$32+'MSW characteristics'!$B$33*'4A SWD Case 3'!J96+'4A SWD Case 3'!K96*'MSW characteristics'!$B$35</f>
        <v>0.10357369728547024</v>
      </c>
      <c r="Q96" s="1047">
        <f t="shared" si="51"/>
        <v>0.45953001748134598</v>
      </c>
      <c r="R96" s="1047">
        <f t="shared" si="52"/>
        <v>0.45953001748134598</v>
      </c>
      <c r="S96" s="1050">
        <f t="shared" si="53"/>
        <v>0</v>
      </c>
      <c r="T96" s="1047">
        <f t="shared" si="54"/>
        <v>8152.2037351985527</v>
      </c>
      <c r="U96" s="1047">
        <f t="shared" si="55"/>
        <v>417.9488627765341</v>
      </c>
      <c r="V96" s="1054">
        <f t="shared" si="56"/>
        <v>278.63257518435609</v>
      </c>
      <c r="W96" s="4"/>
      <c r="X96" s="1067">
        <f>'Recycling - Case 3'!W146*'Recycling - Case 3'!AE146*'Recycling - Case 3'!C146</f>
        <v>34415.938213751222</v>
      </c>
      <c r="Y96" s="1068">
        <f>Parameters!S268</f>
        <v>0.71500000000000008</v>
      </c>
      <c r="Z96" s="1068">
        <f t="shared" si="57"/>
        <v>0.15</v>
      </c>
      <c r="AA96" s="1069">
        <f t="shared" si="58"/>
        <v>1845.5546867124094</v>
      </c>
      <c r="AB96" s="1069">
        <f t="shared" si="59"/>
        <v>1845.5546867124094</v>
      </c>
      <c r="AC96" s="1070">
        <f t="shared" si="60"/>
        <v>0</v>
      </c>
      <c r="AD96" s="1069">
        <f t="shared" si="61"/>
        <v>52117.574412797709</v>
      </c>
      <c r="AE96" s="1069">
        <f t="shared" si="62"/>
        <v>2577.5015683935007</v>
      </c>
      <c r="AF96" s="1071">
        <f t="shared" si="63"/>
        <v>1718.3343789290004</v>
      </c>
      <c r="AG96" s="4"/>
      <c r="AH96" s="1067">
        <f>'Recycling - Case 3'!C186*'Recycling - Case 3'!W186*'Recycling - Case 3'!AE186</f>
        <v>35685.230705326125</v>
      </c>
      <c r="AI96" s="1068">
        <f>Parameters!S268</f>
        <v>0.71500000000000008</v>
      </c>
      <c r="AJ96" s="1068">
        <f t="shared" si="64"/>
        <v>0.15</v>
      </c>
      <c r="AK96" s="1069">
        <f t="shared" si="65"/>
        <v>1913.6204965731135</v>
      </c>
      <c r="AL96" s="1069">
        <f t="shared" si="66"/>
        <v>1913.6204965731135</v>
      </c>
      <c r="AM96" s="1070">
        <f t="shared" si="67"/>
        <v>0</v>
      </c>
      <c r="AN96" s="1069">
        <f t="shared" si="68"/>
        <v>52718.372400841545</v>
      </c>
      <c r="AO96" s="1069">
        <f t="shared" si="69"/>
        <v>2604.8153312437371</v>
      </c>
      <c r="AP96" s="1071">
        <f t="shared" si="70"/>
        <v>1736.5435541624913</v>
      </c>
      <c r="AQ96" s="4"/>
      <c r="AR96" s="1065">
        <f>'Recycling - Case 3'!G106</f>
        <v>707.94525755332154</v>
      </c>
      <c r="AS96" s="1061">
        <v>1</v>
      </c>
      <c r="AT96" s="1061">
        <f t="shared" si="71"/>
        <v>0.05</v>
      </c>
      <c r="AU96" s="1047">
        <f t="shared" si="72"/>
        <v>17.69863143883304</v>
      </c>
      <c r="AV96" s="1047">
        <f t="shared" si="73"/>
        <v>17.69863143883304</v>
      </c>
      <c r="AW96" s="1050">
        <f t="shared" si="74"/>
        <v>0</v>
      </c>
      <c r="AX96" s="1047">
        <f t="shared" si="42"/>
        <v>203.11995750632701</v>
      </c>
      <c r="AY96" s="1047">
        <f t="shared" si="47"/>
        <v>11.465814459874892</v>
      </c>
      <c r="AZ96" s="1159">
        <f t="shared" si="45"/>
        <v>7.6438763065832616</v>
      </c>
      <c r="BA96" s="4"/>
      <c r="BB96" s="1294">
        <f t="shared" si="75"/>
        <v>278.63257518435609</v>
      </c>
      <c r="BC96" s="1295">
        <f t="shared" si="76"/>
        <v>1718.3343789290004</v>
      </c>
      <c r="BD96" s="1327">
        <f t="shared" si="84"/>
        <v>7.6438763065832616</v>
      </c>
      <c r="BE96" s="1295">
        <f t="shared" si="48"/>
        <v>2004.6108304199397</v>
      </c>
      <c r="BF96" s="167">
        <v>0</v>
      </c>
      <c r="BG96" s="1317">
        <f t="shared" si="77"/>
        <v>2004.6108304199397</v>
      </c>
      <c r="BI96" s="1294">
        <f t="shared" si="78"/>
        <v>278.63257518435609</v>
      </c>
      <c r="BJ96" s="1295">
        <f t="shared" si="79"/>
        <v>1736.5435541624913</v>
      </c>
      <c r="BK96" s="1327">
        <f t="shared" si="80"/>
        <v>7.6438763065832616</v>
      </c>
      <c r="BL96" s="1295">
        <f t="shared" si="49"/>
        <v>2022.8200056534306</v>
      </c>
      <c r="BM96" s="167">
        <v>0</v>
      </c>
      <c r="BN96" s="1317">
        <f t="shared" si="81"/>
        <v>2022.8200056534306</v>
      </c>
    </row>
    <row r="97" spans="1:66">
      <c r="A97" s="1156">
        <f>'Input data'!A127</f>
        <v>2029</v>
      </c>
      <c r="B97" s="1039">
        <f>'Input data'!B127</f>
        <v>65.313000000000002</v>
      </c>
      <c r="C97" s="1130">
        <f>'Recycling - Case 3'!AD107</f>
        <v>0.53146891079363701</v>
      </c>
      <c r="D97" s="1040">
        <f>'Recycling - Case 3'!AM107</f>
        <v>0.28764014396624216</v>
      </c>
      <c r="E97" s="1041">
        <f>'Recycling - Case 3'!BE107</f>
        <v>0.16787854761535698</v>
      </c>
      <c r="F97" s="1041">
        <f>'Recycling - Case 3'!BF107</f>
        <v>0.27190603922301615</v>
      </c>
      <c r="G97" s="1041">
        <f>'Recycling - Case 3'!BG107</f>
        <v>6.0957561810685137E-2</v>
      </c>
      <c r="H97" s="1041">
        <f>'Recycling - Case 3'!BH107</f>
        <v>0</v>
      </c>
      <c r="I97" s="1041">
        <f>'Recycling - Case 3'!BI107</f>
        <v>0</v>
      </c>
      <c r="J97" s="1041">
        <f>'Recycling - Case 3'!BJ107</f>
        <v>0</v>
      </c>
      <c r="K97" s="1041">
        <f>'Recycling - Case 3'!BK107</f>
        <v>0.49925785135094164</v>
      </c>
      <c r="L97" s="1042">
        <f t="shared" si="83"/>
        <v>1</v>
      </c>
      <c r="M97" s="4"/>
      <c r="N97" s="1053">
        <f t="shared" si="50"/>
        <v>9.9845154824536042</v>
      </c>
      <c r="O97" s="1048">
        <f>Parameters!R270</f>
        <v>0.97923076923076879</v>
      </c>
      <c r="P97" s="1049">
        <f>E97*'MSW characteristics'!$B$28+'MSW characteristics'!$B$29*'4A SWD Case 3'!F97+'4A SWD Case 3'!G97*'MSW characteristics'!$B$30+'MSW characteristics'!$B$31*'4A SWD Case 3'!H97+'4A SWD Case 3'!I97*'MSW characteristics'!$B$32+'MSW characteristics'!$B$33*'4A SWD Case 3'!J97+'4A SWD Case 3'!K97*'MSW characteristics'!$B$35</f>
        <v>0.10394601471118084</v>
      </c>
      <c r="Q97" s="1047">
        <f t="shared" si="51"/>
        <v>0.50814761737425018</v>
      </c>
      <c r="R97" s="1047">
        <f t="shared" si="52"/>
        <v>0.50814761737425018</v>
      </c>
      <c r="S97" s="1050">
        <f t="shared" si="53"/>
        <v>0</v>
      </c>
      <c r="T97" s="1047">
        <f t="shared" si="54"/>
        <v>7755.124215062865</v>
      </c>
      <c r="U97" s="1047">
        <f t="shared" si="55"/>
        <v>397.58766775306225</v>
      </c>
      <c r="V97" s="1054">
        <f t="shared" si="56"/>
        <v>265.05844516870815</v>
      </c>
      <c r="W97" s="4"/>
      <c r="X97" s="1067">
        <f>'Recycling - Case 3'!W147*'Recycling - Case 3'!AE147*'Recycling - Case 3'!C147</f>
        <v>33361.365836242301</v>
      </c>
      <c r="Y97" s="1068">
        <f>Parameters!S269</f>
        <v>0.71500000000000008</v>
      </c>
      <c r="Z97" s="1068">
        <f t="shared" si="57"/>
        <v>0.15</v>
      </c>
      <c r="AA97" s="1069">
        <f t="shared" si="58"/>
        <v>1789.0032429684936</v>
      </c>
      <c r="AB97" s="1069">
        <f t="shared" si="59"/>
        <v>1789.0032429684936</v>
      </c>
      <c r="AC97" s="1070">
        <f t="shared" si="60"/>
        <v>0</v>
      </c>
      <c r="AD97" s="1069">
        <f t="shared" si="61"/>
        <v>51364.773558027198</v>
      </c>
      <c r="AE97" s="1069">
        <f t="shared" si="62"/>
        <v>2541.804097739006</v>
      </c>
      <c r="AF97" s="1071">
        <f t="shared" si="63"/>
        <v>1694.5360651593373</v>
      </c>
      <c r="AG97" s="4"/>
      <c r="AH97" s="1067">
        <f>'Recycling - Case 3'!C187*'Recycling - Case 3'!W187*'Recycling - Case 3'!AE187</f>
        <v>34508.858838095824</v>
      </c>
      <c r="AI97" s="1068">
        <f>Parameters!S269</f>
        <v>0.71500000000000008</v>
      </c>
      <c r="AJ97" s="1068">
        <f t="shared" si="64"/>
        <v>0.15</v>
      </c>
      <c r="AK97" s="1069">
        <f t="shared" si="65"/>
        <v>1850.5375551928887</v>
      </c>
      <c r="AL97" s="1069">
        <f t="shared" si="66"/>
        <v>1850.5375551928887</v>
      </c>
      <c r="AM97" s="1070">
        <f t="shared" si="67"/>
        <v>0</v>
      </c>
      <c r="AN97" s="1069">
        <f t="shared" si="68"/>
        <v>51997.804594659719</v>
      </c>
      <c r="AO97" s="1069">
        <f t="shared" si="69"/>
        <v>2571.1053613747172</v>
      </c>
      <c r="AP97" s="1071">
        <f t="shared" si="70"/>
        <v>1714.070240916478</v>
      </c>
      <c r="AQ97" s="4"/>
      <c r="AR97" s="1065">
        <f>'Recycling - Case 3'!G107</f>
        <v>727.28116463059234</v>
      </c>
      <c r="AS97" s="1061">
        <v>1</v>
      </c>
      <c r="AT97" s="1061">
        <f t="shared" si="71"/>
        <v>0.05</v>
      </c>
      <c r="AU97" s="1047">
        <f t="shared" si="72"/>
        <v>18.182029115764809</v>
      </c>
      <c r="AV97" s="1047">
        <f t="shared" si="73"/>
        <v>18.182029115764809</v>
      </c>
      <c r="AW97" s="1050">
        <f t="shared" si="74"/>
        <v>0</v>
      </c>
      <c r="AX97" s="1047">
        <f t="shared" si="42"/>
        <v>209.47320115836328</v>
      </c>
      <c r="AY97" s="1047">
        <f t="shared" si="47"/>
        <v>11.828785463728535</v>
      </c>
      <c r="AZ97" s="1159">
        <f t="shared" si="45"/>
        <v>7.8858569758190233</v>
      </c>
      <c r="BA97" s="4"/>
      <c r="BB97" s="1294">
        <f t="shared" si="75"/>
        <v>265.05844516870815</v>
      </c>
      <c r="BC97" s="1295">
        <f t="shared" si="76"/>
        <v>1694.5360651593373</v>
      </c>
      <c r="BD97" s="1327">
        <f t="shared" si="84"/>
        <v>7.8858569758190233</v>
      </c>
      <c r="BE97" s="1295">
        <f t="shared" si="48"/>
        <v>1967.4803673038646</v>
      </c>
      <c r="BF97" s="167">
        <v>0</v>
      </c>
      <c r="BG97" s="1317">
        <f t="shared" si="77"/>
        <v>1967.4803673038646</v>
      </c>
      <c r="BI97" s="1294">
        <f t="shared" si="78"/>
        <v>265.05844516870815</v>
      </c>
      <c r="BJ97" s="1295">
        <f t="shared" si="79"/>
        <v>1714.070240916478</v>
      </c>
      <c r="BK97" s="1327">
        <f t="shared" si="80"/>
        <v>7.8858569758190233</v>
      </c>
      <c r="BL97" s="1295">
        <f t="shared" si="49"/>
        <v>1987.0145430610053</v>
      </c>
      <c r="BM97" s="167">
        <v>0</v>
      </c>
      <c r="BN97" s="1317">
        <f t="shared" si="81"/>
        <v>1987.0145430610053</v>
      </c>
    </row>
    <row r="98" spans="1:66">
      <c r="A98" s="1156">
        <f>'Input data'!A128</f>
        <v>2030</v>
      </c>
      <c r="B98" s="1039">
        <f>'Input data'!B128</f>
        <v>65.956000000000003</v>
      </c>
      <c r="C98" s="1130">
        <f>'Recycling - Case 3'!AD108</f>
        <v>0.57369079834465153</v>
      </c>
      <c r="D98" s="1040">
        <f>'Recycling - Case 3'!AM108</f>
        <v>0.2834252604436</v>
      </c>
      <c r="E98" s="1041">
        <f>'Recycling - Case 3'!BE108</f>
        <v>0.17037510887119423</v>
      </c>
      <c r="F98" s="1041">
        <f>'Recycling - Case 3'!BF108</f>
        <v>0.2759496177051679</v>
      </c>
      <c r="G98" s="1041">
        <f>'Recycling - Case 3'!BG108</f>
        <v>5.8958039761752561E-2</v>
      </c>
      <c r="H98" s="1041">
        <f>'Recycling - Case 3'!BH108</f>
        <v>0</v>
      </c>
      <c r="I98" s="1041">
        <f>'Recycling - Case 3'!BI108</f>
        <v>0</v>
      </c>
      <c r="J98" s="1041">
        <f>'Recycling - Case 3'!BJ108</f>
        <v>0</v>
      </c>
      <c r="K98" s="1041">
        <f>'Recycling - Case 3'!BK108</f>
        <v>0.49471723366188541</v>
      </c>
      <c r="L98" s="1042">
        <f t="shared" si="83"/>
        <v>1</v>
      </c>
      <c r="M98" s="4"/>
      <c r="N98" s="1053">
        <f t="shared" si="50"/>
        <v>10.724344287292222</v>
      </c>
      <c r="O98" s="1048">
        <f>Parameters!R271</f>
        <v>1</v>
      </c>
      <c r="P98" s="1049">
        <f>E98*'MSW characteristics'!$B$28+'MSW characteristics'!$B$29*'4A SWD Case 3'!F98+'4A SWD Case 3'!G98*'MSW characteristics'!$B$30+'MSW characteristics'!$B$31*'4A SWD Case 3'!H98+'4A SWD Case 3'!I98*'MSW characteristics'!$B$32+'MSW characteristics'!$B$33*'4A SWD Case 3'!J98+'4A SWD Case 3'!K98*'MSW characteristics'!$B$35</f>
        <v>0.10432940577641374</v>
      </c>
      <c r="Q98" s="1047">
        <f t="shared" si="51"/>
        <v>0.55943223341743742</v>
      </c>
      <c r="R98" s="1047">
        <f t="shared" si="52"/>
        <v>0.55943223341743742</v>
      </c>
      <c r="S98" s="1050">
        <f t="shared" si="53"/>
        <v>0</v>
      </c>
      <c r="T98" s="1047">
        <f t="shared" si="54"/>
        <v>7377.4617762592179</v>
      </c>
      <c r="U98" s="1047">
        <f t="shared" si="55"/>
        <v>378.22187103706443</v>
      </c>
      <c r="V98" s="1054">
        <f t="shared" si="56"/>
        <v>252.14791402470962</v>
      </c>
      <c r="W98" s="4"/>
      <c r="X98" s="1067">
        <f>'Recycling - Case 3'!W148*'Recycling - Case 3'!AE148*'Recycling - Case 3'!C148</f>
        <v>32303.056721714369</v>
      </c>
      <c r="Y98" s="1068">
        <f>Parameters!S270</f>
        <v>0.71500000000000008</v>
      </c>
      <c r="Z98" s="1068">
        <f t="shared" si="57"/>
        <v>0.15</v>
      </c>
      <c r="AA98" s="1069">
        <f t="shared" si="58"/>
        <v>1732.2514167019331</v>
      </c>
      <c r="AB98" s="1069">
        <f t="shared" si="59"/>
        <v>1732.2514167019331</v>
      </c>
      <c r="AC98" s="1070">
        <f t="shared" si="60"/>
        <v>0</v>
      </c>
      <c r="AD98" s="1069">
        <f t="shared" si="61"/>
        <v>50591.935407913639</v>
      </c>
      <c r="AE98" s="1069">
        <f t="shared" si="62"/>
        <v>2505.089566815494</v>
      </c>
      <c r="AF98" s="1071">
        <f t="shared" si="63"/>
        <v>1670.0597112103294</v>
      </c>
      <c r="AG98" s="4"/>
      <c r="AH98" s="1067">
        <f>'Recycling - Case 3'!C188*'Recycling - Case 3'!W188*'Recycling - Case 3'!AE188</f>
        <v>33335.683008266838</v>
      </c>
      <c r="AI98" s="1068">
        <f>Parameters!S270</f>
        <v>0.71500000000000008</v>
      </c>
      <c r="AJ98" s="1068">
        <f t="shared" si="64"/>
        <v>0.15</v>
      </c>
      <c r="AK98" s="1069">
        <f t="shared" si="65"/>
        <v>1787.6260013183094</v>
      </c>
      <c r="AL98" s="1069">
        <f t="shared" si="66"/>
        <v>1787.6260013183094</v>
      </c>
      <c r="AM98" s="1070">
        <f t="shared" si="67"/>
        <v>0</v>
      </c>
      <c r="AN98" s="1069">
        <f t="shared" si="68"/>
        <v>51249.467741197062</v>
      </c>
      <c r="AO98" s="1069">
        <f t="shared" si="69"/>
        <v>2535.9628547809716</v>
      </c>
      <c r="AP98" s="1071">
        <f t="shared" si="70"/>
        <v>1690.6419031873145</v>
      </c>
      <c r="AQ98" s="4"/>
      <c r="AR98" s="1065">
        <f>'Recycling - Case 3'!G108</f>
        <v>746.92617855150922</v>
      </c>
      <c r="AS98" s="1061">
        <v>1</v>
      </c>
      <c r="AT98" s="1061">
        <f t="shared" si="71"/>
        <v>0.05</v>
      </c>
      <c r="AU98" s="1047">
        <f t="shared" si="72"/>
        <v>18.673154463787732</v>
      </c>
      <c r="AV98" s="1047">
        <f t="shared" si="73"/>
        <v>18.673154463787732</v>
      </c>
      <c r="AW98" s="1050">
        <f t="shared" si="74"/>
        <v>0</v>
      </c>
      <c r="AX98" s="1047">
        <f t="shared" si="42"/>
        <v>215.94758605109325</v>
      </c>
      <c r="AY98" s="1047">
        <f t="shared" si="47"/>
        <v>12.198769571057777</v>
      </c>
      <c r="AZ98" s="1159">
        <f t="shared" si="45"/>
        <v>8.1325130473718517</v>
      </c>
      <c r="BA98" s="4"/>
      <c r="BB98" s="1294">
        <f t="shared" si="75"/>
        <v>252.14791402470962</v>
      </c>
      <c r="BC98" s="1295">
        <f t="shared" si="76"/>
        <v>1670.0597112103294</v>
      </c>
      <c r="BD98" s="1327">
        <f t="shared" si="84"/>
        <v>8.1325130473718517</v>
      </c>
      <c r="BE98" s="1295">
        <f t="shared" si="48"/>
        <v>1930.3401382824109</v>
      </c>
      <c r="BF98" s="167">
        <v>0</v>
      </c>
      <c r="BG98" s="1317">
        <f t="shared" si="77"/>
        <v>1930.3401382824109</v>
      </c>
      <c r="BI98" s="1294">
        <f t="shared" si="78"/>
        <v>252.14791402470962</v>
      </c>
      <c r="BJ98" s="1295">
        <f t="shared" si="79"/>
        <v>1690.6419031873145</v>
      </c>
      <c r="BK98" s="1327">
        <f t="shared" si="80"/>
        <v>8.1325130473718517</v>
      </c>
      <c r="BL98" s="1295">
        <f t="shared" si="49"/>
        <v>1950.9223302593959</v>
      </c>
      <c r="BM98" s="167">
        <v>0</v>
      </c>
      <c r="BN98" s="1317">
        <f t="shared" si="81"/>
        <v>1950.9223302593959</v>
      </c>
    </row>
    <row r="99" spans="1:66">
      <c r="A99" s="1156">
        <f>'Input data'!A129</f>
        <v>2031</v>
      </c>
      <c r="B99" s="1039">
        <f>'Input data'!B129</f>
        <v>66.519000000000005</v>
      </c>
      <c r="C99" s="1130">
        <f>'Recycling - Case 3'!AD109</f>
        <v>0.62288032161257645</v>
      </c>
      <c r="D99" s="1040">
        <f>'Recycling - Case 3'!AM109</f>
        <v>0.28342526044359995</v>
      </c>
      <c r="E99" s="1041">
        <f>'Recycling - Case 3'!BE109</f>
        <v>0.1703751088711942</v>
      </c>
      <c r="F99" s="1041">
        <f>'Recycling - Case 3'!BF109</f>
        <v>0.2759496177051679</v>
      </c>
      <c r="G99" s="1041">
        <f>'Recycling - Case 3'!BG109</f>
        <v>5.8958039761752561E-2</v>
      </c>
      <c r="H99" s="1041">
        <f>'Recycling - Case 3'!BH109</f>
        <v>0</v>
      </c>
      <c r="I99" s="1041">
        <f>'Recycling - Case 3'!BI109</f>
        <v>0</v>
      </c>
      <c r="J99" s="1041">
        <f>'Recycling - Case 3'!BJ109</f>
        <v>0</v>
      </c>
      <c r="K99" s="1041">
        <f>'Recycling - Case 3'!BK109</f>
        <v>0.49471723366188547</v>
      </c>
      <c r="L99" s="1042">
        <f t="shared" si="83"/>
        <v>1</v>
      </c>
      <c r="M99" s="4"/>
      <c r="N99" s="1053">
        <f t="shared" si="50"/>
        <v>11.743265415982998</v>
      </c>
      <c r="O99" s="1048">
        <f>Parameters!R272</f>
        <v>1</v>
      </c>
      <c r="P99" s="1049">
        <f>E99*'MSW characteristics'!$B$28+'MSW characteristics'!$B$29*'4A SWD Case 3'!F99+'4A SWD Case 3'!G99*'MSW characteristics'!$B$30+'MSW characteristics'!$B$31*'4A SWD Case 3'!H99+'4A SWD Case 3'!I99*'MSW characteristics'!$B$32+'MSW characteristics'!$B$33*'4A SWD Case 3'!J99+'4A SWD Case 3'!K99*'MSW characteristics'!$B$35</f>
        <v>0.10432940577641374</v>
      </c>
      <c r="Q99" s="1047">
        <f t="shared" si="51"/>
        <v>0.61258395136210819</v>
      </c>
      <c r="R99" s="1047">
        <f t="shared" si="52"/>
        <v>0.61258395136210819</v>
      </c>
      <c r="S99" s="1050">
        <f t="shared" si="53"/>
        <v>0</v>
      </c>
      <c r="T99" s="1047">
        <f t="shared" si="54"/>
        <v>7018.2713036584337</v>
      </c>
      <c r="U99" s="1047">
        <f t="shared" si="55"/>
        <v>359.80305655214664</v>
      </c>
      <c r="V99" s="1054">
        <f t="shared" si="56"/>
        <v>239.86870436809775</v>
      </c>
      <c r="W99" s="4"/>
      <c r="X99" s="1067">
        <f>'Recycling - Case 3'!W149*'Recycling - Case 3'!AE149*'Recycling - Case 3'!C149</f>
        <v>31290.393392224916</v>
      </c>
      <c r="Y99" s="1068">
        <f>Parameters!S271</f>
        <v>0.71500000000000008</v>
      </c>
      <c r="Z99" s="1068">
        <f t="shared" si="57"/>
        <v>0.15</v>
      </c>
      <c r="AA99" s="1069">
        <f t="shared" si="58"/>
        <v>1677.9473456580613</v>
      </c>
      <c r="AB99" s="1069">
        <f t="shared" si="59"/>
        <v>1677.9473456580613</v>
      </c>
      <c r="AC99" s="1070">
        <f t="shared" si="60"/>
        <v>0</v>
      </c>
      <c r="AD99" s="1069">
        <f t="shared" si="61"/>
        <v>49802.484948105048</v>
      </c>
      <c r="AE99" s="1069">
        <f t="shared" si="62"/>
        <v>2467.3978054666518</v>
      </c>
      <c r="AF99" s="1071">
        <f t="shared" si="63"/>
        <v>1644.9318703111012</v>
      </c>
      <c r="AG99" s="4"/>
      <c r="AH99" s="1067">
        <f>'Recycling - Case 3'!C189*'Recycling - Case 3'!W189*'Recycling - Case 3'!AE189</f>
        <v>33449.243618889304</v>
      </c>
      <c r="AI99" s="1068">
        <f>Parameters!S271</f>
        <v>0.71500000000000008</v>
      </c>
      <c r="AJ99" s="1068">
        <f t="shared" si="64"/>
        <v>0.15</v>
      </c>
      <c r="AK99" s="1069">
        <f t="shared" si="65"/>
        <v>1793.7156890629392</v>
      </c>
      <c r="AL99" s="1069">
        <f t="shared" si="66"/>
        <v>1793.7156890629392</v>
      </c>
      <c r="AM99" s="1070">
        <f t="shared" si="67"/>
        <v>0</v>
      </c>
      <c r="AN99" s="1069">
        <f t="shared" si="68"/>
        <v>50543.717394489729</v>
      </c>
      <c r="AO99" s="1069">
        <f t="shared" si="69"/>
        <v>2499.4660357702728</v>
      </c>
      <c r="AP99" s="1071">
        <f t="shared" si="70"/>
        <v>1666.3106905135153</v>
      </c>
      <c r="AQ99" s="4"/>
      <c r="AR99" s="1065">
        <f>'Recycling - Case 3'!G109</f>
        <v>753.30193570058589</v>
      </c>
      <c r="AS99" s="1061">
        <v>1</v>
      </c>
      <c r="AT99" s="1061">
        <f t="shared" si="71"/>
        <v>0.05</v>
      </c>
      <c r="AU99" s="1047">
        <f t="shared" si="72"/>
        <v>18.832548392514649</v>
      </c>
      <c r="AV99" s="1047">
        <f t="shared" si="73"/>
        <v>18.832548392514649</v>
      </c>
      <c r="AW99" s="1050">
        <f t="shared" si="74"/>
        <v>0</v>
      </c>
      <c r="AX99" s="1047">
        <f t="shared" si="42"/>
        <v>222.20432604856688</v>
      </c>
      <c r="AY99" s="1047">
        <f t="shared" si="47"/>
        <v>12.575808395041001</v>
      </c>
      <c r="AZ99" s="1159">
        <f t="shared" si="45"/>
        <v>8.3838722633606668</v>
      </c>
      <c r="BA99" s="4"/>
      <c r="BB99" s="1294">
        <f t="shared" si="75"/>
        <v>239.86870436809775</v>
      </c>
      <c r="BC99" s="1295">
        <f t="shared" si="76"/>
        <v>1644.9318703111012</v>
      </c>
      <c r="BD99" s="1327">
        <f t="shared" si="84"/>
        <v>8.3838722633606668</v>
      </c>
      <c r="BE99" s="1295">
        <f t="shared" si="48"/>
        <v>1893.1844469425596</v>
      </c>
      <c r="BF99" s="167">
        <v>0</v>
      </c>
      <c r="BG99" s="1317">
        <f t="shared" si="77"/>
        <v>1893.1844469425596</v>
      </c>
      <c r="BI99" s="1294">
        <f t="shared" si="78"/>
        <v>239.86870436809775</v>
      </c>
      <c r="BJ99" s="1295">
        <f t="shared" si="79"/>
        <v>1666.3106905135153</v>
      </c>
      <c r="BK99" s="1327">
        <f t="shared" si="80"/>
        <v>8.3838722633606668</v>
      </c>
      <c r="BL99" s="1295">
        <f t="shared" si="49"/>
        <v>1914.5632671449737</v>
      </c>
      <c r="BM99" s="167">
        <v>0</v>
      </c>
      <c r="BN99" s="1317">
        <f t="shared" si="81"/>
        <v>1914.5632671449737</v>
      </c>
    </row>
    <row r="100" spans="1:66">
      <c r="A100" s="1156">
        <f>'Input data'!A130</f>
        <v>2032</v>
      </c>
      <c r="B100" s="1039">
        <f>'Input data'!B130</f>
        <v>67.087000000000003</v>
      </c>
      <c r="C100" s="1130">
        <f>'Recycling - Case 3'!AD110</f>
        <v>0.67206984488050125</v>
      </c>
      <c r="D100" s="1040">
        <f>'Recycling - Case 3'!AM110</f>
        <v>0.2834252604436</v>
      </c>
      <c r="E100" s="1041">
        <f>'Recycling - Case 3'!BE110</f>
        <v>0.17037510887119423</v>
      </c>
      <c r="F100" s="1041">
        <f>'Recycling - Case 3'!BF110</f>
        <v>0.2759496177051679</v>
      </c>
      <c r="G100" s="1041">
        <f>'Recycling - Case 3'!BG110</f>
        <v>5.8958039761752561E-2</v>
      </c>
      <c r="H100" s="1041">
        <f>'Recycling - Case 3'!BH110</f>
        <v>0</v>
      </c>
      <c r="I100" s="1041">
        <f>'Recycling - Case 3'!BI110</f>
        <v>0</v>
      </c>
      <c r="J100" s="1041">
        <f>'Recycling - Case 3'!BJ110</f>
        <v>0</v>
      </c>
      <c r="K100" s="1041">
        <f>'Recycling - Case 3'!BK110</f>
        <v>0.49471723366188552</v>
      </c>
      <c r="L100" s="1042">
        <f t="shared" si="83"/>
        <v>1.0000000000000002</v>
      </c>
      <c r="M100" s="4"/>
      <c r="N100" s="1053">
        <f t="shared" si="50"/>
        <v>12.778837141705052</v>
      </c>
      <c r="O100" s="1048">
        <f>Parameters!R273</f>
        <v>1</v>
      </c>
      <c r="P100" s="1049">
        <f>E100*'MSW characteristics'!$B$28+'MSW characteristics'!$B$29*'4A SWD Case 3'!F100+'4A SWD Case 3'!G100*'MSW characteristics'!$B$30+'MSW characteristics'!$B$31*'4A SWD Case 3'!H100+'4A SWD Case 3'!I100*'MSW characteristics'!$B$32+'MSW characteristics'!$B$33*'4A SWD Case 3'!J100+'4A SWD Case 3'!K100*'MSW characteristics'!$B$35</f>
        <v>0.10432940577641374</v>
      </c>
      <c r="Q100" s="1047">
        <f t="shared" si="51"/>
        <v>0.66660424275382679</v>
      </c>
      <c r="R100" s="1047">
        <f t="shared" si="52"/>
        <v>0.66660424275382679</v>
      </c>
      <c r="S100" s="1050">
        <f t="shared" si="53"/>
        <v>0</v>
      </c>
      <c r="T100" s="1047">
        <f t="shared" si="54"/>
        <v>6676.6527774116421</v>
      </c>
      <c r="U100" s="1047">
        <f t="shared" si="55"/>
        <v>342.28513048954591</v>
      </c>
      <c r="V100" s="1054">
        <f t="shared" si="56"/>
        <v>228.1900869930306</v>
      </c>
      <c r="W100" s="4"/>
      <c r="X100" s="1067">
        <f>'Recycling - Case 3'!W150*'Recycling - Case 3'!AE150*'Recycling - Case 3'!C150</f>
        <v>30270.361099698908</v>
      </c>
      <c r="Y100" s="1068">
        <f>Parameters!S272</f>
        <v>0.71500000000000008</v>
      </c>
      <c r="Z100" s="1068">
        <f t="shared" si="57"/>
        <v>0.15</v>
      </c>
      <c r="AA100" s="1069">
        <f t="shared" si="58"/>
        <v>1623.2481139713541</v>
      </c>
      <c r="AB100" s="1069">
        <f t="shared" si="59"/>
        <v>1623.2481139713541</v>
      </c>
      <c r="AC100" s="1070">
        <f t="shared" si="60"/>
        <v>0</v>
      </c>
      <c r="AD100" s="1069">
        <f t="shared" si="61"/>
        <v>48996.837209862795</v>
      </c>
      <c r="AE100" s="1069">
        <f t="shared" si="62"/>
        <v>2428.8958522136109</v>
      </c>
      <c r="AF100" s="1071">
        <f t="shared" si="63"/>
        <v>1619.2639014757406</v>
      </c>
      <c r="AG100" s="4"/>
      <c r="AH100" s="1067">
        <f>'Recycling - Case 3'!C190*'Recycling - Case 3'!W190*'Recycling - Case 3'!AE190</f>
        <v>33557.469998074353</v>
      </c>
      <c r="AI100" s="1068">
        <f>Parameters!S272</f>
        <v>0.71500000000000008</v>
      </c>
      <c r="AJ100" s="1068">
        <f t="shared" si="64"/>
        <v>0.15</v>
      </c>
      <c r="AK100" s="1069">
        <f t="shared" si="65"/>
        <v>1799.5193286467372</v>
      </c>
      <c r="AL100" s="1069">
        <f t="shared" si="66"/>
        <v>1799.5193286467372</v>
      </c>
      <c r="AM100" s="1070">
        <f t="shared" si="67"/>
        <v>0</v>
      </c>
      <c r="AN100" s="1069">
        <f t="shared" si="68"/>
        <v>49878.190537933937</v>
      </c>
      <c r="AO100" s="1069">
        <f t="shared" si="69"/>
        <v>2465.0461852025355</v>
      </c>
      <c r="AP100" s="1071">
        <f t="shared" si="70"/>
        <v>1643.3641234683571</v>
      </c>
      <c r="AQ100" s="4"/>
      <c r="AR100" s="1065">
        <f>'Recycling - Case 3'!G110</f>
        <v>759.73431591492977</v>
      </c>
      <c r="AS100" s="1061">
        <v>1</v>
      </c>
      <c r="AT100" s="1061">
        <f t="shared" si="71"/>
        <v>0.05</v>
      </c>
      <c r="AU100" s="1047">
        <f t="shared" si="72"/>
        <v>18.993357897873246</v>
      </c>
      <c r="AV100" s="1047">
        <f t="shared" si="73"/>
        <v>18.993357897873246</v>
      </c>
      <c r="AW100" s="1050">
        <f t="shared" si="74"/>
        <v>0</v>
      </c>
      <c r="AX100" s="1047">
        <f t="shared" si="42"/>
        <v>228.25751137940415</v>
      </c>
      <c r="AY100" s="1047">
        <f t="shared" si="47"/>
        <v>12.940172567035964</v>
      </c>
      <c r="AZ100" s="1159">
        <f t="shared" si="45"/>
        <v>8.6267817113573084</v>
      </c>
      <c r="BA100" s="4"/>
      <c r="BB100" s="1294">
        <f t="shared" si="75"/>
        <v>228.1900869930306</v>
      </c>
      <c r="BC100" s="1295">
        <f t="shared" si="76"/>
        <v>1619.2639014757406</v>
      </c>
      <c r="BD100" s="1327">
        <f t="shared" si="84"/>
        <v>8.6267817113573084</v>
      </c>
      <c r="BE100" s="1295">
        <f t="shared" si="48"/>
        <v>1856.0807701801284</v>
      </c>
      <c r="BF100" s="167">
        <v>0</v>
      </c>
      <c r="BG100" s="1317">
        <f t="shared" si="77"/>
        <v>1856.0807701801284</v>
      </c>
      <c r="BI100" s="1294">
        <f t="shared" si="78"/>
        <v>228.1900869930306</v>
      </c>
      <c r="BJ100" s="1295">
        <f t="shared" si="79"/>
        <v>1643.3641234683571</v>
      </c>
      <c r="BK100" s="1327">
        <f t="shared" si="80"/>
        <v>8.6267817113573084</v>
      </c>
      <c r="BL100" s="1295">
        <f t="shared" si="49"/>
        <v>1880.1809921727452</v>
      </c>
      <c r="BM100" s="167">
        <v>0</v>
      </c>
      <c r="BN100" s="1317">
        <f t="shared" si="81"/>
        <v>1880.1809921727452</v>
      </c>
    </row>
    <row r="101" spans="1:66">
      <c r="A101" s="1156">
        <f>'Input data'!A131</f>
        <v>2033</v>
      </c>
      <c r="B101" s="1039">
        <f>'Input data'!B131</f>
        <v>67.659000000000006</v>
      </c>
      <c r="C101" s="1130">
        <f>'Recycling - Case 3'!AD111</f>
        <v>0.67206984488050125</v>
      </c>
      <c r="D101" s="1040">
        <f>'Recycling - Case 3'!AM111</f>
        <v>0.2834252604436</v>
      </c>
      <c r="E101" s="1041">
        <f>'Recycling - Case 3'!BE111</f>
        <v>0.17037510887119423</v>
      </c>
      <c r="F101" s="1041">
        <f>'Recycling - Case 3'!BF111</f>
        <v>0.2759496177051679</v>
      </c>
      <c r="G101" s="1041">
        <f>'Recycling - Case 3'!BG111</f>
        <v>5.8958039761752561E-2</v>
      </c>
      <c r="H101" s="1041">
        <f>'Recycling - Case 3'!BH111</f>
        <v>0</v>
      </c>
      <c r="I101" s="1041">
        <f>'Recycling - Case 3'!BI111</f>
        <v>0</v>
      </c>
      <c r="J101" s="1041">
        <f>'Recycling - Case 3'!BJ111</f>
        <v>0</v>
      </c>
      <c r="K101" s="1041">
        <f>'Recycling - Case 3'!BK111</f>
        <v>0.49471723366188552</v>
      </c>
      <c r="L101" s="1042">
        <f t="shared" si="83"/>
        <v>1.0000000000000002</v>
      </c>
      <c r="M101" s="4"/>
      <c r="N101" s="1053">
        <f t="shared" si="50"/>
        <v>12.887792600214977</v>
      </c>
      <c r="O101" s="1048">
        <f>Parameters!R274</f>
        <v>1</v>
      </c>
      <c r="P101" s="1049">
        <f>E101*'MSW characteristics'!$B$28+'MSW characteristics'!$B$29*'4A SWD Case 3'!F101+'4A SWD Case 3'!G101*'MSW characteristics'!$B$30+'MSW characteristics'!$B$31*'4A SWD Case 3'!H101+'4A SWD Case 3'!I101*'MSW characteristics'!$B$32+'MSW characteristics'!$B$33*'4A SWD Case 3'!J101+'4A SWD Case 3'!K101*'MSW characteristics'!$B$35</f>
        <v>0.10432940577641374</v>
      </c>
      <c r="Q101" s="1047">
        <f t="shared" si="51"/>
        <v>0.67228787187504535</v>
      </c>
      <c r="R101" s="1047">
        <f t="shared" si="52"/>
        <v>0.67228787187504535</v>
      </c>
      <c r="S101" s="1050">
        <f t="shared" si="53"/>
        <v>0</v>
      </c>
      <c r="T101" s="1047">
        <f t="shared" si="54"/>
        <v>6351.7008669202451</v>
      </c>
      <c r="U101" s="1047">
        <f t="shared" si="55"/>
        <v>325.62419836327194</v>
      </c>
      <c r="V101" s="1054">
        <f t="shared" si="56"/>
        <v>217.08279890884796</v>
      </c>
      <c r="W101" s="4"/>
      <c r="X101" s="1067">
        <f>'Recycling - Case 3'!W151*'Recycling - Case 3'!AE151*'Recycling - Case 3'!C151</f>
        <v>29263.320059574631</v>
      </c>
      <c r="Y101" s="1068">
        <f>Parameters!S273</f>
        <v>0.71500000000000008</v>
      </c>
      <c r="Z101" s="1068">
        <f t="shared" si="57"/>
        <v>0.15</v>
      </c>
      <c r="AA101" s="1069">
        <f t="shared" si="58"/>
        <v>1569.2455381946897</v>
      </c>
      <c r="AB101" s="1069">
        <f t="shared" si="59"/>
        <v>1569.2455381946897</v>
      </c>
      <c r="AC101" s="1070">
        <f t="shared" si="60"/>
        <v>0</v>
      </c>
      <c r="AD101" s="1069">
        <f t="shared" si="61"/>
        <v>48176.478799687648</v>
      </c>
      <c r="AE101" s="1069">
        <f t="shared" si="62"/>
        <v>2389.6039483698382</v>
      </c>
      <c r="AF101" s="1071">
        <f t="shared" si="63"/>
        <v>1593.0692989132256</v>
      </c>
      <c r="AG101" s="4"/>
      <c r="AH101" s="1067">
        <f>'Recycling - Case 3'!C191*'Recycling - Case 3'!W191*'Recycling - Case 3'!AE191</f>
        <v>33677.670263861553</v>
      </c>
      <c r="AI101" s="1068">
        <f>Parameters!S273</f>
        <v>0.71500000000000008</v>
      </c>
      <c r="AJ101" s="1068">
        <f t="shared" si="64"/>
        <v>0.15</v>
      </c>
      <c r="AK101" s="1069">
        <f t="shared" si="65"/>
        <v>1805.9650678995758</v>
      </c>
      <c r="AL101" s="1069">
        <f t="shared" si="66"/>
        <v>1805.9650678995758</v>
      </c>
      <c r="AM101" s="1070">
        <f t="shared" si="67"/>
        <v>0</v>
      </c>
      <c r="AN101" s="1069">
        <f t="shared" si="68"/>
        <v>49251.567548435436</v>
      </c>
      <c r="AO101" s="1069">
        <f t="shared" si="69"/>
        <v>2432.5880573980789</v>
      </c>
      <c r="AP101" s="1071">
        <f t="shared" si="70"/>
        <v>1621.7253715987192</v>
      </c>
      <c r="AQ101" s="4"/>
      <c r="AR101" s="1065">
        <f>'Recycling - Case 3'!G111</f>
        <v>766.21199458148715</v>
      </c>
      <c r="AS101" s="1061">
        <v>1</v>
      </c>
      <c r="AT101" s="1061">
        <f t="shared" si="71"/>
        <v>0.05</v>
      </c>
      <c r="AU101" s="1047">
        <f t="shared" si="72"/>
        <v>19.155299864537181</v>
      </c>
      <c r="AV101" s="1047">
        <f t="shared" si="73"/>
        <v>19.155299864537181</v>
      </c>
      <c r="AW101" s="1050">
        <f t="shared" si="74"/>
        <v>0</v>
      </c>
      <c r="AX101" s="1047">
        <f t="shared" si="42"/>
        <v>234.12012860586307</v>
      </c>
      <c r="AY101" s="1047">
        <f t="shared" si="47"/>
        <v>13.292682638078256</v>
      </c>
      <c r="AZ101" s="1159">
        <f t="shared" si="45"/>
        <v>8.8617884253855035</v>
      </c>
      <c r="BA101" s="4"/>
      <c r="BB101" s="1294">
        <f t="shared" si="75"/>
        <v>217.08279890884796</v>
      </c>
      <c r="BC101" s="1295">
        <f t="shared" si="76"/>
        <v>1593.0692989132256</v>
      </c>
      <c r="BD101" s="1327">
        <f t="shared" si="84"/>
        <v>8.8617884253855035</v>
      </c>
      <c r="BE101" s="1295">
        <f t="shared" si="48"/>
        <v>1819.0138862474591</v>
      </c>
      <c r="BF101" s="167">
        <v>0</v>
      </c>
      <c r="BG101" s="1317">
        <f t="shared" si="77"/>
        <v>1819.0138862474591</v>
      </c>
      <c r="BI101" s="1294">
        <f t="shared" si="78"/>
        <v>217.08279890884796</v>
      </c>
      <c r="BJ101" s="1295">
        <f t="shared" si="79"/>
        <v>1621.7253715987192</v>
      </c>
      <c r="BK101" s="1327">
        <f t="shared" si="80"/>
        <v>8.8617884253855035</v>
      </c>
      <c r="BL101" s="1295">
        <f t="shared" si="49"/>
        <v>1847.6699589329528</v>
      </c>
      <c r="BM101" s="167">
        <v>0</v>
      </c>
      <c r="BN101" s="1317">
        <f t="shared" si="81"/>
        <v>1847.6699589329528</v>
      </c>
    </row>
    <row r="102" spans="1:66">
      <c r="A102" s="1156">
        <f>'Input data'!A132</f>
        <v>2034</v>
      </c>
      <c r="B102" s="1039">
        <f>'Input data'!B132</f>
        <v>68.236999999999995</v>
      </c>
      <c r="C102" s="1130">
        <f>'Recycling - Case 3'!AD112</f>
        <v>0.67206984488050125</v>
      </c>
      <c r="D102" s="1040">
        <f>'Recycling - Case 3'!AM112</f>
        <v>0.2834252604436</v>
      </c>
      <c r="E102" s="1041">
        <f>'Recycling - Case 3'!BE112</f>
        <v>0.17037510887119423</v>
      </c>
      <c r="F102" s="1041">
        <f>'Recycling - Case 3'!BF112</f>
        <v>0.2759496177051679</v>
      </c>
      <c r="G102" s="1041">
        <f>'Recycling - Case 3'!BG112</f>
        <v>5.8958039761752561E-2</v>
      </c>
      <c r="H102" s="1041">
        <f>'Recycling - Case 3'!BH112</f>
        <v>0</v>
      </c>
      <c r="I102" s="1041">
        <f>'Recycling - Case 3'!BI112</f>
        <v>0</v>
      </c>
      <c r="J102" s="1041">
        <f>'Recycling - Case 3'!BJ112</f>
        <v>0</v>
      </c>
      <c r="K102" s="1041">
        <f>'Recycling - Case 3'!BK112</f>
        <v>0.49471723366188552</v>
      </c>
      <c r="L102" s="1042">
        <f t="shared" si="83"/>
        <v>1.0000000000000002</v>
      </c>
      <c r="M102" s="4"/>
      <c r="N102" s="1053">
        <f t="shared" si="50"/>
        <v>12.997890948149827</v>
      </c>
      <c r="O102" s="1048">
        <f>Parameters!R275</f>
        <v>1</v>
      </c>
      <c r="P102" s="1049">
        <f>E102*'MSW characteristics'!$B$28+'MSW characteristics'!$B$29*'4A SWD Case 3'!F102+'4A SWD Case 3'!G102*'MSW characteristics'!$B$30+'MSW characteristics'!$B$31*'4A SWD Case 3'!H102+'4A SWD Case 3'!I102*'MSW characteristics'!$B$32+'MSW characteristics'!$B$33*'4A SWD Case 3'!J102+'4A SWD Case 3'!K102*'MSW characteristics'!$B$35</f>
        <v>0.10432940577641374</v>
      </c>
      <c r="Q102" s="1047">
        <f t="shared" si="51"/>
        <v>0.67803111948354922</v>
      </c>
      <c r="R102" s="1047">
        <f t="shared" si="52"/>
        <v>0.67803111948354922</v>
      </c>
      <c r="S102" s="1050">
        <f t="shared" si="53"/>
        <v>0</v>
      </c>
      <c r="T102" s="1047">
        <f t="shared" si="54"/>
        <v>6042.602791360714</v>
      </c>
      <c r="U102" s="1047">
        <f t="shared" si="55"/>
        <v>309.77610667901405</v>
      </c>
      <c r="V102" s="1054">
        <f t="shared" si="56"/>
        <v>206.51740445267603</v>
      </c>
      <c r="W102" s="4"/>
      <c r="X102" s="1067">
        <f>'Recycling - Case 3'!W152*'Recycling - Case 3'!AE152*'Recycling - Case 3'!C152</f>
        <v>28264.606722538312</v>
      </c>
      <c r="Y102" s="1068">
        <f>Parameters!S274</f>
        <v>0.71500000000000008</v>
      </c>
      <c r="Z102" s="1068">
        <f t="shared" si="57"/>
        <v>0.15</v>
      </c>
      <c r="AA102" s="1069">
        <f t="shared" si="58"/>
        <v>1515.6895354961173</v>
      </c>
      <c r="AB102" s="1069">
        <f t="shared" si="59"/>
        <v>1515.6895354961173</v>
      </c>
      <c r="AC102" s="1070">
        <f t="shared" si="60"/>
        <v>0</v>
      </c>
      <c r="AD102" s="1069">
        <f t="shared" si="61"/>
        <v>47342.573738593848</v>
      </c>
      <c r="AE102" s="1069">
        <f t="shared" si="62"/>
        <v>2349.5945965899168</v>
      </c>
      <c r="AF102" s="1071">
        <f t="shared" si="63"/>
        <v>1566.3963977266112</v>
      </c>
      <c r="AG102" s="4"/>
      <c r="AH102" s="1067">
        <f>'Recycling - Case 3'!C192*'Recycling - Case 3'!W192*'Recycling - Case 3'!AE192</f>
        <v>33806.1982327367</v>
      </c>
      <c r="AI102" s="1068">
        <f>Parameters!S274</f>
        <v>0.71500000000000008</v>
      </c>
      <c r="AJ102" s="1068">
        <f t="shared" si="64"/>
        <v>0.15</v>
      </c>
      <c r="AK102" s="1069">
        <f t="shared" si="65"/>
        <v>1812.8573802305057</v>
      </c>
      <c r="AL102" s="1069">
        <f t="shared" si="66"/>
        <v>1812.8573802305057</v>
      </c>
      <c r="AM102" s="1070">
        <f t="shared" si="67"/>
        <v>0</v>
      </c>
      <c r="AN102" s="1069">
        <f t="shared" si="68"/>
        <v>48662.397635086789</v>
      </c>
      <c r="AO102" s="1069">
        <f t="shared" si="69"/>
        <v>2402.027293579154</v>
      </c>
      <c r="AP102" s="1071">
        <f t="shared" si="70"/>
        <v>1601.3515290527694</v>
      </c>
      <c r="AQ102" s="4"/>
      <c r="AR102" s="1065">
        <f>'Recycling - Case 3'!G112</f>
        <v>772.75762092636501</v>
      </c>
      <c r="AS102" s="1061">
        <v>1</v>
      </c>
      <c r="AT102" s="1061">
        <f t="shared" si="71"/>
        <v>0.05</v>
      </c>
      <c r="AU102" s="1047">
        <f t="shared" si="72"/>
        <v>19.318940523159128</v>
      </c>
      <c r="AV102" s="1047">
        <f t="shared" si="73"/>
        <v>19.318940523159128</v>
      </c>
      <c r="AW102" s="1050">
        <f t="shared" si="74"/>
        <v>0</v>
      </c>
      <c r="AX102" s="1047">
        <f t="shared" si="42"/>
        <v>239.80497424234409</v>
      </c>
      <c r="AY102" s="1047">
        <f t="shared" si="47"/>
        <v>13.63409488667811</v>
      </c>
      <c r="AZ102" s="1159">
        <f t="shared" si="45"/>
        <v>9.0893965911187404</v>
      </c>
      <c r="BA102" s="4"/>
      <c r="BB102" s="1294">
        <f t="shared" si="75"/>
        <v>206.51740445267603</v>
      </c>
      <c r="BC102" s="1295">
        <f t="shared" si="76"/>
        <v>1566.3963977266112</v>
      </c>
      <c r="BD102" s="1327">
        <f t="shared" si="84"/>
        <v>9.0893965911187404</v>
      </c>
      <c r="BE102" s="1295">
        <f t="shared" si="48"/>
        <v>1782.003198770406</v>
      </c>
      <c r="BF102" s="167">
        <v>0</v>
      </c>
      <c r="BG102" s="1317">
        <f t="shared" si="77"/>
        <v>1782.003198770406</v>
      </c>
      <c r="BI102" s="1294">
        <f t="shared" si="78"/>
        <v>206.51740445267603</v>
      </c>
      <c r="BJ102" s="1295">
        <f t="shared" si="79"/>
        <v>1601.3515290527694</v>
      </c>
      <c r="BK102" s="1327">
        <f t="shared" si="80"/>
        <v>9.0893965911187404</v>
      </c>
      <c r="BL102" s="1295">
        <f t="shared" si="49"/>
        <v>1816.9583300965642</v>
      </c>
      <c r="BM102" s="167">
        <v>0</v>
      </c>
      <c r="BN102" s="1317">
        <f t="shared" si="81"/>
        <v>1816.9583300965642</v>
      </c>
    </row>
    <row r="103" spans="1:66">
      <c r="A103" s="1156">
        <f>'Input data'!A133</f>
        <v>2035</v>
      </c>
      <c r="B103" s="1039">
        <f>'Input data'!B133</f>
        <v>68.819000000000003</v>
      </c>
      <c r="C103" s="1130">
        <f>'Recycling - Case 3'!AD113</f>
        <v>0.67206984488050125</v>
      </c>
      <c r="D103" s="1040">
        <f>'Recycling - Case 3'!AM113</f>
        <v>0.2834252604436</v>
      </c>
      <c r="E103" s="1041">
        <f>'Recycling - Case 3'!BE113</f>
        <v>0.17037510887119423</v>
      </c>
      <c r="F103" s="1041">
        <f>'Recycling - Case 3'!BF113</f>
        <v>0.2759496177051679</v>
      </c>
      <c r="G103" s="1041">
        <f>'Recycling - Case 3'!BG113</f>
        <v>5.8958039761752561E-2</v>
      </c>
      <c r="H103" s="1041">
        <f>'Recycling - Case 3'!BH113</f>
        <v>0</v>
      </c>
      <c r="I103" s="1041">
        <f>'Recycling - Case 3'!BI113</f>
        <v>0</v>
      </c>
      <c r="J103" s="1041">
        <f>'Recycling - Case 3'!BJ113</f>
        <v>0</v>
      </c>
      <c r="K103" s="1041">
        <f>'Recycling - Case 3'!BK113</f>
        <v>0.49471723366188552</v>
      </c>
      <c r="L103" s="1042">
        <f t="shared" si="83"/>
        <v>1.0000000000000002</v>
      </c>
      <c r="M103" s="4"/>
      <c r="N103" s="1053">
        <f t="shared" si="50"/>
        <v>13.108751222367969</v>
      </c>
      <c r="O103" s="1048">
        <f>Parameters!R276</f>
        <v>1</v>
      </c>
      <c r="P103" s="1049">
        <f>E103*'MSW characteristics'!$B$28+'MSW characteristics'!$B$29*'4A SWD Case 3'!F103+'4A SWD Case 3'!G103*'MSW characteristics'!$B$30+'MSW characteristics'!$B$31*'4A SWD Case 3'!H103+'4A SWD Case 3'!I103*'MSW characteristics'!$B$32+'MSW characteristics'!$B$33*'4A SWD Case 3'!J103+'4A SWD Case 3'!K103*'MSW characteristics'!$B$35</f>
        <v>0.10432940577641374</v>
      </c>
      <c r="Q103" s="1047">
        <f t="shared" si="51"/>
        <v>0.68381411275024373</v>
      </c>
      <c r="R103" s="1047">
        <f t="shared" si="52"/>
        <v>0.68381411275024373</v>
      </c>
      <c r="S103" s="1050">
        <f t="shared" si="53"/>
        <v>0</v>
      </c>
      <c r="T103" s="1047">
        <f t="shared" si="54"/>
        <v>5748.5853898252099</v>
      </c>
      <c r="U103" s="1047">
        <f t="shared" si="55"/>
        <v>294.70121564825394</v>
      </c>
      <c r="V103" s="1054">
        <f t="shared" si="56"/>
        <v>196.46747709883596</v>
      </c>
      <c r="W103" s="4"/>
      <c r="X103" s="1067">
        <f>'Recycling - Case 3'!W153*'Recycling - Case 3'!AE153*'Recycling - Case 3'!C153</f>
        <v>27274.738756619739</v>
      </c>
      <c r="Y103" s="1068">
        <f>Parameters!S275</f>
        <v>0.71500000000000008</v>
      </c>
      <c r="Z103" s="1068">
        <f t="shared" si="57"/>
        <v>0.15</v>
      </c>
      <c r="AA103" s="1069">
        <f t="shared" si="58"/>
        <v>1462.6078658237336</v>
      </c>
      <c r="AB103" s="1069">
        <f t="shared" si="59"/>
        <v>1462.6078658237336</v>
      </c>
      <c r="AC103" s="1070">
        <f t="shared" si="60"/>
        <v>0</v>
      </c>
      <c r="AD103" s="1069">
        <f t="shared" si="61"/>
        <v>46496.257037568976</v>
      </c>
      <c r="AE103" s="1069">
        <f t="shared" si="62"/>
        <v>2308.9245668486051</v>
      </c>
      <c r="AF103" s="1071">
        <f t="shared" si="63"/>
        <v>1539.2830445657366</v>
      </c>
      <c r="AG103" s="4"/>
      <c r="AH103" s="1067">
        <f>'Recycling - Case 3'!C193*'Recycling - Case 3'!W193*'Recycling - Case 3'!AE193</f>
        <v>33943.571572729619</v>
      </c>
      <c r="AI103" s="1068">
        <f>Parameters!S275</f>
        <v>0.71500000000000008</v>
      </c>
      <c r="AJ103" s="1068">
        <f t="shared" si="64"/>
        <v>0.15</v>
      </c>
      <c r="AK103" s="1069">
        <f t="shared" si="65"/>
        <v>1820.2240255876259</v>
      </c>
      <c r="AL103" s="1069">
        <f t="shared" si="66"/>
        <v>1820.2240255876259</v>
      </c>
      <c r="AM103" s="1070">
        <f t="shared" si="67"/>
        <v>0</v>
      </c>
      <c r="AN103" s="1069">
        <f t="shared" si="68"/>
        <v>48109.328522836135</v>
      </c>
      <c r="AO103" s="1069">
        <f t="shared" si="69"/>
        <v>2373.2931378382759</v>
      </c>
      <c r="AP103" s="1071">
        <f t="shared" si="70"/>
        <v>1582.1954252255173</v>
      </c>
      <c r="AQ103" s="4"/>
      <c r="AR103" s="1065">
        <f>'Recycling - Case 3'!G113</f>
        <v>779.34854572345671</v>
      </c>
      <c r="AS103" s="1061">
        <v>1</v>
      </c>
      <c r="AT103" s="1061">
        <f t="shared" si="71"/>
        <v>0.05</v>
      </c>
      <c r="AU103" s="1047">
        <f t="shared" si="72"/>
        <v>19.483713643086418</v>
      </c>
      <c r="AV103" s="1047">
        <f t="shared" si="73"/>
        <v>19.483713643086418</v>
      </c>
      <c r="AW103" s="1050">
        <f t="shared" si="74"/>
        <v>0</v>
      </c>
      <c r="AX103" s="1047">
        <f t="shared" si="42"/>
        <v>245.32353336161037</v>
      </c>
      <c r="AY103" s="1047">
        <f t="shared" si="47"/>
        <v>13.96515452382013</v>
      </c>
      <c r="AZ103" s="1159">
        <f t="shared" si="45"/>
        <v>9.3101030158800864</v>
      </c>
      <c r="BA103" s="4"/>
      <c r="BB103" s="1294">
        <f t="shared" si="75"/>
        <v>196.46747709883596</v>
      </c>
      <c r="BC103" s="1295">
        <f t="shared" si="76"/>
        <v>1539.2830445657366</v>
      </c>
      <c r="BD103" s="1327">
        <f t="shared" si="84"/>
        <v>9.3101030158800864</v>
      </c>
      <c r="BE103" s="1295">
        <f t="shared" si="48"/>
        <v>1745.0606246804527</v>
      </c>
      <c r="BF103" s="167">
        <v>0</v>
      </c>
      <c r="BG103" s="1317">
        <f t="shared" si="77"/>
        <v>1745.0606246804527</v>
      </c>
      <c r="BI103" s="1294">
        <f t="shared" si="78"/>
        <v>196.46747709883596</v>
      </c>
      <c r="BJ103" s="1295">
        <f t="shared" si="79"/>
        <v>1582.1954252255173</v>
      </c>
      <c r="BK103" s="1327">
        <f t="shared" si="80"/>
        <v>9.3101030158800864</v>
      </c>
      <c r="BL103" s="1295">
        <f t="shared" si="49"/>
        <v>1787.9730053402332</v>
      </c>
      <c r="BM103" s="167">
        <v>0</v>
      </c>
      <c r="BN103" s="1317">
        <f t="shared" si="81"/>
        <v>1787.9730053402332</v>
      </c>
    </row>
    <row r="104" spans="1:66">
      <c r="A104" s="1156">
        <f>'Input data'!A134</f>
        <v>2036</v>
      </c>
      <c r="B104" s="1039">
        <f>'Input data'!B134</f>
        <v>69.322999999999993</v>
      </c>
      <c r="C104" s="1130">
        <f>'Recycling - Case 3'!AD114</f>
        <v>0.67206984488050125</v>
      </c>
      <c r="D104" s="1040">
        <f>'Recycling - Case 3'!AM114</f>
        <v>0.2834252604436</v>
      </c>
      <c r="E104" s="1041">
        <f>'Recycling - Case 3'!BE114</f>
        <v>0.17037510887119423</v>
      </c>
      <c r="F104" s="1041">
        <f>'Recycling - Case 3'!BF114</f>
        <v>0.2759496177051679</v>
      </c>
      <c r="G104" s="1041">
        <f>'Recycling - Case 3'!BG114</f>
        <v>5.8958039761752561E-2</v>
      </c>
      <c r="H104" s="1041">
        <f>'Recycling - Case 3'!BH114</f>
        <v>0</v>
      </c>
      <c r="I104" s="1041">
        <f>'Recycling - Case 3'!BI114</f>
        <v>0</v>
      </c>
      <c r="J104" s="1041">
        <f>'Recycling - Case 3'!BJ114</f>
        <v>0</v>
      </c>
      <c r="K104" s="1041">
        <f>'Recycling - Case 3'!BK114</f>
        <v>0.49471723366188552</v>
      </c>
      <c r="L104" s="1042">
        <f t="shared" si="83"/>
        <v>1.0000000000000002</v>
      </c>
      <c r="M104" s="4"/>
      <c r="N104" s="1053">
        <f t="shared" si="50"/>
        <v>13.204753934062028</v>
      </c>
      <c r="O104" s="1048">
        <f>Parameters!R277</f>
        <v>1</v>
      </c>
      <c r="P104" s="1049">
        <f>E104*'MSW characteristics'!$B$28+'MSW characteristics'!$B$29*'4A SWD Case 3'!F104+'4A SWD Case 3'!G104*'MSW characteristics'!$B$30+'MSW characteristics'!$B$31*'4A SWD Case 3'!H104+'4A SWD Case 3'!I104*'MSW characteristics'!$B$32+'MSW characteristics'!$B$33*'4A SWD Case 3'!J104+'4A SWD Case 3'!K104*'MSW characteristics'!$B$35</f>
        <v>0.10432940577641374</v>
      </c>
      <c r="Q104" s="1047">
        <f t="shared" si="51"/>
        <v>0.68882206568222648</v>
      </c>
      <c r="R104" s="1047">
        <f t="shared" si="52"/>
        <v>0.68882206568222648</v>
      </c>
      <c r="S104" s="1050">
        <f t="shared" si="53"/>
        <v>0</v>
      </c>
      <c r="T104" s="1047">
        <f t="shared" si="54"/>
        <v>5468.9123941223288</v>
      </c>
      <c r="U104" s="1047">
        <f t="shared" si="55"/>
        <v>280.36181776856273</v>
      </c>
      <c r="V104" s="1054">
        <f t="shared" si="56"/>
        <v>186.90787851237516</v>
      </c>
      <c r="W104" s="4"/>
      <c r="X104" s="1067">
        <f>'Recycling - Case 3'!W154*'Recycling - Case 3'!AE154*'Recycling - Case 3'!C154</f>
        <v>25401.790382154224</v>
      </c>
      <c r="Y104" s="1068">
        <f>Parameters!S276</f>
        <v>0.71500000000000008</v>
      </c>
      <c r="Z104" s="1068">
        <f t="shared" si="57"/>
        <v>0.15</v>
      </c>
      <c r="AA104" s="1069">
        <f t="shared" si="58"/>
        <v>1362.1710092430203</v>
      </c>
      <c r="AB104" s="1069">
        <f t="shared" si="59"/>
        <v>1362.1710092430203</v>
      </c>
      <c r="AC104" s="1070">
        <f t="shared" si="60"/>
        <v>0</v>
      </c>
      <c r="AD104" s="1069">
        <f t="shared" si="61"/>
        <v>45590.77883252703</v>
      </c>
      <c r="AE104" s="1069">
        <f t="shared" si="62"/>
        <v>2267.6492142849652</v>
      </c>
      <c r="AF104" s="1071">
        <f t="shared" si="63"/>
        <v>1511.7661428566435</v>
      </c>
      <c r="AG104" s="4"/>
      <c r="AH104" s="1067">
        <f>'Recycling - Case 3'!C194*'Recycling - Case 3'!W194*'Recycling - Case 3'!AE194</f>
        <v>34085.007481391112</v>
      </c>
      <c r="AI104" s="1068">
        <f>Parameters!S276</f>
        <v>0.71500000000000008</v>
      </c>
      <c r="AJ104" s="1068">
        <f t="shared" si="64"/>
        <v>0.15</v>
      </c>
      <c r="AK104" s="1069">
        <f t="shared" si="65"/>
        <v>1827.8085261895985</v>
      </c>
      <c r="AL104" s="1069">
        <f t="shared" si="66"/>
        <v>1827.8085261895985</v>
      </c>
      <c r="AM104" s="1070">
        <f t="shared" si="67"/>
        <v>0</v>
      </c>
      <c r="AN104" s="1069">
        <f t="shared" si="68"/>
        <v>47590.817410082796</v>
      </c>
      <c r="AO104" s="1069">
        <f t="shared" si="69"/>
        <v>2346.3196389429322</v>
      </c>
      <c r="AP104" s="1071">
        <f t="shared" si="70"/>
        <v>1564.2130926286216</v>
      </c>
      <c r="AQ104" s="4"/>
      <c r="AR104" s="1065">
        <f>'Recycling - Case 3'!G114</f>
        <v>785.05615070238139</v>
      </c>
      <c r="AS104" s="1061">
        <v>1</v>
      </c>
      <c r="AT104" s="1061">
        <f t="shared" si="71"/>
        <v>0.05</v>
      </c>
      <c r="AU104" s="1047">
        <f t="shared" si="72"/>
        <v>19.626403767559538</v>
      </c>
      <c r="AV104" s="1047">
        <f t="shared" si="73"/>
        <v>19.626403767559538</v>
      </c>
      <c r="AW104" s="1050">
        <f t="shared" si="74"/>
        <v>0</v>
      </c>
      <c r="AX104" s="1047">
        <f t="shared" si="42"/>
        <v>250.66340674109642</v>
      </c>
      <c r="AY104" s="1047">
        <f t="shared" si="47"/>
        <v>14.2865303880735</v>
      </c>
      <c r="AZ104" s="1159">
        <f t="shared" si="45"/>
        <v>9.5243535920489997</v>
      </c>
      <c r="BA104" s="4"/>
      <c r="BB104" s="1294">
        <f t="shared" si="75"/>
        <v>186.90787851237516</v>
      </c>
      <c r="BC104" s="1295">
        <f t="shared" si="76"/>
        <v>1511.7661428566435</v>
      </c>
      <c r="BD104" s="1327">
        <f t="shared" si="84"/>
        <v>9.5243535920489997</v>
      </c>
      <c r="BE104" s="1295">
        <f t="shared" si="48"/>
        <v>1708.1983749610677</v>
      </c>
      <c r="BF104" s="167">
        <v>0</v>
      </c>
      <c r="BG104" s="1317">
        <f t="shared" si="77"/>
        <v>1708.1983749610677</v>
      </c>
      <c r="BI104" s="1294">
        <f t="shared" si="78"/>
        <v>186.90787851237516</v>
      </c>
      <c r="BJ104" s="1295">
        <f t="shared" si="79"/>
        <v>1564.2130926286216</v>
      </c>
      <c r="BK104" s="1327">
        <f t="shared" si="80"/>
        <v>9.5243535920489997</v>
      </c>
      <c r="BL104" s="1295">
        <f t="shared" si="49"/>
        <v>1760.6453247330458</v>
      </c>
      <c r="BM104" s="167">
        <v>0</v>
      </c>
      <c r="BN104" s="1317">
        <f t="shared" si="81"/>
        <v>1760.6453247330458</v>
      </c>
    </row>
    <row r="105" spans="1:66">
      <c r="A105" s="1156">
        <f>'Input data'!A135</f>
        <v>2037</v>
      </c>
      <c r="B105" s="1039">
        <f>'Input data'!B135</f>
        <v>69.83</v>
      </c>
      <c r="C105" s="1130">
        <f>'Recycling - Case 3'!AD115</f>
        <v>0.67206984488050125</v>
      </c>
      <c r="D105" s="1040">
        <f>'Recycling - Case 3'!AM115</f>
        <v>0.2834252604436</v>
      </c>
      <c r="E105" s="1041">
        <f>'Recycling - Case 3'!BE115</f>
        <v>0.17037510887119423</v>
      </c>
      <c r="F105" s="1041">
        <f>'Recycling - Case 3'!BF115</f>
        <v>0.2759496177051679</v>
      </c>
      <c r="G105" s="1041">
        <f>'Recycling - Case 3'!BG115</f>
        <v>5.8958039761752561E-2</v>
      </c>
      <c r="H105" s="1041">
        <f>'Recycling - Case 3'!BH115</f>
        <v>0</v>
      </c>
      <c r="I105" s="1041">
        <f>'Recycling - Case 3'!BI115</f>
        <v>0</v>
      </c>
      <c r="J105" s="1041">
        <f>'Recycling - Case 3'!BJ115</f>
        <v>0</v>
      </c>
      <c r="K105" s="1041">
        <f>'Recycling - Case 3'!BK115</f>
        <v>0.49471723366188552</v>
      </c>
      <c r="L105" s="1042">
        <f t="shared" si="83"/>
        <v>1.0000000000000002</v>
      </c>
      <c r="M105" s="4"/>
      <c r="N105" s="1053">
        <f t="shared" si="50"/>
        <v>13.30132809046855</v>
      </c>
      <c r="O105" s="1048">
        <f>Parameters!R278</f>
        <v>1</v>
      </c>
      <c r="P105" s="1049">
        <f>E105*'MSW characteristics'!$B$28+'MSW characteristics'!$B$29*'4A SWD Case 3'!F105+'4A SWD Case 3'!G105*'MSW characteristics'!$B$30+'MSW characteristics'!$B$31*'4A SWD Case 3'!H105+'4A SWD Case 3'!I105*'MSW characteristics'!$B$32+'MSW characteristics'!$B$33*'4A SWD Case 3'!J105+'4A SWD Case 3'!K105*'MSW characteristics'!$B$35</f>
        <v>0.10432940577641374</v>
      </c>
      <c r="Q105" s="1047">
        <f t="shared" si="51"/>
        <v>0.69385982785785194</v>
      </c>
      <c r="R105" s="1047">
        <f t="shared" si="52"/>
        <v>0.69385982785785194</v>
      </c>
      <c r="S105" s="1050">
        <f t="shared" si="53"/>
        <v>0</v>
      </c>
      <c r="T105" s="1047">
        <f t="shared" si="54"/>
        <v>5202.8842491336627</v>
      </c>
      <c r="U105" s="1047">
        <f t="shared" si="55"/>
        <v>266.72200481652391</v>
      </c>
      <c r="V105" s="1054">
        <f t="shared" si="56"/>
        <v>177.8146698776826</v>
      </c>
      <c r="W105" s="4"/>
      <c r="X105" s="1067">
        <f>'Recycling - Case 3'!W155*'Recycling - Case 3'!AE155*'Recycling - Case 3'!C155</f>
        <v>23534.862711948252</v>
      </c>
      <c r="Y105" s="1068">
        <f>Parameters!S277</f>
        <v>0.71500000000000008</v>
      </c>
      <c r="Z105" s="1068">
        <f t="shared" si="57"/>
        <v>0.15</v>
      </c>
      <c r="AA105" s="1069">
        <f t="shared" si="58"/>
        <v>1262.057012928225</v>
      </c>
      <c r="AB105" s="1069">
        <f t="shared" si="59"/>
        <v>1262.057012928225</v>
      </c>
      <c r="AC105" s="1070">
        <f t="shared" si="60"/>
        <v>0</v>
      </c>
      <c r="AD105" s="1069">
        <f t="shared" si="61"/>
        <v>44629.347324332251</v>
      </c>
      <c r="AE105" s="1069">
        <f t="shared" si="62"/>
        <v>2223.4885211230089</v>
      </c>
      <c r="AF105" s="1071">
        <f t="shared" si="63"/>
        <v>1482.3256807486725</v>
      </c>
      <c r="AG105" s="4"/>
      <c r="AH105" s="1067">
        <f>'Recycling - Case 3'!C195*'Recycling - Case 3'!W195*'Recycling - Case 3'!AE195</f>
        <v>34232.464094312156</v>
      </c>
      <c r="AI105" s="1068">
        <f>Parameters!S277</f>
        <v>0.71500000000000008</v>
      </c>
      <c r="AJ105" s="1068">
        <f t="shared" si="64"/>
        <v>0.15</v>
      </c>
      <c r="AK105" s="1069">
        <f t="shared" si="65"/>
        <v>1835.7158870574897</v>
      </c>
      <c r="AL105" s="1069">
        <f t="shared" si="66"/>
        <v>1835.7158870574897</v>
      </c>
      <c r="AM105" s="1070">
        <f t="shared" si="67"/>
        <v>0</v>
      </c>
      <c r="AN105" s="1069">
        <f t="shared" si="68"/>
        <v>47105.501743569112</v>
      </c>
      <c r="AO105" s="1069">
        <f t="shared" si="69"/>
        <v>2321.031553571177</v>
      </c>
      <c r="AP105" s="1071">
        <f t="shared" si="70"/>
        <v>1547.3543690474514</v>
      </c>
      <c r="AQ105" s="4"/>
      <c r="AR105" s="1065">
        <f>'Recycling - Case 3'!G115</f>
        <v>790.79772952046653</v>
      </c>
      <c r="AS105" s="1061">
        <v>1</v>
      </c>
      <c r="AT105" s="1061">
        <f t="shared" si="71"/>
        <v>0.05</v>
      </c>
      <c r="AU105" s="1047">
        <f t="shared" si="72"/>
        <v>19.769943238011663</v>
      </c>
      <c r="AV105" s="1047">
        <f t="shared" si="73"/>
        <v>19.769943238011663</v>
      </c>
      <c r="AW105" s="1050">
        <f t="shared" si="74"/>
        <v>0</v>
      </c>
      <c r="AX105" s="1047">
        <f t="shared" si="42"/>
        <v>255.83584957417918</v>
      </c>
      <c r="AY105" s="1047">
        <f t="shared" si="47"/>
        <v>14.597500404928924</v>
      </c>
      <c r="AZ105" s="1159">
        <f t="shared" si="45"/>
        <v>9.7316669366192823</v>
      </c>
      <c r="BA105" s="4"/>
      <c r="BB105" s="1294">
        <f t="shared" si="75"/>
        <v>177.8146698776826</v>
      </c>
      <c r="BC105" s="1295">
        <f t="shared" si="76"/>
        <v>1482.3256807486725</v>
      </c>
      <c r="BD105" s="1327">
        <f t="shared" si="84"/>
        <v>9.7316669366192823</v>
      </c>
      <c r="BE105" s="1295">
        <f t="shared" si="48"/>
        <v>1669.8720175629744</v>
      </c>
      <c r="BF105" s="167">
        <v>0</v>
      </c>
      <c r="BG105" s="1317">
        <f t="shared" si="77"/>
        <v>1669.8720175629744</v>
      </c>
      <c r="BI105" s="1294">
        <f t="shared" si="78"/>
        <v>177.8146698776826</v>
      </c>
      <c r="BJ105" s="1295">
        <f t="shared" si="79"/>
        <v>1547.3543690474514</v>
      </c>
      <c r="BK105" s="1327">
        <f t="shared" si="80"/>
        <v>9.7316669366192823</v>
      </c>
      <c r="BL105" s="1295">
        <f t="shared" si="49"/>
        <v>1734.9007058617533</v>
      </c>
      <c r="BM105" s="167">
        <v>0</v>
      </c>
      <c r="BN105" s="1317">
        <f t="shared" si="81"/>
        <v>1734.9007058617533</v>
      </c>
    </row>
    <row r="106" spans="1:66">
      <c r="A106" s="1156">
        <f>'Input data'!A136</f>
        <v>2038</v>
      </c>
      <c r="B106" s="1039">
        <f>'Input data'!B136</f>
        <v>70.341999999999999</v>
      </c>
      <c r="C106" s="1130">
        <f>'Recycling - Case 3'!AD116</f>
        <v>0.67206984488050125</v>
      </c>
      <c r="D106" s="1040">
        <f>'Recycling - Case 3'!AM116</f>
        <v>0.2834252604436</v>
      </c>
      <c r="E106" s="1041">
        <f>'Recycling - Case 3'!BE116</f>
        <v>0.17037510887119423</v>
      </c>
      <c r="F106" s="1041">
        <f>'Recycling - Case 3'!BF116</f>
        <v>0.2759496177051679</v>
      </c>
      <c r="G106" s="1041">
        <f>'Recycling - Case 3'!BG116</f>
        <v>5.8958039761752561E-2</v>
      </c>
      <c r="H106" s="1041">
        <f>'Recycling - Case 3'!BH116</f>
        <v>0</v>
      </c>
      <c r="I106" s="1041">
        <f>'Recycling - Case 3'!BI116</f>
        <v>0</v>
      </c>
      <c r="J106" s="1041">
        <f>'Recycling - Case 3'!BJ116</f>
        <v>0</v>
      </c>
      <c r="K106" s="1041">
        <f>'Recycling - Case 3'!BK116</f>
        <v>0.49471723366188552</v>
      </c>
      <c r="L106" s="1042">
        <f t="shared" si="83"/>
        <v>1.0000000000000002</v>
      </c>
      <c r="M106" s="4"/>
      <c r="N106" s="1053">
        <f t="shared" si="50"/>
        <v>13.398854654729183</v>
      </c>
      <c r="O106" s="1048">
        <f>Parameters!R279</f>
        <v>1</v>
      </c>
      <c r="P106" s="1049">
        <f>E106*'MSW characteristics'!$B$28+'MSW characteristics'!$B$29*'4A SWD Case 3'!F106+'4A SWD Case 3'!G106*'MSW characteristics'!$B$30+'MSW characteristics'!$B$31*'4A SWD Case 3'!H106+'4A SWD Case 3'!I106*'MSW characteristics'!$B$32+'MSW characteristics'!$B$33*'4A SWD Case 3'!J106+'4A SWD Case 3'!K106*'MSW characteristics'!$B$35</f>
        <v>0.10432940577641374</v>
      </c>
      <c r="Q106" s="1047">
        <f t="shared" si="51"/>
        <v>0.69894727210621543</v>
      </c>
      <c r="R106" s="1047">
        <f t="shared" si="52"/>
        <v>0.69894727210621543</v>
      </c>
      <c r="S106" s="1050">
        <f t="shared" si="53"/>
        <v>0</v>
      </c>
      <c r="T106" s="1047">
        <f t="shared" si="54"/>
        <v>4949.8355373193499</v>
      </c>
      <c r="U106" s="1047">
        <f t="shared" si="55"/>
        <v>253.74765908641916</v>
      </c>
      <c r="V106" s="1054">
        <f t="shared" si="56"/>
        <v>169.16510605761277</v>
      </c>
      <c r="W106" s="4"/>
      <c r="X106" s="1067">
        <f>'Recycling - Case 3'!W156*'Recycling - Case 3'!AE156*'Recycling - Case 3'!C156</f>
        <v>21670.185772306588</v>
      </c>
      <c r="Y106" s="1068">
        <f>Parameters!S278</f>
        <v>0.71500000000000008</v>
      </c>
      <c r="Z106" s="1068">
        <f t="shared" si="57"/>
        <v>0.15</v>
      </c>
      <c r="AA106" s="1069">
        <f t="shared" si="58"/>
        <v>1162.0637120399408</v>
      </c>
      <c r="AB106" s="1069">
        <f t="shared" si="59"/>
        <v>1162.0637120399408</v>
      </c>
      <c r="AC106" s="1070">
        <f t="shared" si="60"/>
        <v>0</v>
      </c>
      <c r="AD106" s="1069">
        <f t="shared" si="61"/>
        <v>43614.812083206991</v>
      </c>
      <c r="AE106" s="1069">
        <f t="shared" si="62"/>
        <v>2176.5989531652031</v>
      </c>
      <c r="AF106" s="1071">
        <f t="shared" si="63"/>
        <v>1451.065968776802</v>
      </c>
      <c r="AG106" s="4"/>
      <c r="AH106" s="1067">
        <f>'Recycling - Case 3'!C196*'Recycling - Case 3'!W196*'Recycling - Case 3'!AE196</f>
        <v>34382.171437797508</v>
      </c>
      <c r="AI106" s="1068">
        <f>Parameters!S278</f>
        <v>0.71500000000000008</v>
      </c>
      <c r="AJ106" s="1068">
        <f t="shared" si="64"/>
        <v>0.15</v>
      </c>
      <c r="AK106" s="1069">
        <f t="shared" si="65"/>
        <v>1843.7439433518916</v>
      </c>
      <c r="AL106" s="1069">
        <f t="shared" si="66"/>
        <v>1843.7439433518916</v>
      </c>
      <c r="AM106" s="1070">
        <f t="shared" si="67"/>
        <v>0</v>
      </c>
      <c r="AN106" s="1069">
        <f t="shared" si="68"/>
        <v>46651.883257704518</v>
      </c>
      <c r="AO106" s="1069">
        <f t="shared" si="69"/>
        <v>2297.362429216485</v>
      </c>
      <c r="AP106" s="1071">
        <f t="shared" si="70"/>
        <v>1531.57495281099</v>
      </c>
      <c r="AQ106" s="4"/>
      <c r="AR106" s="1065">
        <f>'Recycling - Case 3'!G116</f>
        <v>796.59593140381867</v>
      </c>
      <c r="AS106" s="1061">
        <v>1</v>
      </c>
      <c r="AT106" s="1061">
        <f t="shared" si="71"/>
        <v>0.05</v>
      </c>
      <c r="AU106" s="1047">
        <f t="shared" si="72"/>
        <v>19.914898285095468</v>
      </c>
      <c r="AV106" s="1047">
        <f t="shared" si="73"/>
        <v>19.914898285095468</v>
      </c>
      <c r="AW106" s="1050">
        <f t="shared" si="74"/>
        <v>0</v>
      </c>
      <c r="AX106" s="1047">
        <f t="shared" si="42"/>
        <v>260.85202783345233</v>
      </c>
      <c r="AY106" s="1047">
        <f t="shared" si="47"/>
        <v>14.898720025822309</v>
      </c>
      <c r="AZ106" s="1159">
        <f t="shared" si="45"/>
        <v>9.9324800172148731</v>
      </c>
      <c r="BA106" s="4"/>
      <c r="BB106" s="1294">
        <f t="shared" si="75"/>
        <v>169.16510605761277</v>
      </c>
      <c r="BC106" s="1295">
        <f t="shared" si="76"/>
        <v>1451.065968776802</v>
      </c>
      <c r="BD106" s="1327">
        <f t="shared" si="84"/>
        <v>9.9324800172148731</v>
      </c>
      <c r="BE106" s="1295">
        <f t="shared" si="48"/>
        <v>1630.1635548516297</v>
      </c>
      <c r="BF106" s="167">
        <v>0</v>
      </c>
      <c r="BG106" s="1317">
        <f t="shared" si="77"/>
        <v>1630.1635548516297</v>
      </c>
      <c r="BI106" s="1294">
        <f t="shared" si="78"/>
        <v>169.16510605761277</v>
      </c>
      <c r="BJ106" s="1295">
        <f t="shared" si="79"/>
        <v>1531.57495281099</v>
      </c>
      <c r="BK106" s="1327">
        <f t="shared" si="80"/>
        <v>9.9324800172148731</v>
      </c>
      <c r="BL106" s="1295">
        <f t="shared" si="49"/>
        <v>1710.6725388858176</v>
      </c>
      <c r="BM106" s="167">
        <v>0</v>
      </c>
      <c r="BN106" s="1317">
        <f t="shared" si="81"/>
        <v>1710.6725388858176</v>
      </c>
    </row>
    <row r="107" spans="1:66">
      <c r="A107" s="1156">
        <f>'Input data'!A137</f>
        <v>2039</v>
      </c>
      <c r="B107" s="1039">
        <f>'Input data'!B137</f>
        <v>70.856999999999999</v>
      </c>
      <c r="C107" s="1130">
        <f>'Recycling - Case 3'!AD117</f>
        <v>0.67206984488050125</v>
      </c>
      <c r="D107" s="1040">
        <f>'Recycling - Case 3'!AM117</f>
        <v>0.2834252604436</v>
      </c>
      <c r="E107" s="1041">
        <f>'Recycling - Case 3'!BE117</f>
        <v>0.17037510887119423</v>
      </c>
      <c r="F107" s="1041">
        <f>'Recycling - Case 3'!BF117</f>
        <v>0.2759496177051679</v>
      </c>
      <c r="G107" s="1041">
        <f>'Recycling - Case 3'!BG117</f>
        <v>5.8958039761752561E-2</v>
      </c>
      <c r="H107" s="1041">
        <f>'Recycling - Case 3'!BH117</f>
        <v>0</v>
      </c>
      <c r="I107" s="1041">
        <f>'Recycling - Case 3'!BI117</f>
        <v>0</v>
      </c>
      <c r="J107" s="1041">
        <f>'Recycling - Case 3'!BJ117</f>
        <v>0</v>
      </c>
      <c r="K107" s="1041">
        <f>'Recycling - Case 3'!BK117</f>
        <v>0.49471723366188552</v>
      </c>
      <c r="L107" s="1042">
        <f t="shared" si="83"/>
        <v>1.0000000000000002</v>
      </c>
      <c r="M107" s="4"/>
      <c r="N107" s="1053">
        <f t="shared" si="50"/>
        <v>13.496952663702279</v>
      </c>
      <c r="O107" s="1048">
        <f>Parameters!R280</f>
        <v>1</v>
      </c>
      <c r="P107" s="1049">
        <f>E107*'MSW characteristics'!$B$28+'MSW characteristics'!$B$29*'4A SWD Case 3'!F107+'4A SWD Case 3'!G107*'MSW characteristics'!$B$30+'MSW characteristics'!$B$31*'4A SWD Case 3'!H107+'4A SWD Case 3'!I107*'MSW characteristics'!$B$32+'MSW characteristics'!$B$33*'4A SWD Case 3'!J107+'4A SWD Case 3'!K107*'MSW characteristics'!$B$35</f>
        <v>0.10432940577641374</v>
      </c>
      <c r="Q107" s="1047">
        <f t="shared" si="51"/>
        <v>0.70406452559822164</v>
      </c>
      <c r="R107" s="1047">
        <f t="shared" si="52"/>
        <v>0.70406452559822164</v>
      </c>
      <c r="S107" s="1050">
        <f t="shared" si="53"/>
        <v>0</v>
      </c>
      <c r="T107" s="1047">
        <f t="shared" si="54"/>
        <v>4709.133274063066</v>
      </c>
      <c r="U107" s="1047">
        <f t="shared" si="55"/>
        <v>241.40632778188217</v>
      </c>
      <c r="V107" s="1054">
        <f t="shared" si="56"/>
        <v>160.93755185458812</v>
      </c>
      <c r="W107" s="4"/>
      <c r="X107" s="1067">
        <f>'Recycling - Case 3'!W157*'Recycling - Case 3'!AE157*'Recycling - Case 3'!C157</f>
        <v>22293.924499161927</v>
      </c>
      <c r="Y107" s="1068">
        <f>Parameters!S279</f>
        <v>0.71500000000000008</v>
      </c>
      <c r="Z107" s="1068">
        <f t="shared" si="57"/>
        <v>0.15</v>
      </c>
      <c r="AA107" s="1069">
        <f t="shared" si="58"/>
        <v>1195.5117012675585</v>
      </c>
      <c r="AB107" s="1069">
        <f t="shared" si="59"/>
        <v>1195.5117012675585</v>
      </c>
      <c r="AC107" s="1070">
        <f t="shared" si="60"/>
        <v>0</v>
      </c>
      <c r="AD107" s="1069">
        <f t="shared" si="61"/>
        <v>42683.204298883335</v>
      </c>
      <c r="AE107" s="1069">
        <f t="shared" si="62"/>
        <v>2127.1194855912172</v>
      </c>
      <c r="AF107" s="1071">
        <f t="shared" si="63"/>
        <v>1418.0796570608115</v>
      </c>
      <c r="AG107" s="4"/>
      <c r="AH107" s="1067">
        <f>'Recycling - Case 3'!C197*'Recycling - Case 3'!W197*'Recycling - Case 3'!AE197</f>
        <v>34538.034529376266</v>
      </c>
      <c r="AI107" s="1068">
        <f>Parameters!S279</f>
        <v>0.71500000000000008</v>
      </c>
      <c r="AJ107" s="1068">
        <f t="shared" si="64"/>
        <v>0.15</v>
      </c>
      <c r="AK107" s="1069">
        <f t="shared" si="65"/>
        <v>1852.1021016378024</v>
      </c>
      <c r="AL107" s="1069">
        <f t="shared" si="66"/>
        <v>1852.1021016378024</v>
      </c>
      <c r="AM107" s="1070">
        <f t="shared" si="67"/>
        <v>0</v>
      </c>
      <c r="AN107" s="1069">
        <f t="shared" si="68"/>
        <v>46228.746164738564</v>
      </c>
      <c r="AO107" s="1069">
        <f t="shared" si="69"/>
        <v>2275.2391946037537</v>
      </c>
      <c r="AP107" s="1071">
        <f t="shared" si="70"/>
        <v>1516.8261297358358</v>
      </c>
      <c r="AQ107" s="4"/>
      <c r="AR107" s="1065">
        <f>'Recycling - Case 3'!G117</f>
        <v>802.42810712633093</v>
      </c>
      <c r="AS107" s="1061">
        <v>1</v>
      </c>
      <c r="AT107" s="1061">
        <f t="shared" si="71"/>
        <v>0.05</v>
      </c>
      <c r="AU107" s="1047">
        <f t="shared" si="72"/>
        <v>20.060702678158275</v>
      </c>
      <c r="AV107" s="1047">
        <f t="shared" si="73"/>
        <v>20.060702678158275</v>
      </c>
      <c r="AW107" s="1050">
        <f t="shared" si="74"/>
        <v>0</v>
      </c>
      <c r="AX107" s="1047">
        <f t="shared" si="42"/>
        <v>265.72189100523497</v>
      </c>
      <c r="AY107" s="1047">
        <f t="shared" si="47"/>
        <v>15.190839506375632</v>
      </c>
      <c r="AZ107" s="1159">
        <f t="shared" si="45"/>
        <v>10.127226337583755</v>
      </c>
      <c r="BA107" s="4"/>
      <c r="BB107" s="1294">
        <f t="shared" si="75"/>
        <v>160.93755185458812</v>
      </c>
      <c r="BC107" s="1295">
        <f t="shared" si="76"/>
        <v>1418.0796570608115</v>
      </c>
      <c r="BD107" s="1327">
        <f t="shared" si="84"/>
        <v>10.127226337583755</v>
      </c>
      <c r="BE107" s="1295">
        <f t="shared" si="48"/>
        <v>1589.1444352529834</v>
      </c>
      <c r="BF107" s="167">
        <v>0</v>
      </c>
      <c r="BG107" s="1317">
        <f t="shared" si="77"/>
        <v>1589.1444352529834</v>
      </c>
      <c r="BI107" s="1294">
        <f t="shared" si="78"/>
        <v>160.93755185458812</v>
      </c>
      <c r="BJ107" s="1295">
        <f t="shared" si="79"/>
        <v>1516.8261297358358</v>
      </c>
      <c r="BK107" s="1327">
        <f t="shared" si="80"/>
        <v>10.127226337583755</v>
      </c>
      <c r="BL107" s="1295">
        <f t="shared" si="49"/>
        <v>1687.8909079280077</v>
      </c>
      <c r="BM107" s="167">
        <v>0</v>
      </c>
      <c r="BN107" s="1317">
        <f t="shared" si="81"/>
        <v>1687.8909079280077</v>
      </c>
    </row>
    <row r="108" spans="1:66">
      <c r="A108" s="1156">
        <f>'Input data'!A138</f>
        <v>2040</v>
      </c>
      <c r="B108" s="1039">
        <f>'Input data'!B138</f>
        <v>71.375</v>
      </c>
      <c r="C108" s="1130">
        <f>'Recycling - Case 3'!AD118</f>
        <v>0.67206984488050125</v>
      </c>
      <c r="D108" s="1040">
        <f>'Recycling - Case 3'!AM118</f>
        <v>0.2834252604436</v>
      </c>
      <c r="E108" s="1041">
        <f>'Recycling - Case 3'!BE118</f>
        <v>0.17037510887119423</v>
      </c>
      <c r="F108" s="1041">
        <f>'Recycling - Case 3'!BF118</f>
        <v>0.2759496177051679</v>
      </c>
      <c r="G108" s="1041">
        <f>'Recycling - Case 3'!BG118</f>
        <v>5.8958039761752561E-2</v>
      </c>
      <c r="H108" s="1041">
        <f>'Recycling - Case 3'!BH118</f>
        <v>0</v>
      </c>
      <c r="I108" s="1041">
        <f>'Recycling - Case 3'!BI118</f>
        <v>0</v>
      </c>
      <c r="J108" s="1041">
        <f>'Recycling - Case 3'!BJ118</f>
        <v>0</v>
      </c>
      <c r="K108" s="1041">
        <f>'Recycling - Case 3'!BK118</f>
        <v>0.49471723366188552</v>
      </c>
      <c r="L108" s="1042">
        <f t="shared" si="83"/>
        <v>1.0000000000000002</v>
      </c>
      <c r="M108" s="4"/>
      <c r="N108" s="1053">
        <f t="shared" si="50"/>
        <v>13.59562211738784</v>
      </c>
      <c r="O108" s="1048">
        <f>Parameters!R281</f>
        <v>1</v>
      </c>
      <c r="P108" s="1049">
        <f>E108*'MSW characteristics'!$B$28+'MSW characteristics'!$B$29*'4A SWD Case 3'!F108+'4A SWD Case 3'!G108*'MSW characteristics'!$B$30+'MSW characteristics'!$B$31*'4A SWD Case 3'!H108+'4A SWD Case 3'!I108*'MSW characteristics'!$B$32+'MSW characteristics'!$B$33*'4A SWD Case 3'!J108+'4A SWD Case 3'!K108*'MSW characteristics'!$B$35</f>
        <v>0.10432940577641374</v>
      </c>
      <c r="Q108" s="1047">
        <f t="shared" si="51"/>
        <v>0.70921158833387066</v>
      </c>
      <c r="R108" s="1047">
        <f t="shared" si="52"/>
        <v>0.70921158833387066</v>
      </c>
      <c r="S108" s="1050">
        <f t="shared" si="53"/>
        <v>0</v>
      </c>
      <c r="T108" s="1047">
        <f t="shared" si="54"/>
        <v>4480.1753457725081</v>
      </c>
      <c r="U108" s="1047">
        <f t="shared" si="55"/>
        <v>229.66713987889256</v>
      </c>
      <c r="V108" s="1054">
        <f t="shared" si="56"/>
        <v>153.11142658592837</v>
      </c>
      <c r="W108" s="4"/>
      <c r="X108" s="1067">
        <f>'Recycling - Case 3'!W158*'Recycling - Case 3'!AE158*'Recycling - Case 3'!C158</f>
        <v>22986.901179628541</v>
      </c>
      <c r="Y108" s="1068">
        <f>Parameters!S280</f>
        <v>0.71500000000000008</v>
      </c>
      <c r="Z108" s="1068">
        <f t="shared" si="57"/>
        <v>0.15</v>
      </c>
      <c r="AA108" s="1069">
        <f t="shared" si="58"/>
        <v>1232.6725757575805</v>
      </c>
      <c r="AB108" s="1069">
        <f t="shared" si="59"/>
        <v>1232.6725757575805</v>
      </c>
      <c r="AC108" s="1070">
        <f t="shared" si="60"/>
        <v>0</v>
      </c>
      <c r="AD108" s="1069">
        <f t="shared" si="61"/>
        <v>41834.192436830781</v>
      </c>
      <c r="AE108" s="1069">
        <f t="shared" si="62"/>
        <v>2081.6844378101378</v>
      </c>
      <c r="AF108" s="1071">
        <f t="shared" si="63"/>
        <v>1387.7896252067585</v>
      </c>
      <c r="AG108" s="4"/>
      <c r="AH108" s="1067">
        <f>'Recycling - Case 3'!C198*'Recycling - Case 3'!W198*'Recycling - Case 3'!AE198</f>
        <v>34703.440718547703</v>
      </c>
      <c r="AI108" s="1068">
        <f>Parameters!S280</f>
        <v>0.71500000000000008</v>
      </c>
      <c r="AJ108" s="1068">
        <f t="shared" si="64"/>
        <v>0.15</v>
      </c>
      <c r="AK108" s="1069">
        <f t="shared" si="65"/>
        <v>1860.9720085321205</v>
      </c>
      <c r="AL108" s="1069">
        <f t="shared" si="66"/>
        <v>1860.9720085321205</v>
      </c>
      <c r="AM108" s="1070">
        <f t="shared" si="67"/>
        <v>0</v>
      </c>
      <c r="AN108" s="1069">
        <f t="shared" si="68"/>
        <v>45835.115618205979</v>
      </c>
      <c r="AO108" s="1069">
        <f t="shared" si="69"/>
        <v>2254.6025550647096</v>
      </c>
      <c r="AP108" s="1071">
        <f t="shared" si="70"/>
        <v>1503.0683700431398</v>
      </c>
      <c r="AQ108" s="4"/>
      <c r="AR108" s="1065">
        <f>'Recycling - Case 3'!G118</f>
        <v>808.29425668800366</v>
      </c>
      <c r="AS108" s="1061">
        <v>1</v>
      </c>
      <c r="AT108" s="1061">
        <f t="shared" si="71"/>
        <v>0.05</v>
      </c>
      <c r="AU108" s="1047">
        <f t="shared" si="72"/>
        <v>20.207356417200092</v>
      </c>
      <c r="AV108" s="1047">
        <f t="shared" si="73"/>
        <v>20.207356417200092</v>
      </c>
      <c r="AW108" s="1050">
        <f t="shared" si="74"/>
        <v>0</v>
      </c>
      <c r="AX108" s="1047">
        <f t="shared" si="42"/>
        <v>270.45480916286976</v>
      </c>
      <c r="AY108" s="1047">
        <f t="shared" si="47"/>
        <v>15.474438259565282</v>
      </c>
      <c r="AZ108" s="1159">
        <f t="shared" si="45"/>
        <v>10.316292173043522</v>
      </c>
      <c r="BA108" s="4"/>
      <c r="BB108" s="1294">
        <f t="shared" si="75"/>
        <v>153.11142658592837</v>
      </c>
      <c r="BC108" s="1295">
        <f t="shared" si="76"/>
        <v>1387.7896252067585</v>
      </c>
      <c r="BD108" s="1327">
        <f t="shared" si="84"/>
        <v>10.316292173043522</v>
      </c>
      <c r="BE108" s="1295">
        <f t="shared" si="48"/>
        <v>1551.2173439657304</v>
      </c>
      <c r="BF108" s="167">
        <v>0</v>
      </c>
      <c r="BG108" s="1317">
        <f t="shared" si="77"/>
        <v>1551.2173439657304</v>
      </c>
      <c r="BI108" s="1294">
        <f t="shared" si="78"/>
        <v>153.11142658592837</v>
      </c>
      <c r="BJ108" s="1295">
        <f t="shared" si="79"/>
        <v>1503.0683700431398</v>
      </c>
      <c r="BK108" s="1327">
        <f t="shared" si="80"/>
        <v>10.316292173043522</v>
      </c>
      <c r="BL108" s="1295">
        <f t="shared" si="49"/>
        <v>1666.4960888021119</v>
      </c>
      <c r="BM108" s="167">
        <v>0</v>
      </c>
      <c r="BN108" s="1317">
        <f t="shared" si="81"/>
        <v>1666.4960888021119</v>
      </c>
    </row>
    <row r="109" spans="1:66">
      <c r="A109" s="1156">
        <f>'Input data'!A139</f>
        <v>2041</v>
      </c>
      <c r="B109" s="1039">
        <f>'Input data'!B139</f>
        <v>71.819000000000003</v>
      </c>
      <c r="C109" s="1130">
        <f>'Recycling - Case 3'!AD119</f>
        <v>0.67206984488050125</v>
      </c>
      <c r="D109" s="1040">
        <f>'Recycling - Case 3'!AM119</f>
        <v>0.2834252604436</v>
      </c>
      <c r="E109" s="1041">
        <f>'Recycling - Case 3'!BE119</f>
        <v>0.17037510887119423</v>
      </c>
      <c r="F109" s="1041">
        <f>'Recycling - Case 3'!BF119</f>
        <v>0.2759496177051679</v>
      </c>
      <c r="G109" s="1041">
        <f>'Recycling - Case 3'!BG119</f>
        <v>5.8958039761752561E-2</v>
      </c>
      <c r="H109" s="1041">
        <f>'Recycling - Case 3'!BH119</f>
        <v>0</v>
      </c>
      <c r="I109" s="1041">
        <f>'Recycling - Case 3'!BI119</f>
        <v>0</v>
      </c>
      <c r="J109" s="1041">
        <f>'Recycling - Case 3'!BJ119</f>
        <v>0</v>
      </c>
      <c r="K109" s="1041">
        <f>'Recycling - Case 3'!BK119</f>
        <v>0.49471723366188552</v>
      </c>
      <c r="L109" s="1042">
        <f t="shared" si="83"/>
        <v>1.0000000000000002</v>
      </c>
      <c r="M109" s="4"/>
      <c r="N109" s="1053">
        <f t="shared" si="50"/>
        <v>13.680195934832607</v>
      </c>
      <c r="O109" s="1048">
        <f>Parameters!R282</f>
        <v>1</v>
      </c>
      <c r="P109" s="1049">
        <f>E109*'MSW characteristics'!$B$28+'MSW characteristics'!$B$29*'4A SWD Case 3'!F109+'4A SWD Case 3'!G109*'MSW characteristics'!$B$30+'MSW characteristics'!$B$31*'4A SWD Case 3'!H109+'4A SWD Case 3'!I109*'MSW characteristics'!$B$32+'MSW characteristics'!$B$33*'4A SWD Case 3'!J109+'4A SWD Case 3'!K109*'MSW characteristics'!$B$35</f>
        <v>0.10432940577641374</v>
      </c>
      <c r="Q109" s="1047">
        <f t="shared" si="51"/>
        <v>0.71362335639299834</v>
      </c>
      <c r="R109" s="1047">
        <f t="shared" si="52"/>
        <v>0.71362335639299834</v>
      </c>
      <c r="S109" s="1050">
        <f t="shared" si="53"/>
        <v>0</v>
      </c>
      <c r="T109" s="1047">
        <f t="shared" si="54"/>
        <v>4262.3882391778634</v>
      </c>
      <c r="U109" s="1047">
        <f t="shared" si="55"/>
        <v>218.50072995103778</v>
      </c>
      <c r="V109" s="1054">
        <f t="shared" si="56"/>
        <v>145.66715330069187</v>
      </c>
      <c r="W109" s="4"/>
      <c r="X109" s="1067">
        <f>'Recycling - Case 3'!W159*'Recycling - Case 3'!AE159*'Recycling - Case 3'!C159</f>
        <v>23708.402209780983</v>
      </c>
      <c r="Y109" s="1068">
        <f>Parameters!S281</f>
        <v>0.71500000000000008</v>
      </c>
      <c r="Z109" s="1068">
        <f t="shared" si="57"/>
        <v>0.15</v>
      </c>
      <c r="AA109" s="1069">
        <f t="shared" si="58"/>
        <v>1271.3630684995053</v>
      </c>
      <c r="AB109" s="1069">
        <f t="shared" si="59"/>
        <v>1271.3630684995053</v>
      </c>
      <c r="AC109" s="1070">
        <f t="shared" si="60"/>
        <v>0</v>
      </c>
      <c r="AD109" s="1069">
        <f t="shared" si="61"/>
        <v>41065.277864638178</v>
      </c>
      <c r="AE109" s="1069">
        <f t="shared" si="62"/>
        <v>2040.2776406921143</v>
      </c>
      <c r="AF109" s="1071">
        <f t="shared" si="63"/>
        <v>1360.1850937947429</v>
      </c>
      <c r="AG109" s="4"/>
      <c r="AH109" s="1067">
        <f>'Recycling - Case 3'!C199*'Recycling - Case 3'!W199*'Recycling - Case 3'!AE199</f>
        <v>34875.655367676191</v>
      </c>
      <c r="AI109" s="1068">
        <f>Parameters!S281</f>
        <v>0.71500000000000008</v>
      </c>
      <c r="AJ109" s="1068">
        <f t="shared" si="64"/>
        <v>0.15</v>
      </c>
      <c r="AK109" s="1069">
        <f t="shared" si="65"/>
        <v>1870.2070190916359</v>
      </c>
      <c r="AL109" s="1069">
        <f t="shared" si="66"/>
        <v>1870.2070190916359</v>
      </c>
      <c r="AM109" s="1070">
        <f t="shared" si="67"/>
        <v>0</v>
      </c>
      <c r="AN109" s="1069">
        <f t="shared" si="68"/>
        <v>45469.917670521398</v>
      </c>
      <c r="AO109" s="1069">
        <f t="shared" si="69"/>
        <v>2235.404966776217</v>
      </c>
      <c r="AP109" s="1071">
        <f t="shared" si="70"/>
        <v>1490.2699778508113</v>
      </c>
      <c r="AQ109" s="4"/>
      <c r="AR109" s="1065">
        <f>'Recycling - Case 3'!G119</f>
        <v>813.32238488372309</v>
      </c>
      <c r="AS109" s="1061">
        <v>1</v>
      </c>
      <c r="AT109" s="1061">
        <f t="shared" si="71"/>
        <v>0.05</v>
      </c>
      <c r="AU109" s="1047">
        <f t="shared" si="72"/>
        <v>20.333059622093078</v>
      </c>
      <c r="AV109" s="1047">
        <f t="shared" si="73"/>
        <v>20.333059622093078</v>
      </c>
      <c r="AW109" s="1050">
        <f t="shared" si="74"/>
        <v>0</v>
      </c>
      <c r="AX109" s="1047">
        <f t="shared" si="42"/>
        <v>275.03780682898014</v>
      </c>
      <c r="AY109" s="1047">
        <f t="shared" si="47"/>
        <v>15.750061955982725</v>
      </c>
      <c r="AZ109" s="1159">
        <f t="shared" si="45"/>
        <v>10.500041303988484</v>
      </c>
      <c r="BA109" s="4"/>
      <c r="BB109" s="1294">
        <f t="shared" si="75"/>
        <v>145.66715330069187</v>
      </c>
      <c r="BC109" s="1295">
        <f t="shared" si="76"/>
        <v>1360.1850937947429</v>
      </c>
      <c r="BD109" s="1327">
        <f t="shared" si="84"/>
        <v>10.500041303988484</v>
      </c>
      <c r="BE109" s="1295">
        <f t="shared" si="48"/>
        <v>1516.3522883994231</v>
      </c>
      <c r="BF109" s="167">
        <v>0</v>
      </c>
      <c r="BG109" s="1317">
        <f t="shared" si="77"/>
        <v>1516.3522883994231</v>
      </c>
      <c r="BI109" s="1294">
        <f t="shared" si="78"/>
        <v>145.66715330069187</v>
      </c>
      <c r="BJ109" s="1295">
        <f t="shared" si="79"/>
        <v>1490.2699778508113</v>
      </c>
      <c r="BK109" s="1327">
        <f t="shared" si="80"/>
        <v>10.500041303988484</v>
      </c>
      <c r="BL109" s="1295">
        <f t="shared" si="49"/>
        <v>1646.4371724554915</v>
      </c>
      <c r="BM109" s="167">
        <v>0</v>
      </c>
      <c r="BN109" s="1317">
        <f t="shared" si="81"/>
        <v>1646.4371724554915</v>
      </c>
    </row>
    <row r="110" spans="1:66">
      <c r="A110" s="1156">
        <f>'Input data'!A140</f>
        <v>2042</v>
      </c>
      <c r="B110" s="1039">
        <f>'Input data'!B140</f>
        <v>72.265000000000001</v>
      </c>
      <c r="C110" s="1130">
        <f>'Recycling - Case 3'!AD120</f>
        <v>0.67206984488050125</v>
      </c>
      <c r="D110" s="1040">
        <f>'Recycling - Case 3'!AM120</f>
        <v>0.2834252604436</v>
      </c>
      <c r="E110" s="1041">
        <f>'Recycling - Case 3'!BE120</f>
        <v>0.17037510887119423</v>
      </c>
      <c r="F110" s="1041">
        <f>'Recycling - Case 3'!BF120</f>
        <v>0.2759496177051679</v>
      </c>
      <c r="G110" s="1041">
        <f>'Recycling - Case 3'!BG120</f>
        <v>5.8958039761752561E-2</v>
      </c>
      <c r="H110" s="1041">
        <f>'Recycling - Case 3'!BH120</f>
        <v>0</v>
      </c>
      <c r="I110" s="1041">
        <f>'Recycling - Case 3'!BI120</f>
        <v>0</v>
      </c>
      <c r="J110" s="1041">
        <f>'Recycling - Case 3'!BJ120</f>
        <v>0</v>
      </c>
      <c r="K110" s="1041">
        <f>'Recycling - Case 3'!BK120</f>
        <v>0.49471723366188552</v>
      </c>
      <c r="L110" s="1042">
        <f t="shared" si="83"/>
        <v>1.0000000000000002</v>
      </c>
      <c r="M110" s="4"/>
      <c r="N110" s="1053">
        <f t="shared" si="50"/>
        <v>13.765150715419017</v>
      </c>
      <c r="O110" s="1048">
        <f>Parameters!R283</f>
        <v>1</v>
      </c>
      <c r="P110" s="1049">
        <f>E110*'MSW characteristics'!$B$28+'MSW characteristics'!$B$29*'4A SWD Case 3'!F110+'4A SWD Case 3'!G110*'MSW characteristics'!$B$30+'MSW characteristics'!$B$31*'4A SWD Case 3'!H110+'4A SWD Case 3'!I110*'MSW characteristics'!$B$32+'MSW characteristics'!$B$33*'4A SWD Case 3'!J110+'4A SWD Case 3'!K110*'MSW characteristics'!$B$35</f>
        <v>0.10432940577641374</v>
      </c>
      <c r="Q110" s="1047">
        <f t="shared" si="51"/>
        <v>0.71805499728122124</v>
      </c>
      <c r="R110" s="1047">
        <f t="shared" si="52"/>
        <v>0.71805499728122124</v>
      </c>
      <c r="S110" s="1050">
        <f t="shared" si="53"/>
        <v>0</v>
      </c>
      <c r="T110" s="1047">
        <f t="shared" si="54"/>
        <v>4055.2271667490522</v>
      </c>
      <c r="U110" s="1047">
        <f t="shared" si="55"/>
        <v>207.87912742609262</v>
      </c>
      <c r="V110" s="1054">
        <f t="shared" si="56"/>
        <v>138.58608495072841</v>
      </c>
      <c r="W110" s="4"/>
      <c r="X110" s="1067">
        <f>'Recycling - Case 3'!W160*'Recycling - Case 3'!AE160*'Recycling - Case 3'!C160</f>
        <v>24460.690678519964</v>
      </c>
      <c r="Y110" s="1068">
        <f>Parameters!S282</f>
        <v>0.71500000000000008</v>
      </c>
      <c r="Z110" s="1068">
        <f t="shared" si="57"/>
        <v>0.15</v>
      </c>
      <c r="AA110" s="1069">
        <f t="shared" si="58"/>
        <v>1311.7045376356332</v>
      </c>
      <c r="AB110" s="1069">
        <f t="shared" si="59"/>
        <v>1311.7045376356332</v>
      </c>
      <c r="AC110" s="1070">
        <f t="shared" si="60"/>
        <v>0</v>
      </c>
      <c r="AD110" s="1069">
        <f t="shared" si="61"/>
        <v>40374.20516777732</v>
      </c>
      <c r="AE110" s="1069">
        <f t="shared" si="62"/>
        <v>2002.7772344964937</v>
      </c>
      <c r="AF110" s="1071">
        <f t="shared" si="63"/>
        <v>1335.1848229976624</v>
      </c>
      <c r="AG110" s="4"/>
      <c r="AH110" s="1067">
        <f>'Recycling - Case 3'!C200*'Recycling - Case 3'!W200*'Recycling - Case 3'!AE200</f>
        <v>35055.218652097174</v>
      </c>
      <c r="AI110" s="1068">
        <f>Parameters!S282</f>
        <v>0.71500000000000008</v>
      </c>
      <c r="AJ110" s="1068">
        <f t="shared" si="64"/>
        <v>0.15</v>
      </c>
      <c r="AK110" s="1069">
        <f t="shared" si="65"/>
        <v>1879.8361002187112</v>
      </c>
      <c r="AL110" s="1069">
        <f t="shared" si="66"/>
        <v>1879.8361002187112</v>
      </c>
      <c r="AM110" s="1070">
        <f t="shared" si="67"/>
        <v>0</v>
      </c>
      <c r="AN110" s="1069">
        <f t="shared" si="68"/>
        <v>45132.159718043622</v>
      </c>
      <c r="AO110" s="1069">
        <f t="shared" si="69"/>
        <v>2217.5940526964819</v>
      </c>
      <c r="AP110" s="1071">
        <f t="shared" si="70"/>
        <v>1478.3960351309879</v>
      </c>
      <c r="AQ110" s="4"/>
      <c r="AR110" s="1065">
        <f>'Recycling - Case 3'!G120</f>
        <v>818.37316230554939</v>
      </c>
      <c r="AS110" s="1061">
        <v>1</v>
      </c>
      <c r="AT110" s="1061">
        <f t="shared" si="71"/>
        <v>0.05</v>
      </c>
      <c r="AU110" s="1047">
        <f t="shared" si="72"/>
        <v>20.459329057638737</v>
      </c>
      <c r="AV110" s="1047">
        <f t="shared" si="73"/>
        <v>20.459329057638737</v>
      </c>
      <c r="AW110" s="1050">
        <f t="shared" si="74"/>
        <v>0</v>
      </c>
      <c r="AX110" s="1047">
        <f t="shared" si="42"/>
        <v>279.48018092396791</v>
      </c>
      <c r="AY110" s="1047">
        <f t="shared" si="47"/>
        <v>16.01695496265096</v>
      </c>
      <c r="AZ110" s="1159">
        <f t="shared" si="45"/>
        <v>10.677969975100639</v>
      </c>
      <c r="BA110" s="4"/>
      <c r="BB110" s="1294">
        <f t="shared" si="75"/>
        <v>138.58608495072841</v>
      </c>
      <c r="BC110" s="1295">
        <f t="shared" si="76"/>
        <v>1335.1848229976624</v>
      </c>
      <c r="BD110" s="1327">
        <f t="shared" si="84"/>
        <v>10.677969975100639</v>
      </c>
      <c r="BE110" s="1295">
        <f t="shared" si="48"/>
        <v>1484.4488779234916</v>
      </c>
      <c r="BF110" s="167">
        <v>0</v>
      </c>
      <c r="BG110" s="1317">
        <f t="shared" si="77"/>
        <v>1484.4488779234916</v>
      </c>
      <c r="BI110" s="1294">
        <f t="shared" si="78"/>
        <v>138.58608495072841</v>
      </c>
      <c r="BJ110" s="1295">
        <f t="shared" si="79"/>
        <v>1478.3960351309879</v>
      </c>
      <c r="BK110" s="1327">
        <f t="shared" si="80"/>
        <v>10.677969975100639</v>
      </c>
      <c r="BL110" s="1295">
        <f t="shared" si="49"/>
        <v>1627.6600900568171</v>
      </c>
      <c r="BM110" s="167">
        <v>0</v>
      </c>
      <c r="BN110" s="1317">
        <f t="shared" si="81"/>
        <v>1627.6600900568171</v>
      </c>
    </row>
    <row r="111" spans="1:66">
      <c r="A111" s="1156">
        <f>'Input data'!A141</f>
        <v>2043</v>
      </c>
      <c r="B111" s="1039">
        <f>'Input data'!B141</f>
        <v>72.713999999999999</v>
      </c>
      <c r="C111" s="1130">
        <f>'Recycling - Case 3'!AD121</f>
        <v>0.67206984488050125</v>
      </c>
      <c r="D111" s="1040">
        <f>'Recycling - Case 3'!AM121</f>
        <v>0.2834252604436</v>
      </c>
      <c r="E111" s="1041">
        <f>'Recycling - Case 3'!BE121</f>
        <v>0.17037510887119423</v>
      </c>
      <c r="F111" s="1041">
        <f>'Recycling - Case 3'!BF121</f>
        <v>0.2759496177051679</v>
      </c>
      <c r="G111" s="1041">
        <f>'Recycling - Case 3'!BG121</f>
        <v>5.8958039761752561E-2</v>
      </c>
      <c r="H111" s="1041">
        <f>'Recycling - Case 3'!BH121</f>
        <v>0</v>
      </c>
      <c r="I111" s="1041">
        <f>'Recycling - Case 3'!BI121</f>
        <v>0</v>
      </c>
      <c r="J111" s="1041">
        <f>'Recycling - Case 3'!BJ121</f>
        <v>0</v>
      </c>
      <c r="K111" s="1041">
        <f>'Recycling - Case 3'!BK121</f>
        <v>0.49471723366188552</v>
      </c>
      <c r="L111" s="1042">
        <f t="shared" si="83"/>
        <v>1.0000000000000002</v>
      </c>
      <c r="M111" s="4"/>
      <c r="N111" s="1053">
        <f t="shared" si="50"/>
        <v>13.850676940717889</v>
      </c>
      <c r="O111" s="1048">
        <f>Parameters!R284</f>
        <v>1</v>
      </c>
      <c r="P111" s="1049">
        <f>E111*'MSW characteristics'!$B$28+'MSW characteristics'!$B$29*'4A SWD Case 3'!F111+'4A SWD Case 3'!G111*'MSW characteristics'!$B$30+'MSW characteristics'!$B$31*'4A SWD Case 3'!H111+'4A SWD Case 3'!I111*'MSW characteristics'!$B$32+'MSW characteristics'!$B$33*'4A SWD Case 3'!J111+'4A SWD Case 3'!K111*'MSW characteristics'!$B$35</f>
        <v>0.10432940577641374</v>
      </c>
      <c r="Q111" s="1047">
        <f t="shared" si="51"/>
        <v>0.72251644741308674</v>
      </c>
      <c r="R111" s="1047">
        <f t="shared" si="52"/>
        <v>0.72251644741308674</v>
      </c>
      <c r="S111" s="1050">
        <f t="shared" si="53"/>
        <v>0</v>
      </c>
      <c r="T111" s="1047">
        <f t="shared" si="54"/>
        <v>3858.1739204937749</v>
      </c>
      <c r="U111" s="1047">
        <f t="shared" si="55"/>
        <v>197.77576270269026</v>
      </c>
      <c r="V111" s="1054">
        <f t="shared" si="56"/>
        <v>131.85050846846016</v>
      </c>
      <c r="W111" s="4"/>
      <c r="X111" s="1067">
        <f>'Recycling - Case 3'!W161*'Recycling - Case 3'!AE161*'Recycling - Case 3'!C161</f>
        <v>25241.880678428199</v>
      </c>
      <c r="Y111" s="1068">
        <f>Parameters!S283</f>
        <v>0.71500000000000008</v>
      </c>
      <c r="Z111" s="1068">
        <f t="shared" si="57"/>
        <v>0.15</v>
      </c>
      <c r="AA111" s="1069">
        <f t="shared" si="58"/>
        <v>1353.5958513807122</v>
      </c>
      <c r="AB111" s="1069">
        <f t="shared" si="59"/>
        <v>1353.5958513807122</v>
      </c>
      <c r="AC111" s="1070">
        <f t="shared" si="60"/>
        <v>0</v>
      </c>
      <c r="AD111" s="1069">
        <f t="shared" si="61"/>
        <v>39758.727797799285</v>
      </c>
      <c r="AE111" s="1069">
        <f t="shared" si="62"/>
        <v>1969.0732213587462</v>
      </c>
      <c r="AF111" s="1071">
        <f t="shared" si="63"/>
        <v>1312.7154809058309</v>
      </c>
      <c r="AG111" s="4"/>
      <c r="AH111" s="1067">
        <f>'Recycling - Case 3'!C201*'Recycling - Case 3'!W201*'Recycling - Case 3'!AE201</f>
        <v>35241.68042569777</v>
      </c>
      <c r="AI111" s="1068">
        <f>Parameters!S283</f>
        <v>0.71500000000000008</v>
      </c>
      <c r="AJ111" s="1068">
        <f t="shared" si="64"/>
        <v>0.15</v>
      </c>
      <c r="AK111" s="1069">
        <f t="shared" si="65"/>
        <v>1889.8351128280433</v>
      </c>
      <c r="AL111" s="1069">
        <f t="shared" si="66"/>
        <v>1889.8351128280433</v>
      </c>
      <c r="AM111" s="1070">
        <f t="shared" si="67"/>
        <v>0</v>
      </c>
      <c r="AN111" s="1069">
        <f t="shared" si="68"/>
        <v>44820.873427896986</v>
      </c>
      <c r="AO111" s="1069">
        <f t="shared" si="69"/>
        <v>2201.1214029746802</v>
      </c>
      <c r="AP111" s="1071">
        <f t="shared" si="70"/>
        <v>1467.4142686497869</v>
      </c>
      <c r="AQ111" s="4"/>
      <c r="AR111" s="1065">
        <f>'Recycling - Case 3'!G121</f>
        <v>823.45791356653592</v>
      </c>
      <c r="AS111" s="1061">
        <v>1</v>
      </c>
      <c r="AT111" s="1061">
        <f t="shared" si="71"/>
        <v>0.05</v>
      </c>
      <c r="AU111" s="1047">
        <f t="shared" si="72"/>
        <v>20.586447839163398</v>
      </c>
      <c r="AV111" s="1047">
        <f t="shared" si="73"/>
        <v>20.586447839163398</v>
      </c>
      <c r="AW111" s="1050">
        <f t="shared" si="74"/>
        <v>0</v>
      </c>
      <c r="AX111" s="1047">
        <f t="shared" si="42"/>
        <v>283.79097007306547</v>
      </c>
      <c r="AY111" s="1047">
        <f t="shared" si="47"/>
        <v>16.275658690065825</v>
      </c>
      <c r="AZ111" s="1159">
        <f t="shared" si="45"/>
        <v>10.850439126710549</v>
      </c>
      <c r="BA111" s="4"/>
      <c r="BB111" s="1294">
        <f t="shared" si="75"/>
        <v>131.85050846846016</v>
      </c>
      <c r="BC111" s="1295">
        <f t="shared" si="76"/>
        <v>1312.7154809058309</v>
      </c>
      <c r="BD111" s="1327">
        <f t="shared" si="84"/>
        <v>10.850439126710549</v>
      </c>
      <c r="BE111" s="1295">
        <f t="shared" si="48"/>
        <v>1455.4164285010017</v>
      </c>
      <c r="BF111" s="167">
        <v>0</v>
      </c>
      <c r="BG111" s="1317">
        <f t="shared" si="77"/>
        <v>1455.4164285010017</v>
      </c>
      <c r="BI111" s="1294">
        <f t="shared" si="78"/>
        <v>131.85050846846016</v>
      </c>
      <c r="BJ111" s="1295">
        <f t="shared" si="79"/>
        <v>1467.4142686497869</v>
      </c>
      <c r="BK111" s="1327">
        <f t="shared" si="80"/>
        <v>10.850439126710549</v>
      </c>
      <c r="BL111" s="1295">
        <f t="shared" si="49"/>
        <v>1610.1152162449578</v>
      </c>
      <c r="BM111" s="167">
        <v>0</v>
      </c>
      <c r="BN111" s="1317">
        <f t="shared" si="81"/>
        <v>1610.1152162449578</v>
      </c>
    </row>
    <row r="112" spans="1:66">
      <c r="A112" s="1156">
        <f>'Input data'!A142</f>
        <v>2044</v>
      </c>
      <c r="B112" s="1039">
        <f>'Input data'!B142</f>
        <v>73.165000000000006</v>
      </c>
      <c r="C112" s="1130">
        <f>'Recycling - Case 3'!AD122</f>
        <v>0.67206984488050125</v>
      </c>
      <c r="D112" s="1040">
        <f>'Recycling - Case 3'!AM122</f>
        <v>0.2834252604436</v>
      </c>
      <c r="E112" s="1041">
        <f>'Recycling - Case 3'!BE122</f>
        <v>0.17037510887119423</v>
      </c>
      <c r="F112" s="1041">
        <f>'Recycling - Case 3'!BF122</f>
        <v>0.2759496177051679</v>
      </c>
      <c r="G112" s="1041">
        <f>'Recycling - Case 3'!BG122</f>
        <v>5.8958039761752561E-2</v>
      </c>
      <c r="H112" s="1041">
        <f>'Recycling - Case 3'!BH122</f>
        <v>0</v>
      </c>
      <c r="I112" s="1041">
        <f>'Recycling - Case 3'!BI122</f>
        <v>0</v>
      </c>
      <c r="J112" s="1041">
        <f>'Recycling - Case 3'!BJ122</f>
        <v>0</v>
      </c>
      <c r="K112" s="1041">
        <f>'Recycling - Case 3'!BK122</f>
        <v>0.49471723366188552</v>
      </c>
      <c r="L112" s="1042">
        <f t="shared" si="83"/>
        <v>1.0000000000000002</v>
      </c>
      <c r="M112" s="4"/>
      <c r="N112" s="1053">
        <f t="shared" si="50"/>
        <v>13.936584129158408</v>
      </c>
      <c r="O112" s="1048">
        <f>Parameters!R285</f>
        <v>1</v>
      </c>
      <c r="P112" s="1049">
        <f>E112*'MSW characteristics'!$B$28+'MSW characteristics'!$B$29*'4A SWD Case 3'!F112+'4A SWD Case 3'!G112*'MSW characteristics'!$B$30+'MSW characteristics'!$B$31*'4A SWD Case 3'!H112+'4A SWD Case 3'!I112*'MSW characteristics'!$B$32+'MSW characteristics'!$B$33*'4A SWD Case 3'!J112+'4A SWD Case 3'!K112*'MSW characteristics'!$B$35</f>
        <v>0.10432940577641374</v>
      </c>
      <c r="Q112" s="1047">
        <f t="shared" si="51"/>
        <v>0.72699777037404767</v>
      </c>
      <c r="R112" s="1047">
        <f t="shared" si="52"/>
        <v>0.72699777037404767</v>
      </c>
      <c r="S112" s="1050">
        <f t="shared" si="53"/>
        <v>0</v>
      </c>
      <c r="T112" s="1047">
        <f t="shared" si="54"/>
        <v>3670.7355557853311</v>
      </c>
      <c r="U112" s="1047">
        <f t="shared" si="55"/>
        <v>188.16536247881785</v>
      </c>
      <c r="V112" s="1054">
        <f t="shared" si="56"/>
        <v>125.44357498587857</v>
      </c>
      <c r="W112" s="4"/>
      <c r="X112" s="1067">
        <f>'Recycling - Case 3'!W162*'Recycling - Case 3'!AE162*'Recycling - Case 3'!C162</f>
        <v>26056.168353509111</v>
      </c>
      <c r="Y112" s="1068">
        <f>Parameters!S284</f>
        <v>0.71500000000000008</v>
      </c>
      <c r="Z112" s="1068">
        <f t="shared" si="57"/>
        <v>0.15</v>
      </c>
      <c r="AA112" s="1069">
        <f t="shared" si="58"/>
        <v>1397.2620279569262</v>
      </c>
      <c r="AB112" s="1069">
        <f t="shared" si="59"/>
        <v>1397.2620279569262</v>
      </c>
      <c r="AC112" s="1070">
        <f t="shared" si="60"/>
        <v>0</v>
      </c>
      <c r="AD112" s="1069">
        <f t="shared" si="61"/>
        <v>39216.933789938077</v>
      </c>
      <c r="AE112" s="1069">
        <f t="shared" si="62"/>
        <v>1939.0560358181303</v>
      </c>
      <c r="AF112" s="1071">
        <f t="shared" si="63"/>
        <v>1292.7040238787536</v>
      </c>
      <c r="AG112" s="4"/>
      <c r="AH112" s="1067">
        <f>'Recycling - Case 3'!C202*'Recycling - Case 3'!W202*'Recycling - Case 3'!AE202</f>
        <v>35436.042263579126</v>
      </c>
      <c r="AI112" s="1068">
        <f>Parameters!S284</f>
        <v>0.71500000000000008</v>
      </c>
      <c r="AJ112" s="1068">
        <f t="shared" si="64"/>
        <v>0.15</v>
      </c>
      <c r="AK112" s="1069">
        <f t="shared" si="65"/>
        <v>1900.2577663844306</v>
      </c>
      <c r="AL112" s="1069">
        <f t="shared" si="66"/>
        <v>1900.2577663844306</v>
      </c>
      <c r="AM112" s="1070">
        <f t="shared" si="67"/>
        <v>0</v>
      </c>
      <c r="AN112" s="1069">
        <f t="shared" si="68"/>
        <v>44535.191402822224</v>
      </c>
      <c r="AO112" s="1069">
        <f t="shared" si="69"/>
        <v>2185.9397914591909</v>
      </c>
      <c r="AP112" s="1071">
        <f t="shared" si="70"/>
        <v>1457.2931943061274</v>
      </c>
      <c r="AQ112" s="4"/>
      <c r="AR112" s="1065">
        <f>'Recycling - Case 3'!G122</f>
        <v>828.56531405362932</v>
      </c>
      <c r="AS112" s="1061">
        <v>1</v>
      </c>
      <c r="AT112" s="1061">
        <f t="shared" si="71"/>
        <v>0.05</v>
      </c>
      <c r="AU112" s="1047">
        <f t="shared" si="72"/>
        <v>20.714132851340736</v>
      </c>
      <c r="AV112" s="1047">
        <f t="shared" si="73"/>
        <v>20.714132851340736</v>
      </c>
      <c r="AW112" s="1050">
        <f t="shared" si="74"/>
        <v>0</v>
      </c>
      <c r="AX112" s="1047">
        <f t="shared" ref="AX112:AX118" si="85">AV112+(AX111*$E$8)</f>
        <v>287.97840341762276</v>
      </c>
      <c r="AY112" s="1047">
        <f t="shared" si="47"/>
        <v>16.52669950678348</v>
      </c>
      <c r="AZ112" s="1159">
        <f t="shared" si="45"/>
        <v>11.017799671188987</v>
      </c>
      <c r="BA112" s="4"/>
      <c r="BB112" s="1294">
        <f t="shared" si="75"/>
        <v>125.44357498587857</v>
      </c>
      <c r="BC112" s="1295">
        <f t="shared" si="76"/>
        <v>1292.7040238787536</v>
      </c>
      <c r="BD112" s="1327">
        <f t="shared" si="84"/>
        <v>11.017799671188987</v>
      </c>
      <c r="BE112" s="1295">
        <f t="shared" si="48"/>
        <v>1429.1653985358212</v>
      </c>
      <c r="BF112" s="167">
        <v>0</v>
      </c>
      <c r="BG112" s="1317">
        <f t="shared" si="77"/>
        <v>1429.1653985358212</v>
      </c>
      <c r="BI112" s="1294">
        <f t="shared" si="78"/>
        <v>125.44357498587857</v>
      </c>
      <c r="BJ112" s="1295">
        <f t="shared" si="79"/>
        <v>1457.2931943061274</v>
      </c>
      <c r="BK112" s="1327">
        <f t="shared" si="80"/>
        <v>11.017799671188987</v>
      </c>
      <c r="BL112" s="1295">
        <f t="shared" si="49"/>
        <v>1593.754568963195</v>
      </c>
      <c r="BM112" s="167">
        <v>0</v>
      </c>
      <c r="BN112" s="1317">
        <f t="shared" si="81"/>
        <v>1593.754568963195</v>
      </c>
    </row>
    <row r="113" spans="1:66">
      <c r="A113" s="1156">
        <f>'Input data'!A143</f>
        <v>2045</v>
      </c>
      <c r="B113" s="1039">
        <f>'Input data'!B143</f>
        <v>73.62</v>
      </c>
      <c r="C113" s="1130">
        <f>'Recycling - Case 3'!AD123</f>
        <v>0.67206984488050125</v>
      </c>
      <c r="D113" s="1040">
        <f>'Recycling - Case 3'!AM123</f>
        <v>0.2834252604436</v>
      </c>
      <c r="E113" s="1041">
        <f>'Recycling - Case 3'!BE123</f>
        <v>0.17037510887119423</v>
      </c>
      <c r="F113" s="1041">
        <f>'Recycling - Case 3'!BF123</f>
        <v>0.2759496177051679</v>
      </c>
      <c r="G113" s="1041">
        <f>'Recycling - Case 3'!BG123</f>
        <v>5.8958039761752561E-2</v>
      </c>
      <c r="H113" s="1041">
        <f>'Recycling - Case 3'!BH123</f>
        <v>0</v>
      </c>
      <c r="I113" s="1041">
        <f>'Recycling - Case 3'!BI123</f>
        <v>0</v>
      </c>
      <c r="J113" s="1041">
        <f>'Recycling - Case 3'!BJ123</f>
        <v>0</v>
      </c>
      <c r="K113" s="1041">
        <f>'Recycling - Case 3'!BK123</f>
        <v>0.49471723366188552</v>
      </c>
      <c r="L113" s="1042">
        <f t="shared" si="83"/>
        <v>1.0000000000000002</v>
      </c>
      <c r="M113" s="4"/>
      <c r="N113" s="1053">
        <f t="shared" si="50"/>
        <v>14.023253243882213</v>
      </c>
      <c r="O113" s="1048">
        <f>Parameters!R286</f>
        <v>1</v>
      </c>
      <c r="P113" s="1049">
        <f>E113*'MSW characteristics'!$B$28+'MSW characteristics'!$B$29*'4A SWD Case 3'!F113+'4A SWD Case 3'!G113*'MSW characteristics'!$B$30+'MSW characteristics'!$B$31*'4A SWD Case 3'!H113+'4A SWD Case 3'!I113*'MSW characteristics'!$B$32+'MSW characteristics'!$B$33*'4A SWD Case 3'!J113+'4A SWD Case 3'!K113*'MSW characteristics'!$B$35</f>
        <v>0.10432940577641374</v>
      </c>
      <c r="Q113" s="1047">
        <f t="shared" si="51"/>
        <v>0.73151883899319881</v>
      </c>
      <c r="R113" s="1047">
        <f t="shared" si="52"/>
        <v>0.73151883899319881</v>
      </c>
      <c r="S113" s="1050">
        <f t="shared" si="53"/>
        <v>0</v>
      </c>
      <c r="T113" s="1047">
        <f t="shared" si="54"/>
        <v>3492.4431890629821</v>
      </c>
      <c r="U113" s="1047">
        <f t="shared" si="55"/>
        <v>179.02388556134198</v>
      </c>
      <c r="V113" s="1054">
        <f t="shared" si="56"/>
        <v>119.34925704089466</v>
      </c>
      <c r="W113" s="4"/>
      <c r="X113" s="1067">
        <f>'Recycling - Case 3'!W163*'Recycling - Case 3'!AE163*'Recycling - Case 3'!C163</f>
        <v>26920.998347372155</v>
      </c>
      <c r="Y113" s="1068">
        <f>Parameters!S285</f>
        <v>0.71500000000000008</v>
      </c>
      <c r="Z113" s="1068">
        <f t="shared" si="57"/>
        <v>0.15</v>
      </c>
      <c r="AA113" s="1069">
        <f t="shared" si="58"/>
        <v>1443.638536377832</v>
      </c>
      <c r="AB113" s="1069">
        <f t="shared" si="59"/>
        <v>1443.638536377832</v>
      </c>
      <c r="AC113" s="1070">
        <f t="shared" si="60"/>
        <v>0</v>
      </c>
      <c r="AD113" s="1069">
        <f t="shared" si="61"/>
        <v>38747.939896063232</v>
      </c>
      <c r="AE113" s="1069">
        <f t="shared" si="62"/>
        <v>1912.6324302526746</v>
      </c>
      <c r="AF113" s="1071">
        <f t="shared" si="63"/>
        <v>1275.0882868351164</v>
      </c>
      <c r="AG113" s="4"/>
      <c r="AH113" s="1067">
        <f>'Recycling - Case 3'!C203*'Recycling - Case 3'!W203*'Recycling - Case 3'!AE203</f>
        <v>35642.46801728518</v>
      </c>
      <c r="AI113" s="1068">
        <f>Parameters!S285</f>
        <v>0.71500000000000008</v>
      </c>
      <c r="AJ113" s="1068">
        <f t="shared" si="64"/>
        <v>0.15</v>
      </c>
      <c r="AK113" s="1069">
        <f t="shared" si="65"/>
        <v>1911.3273474269179</v>
      </c>
      <c r="AL113" s="1069">
        <f t="shared" si="66"/>
        <v>1911.3273474269179</v>
      </c>
      <c r="AM113" s="1070">
        <f t="shared" si="67"/>
        <v>0</v>
      </c>
      <c r="AN113" s="1069">
        <f t="shared" si="68"/>
        <v>44274.511835562647</v>
      </c>
      <c r="AO113" s="1069">
        <f t="shared" si="69"/>
        <v>2172.0069146864935</v>
      </c>
      <c r="AP113" s="1071">
        <f t="shared" si="70"/>
        <v>1448.0046097909956</v>
      </c>
      <c r="AQ113" s="4"/>
      <c r="AR113" s="1065">
        <f>'Recycling - Case 3'!G123</f>
        <v>833.71801299293634</v>
      </c>
      <c r="AS113" s="1061">
        <v>1</v>
      </c>
      <c r="AT113" s="1061">
        <f t="shared" si="71"/>
        <v>0.05</v>
      </c>
      <c r="AU113" s="1047">
        <f t="shared" si="72"/>
        <v>20.842950324823409</v>
      </c>
      <c r="AV113" s="1047">
        <f t="shared" si="73"/>
        <v>20.842950324823409</v>
      </c>
      <c r="AW113" s="1050">
        <f t="shared" si="74"/>
        <v>0</v>
      </c>
      <c r="AX113" s="1047">
        <f t="shared" si="85"/>
        <v>292.0507971017575</v>
      </c>
      <c r="AY113" s="1047">
        <f t="shared" si="47"/>
        <v>16.770556640688643</v>
      </c>
      <c r="AZ113" s="1159">
        <f t="shared" si="45"/>
        <v>11.180371093792429</v>
      </c>
      <c r="BA113" s="4"/>
      <c r="BB113" s="1294">
        <f t="shared" si="75"/>
        <v>119.34925704089466</v>
      </c>
      <c r="BC113" s="1295">
        <f t="shared" si="76"/>
        <v>1275.0882868351164</v>
      </c>
      <c r="BD113" s="1327">
        <f t="shared" si="84"/>
        <v>11.180371093792429</v>
      </c>
      <c r="BE113" s="1295">
        <f t="shared" si="48"/>
        <v>1405.6179149698035</v>
      </c>
      <c r="BF113" s="167">
        <v>0</v>
      </c>
      <c r="BG113" s="1317">
        <f t="shared" si="77"/>
        <v>1405.6179149698035</v>
      </c>
      <c r="BI113" s="1294">
        <f t="shared" si="78"/>
        <v>119.34925704089466</v>
      </c>
      <c r="BJ113" s="1295">
        <f t="shared" si="79"/>
        <v>1448.0046097909956</v>
      </c>
      <c r="BK113" s="1327">
        <f t="shared" si="80"/>
        <v>11.180371093792429</v>
      </c>
      <c r="BL113" s="1295">
        <f t="shared" si="49"/>
        <v>1578.5342379256826</v>
      </c>
      <c r="BM113" s="167">
        <v>0</v>
      </c>
      <c r="BN113" s="1317">
        <f t="shared" si="81"/>
        <v>1578.5342379256826</v>
      </c>
    </row>
    <row r="114" spans="1:66">
      <c r="A114" s="1156">
        <f>'Input data'!A144</f>
        <v>2046</v>
      </c>
      <c r="B114" s="1039">
        <f>'Input data'!B144</f>
        <v>73.995000000000005</v>
      </c>
      <c r="C114" s="1130">
        <f>'Recycling - Case 3'!AD124</f>
        <v>0.67206984488050125</v>
      </c>
      <c r="D114" s="1040">
        <f>'Recycling - Case 3'!AM124</f>
        <v>0.2834252604436</v>
      </c>
      <c r="E114" s="1041">
        <f>'Recycling - Case 3'!BE124</f>
        <v>0.17037510887119423</v>
      </c>
      <c r="F114" s="1041">
        <f>'Recycling - Case 3'!BF124</f>
        <v>0.2759496177051679</v>
      </c>
      <c r="G114" s="1041">
        <f>'Recycling - Case 3'!BG124</f>
        <v>5.8958039761752561E-2</v>
      </c>
      <c r="H114" s="1041">
        <f>'Recycling - Case 3'!BH124</f>
        <v>0</v>
      </c>
      <c r="I114" s="1041">
        <f>'Recycling - Case 3'!BI124</f>
        <v>0</v>
      </c>
      <c r="J114" s="1041">
        <f>'Recycling - Case 3'!BJ124</f>
        <v>0</v>
      </c>
      <c r="K114" s="1041">
        <f>'Recycling - Case 3'!BK124</f>
        <v>0.49471723366188552</v>
      </c>
      <c r="L114" s="1042">
        <f t="shared" si="83"/>
        <v>1.0000000000000002</v>
      </c>
      <c r="M114" s="4"/>
      <c r="N114" s="1053">
        <f t="shared" si="50"/>
        <v>14.094683832940293</v>
      </c>
      <c r="O114" s="1048">
        <f>Parameters!R287</f>
        <v>1</v>
      </c>
      <c r="P114" s="1049">
        <f>E114*'MSW characteristics'!$B$28+'MSW characteristics'!$B$29*'4A SWD Case 3'!F114+'4A SWD Case 3'!G114*'MSW characteristics'!$B$30+'MSW characteristics'!$B$31*'4A SWD Case 3'!H114+'4A SWD Case 3'!I114*'MSW characteristics'!$B$32+'MSW characteristics'!$B$33*'4A SWD Case 3'!J114+'4A SWD Case 3'!K114*'MSW characteristics'!$B$35</f>
        <v>0.10432940577641374</v>
      </c>
      <c r="Q114" s="1047">
        <f t="shared" si="51"/>
        <v>0.73524499444854319</v>
      </c>
      <c r="R114" s="1047">
        <f t="shared" si="52"/>
        <v>0.73524499444854319</v>
      </c>
      <c r="S114" s="1050">
        <f t="shared" si="53"/>
        <v>0</v>
      </c>
      <c r="T114" s="1047">
        <f>R114+(T113*$C$8)</f>
        <v>3322.8499698282676</v>
      </c>
      <c r="U114" s="1047">
        <f t="shared" si="55"/>
        <v>170.32846422916327</v>
      </c>
      <c r="V114" s="1054">
        <f t="shared" si="56"/>
        <v>113.55230948610885</v>
      </c>
      <c r="W114" s="4"/>
      <c r="X114" s="1067">
        <f>'Recycling - Case 3'!W164*'Recycling - Case 3'!AE164*'Recycling - Case 3'!C164</f>
        <v>27828.591291921235</v>
      </c>
      <c r="Y114" s="1068">
        <f>Parameters!S286</f>
        <v>0.71500000000000008</v>
      </c>
      <c r="Z114" s="1068">
        <f t="shared" si="57"/>
        <v>0.15</v>
      </c>
      <c r="AA114" s="1069">
        <f t="shared" si="58"/>
        <v>1492.3082080292763</v>
      </c>
      <c r="AB114" s="1069">
        <f t="shared" si="59"/>
        <v>1492.3082080292763</v>
      </c>
      <c r="AC114" s="1070">
        <f t="shared" si="60"/>
        <v>0</v>
      </c>
      <c r="AD114" s="1069">
        <f t="shared" si="61"/>
        <v>38350.488775949758</v>
      </c>
      <c r="AE114" s="1069">
        <f t="shared" si="62"/>
        <v>1889.7593281427473</v>
      </c>
      <c r="AF114" s="1071">
        <f t="shared" si="63"/>
        <v>1259.8395520951649</v>
      </c>
      <c r="AG114" s="4"/>
      <c r="AH114" s="1067">
        <f>'Recycling - Case 3'!C204*'Recycling - Case 3'!W204*'Recycling - Case 3'!AE204</f>
        <v>35859.10083410042</v>
      </c>
      <c r="AI114" s="1068">
        <f>Parameters!S286</f>
        <v>0.71500000000000008</v>
      </c>
      <c r="AJ114" s="1068">
        <f t="shared" si="64"/>
        <v>0.15</v>
      </c>
      <c r="AK114" s="1069">
        <f t="shared" si="65"/>
        <v>1922.9442822286353</v>
      </c>
      <c r="AL114" s="1069">
        <f t="shared" si="66"/>
        <v>1922.9442822286353</v>
      </c>
      <c r="AM114" s="1070">
        <f t="shared" si="67"/>
        <v>0</v>
      </c>
      <c r="AN114" s="1069">
        <f t="shared" si="68"/>
        <v>44038.162695620944</v>
      </c>
      <c r="AO114" s="1069">
        <f t="shared" si="69"/>
        <v>2159.293422170339</v>
      </c>
      <c r="AP114" s="1071">
        <f t="shared" si="70"/>
        <v>1439.5289481135594</v>
      </c>
      <c r="AQ114" s="4"/>
      <c r="AR114" s="1065">
        <f>'Recycling - Case 3'!G124</f>
        <v>837.96474288796969</v>
      </c>
      <c r="AS114" s="1061">
        <v>1</v>
      </c>
      <c r="AT114" s="1061">
        <f t="shared" si="71"/>
        <v>0.05</v>
      </c>
      <c r="AU114" s="1047">
        <f t="shared" si="72"/>
        <v>20.949118572199243</v>
      </c>
      <c r="AV114" s="1047">
        <f t="shared" si="73"/>
        <v>20.949118572199243</v>
      </c>
      <c r="AW114" s="1050">
        <f t="shared" si="74"/>
        <v>0</v>
      </c>
      <c r="AX114" s="1047">
        <f t="shared" si="85"/>
        <v>295.99220128764398</v>
      </c>
      <c r="AY114" s="1047">
        <f t="shared" si="47"/>
        <v>17.007714386312792</v>
      </c>
      <c r="AZ114" s="1159">
        <f t="shared" si="45"/>
        <v>11.338476257541862</v>
      </c>
      <c r="BA114" s="4"/>
      <c r="BB114" s="1294">
        <f t="shared" si="75"/>
        <v>113.55230948610885</v>
      </c>
      <c r="BC114" s="1295">
        <f t="shared" si="76"/>
        <v>1259.8395520951649</v>
      </c>
      <c r="BD114" s="1327">
        <f t="shared" si="84"/>
        <v>11.338476257541862</v>
      </c>
      <c r="BE114" s="1295">
        <f t="shared" si="48"/>
        <v>1384.7303378388158</v>
      </c>
      <c r="BF114" s="167">
        <v>0</v>
      </c>
      <c r="BG114" s="1317">
        <f t="shared" si="77"/>
        <v>1384.7303378388158</v>
      </c>
      <c r="BI114" s="1294">
        <f t="shared" si="78"/>
        <v>113.55230948610885</v>
      </c>
      <c r="BJ114" s="1295">
        <f t="shared" si="79"/>
        <v>1439.5289481135594</v>
      </c>
      <c r="BK114" s="1327">
        <f t="shared" si="80"/>
        <v>11.338476257541862</v>
      </c>
      <c r="BL114" s="1295">
        <f t="shared" si="49"/>
        <v>1564.4197338572103</v>
      </c>
      <c r="BM114" s="167">
        <v>0</v>
      </c>
      <c r="BN114" s="1317">
        <f t="shared" si="81"/>
        <v>1564.4197338572103</v>
      </c>
    </row>
    <row r="115" spans="1:66">
      <c r="A115" s="1156">
        <f>'Input data'!A145</f>
        <v>2047</v>
      </c>
      <c r="B115" s="1039">
        <f>'Input data'!B145</f>
        <v>74.373000000000005</v>
      </c>
      <c r="C115" s="1130">
        <f>'Recycling - Case 3'!AD125</f>
        <v>0.67206984488050125</v>
      </c>
      <c r="D115" s="1040">
        <f>'Recycling - Case 3'!AM125</f>
        <v>0.2834252604436</v>
      </c>
      <c r="E115" s="1041">
        <f>'Recycling - Case 3'!BE125</f>
        <v>0.17037510887119423</v>
      </c>
      <c r="F115" s="1041">
        <f>'Recycling - Case 3'!BF125</f>
        <v>0.2759496177051679</v>
      </c>
      <c r="G115" s="1041">
        <f>'Recycling - Case 3'!BG125</f>
        <v>5.8958039761752561E-2</v>
      </c>
      <c r="H115" s="1041">
        <f>'Recycling - Case 3'!BH125</f>
        <v>0</v>
      </c>
      <c r="I115" s="1041">
        <f>'Recycling - Case 3'!BI125</f>
        <v>0</v>
      </c>
      <c r="J115" s="1041">
        <f>'Recycling - Case 3'!BJ125</f>
        <v>0</v>
      </c>
      <c r="K115" s="1041">
        <f>'Recycling - Case 3'!BK125</f>
        <v>0.49471723366188552</v>
      </c>
      <c r="L115" s="1042">
        <f t="shared" si="83"/>
        <v>1.0000000000000002</v>
      </c>
      <c r="M115" s="4"/>
      <c r="N115" s="1053">
        <f t="shared" si="50"/>
        <v>14.166685866710836</v>
      </c>
      <c r="O115" s="1048">
        <f>Parameters!R288</f>
        <v>1</v>
      </c>
      <c r="P115" s="1049">
        <f>E115*'MSW characteristics'!$B$28+'MSW characteristics'!$B$29*'4A SWD Case 3'!F115+'4A SWD Case 3'!G115*'MSW characteristics'!$B$30+'MSW characteristics'!$B$31*'4A SWD Case 3'!H115+'4A SWD Case 3'!I115*'MSW characteristics'!$B$32+'MSW characteristics'!$B$33*'4A SWD Case 3'!J115+'4A SWD Case 3'!K115*'MSW characteristics'!$B$35</f>
        <v>0.10432940577641374</v>
      </c>
      <c r="Q115" s="1047">
        <f t="shared" si="51"/>
        <v>0.73900095914753017</v>
      </c>
      <c r="R115" s="1047">
        <f t="shared" si="52"/>
        <v>0.73900095914753017</v>
      </c>
      <c r="S115" s="1050">
        <f t="shared" si="53"/>
        <v>0</v>
      </c>
      <c r="T115" s="1047">
        <f t="shared" ref="T115:T118" si="86">R115+(T114*$C$8)</f>
        <v>3161.5316654611056</v>
      </c>
      <c r="U115" s="1047">
        <f t="shared" si="55"/>
        <v>162.05730532630969</v>
      </c>
      <c r="V115" s="1054">
        <f t="shared" si="56"/>
        <v>108.03820355087312</v>
      </c>
      <c r="W115" s="4"/>
      <c r="X115" s="1067">
        <f>'Recycling - Case 3'!W165*'Recycling - Case 3'!AE165*'Recycling - Case 3'!C165</f>
        <v>28779.512959381518</v>
      </c>
      <c r="Y115" s="1068">
        <f>Parameters!S287</f>
        <v>0.71500000000000008</v>
      </c>
      <c r="Z115" s="1068">
        <f t="shared" si="57"/>
        <v>0.15</v>
      </c>
      <c r="AA115" s="1069">
        <f t="shared" si="58"/>
        <v>1543.3013824468342</v>
      </c>
      <c r="AB115" s="1069">
        <f t="shared" si="59"/>
        <v>1543.3013824468342</v>
      </c>
      <c r="AC115" s="1070">
        <f t="shared" si="60"/>
        <v>0</v>
      </c>
      <c r="AD115" s="1069">
        <f t="shared" si="61"/>
        <v>38023.414750114614</v>
      </c>
      <c r="AE115" s="1069">
        <f t="shared" si="62"/>
        <v>1870.3754082819773</v>
      </c>
      <c r="AF115" s="1071">
        <f t="shared" si="63"/>
        <v>1246.9169388546516</v>
      </c>
      <c r="AG115" s="4"/>
      <c r="AH115" s="1067">
        <f>'Recycling - Case 3'!C205*'Recycling - Case 3'!W205*'Recycling - Case 3'!AE205</f>
        <v>36086.075757858671</v>
      </c>
      <c r="AI115" s="1068">
        <f>Parameters!S287</f>
        <v>0.71500000000000008</v>
      </c>
      <c r="AJ115" s="1068">
        <f t="shared" si="64"/>
        <v>0.15</v>
      </c>
      <c r="AK115" s="1069">
        <f t="shared" si="65"/>
        <v>1935.1158125151715</v>
      </c>
      <c r="AL115" s="1069">
        <f t="shared" si="66"/>
        <v>1935.1158125151715</v>
      </c>
      <c r="AM115" s="1070">
        <f t="shared" si="67"/>
        <v>0</v>
      </c>
      <c r="AN115" s="1069">
        <f t="shared" si="68"/>
        <v>43825.511969539497</v>
      </c>
      <c r="AO115" s="1069">
        <f t="shared" si="69"/>
        <v>2147.7665385966206</v>
      </c>
      <c r="AP115" s="1071">
        <f t="shared" si="70"/>
        <v>1431.8443590644138</v>
      </c>
      <c r="AQ115" s="4"/>
      <c r="AR115" s="1065">
        <f>'Recycling - Case 3'!G125</f>
        <v>842.24544662216317</v>
      </c>
      <c r="AS115" s="1061">
        <v>1</v>
      </c>
      <c r="AT115" s="1061">
        <f t="shared" si="71"/>
        <v>0.05</v>
      </c>
      <c r="AU115" s="1047">
        <f t="shared" si="72"/>
        <v>21.056136165554079</v>
      </c>
      <c r="AV115" s="1047">
        <f t="shared" si="73"/>
        <v>21.056136165554079</v>
      </c>
      <c r="AW115" s="1050">
        <f t="shared" si="74"/>
        <v>0</v>
      </c>
      <c r="AX115" s="1047">
        <f t="shared" si="85"/>
        <v>299.81109355578712</v>
      </c>
      <c r="AY115" s="1047">
        <f t="shared" si="47"/>
        <v>17.237243897410885</v>
      </c>
      <c r="AZ115" s="1159">
        <f t="shared" si="45"/>
        <v>11.491495931607256</v>
      </c>
      <c r="BA115" s="4"/>
      <c r="BB115" s="1294">
        <f t="shared" si="75"/>
        <v>108.03820355087312</v>
      </c>
      <c r="BC115" s="1295">
        <f t="shared" si="76"/>
        <v>1246.9169388546516</v>
      </c>
      <c r="BD115" s="1327">
        <f t="shared" si="84"/>
        <v>11.491495931607256</v>
      </c>
      <c r="BE115" s="1295">
        <f t="shared" si="48"/>
        <v>1366.4466383371318</v>
      </c>
      <c r="BF115" s="167">
        <v>0</v>
      </c>
      <c r="BG115" s="1317">
        <f t="shared" si="77"/>
        <v>1366.4466383371318</v>
      </c>
      <c r="BI115" s="1294">
        <f t="shared" si="78"/>
        <v>108.03820355087312</v>
      </c>
      <c r="BJ115" s="1295">
        <f t="shared" si="79"/>
        <v>1431.8443590644138</v>
      </c>
      <c r="BK115" s="1327">
        <f t="shared" si="80"/>
        <v>11.491495931607256</v>
      </c>
      <c r="BL115" s="1295">
        <f t="shared" si="49"/>
        <v>1551.374058546894</v>
      </c>
      <c r="BM115" s="167">
        <v>0</v>
      </c>
      <c r="BN115" s="1317">
        <f t="shared" si="81"/>
        <v>1551.374058546894</v>
      </c>
    </row>
    <row r="116" spans="1:66">
      <c r="A116" s="1156">
        <f>'Input data'!A146</f>
        <v>2048</v>
      </c>
      <c r="B116" s="1039">
        <f>'Input data'!B146</f>
        <v>74.753</v>
      </c>
      <c r="C116" s="1130">
        <f>'Recycling - Case 3'!AD126</f>
        <v>0.67206984488050125</v>
      </c>
      <c r="D116" s="1040">
        <f>'Recycling - Case 3'!AM126</f>
        <v>0.2834252604436</v>
      </c>
      <c r="E116" s="1041">
        <f>'Recycling - Case 3'!BE126</f>
        <v>0.17037510887119423</v>
      </c>
      <c r="F116" s="1041">
        <f>'Recycling - Case 3'!BF126</f>
        <v>0.2759496177051679</v>
      </c>
      <c r="G116" s="1041">
        <f>'Recycling - Case 3'!BG126</f>
        <v>5.8958039761752561E-2</v>
      </c>
      <c r="H116" s="1041">
        <f>'Recycling - Case 3'!BH126</f>
        <v>0</v>
      </c>
      <c r="I116" s="1041">
        <f>'Recycling - Case 3'!BI126</f>
        <v>0</v>
      </c>
      <c r="J116" s="1041">
        <f>'Recycling - Case 3'!BJ126</f>
        <v>0</v>
      </c>
      <c r="K116" s="1041">
        <f>'Recycling - Case 3'!BK126</f>
        <v>0.49471723366188552</v>
      </c>
      <c r="L116" s="1042">
        <f t="shared" si="83"/>
        <v>1.0000000000000002</v>
      </c>
      <c r="M116" s="4"/>
      <c r="N116" s="1053">
        <f t="shared" si="50"/>
        <v>14.239068863623022</v>
      </c>
      <c r="O116" s="1048">
        <f>Parameters!R289</f>
        <v>1</v>
      </c>
      <c r="P116" s="1049">
        <f>E116*'MSW characteristics'!$B$28+'MSW characteristics'!$B$29*'4A SWD Case 3'!F116+'4A SWD Case 3'!G116*'MSW characteristics'!$B$30+'MSW characteristics'!$B$31*'4A SWD Case 3'!H116+'4A SWD Case 3'!I116*'MSW characteristics'!$B$32+'MSW characteristics'!$B$33*'4A SWD Case 3'!J116+'4A SWD Case 3'!K116*'MSW characteristics'!$B$35</f>
        <v>0.10432940577641374</v>
      </c>
      <c r="Q116" s="1047">
        <f t="shared" si="51"/>
        <v>0.74277679667561236</v>
      </c>
      <c r="R116" s="1047">
        <f t="shared" si="52"/>
        <v>0.74277679667561236</v>
      </c>
      <c r="S116" s="1050">
        <f t="shared" si="53"/>
        <v>0</v>
      </c>
      <c r="T116" s="1047">
        <f t="shared" si="86"/>
        <v>3008.0847234740268</v>
      </c>
      <c r="U116" s="1047">
        <f t="shared" si="55"/>
        <v>154.18971878375422</v>
      </c>
      <c r="V116" s="1054">
        <f t="shared" si="56"/>
        <v>102.79314585583614</v>
      </c>
      <c r="W116" s="4"/>
      <c r="X116" s="1067">
        <f>'Recycling - Case 3'!W166*'Recycling - Case 3'!AE166*'Recycling - Case 3'!C166</f>
        <v>29741.372889861817</v>
      </c>
      <c r="Y116" s="1068">
        <f>Parameters!S288</f>
        <v>0.71500000000000008</v>
      </c>
      <c r="Z116" s="1068">
        <f t="shared" si="57"/>
        <v>0.15</v>
      </c>
      <c r="AA116" s="1069">
        <f t="shared" si="58"/>
        <v>1594.88112121884</v>
      </c>
      <c r="AB116" s="1069">
        <f t="shared" si="59"/>
        <v>1594.88112121884</v>
      </c>
      <c r="AC116" s="1070">
        <f t="shared" si="60"/>
        <v>0</v>
      </c>
      <c r="AD116" s="1069">
        <f t="shared" si="61"/>
        <v>37763.872051522325</v>
      </c>
      <c r="AE116" s="1069">
        <f t="shared" si="62"/>
        <v>1854.4238198111291</v>
      </c>
      <c r="AF116" s="1071">
        <f t="shared" si="63"/>
        <v>1236.2825465407527</v>
      </c>
      <c r="AG116" s="4"/>
      <c r="AH116" s="1067">
        <f>'Recycling - Case 3'!C206*'Recycling - Case 3'!W206*'Recycling - Case 3'!AE206</f>
        <v>36315.661529071534</v>
      </c>
      <c r="AI116" s="1068">
        <f>Parameters!S288</f>
        <v>0.71500000000000008</v>
      </c>
      <c r="AJ116" s="1068">
        <f t="shared" si="64"/>
        <v>0.15</v>
      </c>
      <c r="AK116" s="1069">
        <f t="shared" si="65"/>
        <v>1947.4273494964611</v>
      </c>
      <c r="AL116" s="1069">
        <f t="shared" si="66"/>
        <v>1947.4273494964611</v>
      </c>
      <c r="AM116" s="1070">
        <f t="shared" si="67"/>
        <v>0</v>
      </c>
      <c r="AN116" s="1069">
        <f t="shared" si="68"/>
        <v>43635.54387873067</v>
      </c>
      <c r="AO116" s="1069">
        <f t="shared" si="69"/>
        <v>2137.3954403052876</v>
      </c>
      <c r="AP116" s="1071">
        <f t="shared" si="70"/>
        <v>1424.9302935368585</v>
      </c>
      <c r="AQ116" s="4"/>
      <c r="AR116" s="1065">
        <f>'Recycling - Case 3'!G126</f>
        <v>846.54879958246352</v>
      </c>
      <c r="AS116" s="1061">
        <v>1</v>
      </c>
      <c r="AT116" s="1061">
        <f t="shared" si="71"/>
        <v>0.05</v>
      </c>
      <c r="AU116" s="1047">
        <f t="shared" si="72"/>
        <v>21.163719989561589</v>
      </c>
      <c r="AV116" s="1047">
        <f t="shared" si="73"/>
        <v>21.163719989561589</v>
      </c>
      <c r="AW116" s="1050">
        <f t="shared" si="74"/>
        <v>0</v>
      </c>
      <c r="AX116" s="1047">
        <f t="shared" si="85"/>
        <v>303.51517467551099</v>
      </c>
      <c r="AY116" s="1047">
        <f t="shared" si="47"/>
        <v>17.459638869837708</v>
      </c>
      <c r="AZ116" s="1159">
        <f t="shared" si="45"/>
        <v>11.639759246558471</v>
      </c>
      <c r="BA116" s="4"/>
      <c r="BB116" s="1294">
        <f t="shared" si="75"/>
        <v>102.79314585583614</v>
      </c>
      <c r="BC116" s="1295">
        <f t="shared" si="76"/>
        <v>1236.2825465407527</v>
      </c>
      <c r="BD116" s="1327">
        <f t="shared" si="84"/>
        <v>11.639759246558471</v>
      </c>
      <c r="BE116" s="1295">
        <f t="shared" si="48"/>
        <v>1350.7154516431474</v>
      </c>
      <c r="BF116" s="167">
        <v>0</v>
      </c>
      <c r="BG116" s="1317">
        <f t="shared" si="77"/>
        <v>1350.7154516431474</v>
      </c>
      <c r="BI116" s="1294">
        <f t="shared" si="78"/>
        <v>102.79314585583614</v>
      </c>
      <c r="BJ116" s="1295">
        <f t="shared" si="79"/>
        <v>1424.9302935368585</v>
      </c>
      <c r="BK116" s="1327">
        <f t="shared" si="80"/>
        <v>11.639759246558471</v>
      </c>
      <c r="BL116" s="1295">
        <f t="shared" si="49"/>
        <v>1539.3631986392531</v>
      </c>
      <c r="BM116" s="167">
        <v>0</v>
      </c>
      <c r="BN116" s="1317">
        <f t="shared" si="81"/>
        <v>1539.3631986392531</v>
      </c>
    </row>
    <row r="117" spans="1:66">
      <c r="A117" s="1156">
        <f>'Input data'!A147</f>
        <v>2049</v>
      </c>
      <c r="B117" s="1039">
        <f>'Input data'!B147</f>
        <v>75.134</v>
      </c>
      <c r="C117" s="1130">
        <f>'Recycling - Case 3'!AD127</f>
        <v>0.67206984488050125</v>
      </c>
      <c r="D117" s="1040">
        <f>'Recycling - Case 3'!AM127</f>
        <v>0.2834252604436</v>
      </c>
      <c r="E117" s="1041">
        <f>'Recycling - Case 3'!BE127</f>
        <v>0.17037510887119423</v>
      </c>
      <c r="F117" s="1041">
        <f>'Recycling - Case 3'!BF127</f>
        <v>0.2759496177051679</v>
      </c>
      <c r="G117" s="1041">
        <f>'Recycling - Case 3'!BG127</f>
        <v>5.8958039761752561E-2</v>
      </c>
      <c r="H117" s="1041">
        <f>'Recycling - Case 3'!BH127</f>
        <v>0</v>
      </c>
      <c r="I117" s="1041">
        <f>'Recycling - Case 3'!BI127</f>
        <v>0</v>
      </c>
      <c r="J117" s="1041">
        <f>'Recycling - Case 3'!BJ127</f>
        <v>0</v>
      </c>
      <c r="K117" s="1041">
        <f>'Recycling - Case 3'!BK127</f>
        <v>0.49471723366188552</v>
      </c>
      <c r="L117" s="1042">
        <f t="shared" si="83"/>
        <v>1.0000000000000002</v>
      </c>
      <c r="M117" s="4"/>
      <c r="N117" s="1053">
        <f t="shared" si="50"/>
        <v>14.311642342106031</v>
      </c>
      <c r="O117" s="1048">
        <f>Parameters!R290</f>
        <v>1</v>
      </c>
      <c r="P117" s="1049">
        <f>E117*'MSW characteristics'!$B$28+'MSW characteristics'!$B$29*'4A SWD Case 3'!F117+'4A SWD Case 3'!G117*'MSW characteristics'!$B$30+'MSW characteristics'!$B$31*'4A SWD Case 3'!H117+'4A SWD Case 3'!I117*'MSW characteristics'!$B$32+'MSW characteristics'!$B$33*'4A SWD Case 3'!J117+'4A SWD Case 3'!K117*'MSW characteristics'!$B$35</f>
        <v>0.10432940577641374</v>
      </c>
      <c r="Q117" s="1047">
        <f t="shared" si="51"/>
        <v>0.74656257061824227</v>
      </c>
      <c r="R117" s="1047">
        <f t="shared" si="52"/>
        <v>0.74656257061824227</v>
      </c>
      <c r="S117" s="1050">
        <f t="shared" si="53"/>
        <v>0</v>
      </c>
      <c r="T117" s="1047">
        <f t="shared" si="86"/>
        <v>2862.1252629302062</v>
      </c>
      <c r="U117" s="1047">
        <f t="shared" si="55"/>
        <v>146.70602311443884</v>
      </c>
      <c r="V117" s="1054">
        <f t="shared" si="56"/>
        <v>97.80401540962589</v>
      </c>
      <c r="W117" s="4"/>
      <c r="X117" s="1067">
        <f>'Recycling - Case 3'!W167*'Recycling - Case 3'!AE167*'Recycling - Case 3'!C167</f>
        <v>30750.663391885832</v>
      </c>
      <c r="Y117" s="1068">
        <f>Parameters!S289</f>
        <v>0.71500000000000008</v>
      </c>
      <c r="Z117" s="1068">
        <f t="shared" si="57"/>
        <v>0.15</v>
      </c>
      <c r="AA117" s="1069">
        <f t="shared" si="58"/>
        <v>1649.0043243898776</v>
      </c>
      <c r="AB117" s="1069">
        <f t="shared" si="59"/>
        <v>1649.0043243898776</v>
      </c>
      <c r="AC117" s="1070">
        <f t="shared" si="60"/>
        <v>0</v>
      </c>
      <c r="AD117" s="1069">
        <f t="shared" si="61"/>
        <v>37571.110602878056</v>
      </c>
      <c r="AE117" s="1069">
        <f t="shared" si="62"/>
        <v>1841.7657730341455</v>
      </c>
      <c r="AF117" s="1071">
        <f t="shared" si="63"/>
        <v>1227.8438486894304</v>
      </c>
      <c r="AG117" s="4"/>
      <c r="AH117" s="1067">
        <f>'Recycling - Case 3'!C207*'Recycling - Case 3'!W207*'Recycling - Case 3'!AE207</f>
        <v>36556.568475022897</v>
      </c>
      <c r="AI117" s="1068">
        <f>Parameters!S289</f>
        <v>0.71500000000000008</v>
      </c>
      <c r="AJ117" s="1068">
        <f t="shared" si="64"/>
        <v>0.15</v>
      </c>
      <c r="AK117" s="1069">
        <f t="shared" si="65"/>
        <v>1960.3459844731033</v>
      </c>
      <c r="AL117" s="1069">
        <f t="shared" si="66"/>
        <v>1960.3459844731033</v>
      </c>
      <c r="AM117" s="1070">
        <f t="shared" si="67"/>
        <v>0</v>
      </c>
      <c r="AN117" s="1069">
        <f t="shared" si="68"/>
        <v>43467.759276013734</v>
      </c>
      <c r="AO117" s="1069">
        <f t="shared" si="69"/>
        <v>2128.1305871900404</v>
      </c>
      <c r="AP117" s="1071">
        <f t="shared" si="70"/>
        <v>1418.7537247933603</v>
      </c>
      <c r="AQ117" s="4"/>
      <c r="AR117" s="1065">
        <f>'Recycling - Case 3'!G127</f>
        <v>850.86347715581735</v>
      </c>
      <c r="AS117" s="1061">
        <v>1</v>
      </c>
      <c r="AT117" s="1061">
        <f t="shared" si="71"/>
        <v>0.05</v>
      </c>
      <c r="AU117" s="1047">
        <f t="shared" si="72"/>
        <v>21.271586928895434</v>
      </c>
      <c r="AV117" s="1047">
        <f t="shared" si="73"/>
        <v>21.271586928895434</v>
      </c>
      <c r="AW117" s="1050">
        <f t="shared" si="74"/>
        <v>0</v>
      </c>
      <c r="AX117" s="1047">
        <f t="shared" si="85"/>
        <v>307.11141384291983</v>
      </c>
      <c r="AY117" s="1047">
        <f t="shared" si="47"/>
        <v>17.675347761486602</v>
      </c>
      <c r="AZ117" s="1159">
        <f t="shared" si="45"/>
        <v>11.783565174324401</v>
      </c>
      <c r="BA117" s="4"/>
      <c r="BB117" s="1294">
        <f t="shared" si="75"/>
        <v>97.80401540962589</v>
      </c>
      <c r="BC117" s="1295">
        <f t="shared" si="76"/>
        <v>1227.8438486894304</v>
      </c>
      <c r="BD117" s="1327">
        <f t="shared" si="84"/>
        <v>11.783565174324401</v>
      </c>
      <c r="BE117" s="1295">
        <f t="shared" si="48"/>
        <v>1337.4314292733807</v>
      </c>
      <c r="BF117" s="167">
        <v>0</v>
      </c>
      <c r="BG117" s="1317">
        <f t="shared" si="77"/>
        <v>1337.4314292733807</v>
      </c>
      <c r="BI117" s="1294">
        <f t="shared" si="78"/>
        <v>97.80401540962589</v>
      </c>
      <c r="BJ117" s="1295">
        <f t="shared" si="79"/>
        <v>1418.7537247933603</v>
      </c>
      <c r="BK117" s="1327">
        <f t="shared" si="80"/>
        <v>11.783565174324401</v>
      </c>
      <c r="BL117" s="1295">
        <f t="shared" si="49"/>
        <v>1528.3413053773106</v>
      </c>
      <c r="BM117" s="167">
        <v>0</v>
      </c>
      <c r="BN117" s="1317">
        <f t="shared" si="81"/>
        <v>1528.3413053773106</v>
      </c>
    </row>
    <row r="118" spans="1:66" ht="15.75" thickBot="1">
      <c r="A118" s="1157">
        <f>'Input data'!A148</f>
        <v>2050</v>
      </c>
      <c r="B118" s="1043">
        <f>'Input data'!B148</f>
        <v>75.518000000000001</v>
      </c>
      <c r="C118" s="1131">
        <f>'Recycling - Case 3'!AD128</f>
        <v>0.67206984488050125</v>
      </c>
      <c r="D118" s="1044">
        <f>'Recycling - Case 3'!AM128</f>
        <v>0.2834252604436</v>
      </c>
      <c r="E118" s="1045">
        <f>'Recycling - Case 3'!BE128</f>
        <v>0.17037510887119423</v>
      </c>
      <c r="F118" s="1045">
        <f>'Recycling - Case 3'!BF128</f>
        <v>0.2759496177051679</v>
      </c>
      <c r="G118" s="1045">
        <f>'Recycling - Case 3'!BG128</f>
        <v>5.8958039761752561E-2</v>
      </c>
      <c r="H118" s="1045">
        <f>'Recycling - Case 3'!BH128</f>
        <v>0</v>
      </c>
      <c r="I118" s="1045">
        <f>'Recycling - Case 3'!BI128</f>
        <v>0</v>
      </c>
      <c r="J118" s="1045">
        <f>'Recycling - Case 3'!BJ128</f>
        <v>0</v>
      </c>
      <c r="K118" s="1045">
        <f>'Recycling - Case 3'!BK128</f>
        <v>0.49471723366188552</v>
      </c>
      <c r="L118" s="1046">
        <f t="shared" si="83"/>
        <v>1.0000000000000002</v>
      </c>
      <c r="M118" s="4"/>
      <c r="N118" s="1055">
        <f t="shared" si="50"/>
        <v>14.384787265301505</v>
      </c>
      <c r="O118" s="1056">
        <f>Parameters!R291</f>
        <v>1</v>
      </c>
      <c r="P118" s="1057">
        <f>E118*'MSW characteristics'!$B$28+'MSW characteristics'!$B$29*'4A SWD Case 3'!F118+'4A SWD Case 3'!G118*'MSW characteristics'!$B$30+'MSW characteristics'!$B$31*'4A SWD Case 3'!H118+'4A SWD Case 3'!I118*'MSW characteristics'!$B$32+'MSW characteristics'!$B$33*'4A SWD Case 3'!J118+'4A SWD Case 3'!K118*'MSW characteristics'!$B$35</f>
        <v>0.10432940577641374</v>
      </c>
      <c r="Q118" s="1058">
        <f t="shared" si="51"/>
        <v>0.75037815380451478</v>
      </c>
      <c r="R118" s="1058">
        <f t="shared" si="52"/>
        <v>0.75037815380451478</v>
      </c>
      <c r="S118" s="1059">
        <f t="shared" si="53"/>
        <v>0</v>
      </c>
      <c r="T118" s="1058">
        <f t="shared" si="86"/>
        <v>2723.2881448598591</v>
      </c>
      <c r="U118" s="1058">
        <f t="shared" si="55"/>
        <v>139.58749622415138</v>
      </c>
      <c r="V118" s="1060">
        <f t="shared" si="56"/>
        <v>93.05833081610092</v>
      </c>
      <c r="W118" s="4"/>
      <c r="X118" s="1072">
        <f>'Recycling - Case 3'!W168*'Recycling - Case 3'!AE168*'Recycling - Case 3'!C168</f>
        <v>31811.156280288058</v>
      </c>
      <c r="Y118" s="1073">
        <f>Parameters!S290</f>
        <v>0.71500000000000008</v>
      </c>
      <c r="Z118" s="1073">
        <f t="shared" si="57"/>
        <v>0.15</v>
      </c>
      <c r="AA118" s="1074">
        <f t="shared" si="58"/>
        <v>1705.8732555304473</v>
      </c>
      <c r="AB118" s="1074">
        <f t="shared" si="59"/>
        <v>1705.8732555304473</v>
      </c>
      <c r="AC118" s="1075">
        <f t="shared" si="60"/>
        <v>0</v>
      </c>
      <c r="AD118" s="1074">
        <f t="shared" si="61"/>
        <v>37444.619172158811</v>
      </c>
      <c r="AE118" s="1074">
        <f t="shared" si="62"/>
        <v>1832.3646862496885</v>
      </c>
      <c r="AF118" s="1076">
        <f t="shared" si="63"/>
        <v>1221.5764574997922</v>
      </c>
      <c r="AG118" s="4"/>
      <c r="AH118" s="1072">
        <f>'Recycling - Case 3'!C208*'Recycling - Case 3'!W208*'Recycling - Case 3'!AE208</f>
        <v>36809.69688793848</v>
      </c>
      <c r="AI118" s="1073">
        <f>Parameters!S290</f>
        <v>0.71500000000000008</v>
      </c>
      <c r="AJ118" s="1073">
        <f t="shared" si="64"/>
        <v>0.15</v>
      </c>
      <c r="AK118" s="1074">
        <f t="shared" si="65"/>
        <v>1973.9199956157013</v>
      </c>
      <c r="AL118" s="1074">
        <f t="shared" si="66"/>
        <v>1973.9199956157013</v>
      </c>
      <c r="AM118" s="1075">
        <f t="shared" si="67"/>
        <v>0</v>
      </c>
      <c r="AN118" s="1074">
        <f t="shared" si="68"/>
        <v>43321.731636073819</v>
      </c>
      <c r="AO118" s="1074">
        <f t="shared" si="69"/>
        <v>2119.9476355556167</v>
      </c>
      <c r="AP118" s="1076">
        <f t="shared" si="70"/>
        <v>1413.2984237037444</v>
      </c>
      <c r="AQ118" s="4"/>
      <c r="AR118" s="1066">
        <f>'Recycling - Case 3'!G128</f>
        <v>855.21212856833142</v>
      </c>
      <c r="AS118" s="1063">
        <f>Parameters!R221</f>
        <v>1</v>
      </c>
      <c r="AT118" s="1063">
        <f t="shared" si="71"/>
        <v>0.05</v>
      </c>
      <c r="AU118" s="1058">
        <f t="shared" si="72"/>
        <v>21.380303214208286</v>
      </c>
      <c r="AV118" s="1058">
        <f t="shared" si="73"/>
        <v>21.380303214208286</v>
      </c>
      <c r="AW118" s="1059">
        <f t="shared" si="74"/>
        <v>0</v>
      </c>
      <c r="AX118" s="1058">
        <f t="shared" si="85"/>
        <v>310.60694063038488</v>
      </c>
      <c r="AY118" s="1058">
        <f t="shared" si="47"/>
        <v>17.884776426743251</v>
      </c>
      <c r="AZ118" s="1160">
        <f t="shared" si="45"/>
        <v>11.9231842844955</v>
      </c>
      <c r="BA118" s="4"/>
      <c r="BB118" s="1296">
        <f t="shared" si="75"/>
        <v>93.05833081610092</v>
      </c>
      <c r="BC118" s="1297">
        <f t="shared" si="76"/>
        <v>1221.5764574997922</v>
      </c>
      <c r="BD118" s="1328">
        <f t="shared" si="84"/>
        <v>11.9231842844955</v>
      </c>
      <c r="BE118" s="1297">
        <f t="shared" si="48"/>
        <v>1326.5579726003887</v>
      </c>
      <c r="BF118" s="1298">
        <v>0</v>
      </c>
      <c r="BG118" s="1318">
        <f t="shared" si="77"/>
        <v>1326.5579726003887</v>
      </c>
      <c r="BI118" s="1296">
        <f t="shared" si="78"/>
        <v>93.05833081610092</v>
      </c>
      <c r="BJ118" s="1297">
        <f t="shared" si="79"/>
        <v>1413.2984237037444</v>
      </c>
      <c r="BK118" s="1328">
        <f t="shared" si="80"/>
        <v>11.9231842844955</v>
      </c>
      <c r="BL118" s="1297">
        <f t="shared" si="49"/>
        <v>1518.2799388043406</v>
      </c>
      <c r="BM118" s="1298">
        <v>0</v>
      </c>
      <c r="BN118" s="1318">
        <f t="shared" si="81"/>
        <v>1518.2799388043406</v>
      </c>
    </row>
    <row r="119" spans="1:66">
      <c r="A119" s="100"/>
      <c r="B119" s="4"/>
      <c r="C119" s="4"/>
      <c r="D119" s="4"/>
      <c r="E119" s="4"/>
      <c r="F119" s="4"/>
      <c r="G119" s="4"/>
      <c r="H119" s="4"/>
      <c r="I119" s="4"/>
      <c r="J119" s="4"/>
      <c r="K119" s="4"/>
    </row>
    <row r="120" spans="1:66">
      <c r="A120" s="100"/>
    </row>
    <row r="121" spans="1:66">
      <c r="A121" s="100"/>
    </row>
    <row r="122" spans="1:66">
      <c r="A122" s="100"/>
    </row>
    <row r="123" spans="1:66">
      <c r="A123" s="100"/>
    </row>
    <row r="124" spans="1:66">
      <c r="A124" s="100"/>
    </row>
    <row r="125" spans="1:66">
      <c r="A125" s="100"/>
    </row>
    <row r="126" spans="1:66">
      <c r="A126" s="100"/>
    </row>
    <row r="127" spans="1:66">
      <c r="A127" s="100"/>
    </row>
    <row r="128" spans="1:66">
      <c r="A128" s="100"/>
    </row>
    <row r="129" spans="1:1">
      <c r="A129" s="100"/>
    </row>
    <row r="130" spans="1:1">
      <c r="A130" s="100"/>
    </row>
    <row r="131" spans="1:1">
      <c r="A131" s="100"/>
    </row>
    <row r="132" spans="1:1">
      <c r="A132" s="100"/>
    </row>
    <row r="133" spans="1:1">
      <c r="A133" s="100"/>
    </row>
    <row r="134" spans="1:1">
      <c r="A134" s="100"/>
    </row>
    <row r="135" spans="1:1">
      <c r="A135" s="100"/>
    </row>
    <row r="136" spans="1:1">
      <c r="A136" s="100"/>
    </row>
    <row r="137" spans="1:1">
      <c r="A137" s="100"/>
    </row>
    <row r="138" spans="1:1">
      <c r="A138" s="100"/>
    </row>
    <row r="139" spans="1:1">
      <c r="A139" s="100"/>
    </row>
    <row r="140" spans="1:1">
      <c r="A140" s="100"/>
    </row>
    <row r="141" spans="1:1">
      <c r="A141" s="100"/>
    </row>
    <row r="142" spans="1:1">
      <c r="A142" s="100"/>
    </row>
    <row r="143" spans="1:1">
      <c r="A143" s="100"/>
    </row>
    <row r="144" spans="1:1">
      <c r="A144" s="100"/>
    </row>
    <row r="145" spans="1:1">
      <c r="A145" s="100"/>
    </row>
    <row r="146" spans="1:1">
      <c r="A146" s="100"/>
    </row>
    <row r="147" spans="1:1">
      <c r="A147" s="100"/>
    </row>
    <row r="148" spans="1:1">
      <c r="A148" s="100"/>
    </row>
    <row r="149" spans="1:1">
      <c r="A149" s="100"/>
    </row>
    <row r="150" spans="1:1">
      <c r="A150" s="100"/>
    </row>
    <row r="151" spans="1:1">
      <c r="A151" s="100"/>
    </row>
    <row r="152" spans="1:1">
      <c r="A152" s="100"/>
    </row>
    <row r="153" spans="1:1">
      <c r="A153" s="100"/>
    </row>
    <row r="154" spans="1:1">
      <c r="A154" s="100"/>
    </row>
    <row r="155" spans="1:1">
      <c r="A155" s="100"/>
    </row>
    <row r="156" spans="1:1">
      <c r="A156" s="100"/>
    </row>
    <row r="157" spans="1:1">
      <c r="A157" s="100"/>
    </row>
    <row r="158" spans="1:1">
      <c r="A158" s="100"/>
    </row>
    <row r="159" spans="1:1">
      <c r="A159" s="100"/>
    </row>
    <row r="160" spans="1:1">
      <c r="A160" s="100"/>
    </row>
    <row r="161" spans="1:1">
      <c r="A161" s="100"/>
    </row>
    <row r="162" spans="1:1">
      <c r="A162" s="100"/>
    </row>
    <row r="163" spans="1:1">
      <c r="A163" s="100"/>
    </row>
    <row r="164" spans="1:1">
      <c r="A164" s="100"/>
    </row>
    <row r="165" spans="1:1">
      <c r="A165" s="100"/>
    </row>
    <row r="166" spans="1:1">
      <c r="A166" s="100"/>
    </row>
    <row r="167" spans="1:1">
      <c r="A167" s="100"/>
    </row>
    <row r="168" spans="1:1">
      <c r="A168" s="100"/>
    </row>
    <row r="169" spans="1:1">
      <c r="A169" s="100"/>
    </row>
    <row r="170" spans="1:1">
      <c r="A170" s="100"/>
    </row>
    <row r="171" spans="1:1">
      <c r="A171" s="100"/>
    </row>
    <row r="172" spans="1:1">
      <c r="A172" s="100"/>
    </row>
    <row r="173" spans="1:1">
      <c r="A173" s="100"/>
    </row>
    <row r="174" spans="1:1">
      <c r="A174" s="100"/>
    </row>
    <row r="175" spans="1:1">
      <c r="A175" s="100"/>
    </row>
    <row r="176" spans="1:1">
      <c r="A176" s="100"/>
    </row>
    <row r="177" spans="1:1">
      <c r="A177" s="100"/>
    </row>
    <row r="178" spans="1:1">
      <c r="A178" s="100"/>
    </row>
    <row r="179" spans="1:1">
      <c r="A179" s="100"/>
    </row>
    <row r="180" spans="1:1">
      <c r="A180" s="100"/>
    </row>
    <row r="181" spans="1:1">
      <c r="A181" s="100"/>
    </row>
    <row r="182" spans="1:1">
      <c r="A182" s="100"/>
    </row>
    <row r="183" spans="1:1">
      <c r="A183" s="100"/>
    </row>
    <row r="184" spans="1:1">
      <c r="A184" s="100"/>
    </row>
    <row r="185" spans="1:1">
      <c r="A185" s="100"/>
    </row>
    <row r="186" spans="1:1">
      <c r="A186" s="100"/>
    </row>
    <row r="187" spans="1:1">
      <c r="A187" s="100"/>
    </row>
    <row r="188" spans="1:1">
      <c r="A188" s="100"/>
    </row>
    <row r="189" spans="1:1">
      <c r="A189" s="100"/>
    </row>
    <row r="190" spans="1:1">
      <c r="A190" s="100"/>
    </row>
    <row r="191" spans="1:1">
      <c r="A191" s="100"/>
    </row>
    <row r="192" spans="1:1">
      <c r="A192" s="100"/>
    </row>
    <row r="193" spans="1:1">
      <c r="A193" s="100"/>
    </row>
    <row r="194" spans="1:1">
      <c r="A194" s="100"/>
    </row>
    <row r="195" spans="1:1">
      <c r="A195" s="100"/>
    </row>
    <row r="196" spans="1:1">
      <c r="A196" s="100"/>
    </row>
    <row r="197" spans="1:1">
      <c r="A197" s="100"/>
    </row>
    <row r="198" spans="1:1">
      <c r="A198" s="100"/>
    </row>
    <row r="199" spans="1:1">
      <c r="A199" s="100"/>
    </row>
    <row r="200" spans="1:1">
      <c r="A200" s="100"/>
    </row>
    <row r="201" spans="1:1">
      <c r="A201" s="100"/>
    </row>
    <row r="202" spans="1:1">
      <c r="A202" s="100"/>
    </row>
    <row r="203" spans="1:1">
      <c r="A203" s="100"/>
    </row>
    <row r="204" spans="1:1">
      <c r="A204" s="100"/>
    </row>
    <row r="205" spans="1:1">
      <c r="A205" s="100"/>
    </row>
    <row r="206" spans="1:1">
      <c r="A206" s="100"/>
    </row>
  </sheetData>
  <mergeCells count="26">
    <mergeCell ref="F14:F15"/>
    <mergeCell ref="G14:G15"/>
    <mergeCell ref="H14:H15"/>
    <mergeCell ref="I14:I15"/>
    <mergeCell ref="BE14:BE15"/>
    <mergeCell ref="J14:J15"/>
    <mergeCell ref="K14:K15"/>
    <mergeCell ref="L14:L15"/>
    <mergeCell ref="BB14:BB15"/>
    <mergeCell ref="BC14:BC15"/>
    <mergeCell ref="BD14:BD15"/>
    <mergeCell ref="A14:A16"/>
    <mergeCell ref="B14:B15"/>
    <mergeCell ref="C14:C15"/>
    <mergeCell ref="D14:D15"/>
    <mergeCell ref="E14:E15"/>
    <mergeCell ref="BB13:BG13"/>
    <mergeCell ref="BF14:BF15"/>
    <mergeCell ref="BG14:BG15"/>
    <mergeCell ref="BI13:BN13"/>
    <mergeCell ref="BI14:BI15"/>
    <mergeCell ref="BJ14:BJ15"/>
    <mergeCell ref="BK14:BK15"/>
    <mergeCell ref="BL14:BL15"/>
    <mergeCell ref="BM14:BM15"/>
    <mergeCell ref="BN14:BN15"/>
  </mergeCells>
  <pageMargins left="0.7" right="0.7" top="0.75" bottom="0.75" header="0.3" footer="0.3"/>
  <ignoredErrors>
    <ignoredError sqref="B86:K118 B18:K67" unlockedFormula="1"/>
  </ignoredErrors>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FAC34-F39E-4F62-A13D-08BB1FB866BF}">
  <sheetPr codeName="Sheet11"/>
  <dimension ref="A1:W284"/>
  <sheetViews>
    <sheetView topLeftCell="C12" zoomScale="55" zoomScaleNormal="55" workbookViewId="0">
      <selection activeCell="A284" sqref="A284"/>
    </sheetView>
  </sheetViews>
  <sheetFormatPr defaultRowHeight="15"/>
  <cols>
    <col min="1" max="1" width="35.28515625" bestFit="1" customWidth="1"/>
    <col min="2" max="2" width="35.28515625" customWidth="1"/>
    <col min="3" max="3" width="17.7109375" customWidth="1"/>
    <col min="4" max="4" width="12.7109375" customWidth="1"/>
    <col min="5" max="5" width="18.42578125" bestFit="1" customWidth="1"/>
    <col min="6" max="7" width="25.28515625" customWidth="1"/>
    <col min="8" max="8" width="13.28515625" customWidth="1"/>
    <col min="9" max="9" width="18.42578125" bestFit="1" customWidth="1"/>
    <col min="10" max="10" width="15.7109375" customWidth="1"/>
    <col min="11" max="11" width="22.28515625" customWidth="1"/>
    <col min="12" max="12" width="19.5703125" customWidth="1"/>
    <col min="13" max="13" width="17.7109375" customWidth="1"/>
    <col min="14" max="14" width="17.85546875" customWidth="1"/>
    <col min="15" max="15" width="13.42578125" customWidth="1"/>
    <col min="16" max="16" width="11.7109375" customWidth="1"/>
    <col min="17" max="17" width="11.85546875" customWidth="1"/>
    <col min="18" max="18" width="15.85546875" customWidth="1"/>
    <col min="19" max="19" width="17" customWidth="1"/>
    <col min="20" max="20" width="17.5703125" customWidth="1"/>
    <col min="21" max="21" width="16.7109375" customWidth="1"/>
    <col min="22" max="22" width="17.7109375" customWidth="1"/>
    <col min="23" max="23" width="14.140625" customWidth="1"/>
  </cols>
  <sheetData>
    <row r="1" spans="1:23">
      <c r="A1" s="141" t="s">
        <v>174</v>
      </c>
      <c r="B1" s="308"/>
      <c r="C1" s="177"/>
      <c r="D1" s="115"/>
      <c r="E1" s="115"/>
      <c r="F1" s="116"/>
      <c r="G1" s="104"/>
    </row>
    <row r="2" spans="1:23">
      <c r="A2" s="100"/>
      <c r="B2" s="99"/>
      <c r="C2" s="99"/>
      <c r="D2" s="104"/>
      <c r="E2" s="104"/>
      <c r="F2" s="130"/>
      <c r="G2" s="104"/>
    </row>
    <row r="3" spans="1:23" ht="30">
      <c r="A3" s="157" t="s">
        <v>175</v>
      </c>
      <c r="B3" s="104"/>
      <c r="C3" s="205" t="s">
        <v>177</v>
      </c>
      <c r="D3" s="205" t="s">
        <v>178</v>
      </c>
      <c r="E3" s="1332"/>
      <c r="F3" s="1397" t="s">
        <v>185</v>
      </c>
      <c r="G3" s="104"/>
    </row>
    <row r="4" spans="1:23">
      <c r="A4" s="127" t="s">
        <v>176</v>
      </c>
      <c r="B4" s="104" t="s">
        <v>179</v>
      </c>
      <c r="C4" s="104">
        <v>10</v>
      </c>
      <c r="D4" s="104">
        <v>4</v>
      </c>
      <c r="E4" s="104"/>
      <c r="F4" s="1753" t="s">
        <v>184</v>
      </c>
      <c r="G4" s="104"/>
    </row>
    <row r="5" spans="1:23">
      <c r="A5" s="127" t="s">
        <v>180</v>
      </c>
      <c r="B5" s="104" t="s">
        <v>179</v>
      </c>
      <c r="C5" s="104">
        <v>2</v>
      </c>
      <c r="D5" s="104">
        <v>0.8</v>
      </c>
      <c r="E5" s="104"/>
      <c r="F5" s="1753"/>
      <c r="G5" s="104"/>
    </row>
    <row r="6" spans="1:23">
      <c r="A6" s="157" t="s">
        <v>181</v>
      </c>
      <c r="B6" s="104"/>
      <c r="C6" s="104"/>
      <c r="D6" s="104"/>
      <c r="E6" s="104"/>
      <c r="F6" s="1753"/>
      <c r="G6" s="104"/>
    </row>
    <row r="7" spans="1:23">
      <c r="A7" s="127" t="s">
        <v>176</v>
      </c>
      <c r="B7" s="104" t="s">
        <v>183</v>
      </c>
      <c r="C7" s="104">
        <v>0.6</v>
      </c>
      <c r="D7" s="104">
        <v>0.24</v>
      </c>
      <c r="E7" s="104"/>
      <c r="F7" s="1753"/>
      <c r="G7" s="104"/>
    </row>
    <row r="8" spans="1:23" ht="15.75" thickBot="1">
      <c r="A8" s="172" t="s">
        <v>180</v>
      </c>
      <c r="B8" s="163" t="s">
        <v>183</v>
      </c>
      <c r="C8" s="1396" t="s">
        <v>182</v>
      </c>
      <c r="D8" s="1396" t="s">
        <v>182</v>
      </c>
      <c r="E8" s="163"/>
      <c r="F8" s="1754"/>
      <c r="G8" s="104"/>
      <c r="K8" s="104"/>
      <c r="L8" s="104"/>
      <c r="M8" s="104"/>
      <c r="N8" s="104"/>
    </row>
    <row r="9" spans="1:23" ht="15.75" thickBot="1">
      <c r="A9" s="104"/>
      <c r="B9" s="104"/>
      <c r="C9" s="169"/>
      <c r="D9" s="169"/>
      <c r="E9" s="104"/>
      <c r="F9" s="577"/>
      <c r="K9" s="104"/>
      <c r="L9" s="104"/>
      <c r="M9" s="104"/>
      <c r="N9" s="104"/>
    </row>
    <row r="10" spans="1:23" ht="15.75" thickBot="1">
      <c r="A10" s="104"/>
      <c r="B10" s="1738" t="s">
        <v>587</v>
      </c>
      <c r="C10" s="1739"/>
      <c r="D10" s="1739"/>
      <c r="E10" s="1739"/>
      <c r="F10" s="1739"/>
      <c r="G10" s="1739"/>
      <c r="H10" s="1739"/>
      <c r="I10" s="1739"/>
      <c r="J10" s="1740"/>
      <c r="K10" s="1735" t="s">
        <v>586</v>
      </c>
      <c r="L10" s="1736"/>
      <c r="M10" s="1736"/>
      <c r="N10" s="1736"/>
      <c r="O10" s="1736"/>
      <c r="P10" s="1736"/>
      <c r="Q10" s="1736"/>
      <c r="R10" s="1736"/>
      <c r="S10" s="1737"/>
      <c r="T10" s="1741" t="s">
        <v>588</v>
      </c>
      <c r="U10" s="1742"/>
      <c r="V10" s="1742"/>
      <c r="W10" s="1743"/>
    </row>
    <row r="11" spans="1:23" ht="28.9" customHeight="1">
      <c r="A11" s="1751" t="s">
        <v>217</v>
      </c>
      <c r="B11" s="985" t="s">
        <v>711</v>
      </c>
      <c r="C11" s="1749" t="s">
        <v>571</v>
      </c>
      <c r="D11" s="1750"/>
      <c r="E11" s="1749" t="s">
        <v>289</v>
      </c>
      <c r="F11" s="1750"/>
      <c r="G11" s="1749" t="s">
        <v>290</v>
      </c>
      <c r="H11" s="1757"/>
      <c r="I11" s="1755" t="s">
        <v>287</v>
      </c>
      <c r="J11" s="1756"/>
      <c r="K11" s="594" t="s">
        <v>583</v>
      </c>
      <c r="L11" s="1744" t="s">
        <v>571</v>
      </c>
      <c r="M11" s="1745"/>
      <c r="N11" s="1744" t="s">
        <v>289</v>
      </c>
      <c r="O11" s="1745"/>
      <c r="P11" s="1744" t="s">
        <v>290</v>
      </c>
      <c r="Q11" s="1746"/>
      <c r="R11" s="1747" t="s">
        <v>287</v>
      </c>
      <c r="S11" s="1748"/>
      <c r="T11" s="1733" t="s">
        <v>585</v>
      </c>
      <c r="U11" s="1734"/>
      <c r="V11" s="1733" t="s">
        <v>584</v>
      </c>
      <c r="W11" s="1734"/>
    </row>
    <row r="12" spans="1:23" ht="29.45" customHeight="1" thickBot="1">
      <c r="A12" s="1752"/>
      <c r="B12" s="588" t="s">
        <v>228</v>
      </c>
      <c r="C12" s="589" t="s">
        <v>234</v>
      </c>
      <c r="D12" s="590" t="s">
        <v>176</v>
      </c>
      <c r="E12" s="589" t="s">
        <v>234</v>
      </c>
      <c r="F12" s="590" t="s">
        <v>176</v>
      </c>
      <c r="G12" s="589" t="s">
        <v>234</v>
      </c>
      <c r="H12" s="591" t="s">
        <v>176</v>
      </c>
      <c r="I12" s="592" t="s">
        <v>234</v>
      </c>
      <c r="J12" s="593" t="s">
        <v>176</v>
      </c>
      <c r="K12" s="595" t="s">
        <v>228</v>
      </c>
      <c r="L12" s="596" t="s">
        <v>234</v>
      </c>
      <c r="M12" s="597" t="s">
        <v>176</v>
      </c>
      <c r="N12" s="596" t="s">
        <v>234</v>
      </c>
      <c r="O12" s="597" t="s">
        <v>176</v>
      </c>
      <c r="P12" s="596" t="s">
        <v>234</v>
      </c>
      <c r="Q12" s="598" t="s">
        <v>176</v>
      </c>
      <c r="R12" s="599" t="s">
        <v>234</v>
      </c>
      <c r="S12" s="600" t="s">
        <v>176</v>
      </c>
      <c r="T12" s="586" t="s">
        <v>234</v>
      </c>
      <c r="U12" s="587" t="s">
        <v>176</v>
      </c>
      <c r="V12" s="586" t="s">
        <v>234</v>
      </c>
      <c r="W12" s="587" t="s">
        <v>176</v>
      </c>
    </row>
    <row r="13" spans="1:23" ht="14.45" hidden="1" customHeight="1">
      <c r="A13" s="123">
        <f>'Input data'!A48</f>
        <v>1950</v>
      </c>
      <c r="B13" s="309"/>
      <c r="C13">
        <v>0</v>
      </c>
      <c r="D13">
        <v>0</v>
      </c>
      <c r="E13">
        <v>0</v>
      </c>
      <c r="F13">
        <v>0</v>
      </c>
      <c r="G13" s="178">
        <f>C13*$D$5*'Input data'!K48/1000-E13</f>
        <v>0</v>
      </c>
      <c r="H13" s="178">
        <f>D13*$D$4*'Input data'!K48/1000-F13</f>
        <v>0</v>
      </c>
      <c r="I13" s="178">
        <v>0</v>
      </c>
      <c r="J13" s="178">
        <f>D13*$D$7*'Input data'!K48/1000</f>
        <v>0</v>
      </c>
      <c r="K13" s="309"/>
      <c r="L13">
        <v>0</v>
      </c>
      <c r="M13">
        <v>0</v>
      </c>
      <c r="N13">
        <v>0</v>
      </c>
      <c r="O13">
        <v>0</v>
      </c>
      <c r="P13" s="178">
        <f>L13*$D$5*'Input data'!T48/1000-N13</f>
        <v>0</v>
      </c>
      <c r="Q13" s="178">
        <f>M13*$D$4*'Input data'!T48/1000-O13</f>
        <v>0</v>
      </c>
      <c r="R13" s="178">
        <v>0</v>
      </c>
      <c r="S13" s="178">
        <f>M13*$D$7*'Input data'!T48/1000</f>
        <v>0</v>
      </c>
    </row>
    <row r="14" spans="1:23" ht="14.45" hidden="1" customHeight="1">
      <c r="A14" s="123">
        <f>'Input data'!A49</f>
        <v>1951</v>
      </c>
      <c r="B14" s="309"/>
      <c r="C14" t="e">
        <f>'Input data'!#REF!</f>
        <v>#REF!</v>
      </c>
      <c r="D14" t="e">
        <f>'Input data'!#REF!</f>
        <v>#REF!</v>
      </c>
      <c r="E14">
        <v>0</v>
      </c>
      <c r="F14">
        <v>0</v>
      </c>
      <c r="G14" s="178" t="e">
        <f>C14*$D$5*'Input data'!K49/1000-E14</f>
        <v>#REF!</v>
      </c>
      <c r="H14" s="178" t="e">
        <f>D14*$D$4*'Input data'!K49/1000-F14</f>
        <v>#REF!</v>
      </c>
      <c r="J14" s="178" t="e">
        <f>D14*$D$7*'Input data'!K49/1000</f>
        <v>#REF!</v>
      </c>
      <c r="K14" s="309"/>
      <c r="L14" t="e">
        <f>'Input data'!#REF!</f>
        <v>#REF!</v>
      </c>
      <c r="M14" t="e">
        <f>'Input data'!#REF!</f>
        <v>#REF!</v>
      </c>
      <c r="N14">
        <v>0</v>
      </c>
      <c r="O14">
        <v>0</v>
      </c>
      <c r="P14" s="178" t="e">
        <f>L14*$D$5*'Input data'!T49/1000-N14</f>
        <v>#REF!</v>
      </c>
      <c r="Q14" s="178" t="e">
        <f>M14*$D$4*'Input data'!T49/1000-O14</f>
        <v>#REF!</v>
      </c>
      <c r="S14" s="178" t="e">
        <f>M14*$D$7*'Input data'!T49/1000</f>
        <v>#REF!</v>
      </c>
    </row>
    <row r="15" spans="1:23" ht="14.45" hidden="1" customHeight="1">
      <c r="A15" s="123">
        <f>'Input data'!A50</f>
        <v>1952</v>
      </c>
      <c r="B15" s="309"/>
      <c r="C15" t="e">
        <f>'Input data'!#REF!</f>
        <v>#REF!</v>
      </c>
      <c r="D15" t="e">
        <f>'Input data'!#REF!</f>
        <v>#REF!</v>
      </c>
      <c r="E15">
        <v>0</v>
      </c>
      <c r="F15">
        <v>0</v>
      </c>
      <c r="G15" s="178" t="e">
        <f>C15*$D$5*'Input data'!K50/1000-E15</f>
        <v>#REF!</v>
      </c>
      <c r="H15" s="178" t="e">
        <f>D15*$D$4*'Input data'!K50/1000-F15</f>
        <v>#REF!</v>
      </c>
      <c r="J15" s="178" t="e">
        <f>D15*$D$7*'Input data'!K50/1000</f>
        <v>#REF!</v>
      </c>
      <c r="K15" s="309"/>
      <c r="L15" t="e">
        <f>'Input data'!#REF!</f>
        <v>#REF!</v>
      </c>
      <c r="M15" t="e">
        <f>'Input data'!#REF!</f>
        <v>#REF!</v>
      </c>
      <c r="N15">
        <v>0</v>
      </c>
      <c r="O15">
        <v>0</v>
      </c>
      <c r="P15" s="178" t="e">
        <f>L15*$D$5*'Input data'!T50/1000-N15</f>
        <v>#REF!</v>
      </c>
      <c r="Q15" s="178" t="e">
        <f>M15*$D$4*'Input data'!T50/1000-O15</f>
        <v>#REF!</v>
      </c>
      <c r="S15" s="178" t="e">
        <f>M15*$D$7*'Input data'!T50/1000</f>
        <v>#REF!</v>
      </c>
    </row>
    <row r="16" spans="1:23" ht="14.45" hidden="1" customHeight="1">
      <c r="A16" s="123">
        <f>'Input data'!A51</f>
        <v>1953</v>
      </c>
      <c r="B16" s="309"/>
      <c r="C16" t="e">
        <f>'Input data'!#REF!</f>
        <v>#REF!</v>
      </c>
      <c r="D16" t="e">
        <f>'Input data'!#REF!</f>
        <v>#REF!</v>
      </c>
      <c r="E16">
        <v>0</v>
      </c>
      <c r="F16">
        <v>0</v>
      </c>
      <c r="G16" s="178" t="e">
        <f>C16*$D$5*'Input data'!K51/1000-E16</f>
        <v>#REF!</v>
      </c>
      <c r="H16" s="178" t="e">
        <f>D16*$D$4*'Input data'!K51/1000-F16</f>
        <v>#REF!</v>
      </c>
      <c r="J16" s="178" t="e">
        <f>D16*$D$7*'Input data'!K51/1000</f>
        <v>#REF!</v>
      </c>
      <c r="K16" s="309"/>
      <c r="L16" t="e">
        <f>'Input data'!#REF!</f>
        <v>#REF!</v>
      </c>
      <c r="M16" t="e">
        <f>'Input data'!#REF!</f>
        <v>#REF!</v>
      </c>
      <c r="N16">
        <v>0</v>
      </c>
      <c r="O16">
        <v>0</v>
      </c>
      <c r="P16" s="178" t="e">
        <f>L16*$D$5*'Input data'!T51/1000-N16</f>
        <v>#REF!</v>
      </c>
      <c r="Q16" s="178" t="e">
        <f>M16*$D$4*'Input data'!T51/1000-O16</f>
        <v>#REF!</v>
      </c>
      <c r="S16" s="178" t="e">
        <f>M16*$D$7*'Input data'!T51/1000</f>
        <v>#REF!</v>
      </c>
    </row>
    <row r="17" spans="1:19" ht="14.45" hidden="1" customHeight="1">
      <c r="A17" s="123">
        <f>'Input data'!A52</f>
        <v>1954</v>
      </c>
      <c r="B17" s="309"/>
      <c r="C17" t="e">
        <f>'Input data'!#REF!</f>
        <v>#REF!</v>
      </c>
      <c r="D17" t="e">
        <f>'Input data'!#REF!</f>
        <v>#REF!</v>
      </c>
      <c r="E17">
        <v>0</v>
      </c>
      <c r="F17">
        <v>0</v>
      </c>
      <c r="G17" s="178" t="e">
        <f>C17*$D$5*'Input data'!K52/1000-E17</f>
        <v>#REF!</v>
      </c>
      <c r="H17" s="178" t="e">
        <f>D17*$D$4*'Input data'!K52/1000-F17</f>
        <v>#REF!</v>
      </c>
      <c r="J17" s="178" t="e">
        <f>D17*$D$7*'Input data'!K52/1000</f>
        <v>#REF!</v>
      </c>
      <c r="K17" s="309"/>
      <c r="L17" t="e">
        <f>'Input data'!#REF!</f>
        <v>#REF!</v>
      </c>
      <c r="M17" t="e">
        <f>'Input data'!#REF!</f>
        <v>#REF!</v>
      </c>
      <c r="N17">
        <v>0</v>
      </c>
      <c r="O17">
        <v>0</v>
      </c>
      <c r="P17" s="178" t="e">
        <f>L17*$D$5*'Input data'!T52/1000-N17</f>
        <v>#REF!</v>
      </c>
      <c r="Q17" s="178" t="e">
        <f>M17*$D$4*'Input data'!T52/1000-O17</f>
        <v>#REF!</v>
      </c>
      <c r="S17" s="178" t="e">
        <f>M17*$D$7*'Input data'!T52/1000</f>
        <v>#REF!</v>
      </c>
    </row>
    <row r="18" spans="1:19" ht="14.45" hidden="1" customHeight="1">
      <c r="A18" s="123">
        <f>'Input data'!A53</f>
        <v>1955</v>
      </c>
      <c r="B18" s="309"/>
      <c r="C18" t="e">
        <f>'Input data'!#REF!</f>
        <v>#REF!</v>
      </c>
      <c r="D18" t="e">
        <f>'Input data'!#REF!</f>
        <v>#REF!</v>
      </c>
      <c r="E18">
        <v>0</v>
      </c>
      <c r="F18">
        <v>0</v>
      </c>
      <c r="G18" s="178" t="e">
        <f>C18*$D$5*'Input data'!K53/1000-E18</f>
        <v>#REF!</v>
      </c>
      <c r="H18" s="178" t="e">
        <f>D18*$D$4*'Input data'!K53/1000-F18</f>
        <v>#REF!</v>
      </c>
      <c r="J18" s="178" t="e">
        <f>D18*$D$7*'Input data'!K53/1000</f>
        <v>#REF!</v>
      </c>
      <c r="K18" s="309"/>
      <c r="L18" t="e">
        <f>'Input data'!#REF!</f>
        <v>#REF!</v>
      </c>
      <c r="M18" t="e">
        <f>'Input data'!#REF!</f>
        <v>#REF!</v>
      </c>
      <c r="N18">
        <v>0</v>
      </c>
      <c r="O18">
        <v>0</v>
      </c>
      <c r="P18" s="178" t="e">
        <f>L18*$D$5*'Input data'!T53/1000-N18</f>
        <v>#REF!</v>
      </c>
      <c r="Q18" s="178" t="e">
        <f>M18*$D$4*'Input data'!T53/1000-O18</f>
        <v>#REF!</v>
      </c>
      <c r="S18" s="178" t="e">
        <f>M18*$D$7*'Input data'!T53/1000</f>
        <v>#REF!</v>
      </c>
    </row>
    <row r="19" spans="1:19" ht="14.45" hidden="1" customHeight="1">
      <c r="A19" s="123">
        <f>'Input data'!A54</f>
        <v>1956</v>
      </c>
      <c r="B19" s="309"/>
      <c r="C19" t="e">
        <f>'Input data'!#REF!</f>
        <v>#REF!</v>
      </c>
      <c r="D19" t="e">
        <f>'Input data'!#REF!</f>
        <v>#REF!</v>
      </c>
      <c r="E19">
        <v>0</v>
      </c>
      <c r="F19">
        <v>0</v>
      </c>
      <c r="G19" s="178" t="e">
        <f>C19*$D$5*'Input data'!K54/1000-E19</f>
        <v>#REF!</v>
      </c>
      <c r="H19" s="178" t="e">
        <f>D19*$D$4*'Input data'!K54/1000-F19</f>
        <v>#REF!</v>
      </c>
      <c r="J19" s="178" t="e">
        <f>D19*$D$7*'Input data'!K54/1000</f>
        <v>#REF!</v>
      </c>
      <c r="K19" s="309"/>
      <c r="L19" t="e">
        <f>'Input data'!#REF!</f>
        <v>#REF!</v>
      </c>
      <c r="M19" t="e">
        <f>'Input data'!#REF!</f>
        <v>#REF!</v>
      </c>
      <c r="N19">
        <v>0</v>
      </c>
      <c r="O19">
        <v>0</v>
      </c>
      <c r="P19" s="178" t="e">
        <f>L19*$D$5*'Input data'!T54/1000-N19</f>
        <v>#REF!</v>
      </c>
      <c r="Q19" s="178" t="e">
        <f>M19*$D$4*'Input data'!T54/1000-O19</f>
        <v>#REF!</v>
      </c>
      <c r="S19" s="178" t="e">
        <f>M19*$D$7*'Input data'!T54/1000</f>
        <v>#REF!</v>
      </c>
    </row>
    <row r="20" spans="1:19" ht="14.45" hidden="1" customHeight="1">
      <c r="A20" s="123">
        <f>'Input data'!A55</f>
        <v>1957</v>
      </c>
      <c r="B20" s="309"/>
      <c r="C20" t="e">
        <f>'Input data'!#REF!</f>
        <v>#REF!</v>
      </c>
      <c r="D20" t="e">
        <f>'Input data'!#REF!</f>
        <v>#REF!</v>
      </c>
      <c r="E20">
        <v>0</v>
      </c>
      <c r="F20">
        <v>0</v>
      </c>
      <c r="G20" s="178" t="e">
        <f>C20*$D$5*'Input data'!K55/1000-E20</f>
        <v>#REF!</v>
      </c>
      <c r="H20" s="178" t="e">
        <f>D20*$D$4*'Input data'!K55/1000-F20</f>
        <v>#REF!</v>
      </c>
      <c r="J20" s="178" t="e">
        <f>D20*$D$7*'Input data'!K55/1000</f>
        <v>#REF!</v>
      </c>
      <c r="K20" s="309"/>
      <c r="L20" t="e">
        <f>'Input data'!#REF!</f>
        <v>#REF!</v>
      </c>
      <c r="M20" t="e">
        <f>'Input data'!#REF!</f>
        <v>#REF!</v>
      </c>
      <c r="N20">
        <v>0</v>
      </c>
      <c r="O20">
        <v>0</v>
      </c>
      <c r="P20" s="178" t="e">
        <f>L20*$D$5*'Input data'!T55/1000-N20</f>
        <v>#REF!</v>
      </c>
      <c r="Q20" s="178" t="e">
        <f>M20*$D$4*'Input data'!T55/1000-O20</f>
        <v>#REF!</v>
      </c>
      <c r="S20" s="178" t="e">
        <f>M20*$D$7*'Input data'!T55/1000</f>
        <v>#REF!</v>
      </c>
    </row>
    <row r="21" spans="1:19" ht="14.45" hidden="1" customHeight="1">
      <c r="A21" s="123">
        <f>'Input data'!A56</f>
        <v>1958</v>
      </c>
      <c r="B21" s="309"/>
      <c r="C21" t="e">
        <f>'Input data'!#REF!</f>
        <v>#REF!</v>
      </c>
      <c r="D21" t="e">
        <f>'Input data'!#REF!</f>
        <v>#REF!</v>
      </c>
      <c r="E21">
        <v>0</v>
      </c>
      <c r="F21">
        <v>0</v>
      </c>
      <c r="G21" s="178" t="e">
        <f>C21*$D$5*'Input data'!K56/1000-E21</f>
        <v>#REF!</v>
      </c>
      <c r="H21" s="178" t="e">
        <f>D21*$D$4*'Input data'!K56/1000-F21</f>
        <v>#REF!</v>
      </c>
      <c r="J21" s="178" t="e">
        <f>D21*$D$7*'Input data'!K56/1000</f>
        <v>#REF!</v>
      </c>
      <c r="K21" s="309"/>
      <c r="L21" t="e">
        <f>'Input data'!#REF!</f>
        <v>#REF!</v>
      </c>
      <c r="M21" t="e">
        <f>'Input data'!#REF!</f>
        <v>#REF!</v>
      </c>
      <c r="N21">
        <v>0</v>
      </c>
      <c r="O21">
        <v>0</v>
      </c>
      <c r="P21" s="178" t="e">
        <f>L21*$D$5*'Input data'!T56/1000-N21</f>
        <v>#REF!</v>
      </c>
      <c r="Q21" s="178" t="e">
        <f>M21*$D$4*'Input data'!T56/1000-O21</f>
        <v>#REF!</v>
      </c>
      <c r="S21" s="178" t="e">
        <f>M21*$D$7*'Input data'!T56/1000</f>
        <v>#REF!</v>
      </c>
    </row>
    <row r="22" spans="1:19" ht="14.45" hidden="1" customHeight="1">
      <c r="A22" s="123">
        <f>'Input data'!A57</f>
        <v>1959</v>
      </c>
      <c r="B22" s="309"/>
      <c r="C22" t="e">
        <f>'Input data'!#REF!</f>
        <v>#REF!</v>
      </c>
      <c r="D22" t="e">
        <f>'Input data'!#REF!</f>
        <v>#REF!</v>
      </c>
      <c r="E22">
        <v>0</v>
      </c>
      <c r="F22">
        <v>0</v>
      </c>
      <c r="G22" s="178" t="e">
        <f>C22*$D$5*'Input data'!K57/1000-E22</f>
        <v>#REF!</v>
      </c>
      <c r="H22" s="178" t="e">
        <f>D22*$D$4*'Input data'!K57/1000-F22</f>
        <v>#REF!</v>
      </c>
      <c r="J22" s="178" t="e">
        <f>D22*$D$7*'Input data'!K57/1000</f>
        <v>#REF!</v>
      </c>
      <c r="K22" s="309"/>
      <c r="L22" t="e">
        <f>'Input data'!#REF!</f>
        <v>#REF!</v>
      </c>
      <c r="M22" t="e">
        <f>'Input data'!#REF!</f>
        <v>#REF!</v>
      </c>
      <c r="N22">
        <v>0</v>
      </c>
      <c r="O22">
        <v>0</v>
      </c>
      <c r="P22" s="178" t="e">
        <f>L22*$D$5*'Input data'!T57/1000-N22</f>
        <v>#REF!</v>
      </c>
      <c r="Q22" s="178" t="e">
        <f>M22*$D$4*'Input data'!T57/1000-O22</f>
        <v>#REF!</v>
      </c>
      <c r="S22" s="178" t="e">
        <f>M22*$D$7*'Input data'!T57/1000</f>
        <v>#REF!</v>
      </c>
    </row>
    <row r="23" spans="1:19" ht="14.45" hidden="1" customHeight="1">
      <c r="A23" s="123">
        <f>'Input data'!A58</f>
        <v>1960</v>
      </c>
      <c r="B23" s="309"/>
      <c r="C23" t="e">
        <f>'Input data'!#REF!</f>
        <v>#REF!</v>
      </c>
      <c r="D23" t="e">
        <f>'Input data'!#REF!</f>
        <v>#REF!</v>
      </c>
      <c r="E23">
        <v>0</v>
      </c>
      <c r="F23">
        <v>0</v>
      </c>
      <c r="G23" s="178" t="e">
        <f>C23*$D$5*'Input data'!K58/1000-E23</f>
        <v>#REF!</v>
      </c>
      <c r="H23" s="178" t="e">
        <f>D23*$D$4*'Input data'!K58/1000-F23</f>
        <v>#REF!</v>
      </c>
      <c r="J23" s="178" t="e">
        <f>D23*$D$7*'Input data'!K58/1000</f>
        <v>#REF!</v>
      </c>
      <c r="K23" s="309"/>
      <c r="L23" t="e">
        <f>'Input data'!#REF!</f>
        <v>#REF!</v>
      </c>
      <c r="M23" t="e">
        <f>'Input data'!#REF!</f>
        <v>#REF!</v>
      </c>
      <c r="N23">
        <v>0</v>
      </c>
      <c r="O23">
        <v>0</v>
      </c>
      <c r="P23" s="178" t="e">
        <f>L23*$D$5*'Input data'!T58/1000-N23</f>
        <v>#REF!</v>
      </c>
      <c r="Q23" s="178" t="e">
        <f>M23*$D$4*'Input data'!T58/1000-O23</f>
        <v>#REF!</v>
      </c>
      <c r="S23" s="178" t="e">
        <f>M23*$D$7*'Input data'!T58/1000</f>
        <v>#REF!</v>
      </c>
    </row>
    <row r="24" spans="1:19" ht="14.45" hidden="1" customHeight="1">
      <c r="A24" s="123">
        <f>'Input data'!A59</f>
        <v>1961</v>
      </c>
      <c r="B24" s="309"/>
      <c r="C24" t="e">
        <f>'Input data'!#REF!</f>
        <v>#REF!</v>
      </c>
      <c r="D24" t="e">
        <f>'Input data'!#REF!</f>
        <v>#REF!</v>
      </c>
      <c r="E24">
        <v>0</v>
      </c>
      <c r="F24">
        <v>0</v>
      </c>
      <c r="G24" s="178" t="e">
        <f>C24*$D$5*'Input data'!K59/1000-E24</f>
        <v>#REF!</v>
      </c>
      <c r="H24" s="178" t="e">
        <f>D24*$D$4*'Input data'!K59/1000-F24</f>
        <v>#REF!</v>
      </c>
      <c r="J24" s="178" t="e">
        <f>D24*$D$7*'Input data'!K59/1000</f>
        <v>#REF!</v>
      </c>
      <c r="K24" s="309"/>
      <c r="L24" t="e">
        <f>'Input data'!#REF!</f>
        <v>#REF!</v>
      </c>
      <c r="M24" t="e">
        <f>'Input data'!#REF!</f>
        <v>#REF!</v>
      </c>
      <c r="N24">
        <v>0</v>
      </c>
      <c r="O24">
        <v>0</v>
      </c>
      <c r="P24" s="178" t="e">
        <f>L24*$D$5*'Input data'!T59/1000-N24</f>
        <v>#REF!</v>
      </c>
      <c r="Q24" s="178" t="e">
        <f>M24*$D$4*'Input data'!T59/1000-O24</f>
        <v>#REF!</v>
      </c>
      <c r="S24" s="178" t="e">
        <f>M24*$D$7*'Input data'!T59/1000</f>
        <v>#REF!</v>
      </c>
    </row>
    <row r="25" spans="1:19" ht="14.45" hidden="1" customHeight="1">
      <c r="A25" s="123">
        <f>'Input data'!A60</f>
        <v>1962</v>
      </c>
      <c r="B25" s="309"/>
      <c r="C25" t="e">
        <f>'Input data'!#REF!</f>
        <v>#REF!</v>
      </c>
      <c r="D25" t="e">
        <f>'Input data'!#REF!</f>
        <v>#REF!</v>
      </c>
      <c r="E25">
        <v>0</v>
      </c>
      <c r="F25">
        <v>0</v>
      </c>
      <c r="G25" s="178" t="e">
        <f>C25*$D$5*'Input data'!K60/1000-E25</f>
        <v>#REF!</v>
      </c>
      <c r="H25" s="178" t="e">
        <f>D25*$D$4*'Input data'!K60/1000-F25</f>
        <v>#REF!</v>
      </c>
      <c r="J25" s="178" t="e">
        <f>D25*$D$7*'Input data'!K60/1000</f>
        <v>#REF!</v>
      </c>
      <c r="K25" s="309"/>
      <c r="L25" t="e">
        <f>'Input data'!#REF!</f>
        <v>#REF!</v>
      </c>
      <c r="M25" t="e">
        <f>'Input data'!#REF!</f>
        <v>#REF!</v>
      </c>
      <c r="N25">
        <v>0</v>
      </c>
      <c r="O25">
        <v>0</v>
      </c>
      <c r="P25" s="178" t="e">
        <f>L25*$D$5*'Input data'!T60/1000-N25</f>
        <v>#REF!</v>
      </c>
      <c r="Q25" s="178" t="e">
        <f>M25*$D$4*'Input data'!T60/1000-O25</f>
        <v>#REF!</v>
      </c>
      <c r="S25" s="178" t="e">
        <f>M25*$D$7*'Input data'!T60/1000</f>
        <v>#REF!</v>
      </c>
    </row>
    <row r="26" spans="1:19" ht="14.45" hidden="1" customHeight="1">
      <c r="A26" s="123">
        <f>'Input data'!A61</f>
        <v>1963</v>
      </c>
      <c r="B26" s="309"/>
      <c r="C26" t="e">
        <f>'Input data'!#REF!</f>
        <v>#REF!</v>
      </c>
      <c r="D26" t="e">
        <f>'Input data'!#REF!</f>
        <v>#REF!</v>
      </c>
      <c r="E26">
        <v>0</v>
      </c>
      <c r="F26">
        <v>0</v>
      </c>
      <c r="G26" s="178" t="e">
        <f>C26*$D$5*'Input data'!K61/1000-E26</f>
        <v>#REF!</v>
      </c>
      <c r="H26" s="178" t="e">
        <f>D26*$D$4*'Input data'!K61/1000-F26</f>
        <v>#REF!</v>
      </c>
      <c r="J26" s="178" t="e">
        <f>D26*$D$7*'Input data'!K61/1000</f>
        <v>#REF!</v>
      </c>
      <c r="K26" s="309"/>
      <c r="L26" t="e">
        <f>'Input data'!#REF!</f>
        <v>#REF!</v>
      </c>
      <c r="M26" t="e">
        <f>'Input data'!#REF!</f>
        <v>#REF!</v>
      </c>
      <c r="N26">
        <v>0</v>
      </c>
      <c r="O26">
        <v>0</v>
      </c>
      <c r="P26" s="178" t="e">
        <f>L26*$D$5*'Input data'!T61/1000-N26</f>
        <v>#REF!</v>
      </c>
      <c r="Q26" s="178" t="e">
        <f>M26*$D$4*'Input data'!T61/1000-O26</f>
        <v>#REF!</v>
      </c>
      <c r="S26" s="178" t="e">
        <f>M26*$D$7*'Input data'!T61/1000</f>
        <v>#REF!</v>
      </c>
    </row>
    <row r="27" spans="1:19" ht="14.45" hidden="1" customHeight="1">
      <c r="A27" s="123">
        <f>'Input data'!A62</f>
        <v>1964</v>
      </c>
      <c r="B27" s="309"/>
      <c r="C27" t="e">
        <f>'Input data'!#REF!</f>
        <v>#REF!</v>
      </c>
      <c r="D27" t="e">
        <f>'Input data'!#REF!</f>
        <v>#REF!</v>
      </c>
      <c r="E27">
        <v>0</v>
      </c>
      <c r="F27">
        <v>0</v>
      </c>
      <c r="G27" s="178" t="e">
        <f>C27*$D$5*'Input data'!K62/1000-E27</f>
        <v>#REF!</v>
      </c>
      <c r="H27" s="178" t="e">
        <f>D27*$D$4*'Input data'!K62/1000-F27</f>
        <v>#REF!</v>
      </c>
      <c r="J27" s="178" t="e">
        <f>D27*$D$7*'Input data'!K62/1000</f>
        <v>#REF!</v>
      </c>
      <c r="K27" s="309"/>
      <c r="L27" t="e">
        <f>'Input data'!#REF!</f>
        <v>#REF!</v>
      </c>
      <c r="M27" t="e">
        <f>'Input data'!#REF!</f>
        <v>#REF!</v>
      </c>
      <c r="N27">
        <v>0</v>
      </c>
      <c r="O27">
        <v>0</v>
      </c>
      <c r="P27" s="178" t="e">
        <f>L27*$D$5*'Input data'!T62/1000-N27</f>
        <v>#REF!</v>
      </c>
      <c r="Q27" s="178" t="e">
        <f>M27*$D$4*'Input data'!T62/1000-O27</f>
        <v>#REF!</v>
      </c>
      <c r="S27" s="178" t="e">
        <f>M27*$D$7*'Input data'!T62/1000</f>
        <v>#REF!</v>
      </c>
    </row>
    <row r="28" spans="1:19" ht="14.45" hidden="1" customHeight="1">
      <c r="A28" s="123">
        <f>'Input data'!A63</f>
        <v>1965</v>
      </c>
      <c r="B28" s="309"/>
      <c r="C28" t="e">
        <f>'Input data'!#REF!</f>
        <v>#REF!</v>
      </c>
      <c r="D28" t="e">
        <f>'Input data'!#REF!</f>
        <v>#REF!</v>
      </c>
      <c r="E28">
        <v>0</v>
      </c>
      <c r="F28">
        <v>0</v>
      </c>
      <c r="G28" s="178" t="e">
        <f>C28*$D$5*'Input data'!K63/1000-E28</f>
        <v>#REF!</v>
      </c>
      <c r="H28" s="178" t="e">
        <f>D28*$D$4*'Input data'!K63/1000-F28</f>
        <v>#REF!</v>
      </c>
      <c r="J28" s="178" t="e">
        <f>D28*$D$7*'Input data'!K63/1000</f>
        <v>#REF!</v>
      </c>
      <c r="K28" s="309"/>
      <c r="L28" t="e">
        <f>'Input data'!#REF!</f>
        <v>#REF!</v>
      </c>
      <c r="M28" t="e">
        <f>'Input data'!#REF!</f>
        <v>#REF!</v>
      </c>
      <c r="N28">
        <v>0</v>
      </c>
      <c r="O28">
        <v>0</v>
      </c>
      <c r="P28" s="178" t="e">
        <f>L28*$D$5*'Input data'!T63/1000-N28</f>
        <v>#REF!</v>
      </c>
      <c r="Q28" s="178" t="e">
        <f>M28*$D$4*'Input data'!T63/1000-O28</f>
        <v>#REF!</v>
      </c>
      <c r="S28" s="178" t="e">
        <f>M28*$D$7*'Input data'!T63/1000</f>
        <v>#REF!</v>
      </c>
    </row>
    <row r="29" spans="1:19" ht="14.45" hidden="1" customHeight="1">
      <c r="A29" s="123">
        <f>'Input data'!A64</f>
        <v>1966</v>
      </c>
      <c r="B29" s="309"/>
      <c r="C29" t="e">
        <f>'Input data'!#REF!</f>
        <v>#REF!</v>
      </c>
      <c r="D29" t="e">
        <f>'Input data'!#REF!</f>
        <v>#REF!</v>
      </c>
      <c r="E29">
        <v>0</v>
      </c>
      <c r="F29">
        <v>0</v>
      </c>
      <c r="G29" s="178" t="e">
        <f>C29*$D$5*'Input data'!K64/1000-E29</f>
        <v>#REF!</v>
      </c>
      <c r="H29" s="178" t="e">
        <f>D29*$D$4*'Input data'!K64/1000-F29</f>
        <v>#REF!</v>
      </c>
      <c r="J29" s="178" t="e">
        <f>D29*$D$7*'Input data'!K64/1000</f>
        <v>#REF!</v>
      </c>
      <c r="K29" s="309"/>
      <c r="L29" t="e">
        <f>'Input data'!#REF!</f>
        <v>#REF!</v>
      </c>
      <c r="M29" t="e">
        <f>'Input data'!#REF!</f>
        <v>#REF!</v>
      </c>
      <c r="N29">
        <v>0</v>
      </c>
      <c r="O29">
        <v>0</v>
      </c>
      <c r="P29" s="178" t="e">
        <f>L29*$D$5*'Input data'!T64/1000-N29</f>
        <v>#REF!</v>
      </c>
      <c r="Q29" s="178" t="e">
        <f>M29*$D$4*'Input data'!T64/1000-O29</f>
        <v>#REF!</v>
      </c>
      <c r="S29" s="178" t="e">
        <f>M29*$D$7*'Input data'!T64/1000</f>
        <v>#REF!</v>
      </c>
    </row>
    <row r="30" spans="1:19" ht="14.45" hidden="1" customHeight="1">
      <c r="A30" s="123">
        <f>'Input data'!A65</f>
        <v>1967</v>
      </c>
      <c r="B30" s="309"/>
      <c r="C30" t="e">
        <f>'Input data'!#REF!</f>
        <v>#REF!</v>
      </c>
      <c r="D30" t="e">
        <f>'Input data'!#REF!</f>
        <v>#REF!</v>
      </c>
      <c r="E30">
        <v>0</v>
      </c>
      <c r="F30">
        <v>0</v>
      </c>
      <c r="G30" s="178" t="e">
        <f>C30*$D$5*'Input data'!K65/1000-E30</f>
        <v>#REF!</v>
      </c>
      <c r="H30" s="178" t="e">
        <f>D30*$D$4*'Input data'!K65/1000-F30</f>
        <v>#REF!</v>
      </c>
      <c r="J30" s="178" t="e">
        <f>D30*$D$7*'Input data'!K65/1000</f>
        <v>#REF!</v>
      </c>
      <c r="K30" s="309"/>
      <c r="L30" t="e">
        <f>'Input data'!#REF!</f>
        <v>#REF!</v>
      </c>
      <c r="M30" t="e">
        <f>'Input data'!#REF!</f>
        <v>#REF!</v>
      </c>
      <c r="N30">
        <v>0</v>
      </c>
      <c r="O30">
        <v>0</v>
      </c>
      <c r="P30" s="178" t="e">
        <f>L30*$D$5*'Input data'!T65/1000-N30</f>
        <v>#REF!</v>
      </c>
      <c r="Q30" s="178" t="e">
        <f>M30*$D$4*'Input data'!T65/1000-O30</f>
        <v>#REF!</v>
      </c>
      <c r="S30" s="178" t="e">
        <f>M30*$D$7*'Input data'!T65/1000</f>
        <v>#REF!</v>
      </c>
    </row>
    <row r="31" spans="1:19" ht="14.45" hidden="1" customHeight="1">
      <c r="A31" s="123">
        <f>'Input data'!A66</f>
        <v>1968</v>
      </c>
      <c r="B31" s="309"/>
      <c r="C31" t="e">
        <f>'Input data'!#REF!</f>
        <v>#REF!</v>
      </c>
      <c r="D31" t="e">
        <f>'Input data'!#REF!</f>
        <v>#REF!</v>
      </c>
      <c r="E31">
        <v>0</v>
      </c>
      <c r="F31">
        <v>0</v>
      </c>
      <c r="G31" s="178" t="e">
        <f>C31*$D$5*'Input data'!K66/1000-E31</f>
        <v>#REF!</v>
      </c>
      <c r="H31" s="178" t="e">
        <f>D31*$D$4*'Input data'!K66/1000-F31</f>
        <v>#REF!</v>
      </c>
      <c r="J31" s="178" t="e">
        <f>D31*$D$7*'Input data'!K66/1000</f>
        <v>#REF!</v>
      </c>
      <c r="K31" s="309"/>
      <c r="L31" t="e">
        <f>'Input data'!#REF!</f>
        <v>#REF!</v>
      </c>
      <c r="M31" t="e">
        <f>'Input data'!#REF!</f>
        <v>#REF!</v>
      </c>
      <c r="N31">
        <v>0</v>
      </c>
      <c r="O31">
        <v>0</v>
      </c>
      <c r="P31" s="178" t="e">
        <f>L31*$D$5*'Input data'!T66/1000-N31</f>
        <v>#REF!</v>
      </c>
      <c r="Q31" s="178" t="e">
        <f>M31*$D$4*'Input data'!T66/1000-O31</f>
        <v>#REF!</v>
      </c>
      <c r="S31" s="178" t="e">
        <f>M31*$D$7*'Input data'!T66/1000</f>
        <v>#REF!</v>
      </c>
    </row>
    <row r="32" spans="1:19" ht="14.45" hidden="1" customHeight="1">
      <c r="A32" s="123">
        <f>'Input data'!A67</f>
        <v>1969</v>
      </c>
      <c r="B32" s="309"/>
      <c r="C32" t="e">
        <f>'Input data'!#REF!</f>
        <v>#REF!</v>
      </c>
      <c r="D32" t="e">
        <f>'Input data'!#REF!</f>
        <v>#REF!</v>
      </c>
      <c r="E32">
        <v>0</v>
      </c>
      <c r="F32">
        <v>0</v>
      </c>
      <c r="G32" s="178" t="e">
        <f>C32*$D$5*'Input data'!K67/1000-E32</f>
        <v>#REF!</v>
      </c>
      <c r="H32" s="178" t="e">
        <f>D32*$D$4*'Input data'!K67/1000-F32</f>
        <v>#REF!</v>
      </c>
      <c r="J32" s="178" t="e">
        <f>D32*$D$7*'Input data'!K67/1000</f>
        <v>#REF!</v>
      </c>
      <c r="K32" s="309"/>
      <c r="L32" t="e">
        <f>'Input data'!#REF!</f>
        <v>#REF!</v>
      </c>
      <c r="M32" t="e">
        <f>'Input data'!#REF!</f>
        <v>#REF!</v>
      </c>
      <c r="N32">
        <v>0</v>
      </c>
      <c r="O32">
        <v>0</v>
      </c>
      <c r="P32" s="178" t="e">
        <f>L32*$D$5*'Input data'!T67/1000-N32</f>
        <v>#REF!</v>
      </c>
      <c r="Q32" s="178" t="e">
        <f>M32*$D$4*'Input data'!T67/1000-O32</f>
        <v>#REF!</v>
      </c>
      <c r="S32" s="178" t="e">
        <f>M32*$D$7*'Input data'!T67/1000</f>
        <v>#REF!</v>
      </c>
    </row>
    <row r="33" spans="1:19" ht="14.45" hidden="1" customHeight="1">
      <c r="A33" s="123">
        <f>'Input data'!A68</f>
        <v>1970</v>
      </c>
      <c r="B33" s="309"/>
      <c r="C33" t="e">
        <f>'Input data'!#REF!</f>
        <v>#REF!</v>
      </c>
      <c r="D33" t="e">
        <f>'Input data'!#REF!</f>
        <v>#REF!</v>
      </c>
      <c r="E33">
        <v>0</v>
      </c>
      <c r="F33">
        <v>0</v>
      </c>
      <c r="G33" s="178" t="e">
        <f>C33*$D$5*'Input data'!K68/1000-E33</f>
        <v>#REF!</v>
      </c>
      <c r="H33" s="178" t="e">
        <f>D33*$D$4*'Input data'!K68/1000-F33</f>
        <v>#REF!</v>
      </c>
      <c r="J33" s="178" t="e">
        <f>D33*$D$7*'Input data'!K68/1000</f>
        <v>#REF!</v>
      </c>
      <c r="K33" s="309"/>
      <c r="L33" t="e">
        <f>'Input data'!#REF!</f>
        <v>#REF!</v>
      </c>
      <c r="M33" t="e">
        <f>'Input data'!#REF!</f>
        <v>#REF!</v>
      </c>
      <c r="N33">
        <v>0</v>
      </c>
      <c r="O33">
        <v>0</v>
      </c>
      <c r="P33" s="178" t="e">
        <f>L33*$D$5*'Input data'!T68/1000-N33</f>
        <v>#REF!</v>
      </c>
      <c r="Q33" s="178" t="e">
        <f>M33*$D$4*'Input data'!T68/1000-O33</f>
        <v>#REF!</v>
      </c>
      <c r="S33" s="178" t="e">
        <f>M33*$D$7*'Input data'!T68/1000</f>
        <v>#REF!</v>
      </c>
    </row>
    <row r="34" spans="1:19" ht="14.45" hidden="1" customHeight="1">
      <c r="A34" s="123">
        <f>'Input data'!A69</f>
        <v>1971</v>
      </c>
      <c r="B34" s="309"/>
      <c r="C34" t="e">
        <f>'Input data'!#REF!</f>
        <v>#REF!</v>
      </c>
      <c r="D34" t="e">
        <f>'Input data'!#REF!</f>
        <v>#REF!</v>
      </c>
      <c r="E34">
        <v>0</v>
      </c>
      <c r="F34">
        <v>0</v>
      </c>
      <c r="G34" s="178" t="e">
        <f>C34*$D$5*'Input data'!K69/1000-E34</f>
        <v>#REF!</v>
      </c>
      <c r="H34" s="178" t="e">
        <f>D34*$D$4*'Input data'!K69/1000-F34</f>
        <v>#REF!</v>
      </c>
      <c r="J34" s="178" t="e">
        <f>D34*$D$7*'Input data'!K69/1000</f>
        <v>#REF!</v>
      </c>
      <c r="K34" s="309"/>
      <c r="L34" t="e">
        <f>'Input data'!#REF!</f>
        <v>#REF!</v>
      </c>
      <c r="M34" t="e">
        <f>'Input data'!#REF!</f>
        <v>#REF!</v>
      </c>
      <c r="N34">
        <v>0</v>
      </c>
      <c r="O34">
        <v>0</v>
      </c>
      <c r="P34" s="178" t="e">
        <f>L34*$D$5*'Input data'!T69/1000-N34</f>
        <v>#REF!</v>
      </c>
      <c r="Q34" s="178" t="e">
        <f>M34*$D$4*'Input data'!T69/1000-O34</f>
        <v>#REF!</v>
      </c>
      <c r="S34" s="178" t="e">
        <f>M34*$D$7*'Input data'!T69/1000</f>
        <v>#REF!</v>
      </c>
    </row>
    <row r="35" spans="1:19" ht="14.45" hidden="1" customHeight="1">
      <c r="A35" s="123">
        <f>'Input data'!A70</f>
        <v>1972</v>
      </c>
      <c r="B35" s="309"/>
      <c r="C35" t="e">
        <f>'Input data'!#REF!</f>
        <v>#REF!</v>
      </c>
      <c r="D35" t="e">
        <f>'Input data'!#REF!</f>
        <v>#REF!</v>
      </c>
      <c r="E35">
        <v>0</v>
      </c>
      <c r="F35">
        <v>0</v>
      </c>
      <c r="G35" s="178" t="e">
        <f>C35*$D$5*'Input data'!K70/1000-E35</f>
        <v>#REF!</v>
      </c>
      <c r="H35" s="178" t="e">
        <f>D35*$D$4*'Input data'!K70/1000-F35</f>
        <v>#REF!</v>
      </c>
      <c r="J35" s="178" t="e">
        <f>D35*$D$7*'Input data'!K70/1000</f>
        <v>#REF!</v>
      </c>
      <c r="K35" s="309"/>
      <c r="L35" t="e">
        <f>'Input data'!#REF!</f>
        <v>#REF!</v>
      </c>
      <c r="M35" t="e">
        <f>'Input data'!#REF!</f>
        <v>#REF!</v>
      </c>
      <c r="N35">
        <v>0</v>
      </c>
      <c r="O35">
        <v>0</v>
      </c>
      <c r="P35" s="178" t="e">
        <f>L35*$D$5*'Input data'!T70/1000-N35</f>
        <v>#REF!</v>
      </c>
      <c r="Q35" s="178" t="e">
        <f>M35*$D$4*'Input data'!T70/1000-O35</f>
        <v>#REF!</v>
      </c>
      <c r="S35" s="178" t="e">
        <f>M35*$D$7*'Input data'!T70/1000</f>
        <v>#REF!</v>
      </c>
    </row>
    <row r="36" spans="1:19" ht="14.45" hidden="1" customHeight="1">
      <c r="A36" s="123">
        <f>'Input data'!A71</f>
        <v>1973</v>
      </c>
      <c r="B36" s="309"/>
      <c r="C36" t="e">
        <f>'Input data'!#REF!</f>
        <v>#REF!</v>
      </c>
      <c r="D36" t="e">
        <f>'Input data'!#REF!</f>
        <v>#REF!</v>
      </c>
      <c r="E36">
        <v>0</v>
      </c>
      <c r="F36">
        <v>0</v>
      </c>
      <c r="G36" s="178" t="e">
        <f>C36*$D$5*'Input data'!K71/1000-E36</f>
        <v>#REF!</v>
      </c>
      <c r="H36" s="178" t="e">
        <f>D36*$D$4*'Input data'!K71/1000-F36</f>
        <v>#REF!</v>
      </c>
      <c r="J36" s="178" t="e">
        <f>D36*$D$7*'Input data'!K71/1000</f>
        <v>#REF!</v>
      </c>
      <c r="K36" s="309"/>
      <c r="L36" t="e">
        <f>'Input data'!#REF!</f>
        <v>#REF!</v>
      </c>
      <c r="M36" t="e">
        <f>'Input data'!#REF!</f>
        <v>#REF!</v>
      </c>
      <c r="N36">
        <v>0</v>
      </c>
      <c r="O36">
        <v>0</v>
      </c>
      <c r="P36" s="178" t="e">
        <f>L36*$D$5*'Input data'!T71/1000-N36</f>
        <v>#REF!</v>
      </c>
      <c r="Q36" s="178" t="e">
        <f>M36*$D$4*'Input data'!T71/1000-O36</f>
        <v>#REF!</v>
      </c>
      <c r="S36" s="178" t="e">
        <f>M36*$D$7*'Input data'!T71/1000</f>
        <v>#REF!</v>
      </c>
    </row>
    <row r="37" spans="1:19" ht="14.45" hidden="1" customHeight="1">
      <c r="A37" s="123">
        <f>'Input data'!A72</f>
        <v>1974</v>
      </c>
      <c r="B37" s="309"/>
      <c r="C37" t="e">
        <f>'Input data'!#REF!</f>
        <v>#REF!</v>
      </c>
      <c r="D37" t="e">
        <f>'Input data'!#REF!</f>
        <v>#REF!</v>
      </c>
      <c r="E37">
        <v>0</v>
      </c>
      <c r="F37">
        <v>0</v>
      </c>
      <c r="G37" s="178" t="e">
        <f>C37*$D$5*'Input data'!K72/1000-E37</f>
        <v>#REF!</v>
      </c>
      <c r="H37" s="178" t="e">
        <f>D37*$D$4*'Input data'!K72/1000-F37</f>
        <v>#REF!</v>
      </c>
      <c r="J37" s="178" t="e">
        <f>D37*$D$7*'Input data'!K72/1000</f>
        <v>#REF!</v>
      </c>
      <c r="K37" s="309"/>
      <c r="L37" t="e">
        <f>'Input data'!#REF!</f>
        <v>#REF!</v>
      </c>
      <c r="M37" t="e">
        <f>'Input data'!#REF!</f>
        <v>#REF!</v>
      </c>
      <c r="N37">
        <v>0</v>
      </c>
      <c r="O37">
        <v>0</v>
      </c>
      <c r="P37" s="178" t="e">
        <f>L37*$D$5*'Input data'!T72/1000-N37</f>
        <v>#REF!</v>
      </c>
      <c r="Q37" s="178" t="e">
        <f>M37*$D$4*'Input data'!T72/1000-O37</f>
        <v>#REF!</v>
      </c>
      <c r="S37" s="178" t="e">
        <f>M37*$D$7*'Input data'!T72/1000</f>
        <v>#REF!</v>
      </c>
    </row>
    <row r="38" spans="1:19" ht="14.45" hidden="1" customHeight="1">
      <c r="A38" s="123">
        <f>'Input data'!A73</f>
        <v>1975</v>
      </c>
      <c r="B38" s="309"/>
      <c r="C38" t="e">
        <f>'Input data'!#REF!</f>
        <v>#REF!</v>
      </c>
      <c r="D38" t="e">
        <f>'Input data'!#REF!</f>
        <v>#REF!</v>
      </c>
      <c r="E38">
        <v>0</v>
      </c>
      <c r="F38">
        <v>0</v>
      </c>
      <c r="G38" s="178" t="e">
        <f>C38*$D$5*'Input data'!K73/1000-E38</f>
        <v>#REF!</v>
      </c>
      <c r="H38" s="178" t="e">
        <f>D38*$D$4*'Input data'!K73/1000-F38</f>
        <v>#REF!</v>
      </c>
      <c r="J38" s="178" t="e">
        <f>D38*$D$7*'Input data'!K73/1000</f>
        <v>#REF!</v>
      </c>
      <c r="K38" s="309"/>
      <c r="L38" t="e">
        <f>'Input data'!#REF!</f>
        <v>#REF!</v>
      </c>
      <c r="M38" t="e">
        <f>'Input data'!#REF!</f>
        <v>#REF!</v>
      </c>
      <c r="N38">
        <v>0</v>
      </c>
      <c r="O38">
        <v>0</v>
      </c>
      <c r="P38" s="178" t="e">
        <f>L38*$D$5*'Input data'!T73/1000-N38</f>
        <v>#REF!</v>
      </c>
      <c r="Q38" s="178" t="e">
        <f>M38*$D$4*'Input data'!T73/1000-O38</f>
        <v>#REF!</v>
      </c>
      <c r="S38" s="178" t="e">
        <f>M38*$D$7*'Input data'!T73/1000</f>
        <v>#REF!</v>
      </c>
    </row>
    <row r="39" spans="1:19" ht="14.45" hidden="1" customHeight="1">
      <c r="A39" s="123">
        <f>'Input data'!A74</f>
        <v>1976</v>
      </c>
      <c r="B39" s="309"/>
      <c r="C39" t="e">
        <f>'Input data'!#REF!</f>
        <v>#REF!</v>
      </c>
      <c r="D39" t="e">
        <f>'Input data'!#REF!</f>
        <v>#REF!</v>
      </c>
      <c r="E39">
        <v>0</v>
      </c>
      <c r="F39">
        <v>0</v>
      </c>
      <c r="G39" s="178" t="e">
        <f>C39*$D$5*'Input data'!K74/1000-E39</f>
        <v>#REF!</v>
      </c>
      <c r="H39" s="178" t="e">
        <f>D39*$D$4*'Input data'!K74/1000-F39</f>
        <v>#REF!</v>
      </c>
      <c r="J39" s="178" t="e">
        <f>D39*$D$7*'Input data'!K74/1000</f>
        <v>#REF!</v>
      </c>
      <c r="K39" s="309"/>
      <c r="L39" t="e">
        <f>'Input data'!#REF!</f>
        <v>#REF!</v>
      </c>
      <c r="M39" t="e">
        <f>'Input data'!#REF!</f>
        <v>#REF!</v>
      </c>
      <c r="N39">
        <v>0</v>
      </c>
      <c r="O39">
        <v>0</v>
      </c>
      <c r="P39" s="178" t="e">
        <f>L39*$D$5*'Input data'!T74/1000-N39</f>
        <v>#REF!</v>
      </c>
      <c r="Q39" s="178" t="e">
        <f>M39*$D$4*'Input data'!T74/1000-O39</f>
        <v>#REF!</v>
      </c>
      <c r="S39" s="178" t="e">
        <f>M39*$D$7*'Input data'!T74/1000</f>
        <v>#REF!</v>
      </c>
    </row>
    <row r="40" spans="1:19" ht="14.45" hidden="1" customHeight="1">
      <c r="A40" s="123">
        <f>'Input data'!A75</f>
        <v>1977</v>
      </c>
      <c r="B40" s="309"/>
      <c r="C40" t="e">
        <f>'Input data'!#REF!</f>
        <v>#REF!</v>
      </c>
      <c r="D40" t="e">
        <f>'Input data'!#REF!</f>
        <v>#REF!</v>
      </c>
      <c r="E40">
        <v>0</v>
      </c>
      <c r="F40">
        <v>0</v>
      </c>
      <c r="G40" s="178" t="e">
        <f>C40*$D$5*'Input data'!K75/1000-E40</f>
        <v>#REF!</v>
      </c>
      <c r="H40" s="178" t="e">
        <f>D40*$D$4*'Input data'!K75/1000-F40</f>
        <v>#REF!</v>
      </c>
      <c r="J40" s="178" t="e">
        <f>D40*$D$7*'Input data'!K75/1000</f>
        <v>#REF!</v>
      </c>
      <c r="K40" s="309"/>
      <c r="L40" t="e">
        <f>'Input data'!#REF!</f>
        <v>#REF!</v>
      </c>
      <c r="M40" t="e">
        <f>'Input data'!#REF!</f>
        <v>#REF!</v>
      </c>
      <c r="N40">
        <v>0</v>
      </c>
      <c r="O40">
        <v>0</v>
      </c>
      <c r="P40" s="178" t="e">
        <f>L40*$D$5*'Input data'!T75/1000-N40</f>
        <v>#REF!</v>
      </c>
      <c r="Q40" s="178" t="e">
        <f>M40*$D$4*'Input data'!T75/1000-O40</f>
        <v>#REF!</v>
      </c>
      <c r="S40" s="178" t="e">
        <f>M40*$D$7*'Input data'!T75/1000</f>
        <v>#REF!</v>
      </c>
    </row>
    <row r="41" spans="1:19" ht="14.45" hidden="1" customHeight="1">
      <c r="A41" s="123">
        <f>'Input data'!A76</f>
        <v>1978</v>
      </c>
      <c r="B41" s="309"/>
      <c r="C41" t="e">
        <f>'Input data'!#REF!</f>
        <v>#REF!</v>
      </c>
      <c r="D41" t="e">
        <f>'Input data'!#REF!</f>
        <v>#REF!</v>
      </c>
      <c r="E41">
        <v>0</v>
      </c>
      <c r="F41">
        <v>0</v>
      </c>
      <c r="G41" s="178" t="e">
        <f>C41*$D$5*'Input data'!K76/1000-E41</f>
        <v>#REF!</v>
      </c>
      <c r="H41" s="178" t="e">
        <f>D41*$D$4*'Input data'!K76/1000-F41</f>
        <v>#REF!</v>
      </c>
      <c r="J41" s="178" t="e">
        <f>D41*$D$7*'Input data'!K76/1000</f>
        <v>#REF!</v>
      </c>
      <c r="K41" s="309"/>
      <c r="L41" t="e">
        <f>'Input data'!#REF!</f>
        <v>#REF!</v>
      </c>
      <c r="M41" t="e">
        <f>'Input data'!#REF!</f>
        <v>#REF!</v>
      </c>
      <c r="N41">
        <v>0</v>
      </c>
      <c r="O41">
        <v>0</v>
      </c>
      <c r="P41" s="178" t="e">
        <f>L41*$D$5*'Input data'!T76/1000-N41</f>
        <v>#REF!</v>
      </c>
      <c r="Q41" s="178" t="e">
        <f>M41*$D$4*'Input data'!T76/1000-O41</f>
        <v>#REF!</v>
      </c>
      <c r="S41" s="178" t="e">
        <f>M41*$D$7*'Input data'!T76/1000</f>
        <v>#REF!</v>
      </c>
    </row>
    <row r="42" spans="1:19" ht="14.45" hidden="1" customHeight="1">
      <c r="A42" s="123">
        <f>'Input data'!A77</f>
        <v>1979</v>
      </c>
      <c r="B42" s="309"/>
      <c r="C42" t="e">
        <f>'Input data'!#REF!</f>
        <v>#REF!</v>
      </c>
      <c r="D42" t="e">
        <f>'Input data'!#REF!</f>
        <v>#REF!</v>
      </c>
      <c r="E42">
        <v>0</v>
      </c>
      <c r="F42">
        <v>0</v>
      </c>
      <c r="G42" s="178" t="e">
        <f>C42*$D$5*'Input data'!K77/1000-E42</f>
        <v>#REF!</v>
      </c>
      <c r="H42" s="178" t="e">
        <f>D42*$D$4*'Input data'!K77/1000-F42</f>
        <v>#REF!</v>
      </c>
      <c r="J42" s="178" t="e">
        <f>D42*$D$7*'Input data'!K77/1000</f>
        <v>#REF!</v>
      </c>
      <c r="K42" s="309"/>
      <c r="L42" t="e">
        <f>'Input data'!#REF!</f>
        <v>#REF!</v>
      </c>
      <c r="M42" t="e">
        <f>'Input data'!#REF!</f>
        <v>#REF!</v>
      </c>
      <c r="N42">
        <v>0</v>
      </c>
      <c r="O42">
        <v>0</v>
      </c>
      <c r="P42" s="178" t="e">
        <f>L42*$D$5*'Input data'!T77/1000-N42</f>
        <v>#REF!</v>
      </c>
      <c r="Q42" s="178" t="e">
        <f>M42*$D$4*'Input data'!T77/1000-O42</f>
        <v>#REF!</v>
      </c>
      <c r="S42" s="178" t="e">
        <f>M42*$D$7*'Input data'!T77/1000</f>
        <v>#REF!</v>
      </c>
    </row>
    <row r="43" spans="1:19" ht="14.45" hidden="1" customHeight="1">
      <c r="A43" s="123">
        <f>'Input data'!A78</f>
        <v>1980</v>
      </c>
      <c r="B43" s="309"/>
      <c r="C43" t="e">
        <f>'Input data'!#REF!</f>
        <v>#REF!</v>
      </c>
      <c r="D43" t="e">
        <f>'Input data'!#REF!</f>
        <v>#REF!</v>
      </c>
      <c r="E43">
        <v>0</v>
      </c>
      <c r="F43">
        <v>0</v>
      </c>
      <c r="G43" s="178" t="e">
        <f>C43*$D$5*'Input data'!K78/1000-E43</f>
        <v>#REF!</v>
      </c>
      <c r="H43" s="178" t="e">
        <f>D43*$D$4*'Input data'!K78/1000-F43</f>
        <v>#REF!</v>
      </c>
      <c r="J43" s="178" t="e">
        <f>D43*$D$7*'Input data'!K78/1000</f>
        <v>#REF!</v>
      </c>
      <c r="K43" s="309"/>
      <c r="L43" t="e">
        <f>'Input data'!#REF!</f>
        <v>#REF!</v>
      </c>
      <c r="M43" t="e">
        <f>'Input data'!#REF!</f>
        <v>#REF!</v>
      </c>
      <c r="N43">
        <v>0</v>
      </c>
      <c r="O43">
        <v>0</v>
      </c>
      <c r="P43" s="178" t="e">
        <f>L43*$D$5*'Input data'!T78/1000-N43</f>
        <v>#REF!</v>
      </c>
      <c r="Q43" s="178" t="e">
        <f>M43*$D$4*'Input data'!T78/1000-O43</f>
        <v>#REF!</v>
      </c>
      <c r="S43" s="178" t="e">
        <f>M43*$D$7*'Input data'!T78/1000</f>
        <v>#REF!</v>
      </c>
    </row>
    <row r="44" spans="1:19" ht="14.45" hidden="1" customHeight="1">
      <c r="A44" s="123">
        <f>'Input data'!A79</f>
        <v>1981</v>
      </c>
      <c r="B44" s="309"/>
      <c r="C44" t="e">
        <f>'Input data'!#REF!</f>
        <v>#REF!</v>
      </c>
      <c r="D44" t="e">
        <f>'Input data'!#REF!</f>
        <v>#REF!</v>
      </c>
      <c r="E44">
        <v>0</v>
      </c>
      <c r="F44">
        <v>0</v>
      </c>
      <c r="G44" s="178" t="e">
        <f>C44*$D$5*'Input data'!K79/1000-E44</f>
        <v>#REF!</v>
      </c>
      <c r="H44" s="178" t="e">
        <f>D44*$D$4*'Input data'!K79/1000-F44</f>
        <v>#REF!</v>
      </c>
      <c r="J44" s="178" t="e">
        <f>D44*$D$7*'Input data'!K79/1000</f>
        <v>#REF!</v>
      </c>
      <c r="K44" s="309"/>
      <c r="L44" t="e">
        <f>'Input data'!#REF!</f>
        <v>#REF!</v>
      </c>
      <c r="M44" t="e">
        <f>'Input data'!#REF!</f>
        <v>#REF!</v>
      </c>
      <c r="N44">
        <v>0</v>
      </c>
      <c r="O44">
        <v>0</v>
      </c>
      <c r="P44" s="178" t="e">
        <f>L44*$D$5*'Input data'!T79/1000-N44</f>
        <v>#REF!</v>
      </c>
      <c r="Q44" s="178" t="e">
        <f>M44*$D$4*'Input data'!T79/1000-O44</f>
        <v>#REF!</v>
      </c>
      <c r="S44" s="178" t="e">
        <f>M44*$D$7*'Input data'!T79/1000</f>
        <v>#REF!</v>
      </c>
    </row>
    <row r="45" spans="1:19" ht="14.45" hidden="1" customHeight="1">
      <c r="A45" s="123">
        <f>'Input data'!A80</f>
        <v>1982</v>
      </c>
      <c r="B45" s="309"/>
      <c r="C45" t="e">
        <f>'Input data'!#REF!</f>
        <v>#REF!</v>
      </c>
      <c r="D45" t="e">
        <f>'Input data'!#REF!</f>
        <v>#REF!</v>
      </c>
      <c r="E45">
        <v>0</v>
      </c>
      <c r="F45">
        <v>0</v>
      </c>
      <c r="G45" s="178" t="e">
        <f>C45*$D$5*'Input data'!K80/1000-E45</f>
        <v>#REF!</v>
      </c>
      <c r="H45" s="178" t="e">
        <f>D45*$D$4*'Input data'!K80/1000-F45</f>
        <v>#REF!</v>
      </c>
      <c r="J45" s="178" t="e">
        <f>D45*$D$7*'Input data'!K80/1000</f>
        <v>#REF!</v>
      </c>
      <c r="K45" s="309"/>
      <c r="L45" t="e">
        <f>'Input data'!#REF!</f>
        <v>#REF!</v>
      </c>
      <c r="M45" t="e">
        <f>'Input data'!#REF!</f>
        <v>#REF!</v>
      </c>
      <c r="N45">
        <v>0</v>
      </c>
      <c r="O45">
        <v>0</v>
      </c>
      <c r="P45" s="178" t="e">
        <f>L45*$D$5*'Input data'!T80/1000-N45</f>
        <v>#REF!</v>
      </c>
      <c r="Q45" s="178" t="e">
        <f>M45*$D$4*'Input data'!T80/1000-O45</f>
        <v>#REF!</v>
      </c>
      <c r="S45" s="178" t="e">
        <f>M45*$D$7*'Input data'!T80/1000</f>
        <v>#REF!</v>
      </c>
    </row>
    <row r="46" spans="1:19" ht="14.45" hidden="1" customHeight="1">
      <c r="A46" s="123">
        <f>'Input data'!A81</f>
        <v>1983</v>
      </c>
      <c r="B46" s="309"/>
      <c r="C46" t="e">
        <f>'Input data'!#REF!</f>
        <v>#REF!</v>
      </c>
      <c r="D46" t="e">
        <f>'Input data'!#REF!</f>
        <v>#REF!</v>
      </c>
      <c r="E46">
        <v>0</v>
      </c>
      <c r="F46">
        <v>0</v>
      </c>
      <c r="G46" s="178" t="e">
        <f>C46*$D$5*'Input data'!K81/1000-E46</f>
        <v>#REF!</v>
      </c>
      <c r="H46" s="178" t="e">
        <f>D46*$D$4*'Input data'!K81/1000-F46</f>
        <v>#REF!</v>
      </c>
      <c r="J46" s="178" t="e">
        <f>D46*$D$7*'Input data'!K81/1000</f>
        <v>#REF!</v>
      </c>
      <c r="K46" s="309"/>
      <c r="L46" t="e">
        <f>'Input data'!#REF!</f>
        <v>#REF!</v>
      </c>
      <c r="M46" t="e">
        <f>'Input data'!#REF!</f>
        <v>#REF!</v>
      </c>
      <c r="N46">
        <v>0</v>
      </c>
      <c r="O46">
        <v>0</v>
      </c>
      <c r="P46" s="178" t="e">
        <f>L46*$D$5*'Input data'!T81/1000-N46</f>
        <v>#REF!</v>
      </c>
      <c r="Q46" s="178" t="e">
        <f>M46*$D$4*'Input data'!T81/1000-O46</f>
        <v>#REF!</v>
      </c>
      <c r="S46" s="178" t="e">
        <f>M46*$D$7*'Input data'!T81/1000</f>
        <v>#REF!</v>
      </c>
    </row>
    <row r="47" spans="1:19" ht="14.45" hidden="1" customHeight="1">
      <c r="A47" s="123">
        <f>'Input data'!A82</f>
        <v>1984</v>
      </c>
      <c r="B47" s="309"/>
      <c r="C47" t="e">
        <f>'Input data'!#REF!</f>
        <v>#REF!</v>
      </c>
      <c r="D47" t="e">
        <f>'Input data'!#REF!</f>
        <v>#REF!</v>
      </c>
      <c r="E47">
        <v>0</v>
      </c>
      <c r="F47">
        <v>0</v>
      </c>
      <c r="G47" s="178" t="e">
        <f>C47*$D$5*'Input data'!K82/1000-E47</f>
        <v>#REF!</v>
      </c>
      <c r="H47" s="178" t="e">
        <f>D47*$D$4*'Input data'!K82/1000-F47</f>
        <v>#REF!</v>
      </c>
      <c r="J47" s="178" t="e">
        <f>D47*$D$7*'Input data'!K82/1000</f>
        <v>#REF!</v>
      </c>
      <c r="K47" s="309"/>
      <c r="L47" t="e">
        <f>'Input data'!#REF!</f>
        <v>#REF!</v>
      </c>
      <c r="M47" t="e">
        <f>'Input data'!#REF!</f>
        <v>#REF!</v>
      </c>
      <c r="N47">
        <v>0</v>
      </c>
      <c r="O47">
        <v>0</v>
      </c>
      <c r="P47" s="178" t="e">
        <f>L47*$D$5*'Input data'!T82/1000-N47</f>
        <v>#REF!</v>
      </c>
      <c r="Q47" s="178" t="e">
        <f>M47*$D$4*'Input data'!T82/1000-O47</f>
        <v>#REF!</v>
      </c>
      <c r="S47" s="178" t="e">
        <f>M47*$D$7*'Input data'!T82/1000</f>
        <v>#REF!</v>
      </c>
    </row>
    <row r="48" spans="1:19" ht="14.45" hidden="1" customHeight="1">
      <c r="A48" s="123">
        <f>'Input data'!A83</f>
        <v>1985</v>
      </c>
      <c r="B48" s="309"/>
      <c r="C48" t="e">
        <f>'Input data'!#REF!</f>
        <v>#REF!</v>
      </c>
      <c r="D48" t="e">
        <f>'Input data'!#REF!</f>
        <v>#REF!</v>
      </c>
      <c r="E48">
        <v>0</v>
      </c>
      <c r="F48">
        <v>0</v>
      </c>
      <c r="G48" s="178" t="e">
        <f>C48*$D$5*'Input data'!K83/1000-E48</f>
        <v>#REF!</v>
      </c>
      <c r="H48" s="178" t="e">
        <f>D48*$D$4*'Input data'!K83/1000-F48</f>
        <v>#REF!</v>
      </c>
      <c r="J48" s="178" t="e">
        <f>D48*$D$7*'Input data'!K83/1000</f>
        <v>#REF!</v>
      </c>
      <c r="K48" s="309"/>
      <c r="L48" t="e">
        <f>'Input data'!#REF!</f>
        <v>#REF!</v>
      </c>
      <c r="M48" t="e">
        <f>'Input data'!#REF!</f>
        <v>#REF!</v>
      </c>
      <c r="N48">
        <v>0</v>
      </c>
      <c r="O48">
        <v>0</v>
      </c>
      <c r="P48" s="178" t="e">
        <f>L48*$D$5*'Input data'!T83/1000-N48</f>
        <v>#REF!</v>
      </c>
      <c r="Q48" s="178" t="e">
        <f>M48*$D$4*'Input data'!T83/1000-O48</f>
        <v>#REF!</v>
      </c>
      <c r="S48" s="178" t="e">
        <f>M48*$D$7*'Input data'!T83/1000</f>
        <v>#REF!</v>
      </c>
    </row>
    <row r="49" spans="1:23" ht="14.45" hidden="1" customHeight="1">
      <c r="A49" s="123">
        <f>'Input data'!A84</f>
        <v>1986</v>
      </c>
      <c r="B49" s="309"/>
      <c r="C49" t="e">
        <f>'Input data'!#REF!</f>
        <v>#REF!</v>
      </c>
      <c r="D49" t="e">
        <f>'Input data'!#REF!</f>
        <v>#REF!</v>
      </c>
      <c r="E49">
        <v>0</v>
      </c>
      <c r="F49">
        <v>0</v>
      </c>
      <c r="G49" s="178" t="e">
        <f>C49*$D$5*'Input data'!K84/1000-E49</f>
        <v>#REF!</v>
      </c>
      <c r="H49" s="178" t="e">
        <f>D49*$D$4*'Input data'!K84/1000-F49</f>
        <v>#REF!</v>
      </c>
      <c r="J49" s="178" t="e">
        <f>D49*$D$7*'Input data'!K84/1000</f>
        <v>#REF!</v>
      </c>
      <c r="K49" s="309"/>
      <c r="L49" t="e">
        <f>'Input data'!#REF!</f>
        <v>#REF!</v>
      </c>
      <c r="M49" t="e">
        <f>'Input data'!#REF!</f>
        <v>#REF!</v>
      </c>
      <c r="N49">
        <v>0</v>
      </c>
      <c r="O49">
        <v>0</v>
      </c>
      <c r="P49" s="178" t="e">
        <f>L49*$D$5*'Input data'!T84/1000-N49</f>
        <v>#REF!</v>
      </c>
      <c r="Q49" s="178" t="e">
        <f>M49*$D$4*'Input data'!T84/1000-O49</f>
        <v>#REF!</v>
      </c>
      <c r="S49" s="178" t="e">
        <f>M49*$D$7*'Input data'!T84/1000</f>
        <v>#REF!</v>
      </c>
    </row>
    <row r="50" spans="1:23" ht="14.45" hidden="1" customHeight="1">
      <c r="A50" s="123">
        <f>'Input data'!A85</f>
        <v>1987</v>
      </c>
      <c r="B50" s="309"/>
      <c r="C50" t="e">
        <f>'Input data'!#REF!</f>
        <v>#REF!</v>
      </c>
      <c r="D50" t="e">
        <f>'Input data'!#REF!</f>
        <v>#REF!</v>
      </c>
      <c r="E50">
        <v>0</v>
      </c>
      <c r="F50">
        <v>0</v>
      </c>
      <c r="G50" s="178" t="e">
        <f>C50*$D$5*'Input data'!K85/1000-E50</f>
        <v>#REF!</v>
      </c>
      <c r="H50" s="178" t="e">
        <f>D50*$D$4*'Input data'!K85/1000-F50</f>
        <v>#REF!</v>
      </c>
      <c r="J50" s="178" t="e">
        <f>D50*$D$7*'Input data'!K85/1000</f>
        <v>#REF!</v>
      </c>
      <c r="K50" s="309"/>
      <c r="L50" t="e">
        <f>'Input data'!#REF!</f>
        <v>#REF!</v>
      </c>
      <c r="M50" t="e">
        <f>'Input data'!#REF!</f>
        <v>#REF!</v>
      </c>
      <c r="N50">
        <v>0</v>
      </c>
      <c r="O50">
        <v>0</v>
      </c>
      <c r="P50" s="178" t="e">
        <f>L50*$D$5*'Input data'!T85/1000-N50</f>
        <v>#REF!</v>
      </c>
      <c r="Q50" s="178" t="e">
        <f>M50*$D$4*'Input data'!T85/1000-O50</f>
        <v>#REF!</v>
      </c>
      <c r="S50" s="178" t="e">
        <f>M50*$D$7*'Input data'!T85/1000</f>
        <v>#REF!</v>
      </c>
    </row>
    <row r="51" spans="1:23" ht="14.45" hidden="1" customHeight="1">
      <c r="A51" s="123">
        <f>'Input data'!A86</f>
        <v>1988</v>
      </c>
      <c r="B51" s="309"/>
      <c r="C51" t="e">
        <f>'Input data'!#REF!</f>
        <v>#REF!</v>
      </c>
      <c r="D51" t="e">
        <f>'Input data'!#REF!</f>
        <v>#REF!</v>
      </c>
      <c r="E51">
        <v>0</v>
      </c>
      <c r="F51">
        <v>0</v>
      </c>
      <c r="G51" s="178" t="e">
        <f>C51*$D$5*'Input data'!K86/1000-E51</f>
        <v>#REF!</v>
      </c>
      <c r="H51" s="178" t="e">
        <f>D51*$D$4*'Input data'!K86/1000-F51</f>
        <v>#REF!</v>
      </c>
      <c r="J51" s="178" t="e">
        <f>D51*$D$7*'Input data'!K86/1000</f>
        <v>#REF!</v>
      </c>
      <c r="K51" s="309"/>
      <c r="L51" t="e">
        <f>'Input data'!#REF!</f>
        <v>#REF!</v>
      </c>
      <c r="M51" t="e">
        <f>'Input data'!#REF!</f>
        <v>#REF!</v>
      </c>
      <c r="N51">
        <v>0</v>
      </c>
      <c r="O51">
        <v>0</v>
      </c>
      <c r="P51" s="178" t="e">
        <f>L51*$D$5*'Input data'!T86/1000-N51</f>
        <v>#REF!</v>
      </c>
      <c r="Q51" s="178" t="e">
        <f>M51*$D$4*'Input data'!T86/1000-O51</f>
        <v>#REF!</v>
      </c>
      <c r="S51" s="178" t="e">
        <f>M51*$D$7*'Input data'!T86/1000</f>
        <v>#REF!</v>
      </c>
    </row>
    <row r="52" spans="1:23" ht="14.45" hidden="1" customHeight="1">
      <c r="A52" s="123">
        <f>'Input data'!A87</f>
        <v>1989</v>
      </c>
      <c r="B52" s="309"/>
      <c r="C52" t="e">
        <f>'Input data'!#REF!</f>
        <v>#REF!</v>
      </c>
      <c r="D52" t="e">
        <f>'Input data'!#REF!</f>
        <v>#REF!</v>
      </c>
      <c r="E52">
        <v>0</v>
      </c>
      <c r="F52">
        <v>0</v>
      </c>
      <c r="G52" s="178" t="e">
        <f>C52*$D$5*'Input data'!K87/1000-E52</f>
        <v>#REF!</v>
      </c>
      <c r="H52" s="178" t="e">
        <f>D52*$D$4*'Input data'!K87/1000-F52</f>
        <v>#REF!</v>
      </c>
      <c r="J52" s="178" t="e">
        <f>D52*$D$7*'Input data'!K87/1000</f>
        <v>#REF!</v>
      </c>
      <c r="K52" s="309"/>
      <c r="L52" t="e">
        <f>'Input data'!#REF!</f>
        <v>#REF!</v>
      </c>
      <c r="M52" t="e">
        <f>'Input data'!#REF!</f>
        <v>#REF!</v>
      </c>
      <c r="N52">
        <v>0</v>
      </c>
      <c r="O52">
        <v>0</v>
      </c>
      <c r="P52" s="178" t="e">
        <f>L52*$D$5*'Input data'!T87/1000-N52</f>
        <v>#REF!</v>
      </c>
      <c r="Q52" s="178" t="e">
        <f>M52*$D$4*'Input data'!T87/1000-O52</f>
        <v>#REF!</v>
      </c>
      <c r="S52" s="178" t="e">
        <f>M52*$D$7*'Input data'!T87/1000</f>
        <v>#REF!</v>
      </c>
    </row>
    <row r="53" spans="1:23" ht="14.45" hidden="1" customHeight="1">
      <c r="A53" s="123">
        <f>'Input data'!A88</f>
        <v>1990</v>
      </c>
      <c r="B53" s="309"/>
      <c r="C53" t="e">
        <f>'Input data'!#REF!</f>
        <v>#REF!</v>
      </c>
      <c r="D53" t="e">
        <f>'Input data'!#REF!</f>
        <v>#REF!</v>
      </c>
      <c r="E53">
        <v>0</v>
      </c>
      <c r="F53">
        <v>0</v>
      </c>
      <c r="G53" s="178" t="e">
        <f>C53*$D$5*'Input data'!K88/1000-E53</f>
        <v>#REF!</v>
      </c>
      <c r="H53" s="178" t="e">
        <f>D53*$D$4*'Input data'!K88/1000-F53</f>
        <v>#REF!</v>
      </c>
      <c r="J53" s="178" t="e">
        <f>D53*$D$7*'Input data'!K88/1000</f>
        <v>#REF!</v>
      </c>
      <c r="K53" s="309"/>
      <c r="L53" t="e">
        <f>'Input data'!#REF!</f>
        <v>#REF!</v>
      </c>
      <c r="M53" t="e">
        <f>'Input data'!#REF!</f>
        <v>#REF!</v>
      </c>
      <c r="N53">
        <v>0</v>
      </c>
      <c r="O53">
        <v>0</v>
      </c>
      <c r="P53" s="178" t="e">
        <f>L53*$D$5*'Input data'!T88/1000-N53</f>
        <v>#REF!</v>
      </c>
      <c r="Q53" s="178" t="e">
        <f>M53*$D$4*'Input data'!T88/1000-O53</f>
        <v>#REF!</v>
      </c>
      <c r="S53" s="178" t="e">
        <f>M53*$D$7*'Input data'!T88/1000</f>
        <v>#REF!</v>
      </c>
    </row>
    <row r="54" spans="1:23" ht="14.45" hidden="1" customHeight="1">
      <c r="A54" s="123">
        <f>'Input data'!A89</f>
        <v>1991</v>
      </c>
      <c r="B54" s="309"/>
      <c r="C54" t="e">
        <f>'Input data'!#REF!</f>
        <v>#REF!</v>
      </c>
      <c r="D54" t="e">
        <f>'Input data'!#REF!</f>
        <v>#REF!</v>
      </c>
      <c r="E54">
        <v>0</v>
      </c>
      <c r="F54">
        <v>0</v>
      </c>
      <c r="G54" s="178" t="e">
        <f>C54*$D$5*'Input data'!K89/1000-E54</f>
        <v>#REF!</v>
      </c>
      <c r="H54" s="178" t="e">
        <f>D54*$D$4*'Input data'!K89/1000-F54</f>
        <v>#REF!</v>
      </c>
      <c r="J54" s="178" t="e">
        <f>D54*$D$7*'Input data'!K89/1000</f>
        <v>#REF!</v>
      </c>
      <c r="K54" s="309"/>
      <c r="L54" t="e">
        <f>'Input data'!#REF!</f>
        <v>#REF!</v>
      </c>
      <c r="M54" t="e">
        <f>'Input data'!#REF!</f>
        <v>#REF!</v>
      </c>
      <c r="N54">
        <v>0</v>
      </c>
      <c r="O54">
        <v>0</v>
      </c>
      <c r="P54" s="178" t="e">
        <f>L54*$D$5*'Input data'!T89/1000-N54</f>
        <v>#REF!</v>
      </c>
      <c r="Q54" s="178" t="e">
        <f>M54*$D$4*'Input data'!T89/1000-O54</f>
        <v>#REF!</v>
      </c>
      <c r="S54" s="178" t="e">
        <f>M54*$D$7*'Input data'!T89/1000</f>
        <v>#REF!</v>
      </c>
    </row>
    <row r="55" spans="1:23" ht="14.45" hidden="1" customHeight="1">
      <c r="A55" s="123">
        <f>'Input data'!A90</f>
        <v>1992</v>
      </c>
      <c r="B55" s="309"/>
      <c r="C55" t="e">
        <f>'Input data'!#REF!</f>
        <v>#REF!</v>
      </c>
      <c r="D55" t="e">
        <f>'Input data'!#REF!</f>
        <v>#REF!</v>
      </c>
      <c r="E55">
        <v>0</v>
      </c>
      <c r="F55">
        <v>0</v>
      </c>
      <c r="G55" s="178" t="e">
        <f>C55*$D$5*'Input data'!K90/1000-E55</f>
        <v>#REF!</v>
      </c>
      <c r="H55" s="178" t="e">
        <f>D55*$D$4*'Input data'!K90/1000-F55</f>
        <v>#REF!</v>
      </c>
      <c r="J55" s="178" t="e">
        <f>D55*$D$7*'Input data'!K90/1000</f>
        <v>#REF!</v>
      </c>
      <c r="K55" s="309"/>
      <c r="L55" t="e">
        <f>'Input data'!#REF!</f>
        <v>#REF!</v>
      </c>
      <c r="M55" t="e">
        <f>'Input data'!#REF!</f>
        <v>#REF!</v>
      </c>
      <c r="N55">
        <v>0</v>
      </c>
      <c r="O55">
        <v>0</v>
      </c>
      <c r="P55" s="178" t="e">
        <f>L55*$D$5*'Input data'!T90/1000-N55</f>
        <v>#REF!</v>
      </c>
      <c r="Q55" s="178" t="e">
        <f>M55*$D$4*'Input data'!T90/1000-O55</f>
        <v>#REF!</v>
      </c>
      <c r="S55" s="178" t="e">
        <f>M55*$D$7*'Input data'!T90/1000</f>
        <v>#REF!</v>
      </c>
    </row>
    <row r="56" spans="1:23" ht="14.45" hidden="1" customHeight="1">
      <c r="A56" s="123">
        <f>'Input data'!A91</f>
        <v>1993</v>
      </c>
      <c r="B56" s="309"/>
      <c r="C56" t="e">
        <f>'Input data'!#REF!</f>
        <v>#REF!</v>
      </c>
      <c r="D56" t="e">
        <f>'Input data'!#REF!</f>
        <v>#REF!</v>
      </c>
      <c r="E56">
        <v>0</v>
      </c>
      <c r="F56">
        <v>0</v>
      </c>
      <c r="G56" s="178" t="e">
        <f>C56*$D$5*'Input data'!K91/1000-E56</f>
        <v>#REF!</v>
      </c>
      <c r="H56" s="178" t="e">
        <f>D56*$D$4*'Input data'!K91/1000-F56</f>
        <v>#REF!</v>
      </c>
      <c r="J56" s="178" t="e">
        <f>D56*$D$7*'Input data'!K91/1000</f>
        <v>#REF!</v>
      </c>
      <c r="K56" s="309"/>
      <c r="L56" t="e">
        <f>'Input data'!#REF!</f>
        <v>#REF!</v>
      </c>
      <c r="M56" t="e">
        <f>'Input data'!#REF!</f>
        <v>#REF!</v>
      </c>
      <c r="N56">
        <v>0</v>
      </c>
      <c r="O56">
        <v>0</v>
      </c>
      <c r="P56" s="178" t="e">
        <f>L56*$D$5*'Input data'!T91/1000-N56</f>
        <v>#REF!</v>
      </c>
      <c r="Q56" s="178" t="e">
        <f>M56*$D$4*'Input data'!T91/1000-O56</f>
        <v>#REF!</v>
      </c>
      <c r="S56" s="178" t="e">
        <f>M56*$D$7*'Input data'!T91/1000</f>
        <v>#REF!</v>
      </c>
    </row>
    <row r="57" spans="1:23" ht="14.45" hidden="1" customHeight="1">
      <c r="A57" s="123">
        <f>'Input data'!A92</f>
        <v>1994</v>
      </c>
      <c r="B57" s="309"/>
      <c r="C57" t="e">
        <f>'Input data'!#REF!</f>
        <v>#REF!</v>
      </c>
      <c r="D57" t="e">
        <f>'Input data'!#REF!</f>
        <v>#REF!</v>
      </c>
      <c r="E57">
        <v>0</v>
      </c>
      <c r="F57">
        <v>0</v>
      </c>
      <c r="G57" s="178" t="e">
        <f>C57*$D$5*'Input data'!K92/1000-E57</f>
        <v>#REF!</v>
      </c>
      <c r="H57" s="178" t="e">
        <f>D57*$D$4*'Input data'!K92/1000-F57</f>
        <v>#REF!</v>
      </c>
      <c r="J57" s="178" t="e">
        <f>D57*$D$7*'Input data'!K92/1000</f>
        <v>#REF!</v>
      </c>
      <c r="K57" s="309"/>
      <c r="L57" t="e">
        <f>'Input data'!#REF!</f>
        <v>#REF!</v>
      </c>
      <c r="M57" t="e">
        <f>'Input data'!#REF!</f>
        <v>#REF!</v>
      </c>
      <c r="N57">
        <v>0</v>
      </c>
      <c r="O57">
        <v>0</v>
      </c>
      <c r="P57" s="178" t="e">
        <f>L57*$D$5*'Input data'!T92/1000-N57</f>
        <v>#REF!</v>
      </c>
      <c r="Q57" s="178" t="e">
        <f>M57*$D$4*'Input data'!T92/1000-O57</f>
        <v>#REF!</v>
      </c>
      <c r="S57" s="178" t="e">
        <f>M57*$D$7*'Input data'!T92/1000</f>
        <v>#REF!</v>
      </c>
    </row>
    <row r="58" spans="1:23" ht="14.45" hidden="1" customHeight="1">
      <c r="A58" s="123">
        <f>'Input data'!A93</f>
        <v>1995</v>
      </c>
      <c r="B58" s="309"/>
      <c r="C58" t="e">
        <f>'Input data'!#REF!</f>
        <v>#REF!</v>
      </c>
      <c r="D58" t="e">
        <f>'Input data'!#REF!</f>
        <v>#REF!</v>
      </c>
      <c r="E58">
        <v>0</v>
      </c>
      <c r="F58">
        <v>0</v>
      </c>
      <c r="G58" s="178" t="e">
        <f>C58*$D$5*'Input data'!K93/1000-E58</f>
        <v>#REF!</v>
      </c>
      <c r="H58" s="178" t="e">
        <f>D58*$D$4*'Input data'!K93/1000-F58</f>
        <v>#REF!</v>
      </c>
      <c r="J58" s="178" t="e">
        <f>D58*$D$7*'Input data'!K93/1000</f>
        <v>#REF!</v>
      </c>
      <c r="K58" s="309"/>
      <c r="L58" t="e">
        <f>'Input data'!#REF!</f>
        <v>#REF!</v>
      </c>
      <c r="M58" t="e">
        <f>'Input data'!#REF!</f>
        <v>#REF!</v>
      </c>
      <c r="N58">
        <v>0</v>
      </c>
      <c r="O58">
        <v>0</v>
      </c>
      <c r="P58" s="178" t="e">
        <f>L58*$D$5*'Input data'!T93/1000-N58</f>
        <v>#REF!</v>
      </c>
      <c r="Q58" s="178" t="e">
        <f>M58*$D$4*'Input data'!T93/1000-O58</f>
        <v>#REF!</v>
      </c>
      <c r="S58" s="178" t="e">
        <f>M58*$D$7*'Input data'!T93/1000</f>
        <v>#REF!</v>
      </c>
    </row>
    <row r="59" spans="1:23" ht="14.45" hidden="1" customHeight="1">
      <c r="A59" s="123">
        <f>'Input data'!A94</f>
        <v>1996</v>
      </c>
      <c r="B59" s="309"/>
      <c r="C59" t="e">
        <f>'Input data'!#REF!</f>
        <v>#REF!</v>
      </c>
      <c r="D59" t="e">
        <f>'Input data'!#REF!</f>
        <v>#REF!</v>
      </c>
      <c r="E59">
        <v>0</v>
      </c>
      <c r="F59">
        <v>0</v>
      </c>
      <c r="G59" s="178" t="e">
        <f>C59*$D$5*'Input data'!K94/1000-E59</f>
        <v>#REF!</v>
      </c>
      <c r="H59" s="178" t="e">
        <f>D59*$D$4*'Input data'!K94/1000-F59</f>
        <v>#REF!</v>
      </c>
      <c r="J59" s="178" t="e">
        <f>D59*$D$7*'Input data'!K94/1000</f>
        <v>#REF!</v>
      </c>
      <c r="K59" s="309"/>
      <c r="L59" t="e">
        <f>'Input data'!#REF!</f>
        <v>#REF!</v>
      </c>
      <c r="M59" t="e">
        <f>'Input data'!#REF!</f>
        <v>#REF!</v>
      </c>
      <c r="N59">
        <v>0</v>
      </c>
      <c r="O59">
        <v>0</v>
      </c>
      <c r="P59" s="178" t="e">
        <f>L59*$D$5*'Input data'!T94/1000-N59</f>
        <v>#REF!</v>
      </c>
      <c r="Q59" s="178" t="e">
        <f>M59*$D$4*'Input data'!T94/1000-O59</f>
        <v>#REF!</v>
      </c>
      <c r="S59" s="178" t="e">
        <f>M59*$D$7*'Input data'!T94/1000</f>
        <v>#REF!</v>
      </c>
    </row>
    <row r="60" spans="1:23" ht="14.45" hidden="1" customHeight="1">
      <c r="A60" s="123">
        <f>'Input data'!A95</f>
        <v>1997</v>
      </c>
      <c r="B60" s="309"/>
      <c r="C60" t="e">
        <f>'Input data'!#REF!</f>
        <v>#REF!</v>
      </c>
      <c r="D60" t="e">
        <f>'Input data'!#REF!</f>
        <v>#REF!</v>
      </c>
      <c r="E60">
        <v>0</v>
      </c>
      <c r="F60">
        <v>0</v>
      </c>
      <c r="G60" s="178" t="e">
        <f>C60*$D$5*'Input data'!K95/1000-E60</f>
        <v>#REF!</v>
      </c>
      <c r="H60" s="178" t="e">
        <f>D60*$D$4*'Input data'!K95/1000-F60</f>
        <v>#REF!</v>
      </c>
      <c r="J60" s="178" t="e">
        <f>D60*$D$7*'Input data'!K95/1000</f>
        <v>#REF!</v>
      </c>
      <c r="K60" s="309"/>
      <c r="L60" t="e">
        <f>'Input data'!#REF!</f>
        <v>#REF!</v>
      </c>
      <c r="M60" t="e">
        <f>'Input data'!#REF!</f>
        <v>#REF!</v>
      </c>
      <c r="N60">
        <v>0</v>
      </c>
      <c r="O60">
        <v>0</v>
      </c>
      <c r="P60" s="178" t="e">
        <f>L60*$D$5*'Input data'!T95/1000-N60</f>
        <v>#REF!</v>
      </c>
      <c r="Q60" s="178" t="e">
        <f>M60*$D$4*'Input data'!T95/1000-O60</f>
        <v>#REF!</v>
      </c>
      <c r="S60" s="178" t="e">
        <f>M60*$D$7*'Input data'!T95/1000</f>
        <v>#REF!</v>
      </c>
    </row>
    <row r="61" spans="1:23" ht="14.45" hidden="1" customHeight="1">
      <c r="A61" s="123">
        <f>'Input data'!A96</f>
        <v>1998</v>
      </c>
      <c r="B61" s="309"/>
      <c r="C61" t="e">
        <f>'Input data'!#REF!</f>
        <v>#REF!</v>
      </c>
      <c r="D61" t="e">
        <f>'Input data'!#REF!</f>
        <v>#REF!</v>
      </c>
      <c r="E61">
        <v>0</v>
      </c>
      <c r="F61">
        <v>0</v>
      </c>
      <c r="G61" s="178" t="e">
        <f>C61*$D$5*'Input data'!K96/1000-E61</f>
        <v>#REF!</v>
      </c>
      <c r="H61" s="178" t="e">
        <f>D61*$D$4*'Input data'!K96/1000-F61</f>
        <v>#REF!</v>
      </c>
      <c r="J61" s="178" t="e">
        <f>D61*$D$7*'Input data'!K96/1000</f>
        <v>#REF!</v>
      </c>
      <c r="K61" s="309"/>
      <c r="L61" t="e">
        <f>'Input data'!#REF!</f>
        <v>#REF!</v>
      </c>
      <c r="M61" t="e">
        <f>'Input data'!#REF!</f>
        <v>#REF!</v>
      </c>
      <c r="N61">
        <v>0</v>
      </c>
      <c r="O61">
        <v>0</v>
      </c>
      <c r="P61" s="178" t="e">
        <f>L61*$D$5*'Input data'!T96/1000-N61</f>
        <v>#REF!</v>
      </c>
      <c r="Q61" s="178" t="e">
        <f>M61*$D$4*'Input data'!T96/1000-O61</f>
        <v>#REF!</v>
      </c>
      <c r="S61" s="178" t="e">
        <f>M61*$D$7*'Input data'!T96/1000</f>
        <v>#REF!</v>
      </c>
    </row>
    <row r="62" spans="1:23" ht="14.45" hidden="1" customHeight="1">
      <c r="A62" s="123">
        <f>'Input data'!A97</f>
        <v>1999</v>
      </c>
      <c r="B62" s="309"/>
      <c r="C62" t="e">
        <f>'Input data'!#REF!</f>
        <v>#REF!</v>
      </c>
      <c r="D62" t="e">
        <f>'Input data'!#REF!</f>
        <v>#REF!</v>
      </c>
      <c r="E62">
        <v>0</v>
      </c>
      <c r="F62">
        <v>0</v>
      </c>
      <c r="G62" s="178" t="e">
        <f>C62*$D$5*'Input data'!K97/1000-E62</f>
        <v>#REF!</v>
      </c>
      <c r="H62" s="178" t="e">
        <f>D62*$D$4*'Input data'!K97/1000-F62</f>
        <v>#REF!</v>
      </c>
      <c r="J62" s="178" t="e">
        <f>D62*$D$7*'Input data'!K97/1000</f>
        <v>#REF!</v>
      </c>
      <c r="K62" s="309"/>
      <c r="L62" t="e">
        <f>'Input data'!#REF!</f>
        <v>#REF!</v>
      </c>
      <c r="M62" t="e">
        <f>'Input data'!#REF!</f>
        <v>#REF!</v>
      </c>
      <c r="N62">
        <v>0</v>
      </c>
      <c r="O62">
        <v>0</v>
      </c>
      <c r="P62" s="178" t="e">
        <f>L62*$D$5*'Input data'!T97/1000-N62</f>
        <v>#REF!</v>
      </c>
      <c r="Q62" s="178" t="e">
        <f>M62*$D$4*'Input data'!T97/1000-O62</f>
        <v>#REF!</v>
      </c>
      <c r="S62" s="178" t="e">
        <f>M62*$D$7*'Input data'!T97/1000</f>
        <v>#REF!</v>
      </c>
    </row>
    <row r="63" spans="1:23">
      <c r="A63" s="123">
        <f>'Input data'!A98</f>
        <v>2000</v>
      </c>
      <c r="B63" s="512">
        <f>'Baseline data (from input)'!C56*'Baseline data (from input)'!M56*'Baseline data (from input)'!R56</f>
        <v>945.60407088653449</v>
      </c>
      <c r="C63" s="114">
        <v>0</v>
      </c>
      <c r="D63" s="114">
        <f>1-C63</f>
        <v>1</v>
      </c>
      <c r="E63">
        <v>0</v>
      </c>
      <c r="F63">
        <v>0</v>
      </c>
      <c r="G63" s="178">
        <f>C63*$D$5*'Input data'!K98/1000-E63</f>
        <v>0</v>
      </c>
      <c r="H63" s="512">
        <f>D63*$D$4*B63/1000-F63</f>
        <v>3.7824162835461381</v>
      </c>
      <c r="I63" s="472"/>
      <c r="J63" s="178">
        <f>D63*$D$7*B63/1000</f>
        <v>0.22694497701276828</v>
      </c>
      <c r="K63" s="512">
        <f>'Baseline data (from input)'!AA56*'Baseline data (from input)'!V56*'Baseline data (from input)'!T56</f>
        <v>3858.3720678568429</v>
      </c>
      <c r="L63" s="114">
        <v>0</v>
      </c>
      <c r="M63" s="114">
        <f>1-L63</f>
        <v>1</v>
      </c>
      <c r="N63">
        <v>0</v>
      </c>
      <c r="O63">
        <v>0</v>
      </c>
      <c r="P63" s="178">
        <f>L63*$D$5*'Input data'!T98/1000-N63</f>
        <v>0</v>
      </c>
      <c r="Q63" s="512">
        <f>M63*$D$4*K63/1000-O63</f>
        <v>15.433488271427372</v>
      </c>
      <c r="S63" s="178">
        <f>M63*$D$7*K63/1000</f>
        <v>0.92600929628564221</v>
      </c>
      <c r="T63" s="585">
        <f>G63+P63</f>
        <v>0</v>
      </c>
      <c r="U63" s="585">
        <f>H63+Q63</f>
        <v>19.215904554973509</v>
      </c>
      <c r="V63" s="585">
        <f>I63+R63</f>
        <v>0</v>
      </c>
      <c r="W63" s="585">
        <f>J63+S63</f>
        <v>1.1529542732984104</v>
      </c>
    </row>
    <row r="64" spans="1:23">
      <c r="A64" s="123">
        <f>'Input data'!A99</f>
        <v>2001</v>
      </c>
      <c r="B64" s="512">
        <f>'Baseline data (from input)'!C57*'Baseline data (from input)'!M57*'Baseline data (from input)'!R57</f>
        <v>965.16088235259679</v>
      </c>
      <c r="C64" s="114">
        <v>0</v>
      </c>
      <c r="D64" s="114">
        <f t="shared" ref="D64:D80" si="0">1-C64</f>
        <v>1</v>
      </c>
      <c r="E64">
        <v>0</v>
      </c>
      <c r="F64">
        <v>0</v>
      </c>
      <c r="G64" s="178">
        <f>C64*$D$5*'Input data'!K99/1000-E64</f>
        <v>0</v>
      </c>
      <c r="H64" s="512">
        <f t="shared" ref="H64:H79" si="1">D64*$D$4*B64/1000-F64</f>
        <v>3.8606435294103871</v>
      </c>
      <c r="I64" s="472"/>
      <c r="J64" s="178">
        <f t="shared" ref="J64:J80" si="2">D64*$D$7*B64/1000</f>
        <v>0.23163861176462322</v>
      </c>
      <c r="K64" s="512">
        <f>'Baseline data (from input)'!AA57*'Baseline data (from input)'!V57*'Baseline data (from input)'!T57</f>
        <v>3962.5479040636237</v>
      </c>
      <c r="L64" s="114">
        <v>0</v>
      </c>
      <c r="M64" s="114">
        <f t="shared" ref="M64:M80" si="3">1-L64</f>
        <v>1</v>
      </c>
      <c r="N64">
        <v>0</v>
      </c>
      <c r="O64">
        <v>0</v>
      </c>
      <c r="P64" s="178">
        <f>L64*$D$5*'Input data'!T99/1000-N64</f>
        <v>0</v>
      </c>
      <c r="Q64" s="512">
        <f t="shared" ref="Q64:Q114" si="4">M64*$D$4*K64/1000-O64</f>
        <v>15.850191616254495</v>
      </c>
      <c r="S64" s="178">
        <f t="shared" ref="S64:S81" si="5">M64*$D$7*K64/1000</f>
        <v>0.95101149697526965</v>
      </c>
      <c r="T64" s="585">
        <f t="shared" ref="T64:U80" si="6">G64+P64</f>
        <v>0</v>
      </c>
      <c r="U64" s="585">
        <f t="shared" si="6"/>
        <v>19.71083514566488</v>
      </c>
      <c r="V64" s="585">
        <f t="shared" ref="V64:W80" si="7">I64+R64</f>
        <v>0</v>
      </c>
      <c r="W64" s="585">
        <f t="shared" si="7"/>
        <v>1.1826501087398928</v>
      </c>
    </row>
    <row r="65" spans="1:23">
      <c r="A65" s="123">
        <f>'Input data'!A100</f>
        <v>2002</v>
      </c>
      <c r="B65" s="512">
        <f>'Baseline data (from input)'!C58*'Baseline data (from input)'!M58*'Baseline data (from input)'!R58</f>
        <v>978.54977635628575</v>
      </c>
      <c r="C65" s="114">
        <v>0</v>
      </c>
      <c r="D65" s="114">
        <f t="shared" si="0"/>
        <v>1</v>
      </c>
      <c r="E65">
        <v>0</v>
      </c>
      <c r="F65">
        <v>0</v>
      </c>
      <c r="G65" s="178">
        <f>C65*$D$5*'Input data'!K100/1000-E65</f>
        <v>0</v>
      </c>
      <c r="H65" s="512">
        <f t="shared" si="1"/>
        <v>3.9141991054251428</v>
      </c>
      <c r="I65" s="472"/>
      <c r="J65" s="178">
        <f t="shared" si="2"/>
        <v>0.23485194632550857</v>
      </c>
      <c r="K65" s="512">
        <f>'Baseline data (from input)'!AA58*'Baseline data (from input)'!V58*'Baseline data (from input)'!T58</f>
        <v>4109.1773273951394</v>
      </c>
      <c r="L65" s="114">
        <v>0</v>
      </c>
      <c r="M65" s="114">
        <f t="shared" si="3"/>
        <v>1</v>
      </c>
      <c r="N65">
        <v>0</v>
      </c>
      <c r="O65">
        <v>0</v>
      </c>
      <c r="P65" s="178">
        <f>L65*$D$5*'Input data'!T100/1000-N65</f>
        <v>0</v>
      </c>
      <c r="Q65" s="512">
        <f>M65*$D$4*K65/1000-O65</f>
        <v>16.436709309580557</v>
      </c>
      <c r="S65" s="178">
        <f t="shared" si="5"/>
        <v>0.98620255857483341</v>
      </c>
      <c r="T65" s="585">
        <f t="shared" si="6"/>
        <v>0</v>
      </c>
      <c r="U65" s="585">
        <f t="shared" si="6"/>
        <v>20.350908415005701</v>
      </c>
      <c r="V65" s="585">
        <f t="shared" si="7"/>
        <v>0</v>
      </c>
      <c r="W65" s="585">
        <f t="shared" si="7"/>
        <v>1.2210545049003421</v>
      </c>
    </row>
    <row r="66" spans="1:23">
      <c r="A66" s="123">
        <f>'Input data'!A101</f>
        <v>2003</v>
      </c>
      <c r="B66" s="512">
        <f>'Baseline data (from input)'!C59*'Baseline data (from input)'!M59*'Baseline data (from input)'!R59</f>
        <v>991.07903029553222</v>
      </c>
      <c r="C66" s="114">
        <v>0</v>
      </c>
      <c r="D66" s="114">
        <f t="shared" si="0"/>
        <v>1</v>
      </c>
      <c r="E66">
        <v>0</v>
      </c>
      <c r="F66">
        <v>0</v>
      </c>
      <c r="G66" s="178">
        <f>C66*$D$5*'Input data'!K101/1000-E66</f>
        <v>0</v>
      </c>
      <c r="H66" s="512">
        <f t="shared" si="1"/>
        <v>3.9643161211821289</v>
      </c>
      <c r="I66" s="472"/>
      <c r="J66" s="178">
        <f t="shared" si="2"/>
        <v>0.23785896727092773</v>
      </c>
      <c r="K66" s="512">
        <f>'Baseline data (from input)'!AA59*'Baseline data (from input)'!V59*'Baseline data (from input)'!T59</f>
        <v>4230.3602186596845</v>
      </c>
      <c r="L66" s="114">
        <v>0</v>
      </c>
      <c r="M66" s="114">
        <f t="shared" si="3"/>
        <v>1</v>
      </c>
      <c r="N66">
        <v>0</v>
      </c>
      <c r="O66">
        <v>0</v>
      </c>
      <c r="P66" s="178">
        <f>L66*$D$5*'Input data'!T101/1000-N66</f>
        <v>0</v>
      </c>
      <c r="Q66" s="512">
        <f t="shared" si="4"/>
        <v>16.921440874638737</v>
      </c>
      <c r="S66" s="178">
        <f t="shared" si="5"/>
        <v>1.0152864524783243</v>
      </c>
      <c r="T66" s="585">
        <f t="shared" si="6"/>
        <v>0</v>
      </c>
      <c r="U66" s="585">
        <f t="shared" si="6"/>
        <v>20.885756995820866</v>
      </c>
      <c r="V66" s="585">
        <f t="shared" si="7"/>
        <v>0</v>
      </c>
      <c r="W66" s="585">
        <f t="shared" si="7"/>
        <v>1.253145419749252</v>
      </c>
    </row>
    <row r="67" spans="1:23">
      <c r="A67" s="123">
        <f>'Input data'!A102</f>
        <v>2004</v>
      </c>
      <c r="B67" s="512">
        <f>'Baseline data (from input)'!C60*'Baseline data (from input)'!M60*'Baseline data (from input)'!R60</f>
        <v>1002.8775901800029</v>
      </c>
      <c r="C67" s="114">
        <v>0</v>
      </c>
      <c r="D67" s="114">
        <f t="shared" si="0"/>
        <v>1</v>
      </c>
      <c r="E67">
        <v>0</v>
      </c>
      <c r="F67">
        <v>0</v>
      </c>
      <c r="G67" s="178">
        <f>C67*$D$5*'Input data'!K102/1000-E67</f>
        <v>0</v>
      </c>
      <c r="H67" s="512">
        <f t="shared" si="1"/>
        <v>4.0115103607200115</v>
      </c>
      <c r="I67" s="472"/>
      <c r="J67" s="178">
        <f t="shared" si="2"/>
        <v>0.24069062164320071</v>
      </c>
      <c r="K67" s="512">
        <f>'Baseline data (from input)'!AA60*'Baseline data (from input)'!V60*'Baseline data (from input)'!T60</f>
        <v>4423.0342061220372</v>
      </c>
      <c r="L67" s="114">
        <v>0</v>
      </c>
      <c r="M67" s="114">
        <f t="shared" si="3"/>
        <v>1</v>
      </c>
      <c r="N67">
        <v>0</v>
      </c>
      <c r="O67">
        <v>0</v>
      </c>
      <c r="P67" s="178">
        <f>L67*$D$5*'Input data'!T102/1000-N67</f>
        <v>0</v>
      </c>
      <c r="Q67" s="512">
        <f t="shared" si="4"/>
        <v>17.692136824488149</v>
      </c>
      <c r="S67" s="178">
        <f t="shared" si="5"/>
        <v>1.0615282094692888</v>
      </c>
      <c r="T67" s="585">
        <f t="shared" si="6"/>
        <v>0</v>
      </c>
      <c r="U67" s="585">
        <f t="shared" si="6"/>
        <v>21.703647185208162</v>
      </c>
      <c r="V67" s="585">
        <f t="shared" si="7"/>
        <v>0</v>
      </c>
      <c r="W67" s="585">
        <f t="shared" si="7"/>
        <v>1.3022188311124896</v>
      </c>
    </row>
    <row r="68" spans="1:23">
      <c r="A68" s="123">
        <f>'Input data'!A103</f>
        <v>2005</v>
      </c>
      <c r="B68" s="512">
        <f>'Baseline data (from input)'!C61*'Baseline data (from input)'!M61*'Baseline data (from input)'!R61</f>
        <v>1014.3322940386965</v>
      </c>
      <c r="C68" s="114">
        <v>0</v>
      </c>
      <c r="D68" s="114">
        <f t="shared" si="0"/>
        <v>1</v>
      </c>
      <c r="E68">
        <v>0</v>
      </c>
      <c r="F68">
        <v>0</v>
      </c>
      <c r="G68" s="178">
        <f>C68*$D$5*'Input data'!K103/1000-E68</f>
        <v>0</v>
      </c>
      <c r="H68" s="512">
        <f t="shared" si="1"/>
        <v>4.0573291761547861</v>
      </c>
      <c r="I68" s="472"/>
      <c r="J68" s="178">
        <f t="shared" si="2"/>
        <v>0.24343975056928716</v>
      </c>
      <c r="K68" s="512">
        <f>'Baseline data (from input)'!AA61*'Baseline data (from input)'!V61*'Baseline data (from input)'!T61</f>
        <v>4656.440211878119</v>
      </c>
      <c r="L68" s="114">
        <v>0</v>
      </c>
      <c r="M68" s="114">
        <f t="shared" si="3"/>
        <v>1</v>
      </c>
      <c r="N68">
        <v>0</v>
      </c>
      <c r="O68">
        <v>0</v>
      </c>
      <c r="P68" s="178">
        <f>L68*$D$5*'Input data'!T103/1000-N68</f>
        <v>0</v>
      </c>
      <c r="Q68" s="512">
        <f t="shared" si="4"/>
        <v>18.625760847512478</v>
      </c>
      <c r="S68" s="178">
        <f t="shared" si="5"/>
        <v>1.1175456508507484</v>
      </c>
      <c r="T68" s="585">
        <f t="shared" si="6"/>
        <v>0</v>
      </c>
      <c r="U68" s="585">
        <f t="shared" si="6"/>
        <v>22.683090023667262</v>
      </c>
      <c r="V68" s="585">
        <f t="shared" si="7"/>
        <v>0</v>
      </c>
      <c r="W68" s="585">
        <f t="shared" si="7"/>
        <v>1.3609854014200355</v>
      </c>
    </row>
    <row r="69" spans="1:23">
      <c r="A69" s="123">
        <f>'Input data'!A104</f>
        <v>2006</v>
      </c>
      <c r="B69" s="512">
        <f>'Baseline data (from input)'!C62*'Baseline data (from input)'!M62*'Baseline data (from input)'!R62</f>
        <v>1025.7869978973904</v>
      </c>
      <c r="C69" s="114">
        <v>0</v>
      </c>
      <c r="D69" s="114">
        <f t="shared" si="0"/>
        <v>1</v>
      </c>
      <c r="E69">
        <v>0</v>
      </c>
      <c r="F69">
        <v>0</v>
      </c>
      <c r="G69" s="178">
        <f>C69*$D$5*'Input data'!K104/1000-E69</f>
        <v>0</v>
      </c>
      <c r="H69" s="512">
        <f t="shared" si="1"/>
        <v>4.1031479915895614</v>
      </c>
      <c r="I69" s="472"/>
      <c r="J69" s="178">
        <f t="shared" si="2"/>
        <v>0.24618887949537369</v>
      </c>
      <c r="K69" s="512">
        <f>'Baseline data (from input)'!AA62*'Baseline data (from input)'!V62*'Baseline data (from input)'!T62</f>
        <v>4917.3776993709516</v>
      </c>
      <c r="L69" s="114">
        <v>0</v>
      </c>
      <c r="M69" s="114">
        <f t="shared" si="3"/>
        <v>1</v>
      </c>
      <c r="N69">
        <v>0</v>
      </c>
      <c r="O69">
        <v>0</v>
      </c>
      <c r="P69" s="178">
        <f>L69*$D$5*'Input data'!T104/1000-N69</f>
        <v>0</v>
      </c>
      <c r="Q69" s="512">
        <f t="shared" si="4"/>
        <v>19.669510797483806</v>
      </c>
      <c r="S69" s="178">
        <f t="shared" si="5"/>
        <v>1.1801706478490284</v>
      </c>
      <c r="T69" s="585">
        <f t="shared" si="6"/>
        <v>0</v>
      </c>
      <c r="U69" s="585">
        <f t="shared" si="6"/>
        <v>23.772658789073368</v>
      </c>
      <c r="V69" s="585">
        <f t="shared" si="7"/>
        <v>0</v>
      </c>
      <c r="W69" s="585">
        <f t="shared" si="7"/>
        <v>1.4263595273444021</v>
      </c>
    </row>
    <row r="70" spans="1:23">
      <c r="A70" s="123">
        <f>'Input data'!A105</f>
        <v>2007</v>
      </c>
      <c r="B70" s="512">
        <f>'Baseline data (from input)'!C63*'Baseline data (from input)'!M63*'Baseline data (from input)'!R63</f>
        <v>1037.0912647448067</v>
      </c>
      <c r="C70" s="114">
        <v>0</v>
      </c>
      <c r="D70" s="114">
        <f t="shared" si="0"/>
        <v>1</v>
      </c>
      <c r="E70">
        <v>0</v>
      </c>
      <c r="F70">
        <v>0</v>
      </c>
      <c r="G70" s="178">
        <f>C70*$D$5*'Input data'!K105/1000-E70</f>
        <v>0</v>
      </c>
      <c r="H70" s="512">
        <f t="shared" si="1"/>
        <v>4.1483650589792269</v>
      </c>
      <c r="I70" s="472"/>
      <c r="J70" s="178">
        <f t="shared" si="2"/>
        <v>0.2489019035387536</v>
      </c>
      <c r="K70" s="512">
        <f>'Baseline data (from input)'!AA63*'Baseline data (from input)'!V63*'Baseline data (from input)'!T63</f>
        <v>5180.9725454151421</v>
      </c>
      <c r="L70" s="114">
        <v>0</v>
      </c>
      <c r="M70" s="114">
        <f t="shared" si="3"/>
        <v>1</v>
      </c>
      <c r="N70">
        <v>0</v>
      </c>
      <c r="O70">
        <v>0</v>
      </c>
      <c r="P70" s="178">
        <f>L70*$D$5*'Input data'!T105/1000-N70</f>
        <v>0</v>
      </c>
      <c r="Q70" s="512">
        <f t="shared" si="4"/>
        <v>20.723890181660568</v>
      </c>
      <c r="S70" s="178">
        <f t="shared" si="5"/>
        <v>1.2434334108996341</v>
      </c>
      <c r="T70" s="585">
        <f t="shared" si="6"/>
        <v>0</v>
      </c>
      <c r="U70" s="585">
        <f t="shared" si="6"/>
        <v>24.872255240639795</v>
      </c>
      <c r="V70" s="585">
        <f t="shared" si="7"/>
        <v>0</v>
      </c>
      <c r="W70" s="585">
        <f t="shared" si="7"/>
        <v>1.4923353144383877</v>
      </c>
    </row>
    <row r="71" spans="1:23">
      <c r="A71" s="123">
        <f>'Input data'!A106</f>
        <v>2008</v>
      </c>
      <c r="B71" s="512">
        <f>'Baseline data (from input)'!C64*'Baseline data (from input)'!M64*'Baseline data (from input)'!R64</f>
        <v>1048.6104416083335</v>
      </c>
      <c r="C71" s="114">
        <v>0</v>
      </c>
      <c r="D71" s="114">
        <f t="shared" si="0"/>
        <v>1</v>
      </c>
      <c r="E71">
        <v>0</v>
      </c>
      <c r="F71">
        <v>0</v>
      </c>
      <c r="G71" s="178">
        <f>C71*$D$5*'Input data'!K106/1000-E71</f>
        <v>0</v>
      </c>
      <c r="H71" s="512">
        <f t="shared" si="1"/>
        <v>4.194441766433334</v>
      </c>
      <c r="I71" s="472"/>
      <c r="J71" s="178">
        <f t="shared" si="2"/>
        <v>0.25166650598600004</v>
      </c>
      <c r="K71" s="512">
        <f>'Baseline data (from input)'!AA64*'Baseline data (from input)'!V64*'Baseline data (from input)'!T64</f>
        <v>5346.2998009777148</v>
      </c>
      <c r="L71" s="114">
        <v>0</v>
      </c>
      <c r="M71" s="114">
        <f t="shared" si="3"/>
        <v>1</v>
      </c>
      <c r="N71">
        <v>0</v>
      </c>
      <c r="O71">
        <v>0</v>
      </c>
      <c r="P71" s="178">
        <f>L71*$D$5*'Input data'!T106/1000-N71</f>
        <v>0</v>
      </c>
      <c r="Q71" s="512">
        <f t="shared" si="4"/>
        <v>21.385199203910858</v>
      </c>
      <c r="S71" s="178">
        <f t="shared" si="5"/>
        <v>1.2831119522346515</v>
      </c>
      <c r="T71" s="585">
        <f t="shared" si="6"/>
        <v>0</v>
      </c>
      <c r="U71" s="585">
        <f t="shared" si="6"/>
        <v>25.579640970344194</v>
      </c>
      <c r="V71" s="585">
        <f t="shared" si="7"/>
        <v>0</v>
      </c>
      <c r="W71" s="585">
        <f t="shared" si="7"/>
        <v>1.5347784582206514</v>
      </c>
    </row>
    <row r="72" spans="1:23">
      <c r="A72" s="123">
        <f>'Input data'!A107</f>
        <v>2009</v>
      </c>
      <c r="B72" s="512">
        <f>'Baseline data (from input)'!C65*'Baseline data (from input)'!M65*'Baseline data (from input)'!R65</f>
        <v>1059.9361994573608</v>
      </c>
      <c r="C72" s="114">
        <v>0</v>
      </c>
      <c r="D72" s="114">
        <f t="shared" si="0"/>
        <v>1</v>
      </c>
      <c r="E72">
        <v>0</v>
      </c>
      <c r="F72">
        <v>0</v>
      </c>
      <c r="G72" s="178">
        <f>C72*$D$5*'Input data'!K107/1000-E72</f>
        <v>0</v>
      </c>
      <c r="H72" s="512">
        <f t="shared" si="1"/>
        <v>4.2397447978294434</v>
      </c>
      <c r="I72" s="472"/>
      <c r="J72" s="178">
        <f t="shared" si="2"/>
        <v>0.25438468786976659</v>
      </c>
      <c r="K72" s="512">
        <f>'Baseline data (from input)'!AA65*'Baseline data (from input)'!V65*'Baseline data (from input)'!T65</f>
        <v>5264.0689339752143</v>
      </c>
      <c r="L72" s="114">
        <v>0</v>
      </c>
      <c r="M72" s="114">
        <f t="shared" si="3"/>
        <v>1</v>
      </c>
      <c r="N72">
        <v>0</v>
      </c>
      <c r="O72">
        <v>0</v>
      </c>
      <c r="P72" s="178">
        <f>L72*$D$5*'Input data'!T107/1000-N72</f>
        <v>0</v>
      </c>
      <c r="Q72" s="512">
        <f t="shared" si="4"/>
        <v>21.056275735900858</v>
      </c>
      <c r="S72" s="178">
        <f t="shared" si="5"/>
        <v>1.2633765441540512</v>
      </c>
      <c r="T72" s="585">
        <f t="shared" si="6"/>
        <v>0</v>
      </c>
      <c r="U72" s="585">
        <f t="shared" si="6"/>
        <v>25.296020533730299</v>
      </c>
      <c r="V72" s="585">
        <f t="shared" si="7"/>
        <v>0</v>
      </c>
      <c r="W72" s="585">
        <f t="shared" si="7"/>
        <v>1.5177612320238179</v>
      </c>
    </row>
    <row r="73" spans="1:23">
      <c r="A73" s="123">
        <f>'Input data'!A108</f>
        <v>2010</v>
      </c>
      <c r="B73" s="512">
        <f>'Baseline data (from input)'!C66*'Baseline data (from input)'!M66*'Baseline data (from input)'!R66</f>
        <v>1393.6695930858416</v>
      </c>
      <c r="C73" s="114">
        <v>0</v>
      </c>
      <c r="D73" s="114">
        <f t="shared" si="0"/>
        <v>1</v>
      </c>
      <c r="E73">
        <v>0</v>
      </c>
      <c r="F73">
        <v>0</v>
      </c>
      <c r="G73" s="178">
        <f>C73*$D$5*'Input data'!K108/1000-E73</f>
        <v>0</v>
      </c>
      <c r="H73" s="512">
        <f t="shared" si="1"/>
        <v>5.5746783723433664</v>
      </c>
      <c r="I73" s="472"/>
      <c r="J73" s="178">
        <f t="shared" si="2"/>
        <v>0.33448070234060195</v>
      </c>
      <c r="K73" s="512">
        <f>'Baseline data (from input)'!AA66*'Baseline data (from input)'!V66*'Baseline data (from input)'!T66</f>
        <v>5424.0824594314599</v>
      </c>
      <c r="L73" s="114">
        <v>0</v>
      </c>
      <c r="M73" s="114">
        <f t="shared" si="3"/>
        <v>1</v>
      </c>
      <c r="N73">
        <v>0</v>
      </c>
      <c r="O73">
        <v>0</v>
      </c>
      <c r="P73" s="178">
        <f>L73*$D$5*'Input data'!T108/1000-N73</f>
        <v>0</v>
      </c>
      <c r="Q73" s="512">
        <f t="shared" si="4"/>
        <v>21.696329837725841</v>
      </c>
      <c r="S73" s="178">
        <f t="shared" si="5"/>
        <v>1.3017797902635502</v>
      </c>
      <c r="T73" s="585">
        <f t="shared" si="6"/>
        <v>0</v>
      </c>
      <c r="U73" s="585">
        <f t="shared" si="6"/>
        <v>27.271008210069208</v>
      </c>
      <c r="V73" s="585">
        <f t="shared" si="7"/>
        <v>0</v>
      </c>
      <c r="W73" s="585">
        <f t="shared" si="7"/>
        <v>1.6362604926041522</v>
      </c>
    </row>
    <row r="74" spans="1:23">
      <c r="A74" s="123">
        <f>'Input data'!A109</f>
        <v>2011</v>
      </c>
      <c r="B74" s="512">
        <f>'Baseline data (from input)'!C67*'Baseline data (from input)'!M67*'Baseline data (from input)'!R67</f>
        <v>1755.3483663853285</v>
      </c>
      <c r="C74" s="114">
        <v>0.05</v>
      </c>
      <c r="D74" s="114">
        <f t="shared" si="0"/>
        <v>0.95</v>
      </c>
      <c r="E74">
        <v>0</v>
      </c>
      <c r="F74">
        <v>0</v>
      </c>
      <c r="G74" s="178">
        <f>C74*$D$5*B74/1000-E74</f>
        <v>7.021393465541316E-2</v>
      </c>
      <c r="H74" s="512">
        <f t="shared" si="1"/>
        <v>6.6703237922642487</v>
      </c>
      <c r="I74" s="472"/>
      <c r="J74" s="178">
        <f t="shared" si="2"/>
        <v>0.40021942753585488</v>
      </c>
      <c r="K74" s="512">
        <f>'Baseline data (from input)'!AA67*'Baseline data (from input)'!V67*'Baseline data (from input)'!T67</f>
        <v>5602.2184475599188</v>
      </c>
      <c r="L74" s="114">
        <v>0.05</v>
      </c>
      <c r="M74" s="114">
        <f t="shared" si="3"/>
        <v>0.95</v>
      </c>
      <c r="N74">
        <v>0</v>
      </c>
      <c r="O74">
        <v>0</v>
      </c>
      <c r="P74" s="178">
        <f>L74*$D$5*K74/1000-N74</f>
        <v>0.22408873790239678</v>
      </c>
      <c r="Q74" s="512">
        <f t="shared" si="4"/>
        <v>21.288430100727691</v>
      </c>
      <c r="S74" s="178">
        <f t="shared" si="5"/>
        <v>1.2773058060436613</v>
      </c>
      <c r="T74" s="585">
        <f t="shared" si="6"/>
        <v>0.29430267255780995</v>
      </c>
      <c r="U74" s="585">
        <f t="shared" si="6"/>
        <v>27.95875389299194</v>
      </c>
      <c r="V74" s="585">
        <f t="shared" si="7"/>
        <v>0</v>
      </c>
      <c r="W74" s="585">
        <f t="shared" si="7"/>
        <v>1.6775252335795161</v>
      </c>
    </row>
    <row r="75" spans="1:23">
      <c r="A75" s="123">
        <f>'Input data'!A110</f>
        <v>2012</v>
      </c>
      <c r="B75" s="512">
        <f>'Baseline data (from input)'!C68*'Baseline data (from input)'!M68*'Baseline data (from input)'!R68</f>
        <v>2060.0821081723147</v>
      </c>
      <c r="C75" s="114">
        <v>0.05</v>
      </c>
      <c r="D75" s="114">
        <f t="shared" si="0"/>
        <v>0.95</v>
      </c>
      <c r="E75">
        <v>0</v>
      </c>
      <c r="F75">
        <v>0</v>
      </c>
      <c r="G75" s="178">
        <f>C75*$D$5*B75/1000-E75</f>
        <v>8.2403284326892604E-2</v>
      </c>
      <c r="H75" s="512">
        <f t="shared" si="1"/>
        <v>7.8283120110547948</v>
      </c>
      <c r="I75" s="472"/>
      <c r="J75" s="178">
        <f t="shared" si="2"/>
        <v>0.46969872066328772</v>
      </c>
      <c r="K75" s="512">
        <f>'Baseline data (from input)'!AA68*'Baseline data (from input)'!V68*'Baseline data (from input)'!T68</f>
        <v>5726.2451031475339</v>
      </c>
      <c r="L75" s="114">
        <v>0.05</v>
      </c>
      <c r="M75" s="114">
        <f t="shared" si="3"/>
        <v>0.95</v>
      </c>
      <c r="N75">
        <v>0</v>
      </c>
      <c r="O75">
        <v>0</v>
      </c>
      <c r="P75" s="178">
        <f t="shared" ref="P75:P114" si="8">L75*$D$5*K75/1000-N75</f>
        <v>0.2290498041259014</v>
      </c>
      <c r="Q75" s="512">
        <f t="shared" si="4"/>
        <v>21.759731391960628</v>
      </c>
      <c r="S75" s="178">
        <f t="shared" si="5"/>
        <v>1.3055838835176377</v>
      </c>
      <c r="T75" s="585">
        <f t="shared" si="6"/>
        <v>0.31145308845279401</v>
      </c>
      <c r="U75" s="585">
        <f t="shared" si="6"/>
        <v>29.588043403015423</v>
      </c>
      <c r="V75" s="585">
        <f t="shared" si="7"/>
        <v>0</v>
      </c>
      <c r="W75" s="585">
        <f t="shared" si="7"/>
        <v>1.7752826041809253</v>
      </c>
    </row>
    <row r="76" spans="1:23">
      <c r="A76" s="123">
        <f>'Input data'!A111</f>
        <v>2013</v>
      </c>
      <c r="B76" s="512">
        <f>'Baseline data (from input)'!C69*'Baseline data (from input)'!M69*'Baseline data (from input)'!R69</f>
        <v>2354.6679732272769</v>
      </c>
      <c r="C76" s="114">
        <v>0.05</v>
      </c>
      <c r="D76" s="114">
        <f t="shared" si="0"/>
        <v>0.95</v>
      </c>
      <c r="E76">
        <v>0</v>
      </c>
      <c r="F76">
        <v>0</v>
      </c>
      <c r="G76" s="178">
        <f t="shared" ref="G76:G79" si="9">C76*$D$5*B76/1000-E76</f>
        <v>9.4186718929091098E-2</v>
      </c>
      <c r="H76" s="512">
        <f t="shared" si="1"/>
        <v>8.9477382982636513</v>
      </c>
      <c r="I76" s="472"/>
      <c r="J76" s="178">
        <f t="shared" si="2"/>
        <v>0.53686429789581902</v>
      </c>
      <c r="K76" s="512">
        <f>'Baseline data (from input)'!AA69*'Baseline data (from input)'!V69*'Baseline data (from input)'!T69</f>
        <v>5868.1159038320293</v>
      </c>
      <c r="L76" s="114">
        <v>0.05</v>
      </c>
      <c r="M76" s="114">
        <f t="shared" si="3"/>
        <v>0.95</v>
      </c>
      <c r="N76">
        <v>0</v>
      </c>
      <c r="O76">
        <v>0</v>
      </c>
      <c r="P76" s="178">
        <f t="shared" si="8"/>
        <v>0.23472463615328121</v>
      </c>
      <c r="Q76" s="512">
        <f t="shared" si="4"/>
        <v>22.298840434561708</v>
      </c>
      <c r="S76" s="178">
        <f t="shared" si="5"/>
        <v>1.3379304260737026</v>
      </c>
      <c r="T76" s="585">
        <f t="shared" si="6"/>
        <v>0.32891135508237229</v>
      </c>
      <c r="U76" s="585">
        <f t="shared" si="6"/>
        <v>31.246578732825359</v>
      </c>
      <c r="V76" s="585">
        <f t="shared" si="7"/>
        <v>0</v>
      </c>
      <c r="W76" s="585">
        <f t="shared" si="7"/>
        <v>1.8747947239695217</v>
      </c>
    </row>
    <row r="77" spans="1:23">
      <c r="A77" s="123">
        <f>'Input data'!A112</f>
        <v>2014</v>
      </c>
      <c r="B77" s="512">
        <f>'Baseline data (from input)'!C70*'Baseline data (from input)'!M70*'Baseline data (from input)'!R70</f>
        <v>2631.7357399833486</v>
      </c>
      <c r="C77" s="114">
        <v>0.05</v>
      </c>
      <c r="D77" s="114">
        <f t="shared" si="0"/>
        <v>0.95</v>
      </c>
      <c r="E77">
        <v>0</v>
      </c>
      <c r="F77">
        <v>0</v>
      </c>
      <c r="G77" s="178">
        <f t="shared" si="9"/>
        <v>0.10526942959933396</v>
      </c>
      <c r="H77" s="512">
        <f t="shared" si="1"/>
        <v>10.000595811936725</v>
      </c>
      <c r="I77" s="472"/>
      <c r="J77" s="178">
        <f t="shared" si="2"/>
        <v>0.60003574871620347</v>
      </c>
      <c r="K77" s="512">
        <f>'Baseline data (from input)'!AA70*'Baseline data (from input)'!V70*'Baseline data (from input)'!T70</f>
        <v>5978.3235323732424</v>
      </c>
      <c r="L77" s="114">
        <v>0.05</v>
      </c>
      <c r="M77" s="114">
        <f t="shared" si="3"/>
        <v>0.95</v>
      </c>
      <c r="N77">
        <v>0</v>
      </c>
      <c r="O77">
        <v>0</v>
      </c>
      <c r="P77" s="178">
        <f t="shared" si="8"/>
        <v>0.23913294129492974</v>
      </c>
      <c r="Q77" s="512">
        <f t="shared" si="4"/>
        <v>22.71762942301832</v>
      </c>
      <c r="S77" s="178">
        <f t="shared" si="5"/>
        <v>1.3630577653810991</v>
      </c>
      <c r="T77" s="585">
        <f t="shared" si="6"/>
        <v>0.34440237089426368</v>
      </c>
      <c r="U77" s="585">
        <f t="shared" si="6"/>
        <v>32.718225234955042</v>
      </c>
      <c r="V77" s="585">
        <f t="shared" si="7"/>
        <v>0</v>
      </c>
      <c r="W77" s="585">
        <f t="shared" si="7"/>
        <v>1.9630935140973027</v>
      </c>
    </row>
    <row r="78" spans="1:23">
      <c r="A78" s="123">
        <f>'Input data'!A113</f>
        <v>2015</v>
      </c>
      <c r="B78" s="512">
        <f>'Baseline data (from input)'!C71*'Baseline data (from input)'!M71*'Baseline data (from input)'!R71</f>
        <v>2890.5274162260434</v>
      </c>
      <c r="C78" s="114">
        <v>0.05</v>
      </c>
      <c r="D78" s="114">
        <f t="shared" si="0"/>
        <v>0.95</v>
      </c>
      <c r="E78">
        <v>0</v>
      </c>
      <c r="F78">
        <v>0</v>
      </c>
      <c r="G78" s="178">
        <f t="shared" si="9"/>
        <v>0.11562109664904176</v>
      </c>
      <c r="H78" s="512">
        <f t="shared" si="1"/>
        <v>10.984004181658964</v>
      </c>
      <c r="I78" s="472"/>
      <c r="J78" s="178">
        <f t="shared" si="2"/>
        <v>0.65904025089953777</v>
      </c>
      <c r="K78" s="512">
        <f>'Baseline data (from input)'!AA71*'Baseline data (from input)'!V71*'Baseline data (from input)'!T71</f>
        <v>6054.4932508604279</v>
      </c>
      <c r="L78" s="114">
        <v>0.05</v>
      </c>
      <c r="M78" s="114">
        <f t="shared" si="3"/>
        <v>0.95</v>
      </c>
      <c r="N78">
        <v>0</v>
      </c>
      <c r="O78">
        <v>0</v>
      </c>
      <c r="P78" s="178">
        <f t="shared" si="8"/>
        <v>0.24217973003441717</v>
      </c>
      <c r="Q78" s="512">
        <f t="shared" si="4"/>
        <v>23.007074353269626</v>
      </c>
      <c r="S78" s="178">
        <f t="shared" si="5"/>
        <v>1.3804244611961773</v>
      </c>
      <c r="T78" s="585">
        <f t="shared" si="6"/>
        <v>0.35780082668345892</v>
      </c>
      <c r="U78" s="585">
        <f t="shared" si="6"/>
        <v>33.99107853492859</v>
      </c>
      <c r="V78" s="585">
        <f t="shared" si="7"/>
        <v>0</v>
      </c>
      <c r="W78" s="585">
        <f t="shared" si="7"/>
        <v>2.039464712095715</v>
      </c>
    </row>
    <row r="79" spans="1:23">
      <c r="A79" s="123">
        <f>'Input data'!A114</f>
        <v>2016</v>
      </c>
      <c r="B79" s="512">
        <f>'Baseline data (from input)'!C72*'Baseline data (from input)'!M72*'Baseline data (from input)'!R72</f>
        <v>3130.2690826011199</v>
      </c>
      <c r="C79" s="114">
        <v>0.05</v>
      </c>
      <c r="D79" s="114">
        <f t="shared" si="0"/>
        <v>0.95</v>
      </c>
      <c r="E79">
        <v>0</v>
      </c>
      <c r="F79">
        <v>0</v>
      </c>
      <c r="G79" s="178">
        <f t="shared" si="9"/>
        <v>0.12521076330404482</v>
      </c>
      <c r="H79" s="512">
        <f t="shared" si="1"/>
        <v>11.895022513884255</v>
      </c>
      <c r="I79" s="472"/>
      <c r="J79" s="178">
        <f t="shared" si="2"/>
        <v>0.71370135083305519</v>
      </c>
      <c r="K79" s="512">
        <f>'Baseline data (from input)'!AA72*'Baseline data (from input)'!V72*'Baseline data (from input)'!T72</f>
        <v>6102.9181147570616</v>
      </c>
      <c r="L79" s="114">
        <v>0.05</v>
      </c>
      <c r="M79" s="114">
        <f t="shared" si="3"/>
        <v>0.95</v>
      </c>
      <c r="N79">
        <v>0</v>
      </c>
      <c r="O79">
        <v>0</v>
      </c>
      <c r="P79" s="178">
        <f t="shared" si="8"/>
        <v>0.2441167245902825</v>
      </c>
      <c r="Q79" s="512">
        <f t="shared" si="4"/>
        <v>23.191088836076833</v>
      </c>
      <c r="S79" s="178">
        <f t="shared" si="5"/>
        <v>1.3914653301646098</v>
      </c>
      <c r="T79" s="585">
        <f t="shared" si="6"/>
        <v>0.36932748789432734</v>
      </c>
      <c r="U79" s="585">
        <f t="shared" si="6"/>
        <v>35.086111349961087</v>
      </c>
      <c r="V79" s="585">
        <f t="shared" si="7"/>
        <v>0</v>
      </c>
      <c r="W79" s="585">
        <f t="shared" si="7"/>
        <v>2.105166680997665</v>
      </c>
    </row>
    <row r="80" spans="1:23">
      <c r="A80" s="582">
        <f>'Input data'!A115</f>
        <v>2017</v>
      </c>
      <c r="B80" s="583">
        <f>'Baseline data (from input)'!C73*'Baseline data (from input)'!M73*'Baseline data (from input)'!R73</f>
        <v>3350.003081988611</v>
      </c>
      <c r="C80" s="502">
        <v>0.05</v>
      </c>
      <c r="D80" s="502">
        <f t="shared" si="0"/>
        <v>0.95</v>
      </c>
      <c r="E80" s="501">
        <v>0</v>
      </c>
      <c r="F80" s="501">
        <v>0</v>
      </c>
      <c r="G80" s="584">
        <f>C80*$D$5*B80/1000-E80</f>
        <v>0.13400012327954444</v>
      </c>
      <c r="H80" s="583">
        <f>D80*$D$4*B80/1000-F80</f>
        <v>12.73001171155672</v>
      </c>
      <c r="I80" s="472"/>
      <c r="J80" s="584">
        <f t="shared" si="2"/>
        <v>0.76380070269340317</v>
      </c>
      <c r="K80" s="583">
        <f>'Baseline data (from input)'!AA73*'Baseline data (from input)'!V73*'Baseline data (from input)'!T73</f>
        <v>6175.387200000001</v>
      </c>
      <c r="L80" s="502">
        <v>0.05</v>
      </c>
      <c r="M80" s="502">
        <f t="shared" si="3"/>
        <v>0.95</v>
      </c>
      <c r="N80" s="501">
        <v>0</v>
      </c>
      <c r="O80" s="501">
        <v>0</v>
      </c>
      <c r="P80" s="584">
        <f t="shared" si="8"/>
        <v>0.24701548800000009</v>
      </c>
      <c r="Q80" s="583">
        <f t="shared" si="4"/>
        <v>23.466471360000003</v>
      </c>
      <c r="R80" s="501"/>
      <c r="S80" s="584">
        <f t="shared" si="5"/>
        <v>1.4079882816000002</v>
      </c>
      <c r="T80" s="585">
        <f t="shared" si="6"/>
        <v>0.38101561127954453</v>
      </c>
      <c r="U80" s="585">
        <f t="shared" si="6"/>
        <v>36.196483071556727</v>
      </c>
      <c r="V80" s="585">
        <f t="shared" si="7"/>
        <v>0</v>
      </c>
      <c r="W80" s="585">
        <f t="shared" si="7"/>
        <v>2.1717889842934035</v>
      </c>
    </row>
    <row r="81" spans="1:23">
      <c r="A81" s="988" t="s">
        <v>748</v>
      </c>
      <c r="B81" s="583"/>
      <c r="C81" s="502"/>
      <c r="D81" s="502"/>
      <c r="E81" s="501"/>
      <c r="F81" s="501"/>
      <c r="G81" s="584"/>
      <c r="H81" s="583"/>
      <c r="I81" s="472"/>
      <c r="J81" s="584"/>
      <c r="K81" s="583"/>
      <c r="L81" s="502"/>
      <c r="M81" s="502"/>
      <c r="N81" s="501"/>
      <c r="O81" s="501"/>
      <c r="P81" s="178">
        <f>L81*$D$5*'Input data'!T116/1000-N81</f>
        <v>0</v>
      </c>
      <c r="Q81" s="512">
        <f t="shared" si="4"/>
        <v>0</v>
      </c>
      <c r="S81" s="178">
        <f t="shared" si="5"/>
        <v>0</v>
      </c>
      <c r="T81" s="585">
        <f t="shared" ref="T81:T114" si="10">G81+P81</f>
        <v>0</v>
      </c>
      <c r="U81" s="585">
        <f t="shared" ref="U81:U114" si="11">H81+Q81</f>
        <v>0</v>
      </c>
      <c r="V81" s="585">
        <f t="shared" ref="V81:V114" si="12">I81+R81</f>
        <v>0</v>
      </c>
      <c r="W81" s="585">
        <f t="shared" ref="W81:W114" si="13">J81+S81</f>
        <v>0</v>
      </c>
    </row>
    <row r="82" spans="1:23">
      <c r="A82" s="123">
        <f>'Input data'!A116</f>
        <v>2018</v>
      </c>
      <c r="B82" s="986">
        <f>'Recycling - Case 1'!B96*'Recycling - Case 1'!AO96*'Recycling - Case 1'!AK96</f>
        <v>3618.1594989577079</v>
      </c>
      <c r="C82" s="114">
        <f>($C$86-$C$80)/($A$86-$A$80)+C80</f>
        <v>6.0000000000000005E-2</v>
      </c>
      <c r="D82" s="114">
        <f>1-C82</f>
        <v>0.94</v>
      </c>
      <c r="E82">
        <v>0</v>
      </c>
      <c r="F82">
        <v>0</v>
      </c>
      <c r="G82" s="989">
        <f>C82*$D$5*B82/1000-E82</f>
        <v>0.17367165594997003</v>
      </c>
      <c r="H82" s="650">
        <f>D82*$D$4*B82/1000-F82</f>
        <v>13.604279716080981</v>
      </c>
      <c r="J82" s="990">
        <f>D82*$D$7*B82/1000</f>
        <v>0.81625678296485871</v>
      </c>
      <c r="K82" s="987">
        <f>'Recycling - Case 1'!Z136*'Recycling - Case 1'!C136</f>
        <v>6182.0041421101087</v>
      </c>
      <c r="L82" s="114">
        <f>($C$86-$C$80)/($A$86-$A$80)+L80</f>
        <v>6.0000000000000005E-2</v>
      </c>
      <c r="M82" s="114">
        <f>1-L82</f>
        <v>0.94</v>
      </c>
      <c r="N82">
        <f>N80</f>
        <v>0</v>
      </c>
      <c r="O82">
        <f>O80</f>
        <v>0</v>
      </c>
      <c r="P82" s="178">
        <f t="shared" si="8"/>
        <v>0.29673619882128527</v>
      </c>
      <c r="Q82" s="512">
        <f t="shared" si="4"/>
        <v>23.244335574334006</v>
      </c>
      <c r="S82" s="178">
        <f t="shared" ref="S82:S115" si="14">M82*$D$7*K82/1000</f>
        <v>1.3946601344600404</v>
      </c>
      <c r="T82" s="585">
        <f t="shared" si="10"/>
        <v>0.4704078547712553</v>
      </c>
      <c r="U82" s="585">
        <f t="shared" si="11"/>
        <v>36.848615290414983</v>
      </c>
      <c r="V82" s="585">
        <f t="shared" si="12"/>
        <v>0</v>
      </c>
      <c r="W82" s="585">
        <f t="shared" si="13"/>
        <v>2.2109169174248993</v>
      </c>
    </row>
    <row r="83" spans="1:23">
      <c r="A83" s="123">
        <f>'Input data'!A117</f>
        <v>2019</v>
      </c>
      <c r="B83" s="986">
        <f>'Recycling - Case 1'!B97*'Recycling - Case 1'!AO97*'Recycling - Case 1'!AK97</f>
        <v>3883.8945846308343</v>
      </c>
      <c r="C83" s="114">
        <f>($C$86-$C$80)/($A$86-$A$80)+C82</f>
        <v>7.0000000000000007E-2</v>
      </c>
      <c r="D83" s="114">
        <f t="shared" ref="D83:D114" si="15">1-C83</f>
        <v>0.92999999999999994</v>
      </c>
      <c r="E83">
        <v>0</v>
      </c>
      <c r="F83">
        <v>0</v>
      </c>
      <c r="G83" s="989">
        <f t="shared" ref="G83:G114" si="16">C83*$D$5*B83/1000-E83</f>
        <v>0.21749809673932674</v>
      </c>
      <c r="H83" s="650">
        <f t="shared" ref="H83:H114" si="17">D83*$D$4*B83/1000-F83</f>
        <v>14.448087854826703</v>
      </c>
      <c r="J83" s="990">
        <f t="shared" ref="J83:J114" si="18">D83*$D$7*B83/1000</f>
        <v>0.86688527128960213</v>
      </c>
      <c r="K83" s="987">
        <f>'Recycling - Case 1'!Z137*'Recycling - Case 1'!C137</f>
        <v>6025.9194712796407</v>
      </c>
      <c r="L83" s="114">
        <f>($C$86-$C$80)/($A$86-$A$80)+L82</f>
        <v>7.0000000000000007E-2</v>
      </c>
      <c r="M83" s="114">
        <f t="shared" ref="M83:M114" si="19">1-L83</f>
        <v>0.92999999999999994</v>
      </c>
      <c r="N83">
        <f t="shared" ref="N83:O83" si="20">N81</f>
        <v>0</v>
      </c>
      <c r="O83">
        <f t="shared" si="20"/>
        <v>0</v>
      </c>
      <c r="P83" s="178">
        <f t="shared" si="8"/>
        <v>0.33745149039165995</v>
      </c>
      <c r="Q83" s="512">
        <f t="shared" si="4"/>
        <v>22.416420433160262</v>
      </c>
      <c r="S83" s="178">
        <f t="shared" si="14"/>
        <v>1.3449852259896156</v>
      </c>
      <c r="T83" s="585">
        <f t="shared" si="10"/>
        <v>0.55494958713098663</v>
      </c>
      <c r="U83" s="585">
        <f t="shared" si="11"/>
        <v>36.864508287986965</v>
      </c>
      <c r="V83" s="585">
        <f t="shared" si="12"/>
        <v>0</v>
      </c>
      <c r="W83" s="585">
        <f t="shared" si="13"/>
        <v>2.2118704972792176</v>
      </c>
    </row>
    <row r="84" spans="1:23">
      <c r="A84" s="123">
        <f>'Input data'!A118</f>
        <v>2020</v>
      </c>
      <c r="B84" s="986">
        <f>'Recycling - Case 1'!B98*'Recycling - Case 1'!AO98*'Recycling - Case 1'!AK98</f>
        <v>4148.07681666808</v>
      </c>
      <c r="C84" s="114">
        <f t="shared" ref="C84:C85" si="21">($C$86-$C$80)/($A$86-$A$80)+C83</f>
        <v>0.08</v>
      </c>
      <c r="D84" s="114">
        <f t="shared" si="15"/>
        <v>0.92</v>
      </c>
      <c r="E84">
        <v>0</v>
      </c>
      <c r="F84">
        <v>0</v>
      </c>
      <c r="G84" s="989">
        <f t="shared" si="16"/>
        <v>0.26547691626675712</v>
      </c>
      <c r="H84" s="650">
        <f t="shared" si="17"/>
        <v>15.264922685338535</v>
      </c>
      <c r="J84" s="990">
        <f t="shared" si="18"/>
        <v>0.915895361120312</v>
      </c>
      <c r="K84" s="987">
        <f>'Recycling - Case 1'!Z138*'Recycling - Case 1'!C138</f>
        <v>4876.2566145357659</v>
      </c>
      <c r="L84" s="114">
        <f t="shared" ref="L84:L85" si="22">($C$86-$C$80)/($A$86-$A$80)+L83</f>
        <v>0.08</v>
      </c>
      <c r="M84" s="114">
        <f t="shared" si="19"/>
        <v>0.92</v>
      </c>
      <c r="N84">
        <f t="shared" ref="N84:O84" si="23">N82</f>
        <v>0</v>
      </c>
      <c r="O84">
        <f t="shared" si="23"/>
        <v>0</v>
      </c>
      <c r="P84" s="178">
        <f t="shared" si="8"/>
        <v>0.31208042333028901</v>
      </c>
      <c r="Q84" s="512">
        <f t="shared" si="4"/>
        <v>17.944624341491622</v>
      </c>
      <c r="S84" s="178">
        <f t="shared" si="14"/>
        <v>1.0766774604894973</v>
      </c>
      <c r="T84" s="585">
        <f t="shared" si="10"/>
        <v>0.57755733959704614</v>
      </c>
      <c r="U84" s="585">
        <f t="shared" si="11"/>
        <v>33.209547026830158</v>
      </c>
      <c r="V84" s="585">
        <f t="shared" si="12"/>
        <v>0</v>
      </c>
      <c r="W84" s="585">
        <f t="shared" si="13"/>
        <v>1.9925728216098093</v>
      </c>
    </row>
    <row r="85" spans="1:23">
      <c r="A85" s="123">
        <f>'Input data'!A119</f>
        <v>2021</v>
      </c>
      <c r="B85" s="986">
        <f>'Recycling - Case 1'!B99*'Recycling - Case 1'!AO99*'Recycling - Case 1'!AK99</f>
        <v>4391.4182309081298</v>
      </c>
      <c r="C85" s="114">
        <f t="shared" si="21"/>
        <v>0.09</v>
      </c>
      <c r="D85" s="114">
        <f t="shared" si="15"/>
        <v>0.91</v>
      </c>
      <c r="E85">
        <v>0</v>
      </c>
      <c r="F85">
        <v>0</v>
      </c>
      <c r="G85" s="989">
        <f t="shared" si="16"/>
        <v>0.31618211262538537</v>
      </c>
      <c r="H85" s="650">
        <f t="shared" si="17"/>
        <v>15.984762360505592</v>
      </c>
      <c r="J85" s="990">
        <f t="shared" si="18"/>
        <v>0.95908574163033566</v>
      </c>
      <c r="K85" s="987">
        <f>'Recycling - Case 1'!Z139*'Recycling - Case 1'!C139</f>
        <v>4673.622065684458</v>
      </c>
      <c r="L85" s="114">
        <f t="shared" si="22"/>
        <v>0.09</v>
      </c>
      <c r="M85" s="114">
        <f t="shared" si="19"/>
        <v>0.91</v>
      </c>
      <c r="N85">
        <f t="shared" ref="N85:O85" si="24">N83</f>
        <v>0</v>
      </c>
      <c r="O85">
        <f t="shared" si="24"/>
        <v>0</v>
      </c>
      <c r="P85" s="178">
        <f t="shared" si="8"/>
        <v>0.33650078872928096</v>
      </c>
      <c r="Q85" s="512">
        <f t="shared" si="4"/>
        <v>17.011984319091429</v>
      </c>
      <c r="S85" s="178">
        <f t="shared" si="14"/>
        <v>1.0207190591454856</v>
      </c>
      <c r="T85" s="585">
        <f t="shared" si="10"/>
        <v>0.65268290135466633</v>
      </c>
      <c r="U85" s="585">
        <f t="shared" si="11"/>
        <v>32.996746679597024</v>
      </c>
      <c r="V85" s="585">
        <f t="shared" si="12"/>
        <v>0</v>
      </c>
      <c r="W85" s="585">
        <f t="shared" si="13"/>
        <v>1.9798048007758213</v>
      </c>
    </row>
    <row r="86" spans="1:23">
      <c r="A86" s="123">
        <f>'Input data'!A120</f>
        <v>2022</v>
      </c>
      <c r="B86" s="986">
        <f>'Recycling - Case 1'!B100*'Recycling - Case 1'!AO100*'Recycling - Case 1'!AK100</f>
        <v>4632.7484481702204</v>
      </c>
      <c r="C86" s="114">
        <f>'Recycling - Case 1'!C31</f>
        <v>0.1</v>
      </c>
      <c r="D86" s="114">
        <f t="shared" si="15"/>
        <v>0.9</v>
      </c>
      <c r="E86">
        <v>0</v>
      </c>
      <c r="F86">
        <v>0</v>
      </c>
      <c r="G86" s="989">
        <f t="shared" si="16"/>
        <v>0.37061987585361772</v>
      </c>
      <c r="H86" s="650">
        <f t="shared" si="17"/>
        <v>16.677894413412794</v>
      </c>
      <c r="J86" s="990">
        <f t="shared" si="18"/>
        <v>1.0006736648047676</v>
      </c>
      <c r="K86" s="987">
        <f>'Recycling - Case 1'!Z140*'Recycling - Case 1'!C140</f>
        <v>4516.5130875188497</v>
      </c>
      <c r="L86" s="114">
        <f>'Recycling - Case 1'!C31</f>
        <v>0.1</v>
      </c>
      <c r="M86" s="114">
        <f t="shared" si="19"/>
        <v>0.9</v>
      </c>
      <c r="N86">
        <f t="shared" ref="N86:O86" si="25">N84</f>
        <v>0</v>
      </c>
      <c r="O86">
        <f t="shared" si="25"/>
        <v>0</v>
      </c>
      <c r="P86" s="178">
        <f t="shared" si="8"/>
        <v>0.36132104700150802</v>
      </c>
      <c r="Q86" s="512">
        <f t="shared" si="4"/>
        <v>16.259447115067861</v>
      </c>
      <c r="S86" s="178">
        <f t="shared" si="14"/>
        <v>0.97556682690407148</v>
      </c>
      <c r="T86" s="585">
        <f t="shared" si="10"/>
        <v>0.73194092285512569</v>
      </c>
      <c r="U86" s="585">
        <f t="shared" si="11"/>
        <v>32.937341528480658</v>
      </c>
      <c r="V86" s="585">
        <f t="shared" si="12"/>
        <v>0</v>
      </c>
      <c r="W86" s="585">
        <f t="shared" si="13"/>
        <v>1.9762404917088392</v>
      </c>
    </row>
    <row r="87" spans="1:23">
      <c r="A87" s="123">
        <f>'Input data'!A121</f>
        <v>2023</v>
      </c>
      <c r="B87" s="986">
        <f>'Recycling - Case 1'!B101*'Recycling - Case 1'!AO101*'Recycling - Case 1'!AK101</f>
        <v>4873.2756688444188</v>
      </c>
      <c r="C87" s="114">
        <f>C86</f>
        <v>0.1</v>
      </c>
      <c r="D87" s="114">
        <f t="shared" si="15"/>
        <v>0.9</v>
      </c>
      <c r="E87">
        <v>0</v>
      </c>
      <c r="F87">
        <v>0</v>
      </c>
      <c r="G87" s="989">
        <f t="shared" si="16"/>
        <v>0.3898620535075536</v>
      </c>
      <c r="H87" s="650">
        <f t="shared" si="17"/>
        <v>17.543792407839909</v>
      </c>
      <c r="J87" s="990">
        <f t="shared" si="18"/>
        <v>1.0526275444703945</v>
      </c>
      <c r="K87" s="987">
        <f>'Recycling - Case 1'!Z141*'Recycling - Case 1'!C141</f>
        <v>4280.7192050374288</v>
      </c>
      <c r="L87" s="114">
        <f>L86</f>
        <v>0.1</v>
      </c>
      <c r="M87" s="114">
        <f t="shared" si="19"/>
        <v>0.9</v>
      </c>
      <c r="N87">
        <f t="shared" ref="N87:O87" si="26">N85</f>
        <v>0</v>
      </c>
      <c r="O87">
        <f t="shared" si="26"/>
        <v>0</v>
      </c>
      <c r="P87" s="178">
        <f t="shared" si="8"/>
        <v>0.34245753640299437</v>
      </c>
      <c r="Q87" s="512">
        <f t="shared" si="4"/>
        <v>15.410589138134744</v>
      </c>
      <c r="S87" s="178">
        <f t="shared" si="14"/>
        <v>0.92463534828808458</v>
      </c>
      <c r="T87" s="585">
        <f t="shared" si="10"/>
        <v>0.73231958991054791</v>
      </c>
      <c r="U87" s="585">
        <f t="shared" si="11"/>
        <v>32.954381545974655</v>
      </c>
      <c r="V87" s="585">
        <f t="shared" si="12"/>
        <v>0</v>
      </c>
      <c r="W87" s="585">
        <f t="shared" si="13"/>
        <v>1.9772628927584792</v>
      </c>
    </row>
    <row r="88" spans="1:23">
      <c r="A88" s="123">
        <f>'Input data'!A122</f>
        <v>2024</v>
      </c>
      <c r="B88" s="986">
        <f>'Recycling - Case 1'!B102*'Recycling - Case 1'!AO102*'Recycling - Case 1'!AK102</f>
        <v>5114.0518807671706</v>
      </c>
      <c r="C88" s="114">
        <f t="shared" ref="C88:C114" si="27">C87</f>
        <v>0.1</v>
      </c>
      <c r="D88" s="114">
        <f t="shared" si="15"/>
        <v>0.9</v>
      </c>
      <c r="E88">
        <v>0</v>
      </c>
      <c r="F88">
        <v>0</v>
      </c>
      <c r="G88" s="989">
        <f t="shared" si="16"/>
        <v>0.40912415046137374</v>
      </c>
      <c r="H88" s="650">
        <f t="shared" si="17"/>
        <v>18.410586770761817</v>
      </c>
      <c r="J88" s="990">
        <f t="shared" si="18"/>
        <v>1.1046352062457088</v>
      </c>
      <c r="K88" s="987">
        <f>'Recycling - Case 1'!Z142*'Recycling - Case 1'!C142</f>
        <v>4051.0025495275413</v>
      </c>
      <c r="L88" s="114">
        <f t="shared" ref="L88:L114" si="28">L87</f>
        <v>0.1</v>
      </c>
      <c r="M88" s="114">
        <f t="shared" si="19"/>
        <v>0.9</v>
      </c>
      <c r="N88">
        <f t="shared" ref="N88:O88" si="29">N86</f>
        <v>0</v>
      </c>
      <c r="O88">
        <f t="shared" si="29"/>
        <v>0</v>
      </c>
      <c r="P88" s="178">
        <f t="shared" si="8"/>
        <v>0.32408020396220338</v>
      </c>
      <c r="Q88" s="512">
        <f t="shared" si="4"/>
        <v>14.583609178299151</v>
      </c>
      <c r="S88" s="178">
        <f t="shared" si="14"/>
        <v>0.87501655069794892</v>
      </c>
      <c r="T88" s="585">
        <f t="shared" si="10"/>
        <v>0.73320435442357712</v>
      </c>
      <c r="U88" s="585">
        <f t="shared" si="11"/>
        <v>32.994195949060966</v>
      </c>
      <c r="V88" s="585">
        <f t="shared" si="12"/>
        <v>0</v>
      </c>
      <c r="W88" s="585">
        <f t="shared" si="13"/>
        <v>1.9796517569436576</v>
      </c>
    </row>
    <row r="89" spans="1:23">
      <c r="A89" s="123">
        <f>'Input data'!A123</f>
        <v>2025</v>
      </c>
      <c r="B89" s="986">
        <f>'Recycling - Case 1'!B103*'Recycling - Case 1'!AO103*'Recycling - Case 1'!AK103</f>
        <v>5356.2849256095706</v>
      </c>
      <c r="C89" s="114">
        <f t="shared" si="27"/>
        <v>0.1</v>
      </c>
      <c r="D89" s="114">
        <f t="shared" si="15"/>
        <v>0.9</v>
      </c>
      <c r="E89">
        <v>0</v>
      </c>
      <c r="F89">
        <v>0</v>
      </c>
      <c r="G89" s="989">
        <f t="shared" si="16"/>
        <v>0.42850279404876573</v>
      </c>
      <c r="H89" s="650">
        <f t="shared" si="17"/>
        <v>19.282625732194454</v>
      </c>
      <c r="J89" s="990">
        <f t="shared" si="18"/>
        <v>1.1569575439316673</v>
      </c>
      <c r="K89" s="987">
        <f>'Recycling - Case 1'!Z143*'Recycling - Case 1'!C143</f>
        <v>3546.8843601385051</v>
      </c>
      <c r="L89" s="114">
        <f t="shared" si="28"/>
        <v>0.1</v>
      </c>
      <c r="M89" s="114">
        <f t="shared" si="19"/>
        <v>0.9</v>
      </c>
      <c r="N89">
        <f t="shared" ref="N89:O89" si="30">N87</f>
        <v>0</v>
      </c>
      <c r="O89">
        <f t="shared" si="30"/>
        <v>0</v>
      </c>
      <c r="P89" s="178">
        <f t="shared" si="8"/>
        <v>0.28375074881108048</v>
      </c>
      <c r="Q89" s="512">
        <f t="shared" si="4"/>
        <v>12.768783696498618</v>
      </c>
      <c r="S89" s="178">
        <f t="shared" si="14"/>
        <v>0.7661270217899171</v>
      </c>
      <c r="T89" s="585">
        <f t="shared" si="10"/>
        <v>0.71225354285984621</v>
      </c>
      <c r="U89" s="585">
        <f t="shared" si="11"/>
        <v>32.05140942869307</v>
      </c>
      <c r="V89" s="585">
        <f t="shared" si="12"/>
        <v>0</v>
      </c>
      <c r="W89" s="585">
        <f t="shared" si="13"/>
        <v>1.9230845657215845</v>
      </c>
    </row>
    <row r="90" spans="1:23">
      <c r="A90" s="123">
        <f>'Input data'!A124</f>
        <v>2026</v>
      </c>
      <c r="B90" s="986">
        <f>'Recycling - Case 1'!B104*'Recycling - Case 1'!AO104*'Recycling - Case 1'!AK104</f>
        <v>5592.026325896888</v>
      </c>
      <c r="C90" s="114">
        <f t="shared" si="27"/>
        <v>0.1</v>
      </c>
      <c r="D90" s="114">
        <f t="shared" si="15"/>
        <v>0.9</v>
      </c>
      <c r="E90">
        <v>0</v>
      </c>
      <c r="F90">
        <v>0</v>
      </c>
      <c r="G90" s="989">
        <f t="shared" si="16"/>
        <v>0.44736210607175109</v>
      </c>
      <c r="H90" s="650">
        <f t="shared" si="17"/>
        <v>20.131294773228799</v>
      </c>
      <c r="J90" s="990">
        <f t="shared" si="18"/>
        <v>1.2078776863937277</v>
      </c>
      <c r="K90" s="987">
        <f>'Recycling - Case 1'!Z144*'Recycling - Case 1'!C144</f>
        <v>3328.9514033209271</v>
      </c>
      <c r="L90" s="114">
        <f t="shared" si="28"/>
        <v>0.1</v>
      </c>
      <c r="M90" s="114">
        <f t="shared" si="19"/>
        <v>0.9</v>
      </c>
      <c r="N90">
        <f t="shared" ref="N90:O90" si="31">N88</f>
        <v>0</v>
      </c>
      <c r="O90">
        <f t="shared" si="31"/>
        <v>0</v>
      </c>
      <c r="P90" s="178">
        <f t="shared" si="8"/>
        <v>0.26631611226567425</v>
      </c>
      <c r="Q90" s="512">
        <f t="shared" si="4"/>
        <v>11.984225051955338</v>
      </c>
      <c r="S90" s="178">
        <f t="shared" si="14"/>
        <v>0.71905350311732019</v>
      </c>
      <c r="T90" s="585">
        <f t="shared" si="10"/>
        <v>0.71367821833742529</v>
      </c>
      <c r="U90" s="585">
        <f t="shared" si="11"/>
        <v>32.115519825184137</v>
      </c>
      <c r="V90" s="585">
        <f t="shared" si="12"/>
        <v>0</v>
      </c>
      <c r="W90" s="585">
        <f t="shared" si="13"/>
        <v>1.9269311895110479</v>
      </c>
    </row>
    <row r="91" spans="1:23">
      <c r="A91" s="123">
        <f>'Input data'!A125</f>
        <v>2027</v>
      </c>
      <c r="B91" s="986">
        <f>'Recycling - Case 1'!B105*'Recycling - Case 1'!AO105*'Recycling - Case 1'!AK105</f>
        <v>5831.2742432911045</v>
      </c>
      <c r="C91" s="114">
        <f t="shared" si="27"/>
        <v>0.1</v>
      </c>
      <c r="D91" s="114">
        <f t="shared" si="15"/>
        <v>0.9</v>
      </c>
      <c r="E91">
        <v>0</v>
      </c>
      <c r="F91">
        <v>0</v>
      </c>
      <c r="G91" s="989">
        <f t="shared" si="16"/>
        <v>0.46650193946328844</v>
      </c>
      <c r="H91" s="650">
        <f t="shared" si="17"/>
        <v>20.992587275847978</v>
      </c>
      <c r="J91" s="990">
        <f t="shared" si="18"/>
        <v>1.2595552365508786</v>
      </c>
      <c r="K91" s="987">
        <f>'Recycling - Case 1'!Z145*'Recycling - Case 1'!C145</f>
        <v>3103.5578580748556</v>
      </c>
      <c r="L91" s="114">
        <f t="shared" si="28"/>
        <v>0.1</v>
      </c>
      <c r="M91" s="114">
        <f t="shared" si="19"/>
        <v>0.9</v>
      </c>
      <c r="N91">
        <f t="shared" ref="N91:O91" si="32">N89</f>
        <v>0</v>
      </c>
      <c r="O91">
        <f t="shared" si="32"/>
        <v>0</v>
      </c>
      <c r="P91" s="178">
        <f t="shared" si="8"/>
        <v>0.24828462864598849</v>
      </c>
      <c r="Q91" s="512">
        <f t="shared" si="4"/>
        <v>11.172808289069481</v>
      </c>
      <c r="S91" s="178">
        <f t="shared" si="14"/>
        <v>0.67036849734416881</v>
      </c>
      <c r="T91" s="585">
        <f t="shared" si="10"/>
        <v>0.71478656810927688</v>
      </c>
      <c r="U91" s="585">
        <f t="shared" si="11"/>
        <v>32.165395564917461</v>
      </c>
      <c r="V91" s="585">
        <f t="shared" si="12"/>
        <v>0</v>
      </c>
      <c r="W91" s="585">
        <f t="shared" si="13"/>
        <v>1.9299237338950475</v>
      </c>
    </row>
    <row r="92" spans="1:23">
      <c r="A92" s="123">
        <f>'Input data'!A126</f>
        <v>2028</v>
      </c>
      <c r="B92" s="986">
        <f>'Recycling - Case 1'!B106*'Recycling - Case 1'!AO106*'Recycling - Case 1'!AK106</f>
        <v>5582.8820746627725</v>
      </c>
      <c r="C92" s="114">
        <f t="shared" si="27"/>
        <v>0.1</v>
      </c>
      <c r="D92" s="114">
        <f t="shared" si="15"/>
        <v>0.9</v>
      </c>
      <c r="E92">
        <v>0</v>
      </c>
      <c r="F92">
        <v>0</v>
      </c>
      <c r="G92" s="989">
        <f t="shared" si="16"/>
        <v>0.44663056597302186</v>
      </c>
      <c r="H92" s="650">
        <f t="shared" si="17"/>
        <v>20.098375468785981</v>
      </c>
      <c r="J92" s="990">
        <f t="shared" si="18"/>
        <v>1.2059025281271587</v>
      </c>
      <c r="K92" s="987">
        <f>'Recycling - Case 1'!Z146*'Recycling - Case 1'!C146</f>
        <v>2765.2987863172339</v>
      </c>
      <c r="L92" s="114">
        <f t="shared" si="28"/>
        <v>0.1</v>
      </c>
      <c r="M92" s="114">
        <f t="shared" si="19"/>
        <v>0.9</v>
      </c>
      <c r="N92">
        <f t="shared" ref="N92:O92" si="33">N90</f>
        <v>0</v>
      </c>
      <c r="O92">
        <f t="shared" si="33"/>
        <v>0</v>
      </c>
      <c r="P92" s="178">
        <f t="shared" si="8"/>
        <v>0.22122390290537877</v>
      </c>
      <c r="Q92" s="512">
        <f t="shared" si="4"/>
        <v>9.9550756307420407</v>
      </c>
      <c r="S92" s="178">
        <f t="shared" si="14"/>
        <v>0.59730453784452253</v>
      </c>
      <c r="T92" s="585">
        <f t="shared" si="10"/>
        <v>0.66785446887840061</v>
      </c>
      <c r="U92" s="585">
        <f t="shared" si="11"/>
        <v>30.053451099528022</v>
      </c>
      <c r="V92" s="585">
        <f t="shared" si="12"/>
        <v>0</v>
      </c>
      <c r="W92" s="585">
        <f t="shared" si="13"/>
        <v>1.8032070659716812</v>
      </c>
    </row>
    <row r="93" spans="1:23">
      <c r="A93" s="123">
        <f>'Input data'!A127</f>
        <v>2029</v>
      </c>
      <c r="B93" s="986">
        <f>'Recycling - Case 1'!B107*'Recycling - Case 1'!AO107*'Recycling - Case 1'!AK107</f>
        <v>5345.1362633003891</v>
      </c>
      <c r="C93" s="114">
        <f t="shared" si="27"/>
        <v>0.1</v>
      </c>
      <c r="D93" s="114">
        <f t="shared" si="15"/>
        <v>0.9</v>
      </c>
      <c r="E93">
        <v>0</v>
      </c>
      <c r="F93">
        <v>0</v>
      </c>
      <c r="G93" s="989">
        <f t="shared" si="16"/>
        <v>0.42761090106403121</v>
      </c>
      <c r="H93" s="650">
        <f t="shared" si="17"/>
        <v>19.242490547881399</v>
      </c>
      <c r="J93" s="990">
        <f t="shared" si="18"/>
        <v>1.1545494328728843</v>
      </c>
      <c r="K93" s="987">
        <f>'Recycling - Case 1'!Z147*'Recycling - Case 1'!C147</f>
        <v>2474.7934871381776</v>
      </c>
      <c r="L93" s="114">
        <f t="shared" si="28"/>
        <v>0.1</v>
      </c>
      <c r="M93" s="114">
        <f t="shared" si="19"/>
        <v>0.9</v>
      </c>
      <c r="N93">
        <f t="shared" ref="N93:O93" si="34">N91</f>
        <v>0</v>
      </c>
      <c r="O93">
        <f t="shared" si="34"/>
        <v>0</v>
      </c>
      <c r="P93" s="178">
        <f t="shared" si="8"/>
        <v>0.19798347897105423</v>
      </c>
      <c r="Q93" s="512">
        <f t="shared" si="4"/>
        <v>8.9092565536974391</v>
      </c>
      <c r="S93" s="178">
        <f t="shared" si="14"/>
        <v>0.53455539322184631</v>
      </c>
      <c r="T93" s="585">
        <f t="shared" si="10"/>
        <v>0.62559438003508538</v>
      </c>
      <c r="U93" s="585">
        <f t="shared" si="11"/>
        <v>28.151747101578838</v>
      </c>
      <c r="V93" s="585">
        <f t="shared" si="12"/>
        <v>0</v>
      </c>
      <c r="W93" s="585">
        <f t="shared" si="13"/>
        <v>1.6891048260947306</v>
      </c>
    </row>
    <row r="94" spans="1:23">
      <c r="A94" s="123">
        <f>'Input data'!A128</f>
        <v>2030</v>
      </c>
      <c r="B94" s="986">
        <f>'Recycling - Case 1'!B108*'Recycling - Case 1'!AO108*'Recycling - Case 1'!AK108</f>
        <v>5117.4935556263281</v>
      </c>
      <c r="C94" s="114">
        <f t="shared" si="27"/>
        <v>0.1</v>
      </c>
      <c r="D94" s="114">
        <f t="shared" si="15"/>
        <v>0.9</v>
      </c>
      <c r="E94">
        <v>0</v>
      </c>
      <c r="F94">
        <v>0</v>
      </c>
      <c r="G94" s="989">
        <f t="shared" si="16"/>
        <v>0.40939948445010632</v>
      </c>
      <c r="H94" s="650">
        <f t="shared" si="17"/>
        <v>18.422976800254784</v>
      </c>
      <c r="J94" s="990">
        <f t="shared" si="18"/>
        <v>1.1053786080152868</v>
      </c>
      <c r="K94" s="987">
        <f>'Recycling - Case 1'!Z148*'Recycling - Case 1'!C148</f>
        <v>2235.6158441478751</v>
      </c>
      <c r="L94" s="114">
        <f t="shared" si="28"/>
        <v>0.1</v>
      </c>
      <c r="M94" s="114">
        <f t="shared" si="19"/>
        <v>0.9</v>
      </c>
      <c r="N94">
        <f t="shared" ref="N94:O94" si="35">N92</f>
        <v>0</v>
      </c>
      <c r="O94">
        <f t="shared" si="35"/>
        <v>0</v>
      </c>
      <c r="P94" s="178">
        <f t="shared" si="8"/>
        <v>0.17884926753183003</v>
      </c>
      <c r="Q94" s="512">
        <f t="shared" si="4"/>
        <v>8.0482170389323517</v>
      </c>
      <c r="S94" s="178">
        <f t="shared" si="14"/>
        <v>0.482893022335941</v>
      </c>
      <c r="T94" s="585">
        <f t="shared" si="10"/>
        <v>0.58824875198193638</v>
      </c>
      <c r="U94" s="585">
        <f t="shared" si="11"/>
        <v>26.471193839187137</v>
      </c>
      <c r="V94" s="585">
        <f t="shared" si="12"/>
        <v>0</v>
      </c>
      <c r="W94" s="585">
        <f t="shared" si="13"/>
        <v>1.5882716303512279</v>
      </c>
    </row>
    <row r="95" spans="1:23">
      <c r="A95" s="123">
        <f>'Input data'!A129</f>
        <v>2031</v>
      </c>
      <c r="B95" s="986">
        <f>'Recycling - Case 1'!B109*'Recycling - Case 1'!AO109*'Recycling - Case 1'!AK109</f>
        <v>4916.8151508003148</v>
      </c>
      <c r="C95" s="114">
        <f t="shared" si="27"/>
        <v>0.1</v>
      </c>
      <c r="D95" s="114">
        <f t="shared" si="15"/>
        <v>0.9</v>
      </c>
      <c r="E95">
        <v>0</v>
      </c>
      <c r="F95">
        <v>0</v>
      </c>
      <c r="G95" s="989">
        <f t="shared" si="16"/>
        <v>0.39334521206402523</v>
      </c>
      <c r="H95" s="650">
        <f t="shared" si="17"/>
        <v>17.700534542881133</v>
      </c>
      <c r="J95" s="990">
        <f t="shared" si="18"/>
        <v>1.062032072572868</v>
      </c>
      <c r="K95" s="987">
        <f>'Recycling - Case 1'!Z149*'Recycling - Case 1'!C149</f>
        <v>2692.8619207550469</v>
      </c>
      <c r="L95" s="114">
        <f t="shared" si="28"/>
        <v>0.1</v>
      </c>
      <c r="M95" s="114">
        <f t="shared" si="19"/>
        <v>0.9</v>
      </c>
      <c r="N95">
        <f t="shared" ref="N95:O95" si="36">N93</f>
        <v>0</v>
      </c>
      <c r="O95">
        <f t="shared" si="36"/>
        <v>0</v>
      </c>
      <c r="P95" s="178">
        <f t="shared" si="8"/>
        <v>0.21542895366040377</v>
      </c>
      <c r="Q95" s="512">
        <f t="shared" si="4"/>
        <v>9.6943029147181701</v>
      </c>
      <c r="S95" s="178">
        <f t="shared" si="14"/>
        <v>0.58165817488309013</v>
      </c>
      <c r="T95" s="585">
        <f t="shared" si="10"/>
        <v>0.608774165724429</v>
      </c>
      <c r="U95" s="585">
        <f t="shared" si="11"/>
        <v>27.394837457599301</v>
      </c>
      <c r="V95" s="585">
        <f t="shared" si="12"/>
        <v>0</v>
      </c>
      <c r="W95" s="585">
        <f t="shared" si="13"/>
        <v>1.6436902474559583</v>
      </c>
    </row>
    <row r="96" spans="1:23">
      <c r="A96" s="123">
        <f>'Input data'!A130</f>
        <v>2032</v>
      </c>
      <c r="B96" s="986">
        <f>'Recycling - Case 1'!B110*'Recycling - Case 1'!AO110*'Recycling - Case 1'!AK110</f>
        <v>4712.3515334521144</v>
      </c>
      <c r="C96" s="114">
        <f t="shared" si="27"/>
        <v>0.1</v>
      </c>
      <c r="D96" s="114">
        <f t="shared" si="15"/>
        <v>0.9</v>
      </c>
      <c r="E96">
        <v>0</v>
      </c>
      <c r="F96">
        <v>0</v>
      </c>
      <c r="G96" s="989">
        <f t="shared" si="16"/>
        <v>0.37698812267616921</v>
      </c>
      <c r="H96" s="650">
        <f t="shared" si="17"/>
        <v>16.964465520427613</v>
      </c>
      <c r="J96" s="990">
        <f t="shared" si="18"/>
        <v>1.0178679312256567</v>
      </c>
      <c r="K96" s="987">
        <f>'Recycling - Case 1'!Z150*'Recycling - Case 1'!C150</f>
        <v>3119.2526758262884</v>
      </c>
      <c r="L96" s="114">
        <f t="shared" si="28"/>
        <v>0.1</v>
      </c>
      <c r="M96" s="114">
        <f t="shared" si="19"/>
        <v>0.9</v>
      </c>
      <c r="N96">
        <f t="shared" ref="N96:O96" si="37">N94</f>
        <v>0</v>
      </c>
      <c r="O96">
        <f t="shared" si="37"/>
        <v>0</v>
      </c>
      <c r="P96" s="178">
        <f t="shared" si="8"/>
        <v>0.24954021406610311</v>
      </c>
      <c r="Q96" s="512">
        <f t="shared" si="4"/>
        <v>11.229309632974639</v>
      </c>
      <c r="S96" s="178">
        <f t="shared" si="14"/>
        <v>0.67375857797847838</v>
      </c>
      <c r="T96" s="585">
        <f t="shared" si="10"/>
        <v>0.62652833674227226</v>
      </c>
      <c r="U96" s="585">
        <f t="shared" si="11"/>
        <v>28.19377515340225</v>
      </c>
      <c r="V96" s="585">
        <f t="shared" si="12"/>
        <v>0</v>
      </c>
      <c r="W96" s="585">
        <f t="shared" si="13"/>
        <v>1.6916265092041352</v>
      </c>
    </row>
    <row r="97" spans="1:23">
      <c r="A97" s="123">
        <f>'Input data'!A131</f>
        <v>2033</v>
      </c>
      <c r="B97" s="986">
        <f>'Recycling - Case 1'!B111*'Recycling - Case 1'!AO111*'Recycling - Case 1'!AK111</f>
        <v>4503.9810313975577</v>
      </c>
      <c r="C97" s="114">
        <f t="shared" si="27"/>
        <v>0.1</v>
      </c>
      <c r="D97" s="114">
        <f t="shared" si="15"/>
        <v>0.9</v>
      </c>
      <c r="E97">
        <v>0</v>
      </c>
      <c r="F97">
        <v>0</v>
      </c>
      <c r="G97" s="989">
        <f t="shared" si="16"/>
        <v>0.36031848251180471</v>
      </c>
      <c r="H97" s="650">
        <f t="shared" si="17"/>
        <v>16.214331713031207</v>
      </c>
      <c r="J97" s="990">
        <f t="shared" si="18"/>
        <v>0.9728599027818724</v>
      </c>
      <c r="K97" s="987">
        <f>'Recycling - Case 1'!Z151*'Recycling - Case 1'!C151</f>
        <v>3581.7659224002095</v>
      </c>
      <c r="L97" s="114">
        <f t="shared" si="28"/>
        <v>0.1</v>
      </c>
      <c r="M97" s="114">
        <f t="shared" si="19"/>
        <v>0.9</v>
      </c>
      <c r="N97">
        <f t="shared" ref="N97:O97" si="38">N95</f>
        <v>0</v>
      </c>
      <c r="O97">
        <f t="shared" si="38"/>
        <v>0</v>
      </c>
      <c r="P97" s="178">
        <f t="shared" si="8"/>
        <v>0.28654127379201677</v>
      </c>
      <c r="Q97" s="512">
        <f t="shared" si="4"/>
        <v>12.894357320640754</v>
      </c>
      <c r="S97" s="178">
        <f t="shared" si="14"/>
        <v>0.77366143923844521</v>
      </c>
      <c r="T97" s="585">
        <f t="shared" si="10"/>
        <v>0.64685975630382142</v>
      </c>
      <c r="U97" s="585">
        <f t="shared" si="11"/>
        <v>29.108689033671961</v>
      </c>
      <c r="V97" s="585">
        <f t="shared" si="12"/>
        <v>0</v>
      </c>
      <c r="W97" s="585">
        <f t="shared" si="13"/>
        <v>1.7465213420203176</v>
      </c>
    </row>
    <row r="98" spans="1:23">
      <c r="A98" s="123">
        <f>'Input data'!A132</f>
        <v>2034</v>
      </c>
      <c r="B98" s="986">
        <f>'Recycling - Case 1'!B112*'Recycling - Case 1'!AO112*'Recycling - Case 1'!AK112</f>
        <v>4291.7853525238015</v>
      </c>
      <c r="C98" s="114">
        <f t="shared" si="27"/>
        <v>0.1</v>
      </c>
      <c r="D98" s="114">
        <f t="shared" si="15"/>
        <v>0.9</v>
      </c>
      <c r="E98">
        <v>0</v>
      </c>
      <c r="F98">
        <v>0</v>
      </c>
      <c r="G98" s="989">
        <f t="shared" si="16"/>
        <v>0.3433428282019042</v>
      </c>
      <c r="H98" s="650">
        <f t="shared" si="17"/>
        <v>15.450427269085685</v>
      </c>
      <c r="J98" s="990">
        <f t="shared" si="18"/>
        <v>0.92702563614514111</v>
      </c>
      <c r="K98" s="987">
        <f>'Recycling - Case 1'!Z152*'Recycling - Case 1'!C152</f>
        <v>4063.7018447942</v>
      </c>
      <c r="L98" s="114">
        <f t="shared" si="28"/>
        <v>0.1</v>
      </c>
      <c r="M98" s="114">
        <f t="shared" si="19"/>
        <v>0.9</v>
      </c>
      <c r="N98">
        <f t="shared" ref="N98:O98" si="39">N96</f>
        <v>0</v>
      </c>
      <c r="O98">
        <f t="shared" si="39"/>
        <v>0</v>
      </c>
      <c r="P98" s="178">
        <f t="shared" si="8"/>
        <v>0.32509614758353611</v>
      </c>
      <c r="Q98" s="512">
        <f t="shared" si="4"/>
        <v>14.629326641259119</v>
      </c>
      <c r="R98" s="501"/>
      <c r="S98" s="584">
        <f t="shared" si="14"/>
        <v>0.8777595984755473</v>
      </c>
      <c r="T98" s="585">
        <f t="shared" si="10"/>
        <v>0.66843897578544031</v>
      </c>
      <c r="U98" s="585">
        <f t="shared" si="11"/>
        <v>30.079753910344806</v>
      </c>
      <c r="V98" s="585">
        <f t="shared" si="12"/>
        <v>0</v>
      </c>
      <c r="W98" s="585">
        <f t="shared" si="13"/>
        <v>1.8047852346206885</v>
      </c>
    </row>
    <row r="99" spans="1:23">
      <c r="A99" s="123">
        <f>'Input data'!A133</f>
        <v>2035</v>
      </c>
      <c r="B99" s="986">
        <f>'Recycling - Case 1'!B113*'Recycling - Case 1'!AO113*'Recycling - Case 1'!AK113</f>
        <v>4075.5799293647592</v>
      </c>
      <c r="C99" s="114">
        <f t="shared" si="27"/>
        <v>0.1</v>
      </c>
      <c r="D99" s="114">
        <f t="shared" si="15"/>
        <v>0.9</v>
      </c>
      <c r="E99">
        <v>0</v>
      </c>
      <c r="F99">
        <v>0</v>
      </c>
      <c r="G99" s="989">
        <f t="shared" si="16"/>
        <v>0.32604639434918081</v>
      </c>
      <c r="H99" s="650">
        <f t="shared" si="17"/>
        <v>14.672087745713133</v>
      </c>
      <c r="J99" s="991">
        <f t="shared" si="18"/>
        <v>0.88032526474278805</v>
      </c>
      <c r="K99" s="987">
        <f>'Recycling - Case 1'!Z153*'Recycling - Case 1'!C153</f>
        <v>4564.6312593721277</v>
      </c>
      <c r="L99" s="114">
        <f t="shared" si="28"/>
        <v>0.1</v>
      </c>
      <c r="M99" s="114">
        <f t="shared" si="19"/>
        <v>0.9</v>
      </c>
      <c r="N99">
        <f t="shared" ref="N99:O99" si="40">N97</f>
        <v>0</v>
      </c>
      <c r="O99">
        <f t="shared" si="40"/>
        <v>0</v>
      </c>
      <c r="P99" s="178">
        <f t="shared" si="8"/>
        <v>0.36517050074977025</v>
      </c>
      <c r="Q99" s="512">
        <f t="shared" si="4"/>
        <v>16.432672533739659</v>
      </c>
      <c r="S99" s="178">
        <f t="shared" si="14"/>
        <v>0.98596035202437959</v>
      </c>
      <c r="T99" s="585">
        <f t="shared" si="10"/>
        <v>0.69121689509895101</v>
      </c>
      <c r="U99" s="585">
        <f t="shared" si="11"/>
        <v>31.10476027945279</v>
      </c>
      <c r="V99" s="585">
        <f t="shared" si="12"/>
        <v>0</v>
      </c>
      <c r="W99" s="585">
        <f t="shared" si="13"/>
        <v>1.8662856167671675</v>
      </c>
    </row>
    <row r="100" spans="1:23">
      <c r="A100" s="123">
        <f>'Input data'!A134</f>
        <v>2036</v>
      </c>
      <c r="B100" s="986">
        <f>'Recycling - Case 1'!B114*'Recycling - Case 1'!AO114*'Recycling - Case 1'!AK114</f>
        <v>3850.7657293741604</v>
      </c>
      <c r="C100" s="114">
        <f t="shared" si="27"/>
        <v>0.1</v>
      </c>
      <c r="D100" s="114">
        <f t="shared" si="15"/>
        <v>0.9</v>
      </c>
      <c r="E100">
        <v>0</v>
      </c>
      <c r="F100">
        <v>0</v>
      </c>
      <c r="G100" s="989">
        <f t="shared" si="16"/>
        <v>0.30806125834993286</v>
      </c>
      <c r="H100" s="650">
        <f t="shared" si="17"/>
        <v>13.862756625746977</v>
      </c>
      <c r="J100" s="990">
        <f>D100*$D$7*B100/1000</f>
        <v>0.8317653975448186</v>
      </c>
      <c r="K100" s="987">
        <f>'Recycling - Case 1'!Z154*'Recycling - Case 1'!C154</f>
        <v>5541.4053036173618</v>
      </c>
      <c r="L100" s="114">
        <f t="shared" si="28"/>
        <v>0.1</v>
      </c>
      <c r="M100" s="114">
        <f t="shared" si="19"/>
        <v>0.9</v>
      </c>
      <c r="N100">
        <f t="shared" ref="N100:O100" si="41">N98</f>
        <v>0</v>
      </c>
      <c r="O100">
        <f t="shared" si="41"/>
        <v>0</v>
      </c>
      <c r="P100" s="178">
        <f t="shared" si="8"/>
        <v>0.443312424289389</v>
      </c>
      <c r="Q100" s="512">
        <f t="shared" si="4"/>
        <v>19.949059093022505</v>
      </c>
      <c r="S100" s="178">
        <f t="shared" si="14"/>
        <v>1.1969435455813502</v>
      </c>
      <c r="T100" s="585">
        <f t="shared" si="10"/>
        <v>0.7513736826393218</v>
      </c>
      <c r="U100" s="585">
        <f t="shared" si="11"/>
        <v>33.811815718769481</v>
      </c>
      <c r="V100" s="585">
        <f t="shared" si="12"/>
        <v>0</v>
      </c>
      <c r="W100" s="585">
        <f t="shared" si="13"/>
        <v>2.0287089431261687</v>
      </c>
    </row>
    <row r="101" spans="1:23">
      <c r="A101" s="123">
        <f>'Input data'!A135</f>
        <v>2037</v>
      </c>
      <c r="B101" s="986">
        <f>'Recycling - Case 1'!B115*'Recycling - Case 1'!AO115*'Recycling - Case 1'!AK115</f>
        <v>3792.6527153340176</v>
      </c>
      <c r="C101" s="114">
        <f t="shared" si="27"/>
        <v>0.1</v>
      </c>
      <c r="D101" s="114">
        <f t="shared" si="15"/>
        <v>0.9</v>
      </c>
      <c r="E101">
        <v>0</v>
      </c>
      <c r="F101">
        <v>0</v>
      </c>
      <c r="G101" s="989">
        <f t="shared" si="16"/>
        <v>0.30341221722672146</v>
      </c>
      <c r="H101" s="650">
        <f t="shared" si="17"/>
        <v>13.653549775202464</v>
      </c>
      <c r="J101" s="990">
        <f t="shared" si="18"/>
        <v>0.8192129865121478</v>
      </c>
      <c r="K101" s="987">
        <f>'Recycling - Case 1'!Z155*'Recycling - Case 1'!C155</f>
        <v>6524.6778505179273</v>
      </c>
      <c r="L101" s="114">
        <f t="shared" si="28"/>
        <v>0.1</v>
      </c>
      <c r="M101" s="114">
        <f t="shared" si="19"/>
        <v>0.9</v>
      </c>
      <c r="N101">
        <f t="shared" ref="N101:O101" si="42">N99</f>
        <v>0</v>
      </c>
      <c r="O101">
        <f t="shared" si="42"/>
        <v>0</v>
      </c>
      <c r="P101" s="178">
        <f t="shared" si="8"/>
        <v>0.52197422804143423</v>
      </c>
      <c r="Q101" s="512">
        <f t="shared" si="4"/>
        <v>23.488840261864539</v>
      </c>
      <c r="S101" s="178">
        <f t="shared" si="14"/>
        <v>1.4093304157118722</v>
      </c>
      <c r="T101" s="585">
        <f t="shared" si="10"/>
        <v>0.82538644526815563</v>
      </c>
      <c r="U101" s="585">
        <f t="shared" si="11"/>
        <v>37.142390037067003</v>
      </c>
      <c r="V101" s="585">
        <f t="shared" si="12"/>
        <v>0</v>
      </c>
      <c r="W101" s="585">
        <f t="shared" si="13"/>
        <v>2.22854340222402</v>
      </c>
    </row>
    <row r="102" spans="1:23">
      <c r="A102" s="123">
        <f>'Input data'!A136</f>
        <v>2038</v>
      </c>
      <c r="B102" s="986">
        <f>'Recycling - Case 1'!B116*'Recycling - Case 1'!AO116*'Recycling - Case 1'!AK116</f>
        <v>3656.7267607527911</v>
      </c>
      <c r="C102" s="114">
        <f t="shared" si="27"/>
        <v>0.1</v>
      </c>
      <c r="D102" s="114">
        <f t="shared" si="15"/>
        <v>0.9</v>
      </c>
      <c r="E102">
        <v>0</v>
      </c>
      <c r="F102">
        <v>0</v>
      </c>
      <c r="G102" s="989">
        <f t="shared" si="16"/>
        <v>0.29253814086022334</v>
      </c>
      <c r="H102" s="650">
        <f t="shared" si="17"/>
        <v>13.164216338710048</v>
      </c>
      <c r="J102" s="990">
        <f t="shared" si="18"/>
        <v>0.78985298032260287</v>
      </c>
      <c r="K102" s="987">
        <f>'Recycling - Case 1'!Z156*'Recycling - Case 1'!C156</f>
        <v>7501.4980008476168</v>
      </c>
      <c r="L102" s="114">
        <f t="shared" si="28"/>
        <v>0.1</v>
      </c>
      <c r="M102" s="114">
        <f t="shared" si="19"/>
        <v>0.9</v>
      </c>
      <c r="N102">
        <f t="shared" ref="N102:O102" si="43">N100</f>
        <v>0</v>
      </c>
      <c r="O102">
        <f t="shared" si="43"/>
        <v>0</v>
      </c>
      <c r="P102" s="178">
        <f t="shared" si="8"/>
        <v>0.6001198400678095</v>
      </c>
      <c r="Q102" s="512">
        <f t="shared" si="4"/>
        <v>27.005392803051421</v>
      </c>
      <c r="S102" s="178">
        <f t="shared" si="14"/>
        <v>1.6203235681830852</v>
      </c>
      <c r="T102" s="585">
        <f t="shared" si="10"/>
        <v>0.89265798092803283</v>
      </c>
      <c r="U102" s="585">
        <f t="shared" si="11"/>
        <v>40.16960914176147</v>
      </c>
      <c r="V102" s="585">
        <f t="shared" si="12"/>
        <v>0</v>
      </c>
      <c r="W102" s="585">
        <f t="shared" si="13"/>
        <v>2.4101765485056879</v>
      </c>
    </row>
    <row r="103" spans="1:23">
      <c r="A103" s="123">
        <f>'Input data'!A137</f>
        <v>2039</v>
      </c>
      <c r="B103" s="986">
        <f>'Recycling - Case 1'!B117*'Recycling - Case 1'!AO117*'Recycling - Case 1'!AK117</f>
        <v>3518.5662283560159</v>
      </c>
      <c r="C103" s="114">
        <f t="shared" si="27"/>
        <v>0.1</v>
      </c>
      <c r="D103" s="114">
        <f t="shared" si="15"/>
        <v>0.9</v>
      </c>
      <c r="E103">
        <v>0</v>
      </c>
      <c r="F103">
        <v>0</v>
      </c>
      <c r="G103" s="989">
        <f t="shared" si="16"/>
        <v>0.28148529826848129</v>
      </c>
      <c r="H103" s="650">
        <f t="shared" si="17"/>
        <v>12.666838422081657</v>
      </c>
      <c r="J103" s="990">
        <f t="shared" si="18"/>
        <v>0.76001030532489933</v>
      </c>
      <c r="K103" s="987">
        <f>'Recycling - Case 1'!Z157*'Recycling - Case 1'!C157</f>
        <v>8483.5653123275806</v>
      </c>
      <c r="L103" s="114">
        <f t="shared" si="28"/>
        <v>0.1</v>
      </c>
      <c r="M103" s="114">
        <f t="shared" si="19"/>
        <v>0.9</v>
      </c>
      <c r="N103">
        <f t="shared" ref="N103:O103" si="44">N101</f>
        <v>0</v>
      </c>
      <c r="O103">
        <f t="shared" si="44"/>
        <v>0</v>
      </c>
      <c r="P103" s="178">
        <f t="shared" si="8"/>
        <v>0.67868522498620654</v>
      </c>
      <c r="Q103" s="512">
        <f t="shared" si="4"/>
        <v>30.540835124379289</v>
      </c>
      <c r="S103" s="178">
        <f t="shared" si="14"/>
        <v>1.8324501074627575</v>
      </c>
      <c r="T103" s="585">
        <f t="shared" si="10"/>
        <v>0.96017052325468777</v>
      </c>
      <c r="U103" s="585">
        <f t="shared" si="11"/>
        <v>43.207673546460946</v>
      </c>
      <c r="V103" s="585">
        <f t="shared" si="12"/>
        <v>0</v>
      </c>
      <c r="W103" s="585">
        <f t="shared" si="13"/>
        <v>2.5924604127876569</v>
      </c>
    </row>
    <row r="104" spans="1:23">
      <c r="A104" s="123">
        <f>'Input data'!A138</f>
        <v>2040</v>
      </c>
      <c r="B104" s="986">
        <f>'Recycling - Case 1'!B118*'Recycling - Case 1'!AO118*'Recycling - Case 1'!AK118</f>
        <v>3378.1501689766783</v>
      </c>
      <c r="C104" s="114">
        <f t="shared" si="27"/>
        <v>0.1</v>
      </c>
      <c r="D104" s="114">
        <f t="shared" si="15"/>
        <v>0.9</v>
      </c>
      <c r="E104">
        <v>0</v>
      </c>
      <c r="F104">
        <v>0</v>
      </c>
      <c r="G104" s="989">
        <f t="shared" si="16"/>
        <v>0.27025201351813433</v>
      </c>
      <c r="H104" s="650">
        <f t="shared" si="17"/>
        <v>12.161340608316042</v>
      </c>
      <c r="J104" s="990">
        <f t="shared" si="18"/>
        <v>0.72968043649896253</v>
      </c>
      <c r="K104" s="987">
        <f>'Recycling - Case 1'!Z158*'Recycling - Case 1'!C158</f>
        <v>9481.0124608069164</v>
      </c>
      <c r="L104" s="114">
        <f t="shared" si="28"/>
        <v>0.1</v>
      </c>
      <c r="M104" s="114">
        <f t="shared" si="19"/>
        <v>0.9</v>
      </c>
      <c r="N104">
        <f t="shared" ref="N104:O104" si="45">N102</f>
        <v>0</v>
      </c>
      <c r="O104">
        <f t="shared" si="45"/>
        <v>0</v>
      </c>
      <c r="P104" s="178">
        <f t="shared" si="8"/>
        <v>0.7584809968645535</v>
      </c>
      <c r="Q104" s="512">
        <f t="shared" si="4"/>
        <v>34.131644858904906</v>
      </c>
      <c r="S104" s="178">
        <f t="shared" si="14"/>
        <v>2.0478986915342938</v>
      </c>
      <c r="T104" s="585">
        <f t="shared" si="10"/>
        <v>1.0287330103826879</v>
      </c>
      <c r="U104" s="585">
        <f t="shared" si="11"/>
        <v>46.292985467220944</v>
      </c>
      <c r="V104" s="585">
        <f t="shared" si="12"/>
        <v>0</v>
      </c>
      <c r="W104" s="585">
        <f t="shared" si="13"/>
        <v>2.7775791280332562</v>
      </c>
    </row>
    <row r="105" spans="1:23">
      <c r="A105" s="123">
        <f>'Input data'!A139</f>
        <v>2041</v>
      </c>
      <c r="B105" s="986">
        <f>'Recycling - Case 1'!B119*'Recycling - Case 1'!AO119*'Recycling - Case 1'!AK119</f>
        <v>3231.9924860435117</v>
      </c>
      <c r="C105" s="114">
        <f t="shared" si="27"/>
        <v>0.1</v>
      </c>
      <c r="D105" s="114">
        <f t="shared" si="15"/>
        <v>0.9</v>
      </c>
      <c r="E105">
        <v>0</v>
      </c>
      <c r="F105">
        <v>0</v>
      </c>
      <c r="G105" s="989">
        <f t="shared" si="16"/>
        <v>0.25855939888348101</v>
      </c>
      <c r="H105" s="650">
        <f t="shared" si="17"/>
        <v>11.635172949756644</v>
      </c>
      <c r="J105" s="990">
        <f t="shared" si="18"/>
        <v>0.69811037698539846</v>
      </c>
      <c r="K105" s="987">
        <f>'Recycling - Case 1'!Z159*'Recycling - Case 1'!C159</f>
        <v>9489.8278100631305</v>
      </c>
      <c r="L105" s="114">
        <f t="shared" si="28"/>
        <v>0.1</v>
      </c>
      <c r="M105" s="114">
        <f t="shared" si="19"/>
        <v>0.9</v>
      </c>
      <c r="N105">
        <f t="shared" ref="N105:O105" si="46">N103</f>
        <v>0</v>
      </c>
      <c r="O105">
        <f t="shared" si="46"/>
        <v>0</v>
      </c>
      <c r="P105" s="178">
        <f t="shared" si="8"/>
        <v>0.7591862248050506</v>
      </c>
      <c r="Q105" s="512">
        <f t="shared" si="4"/>
        <v>34.163380116227273</v>
      </c>
      <c r="S105" s="178">
        <f t="shared" si="14"/>
        <v>2.049802806973636</v>
      </c>
      <c r="T105" s="585">
        <f t="shared" si="10"/>
        <v>1.0177456236885316</v>
      </c>
      <c r="U105" s="585">
        <f t="shared" si="11"/>
        <v>45.798553065983917</v>
      </c>
      <c r="V105" s="585">
        <f t="shared" si="12"/>
        <v>0</v>
      </c>
      <c r="W105" s="585">
        <f t="shared" si="13"/>
        <v>2.7479131839590343</v>
      </c>
    </row>
    <row r="106" spans="1:23">
      <c r="A106" s="123">
        <f>'Input data'!A140</f>
        <v>2042</v>
      </c>
      <c r="B106" s="986">
        <f>'Recycling - Case 1'!B120*'Recycling - Case 1'!AO120*'Recycling - Case 1'!AK120</f>
        <v>3083.853167089198</v>
      </c>
      <c r="C106" s="114">
        <f t="shared" si="27"/>
        <v>0.1</v>
      </c>
      <c r="D106" s="114">
        <f t="shared" si="15"/>
        <v>0.9</v>
      </c>
      <c r="E106">
        <v>0</v>
      </c>
      <c r="F106">
        <v>0</v>
      </c>
      <c r="G106" s="989">
        <f t="shared" si="16"/>
        <v>0.24670825336713589</v>
      </c>
      <c r="H106" s="650">
        <f t="shared" si="17"/>
        <v>11.101871401521114</v>
      </c>
      <c r="J106" s="990">
        <f t="shared" si="18"/>
        <v>0.66611228409126677</v>
      </c>
      <c r="K106" s="987">
        <f>'Recycling - Case 1'!Z160*'Recycling - Case 1'!C160</f>
        <v>9513.6621462976218</v>
      </c>
      <c r="L106" s="114">
        <f t="shared" si="28"/>
        <v>0.1</v>
      </c>
      <c r="M106" s="114">
        <f t="shared" si="19"/>
        <v>0.9</v>
      </c>
      <c r="N106">
        <f t="shared" ref="N106:O106" si="47">N104</f>
        <v>0</v>
      </c>
      <c r="O106">
        <f t="shared" si="47"/>
        <v>0</v>
      </c>
      <c r="P106" s="178">
        <f t="shared" si="8"/>
        <v>0.76109297170380985</v>
      </c>
      <c r="Q106" s="512">
        <f t="shared" si="4"/>
        <v>34.24918372667144</v>
      </c>
      <c r="S106" s="178">
        <f t="shared" si="14"/>
        <v>2.0549510236002861</v>
      </c>
      <c r="T106" s="585">
        <f t="shared" si="10"/>
        <v>1.0078012250709458</v>
      </c>
      <c r="U106" s="585">
        <f t="shared" si="11"/>
        <v>45.351055128192556</v>
      </c>
      <c r="V106" s="585">
        <f t="shared" si="12"/>
        <v>0</v>
      </c>
      <c r="W106" s="585">
        <f t="shared" si="13"/>
        <v>2.7210633076915531</v>
      </c>
    </row>
    <row r="107" spans="1:23">
      <c r="A107" s="123">
        <f>'Input data'!A141</f>
        <v>2043</v>
      </c>
      <c r="B107" s="986">
        <f>'Recycling - Case 1'!B121*'Recycling - Case 1'!AO121*'Recycling - Case 1'!AK121</f>
        <v>2933.7585925462827</v>
      </c>
      <c r="C107" s="114">
        <f t="shared" si="27"/>
        <v>0.1</v>
      </c>
      <c r="D107" s="114">
        <f t="shared" si="15"/>
        <v>0.9</v>
      </c>
      <c r="E107">
        <v>0</v>
      </c>
      <c r="F107">
        <v>0</v>
      </c>
      <c r="G107" s="989">
        <f t="shared" si="16"/>
        <v>0.23470068740370265</v>
      </c>
      <c r="H107" s="650">
        <f t="shared" si="17"/>
        <v>10.561530933166617</v>
      </c>
      <c r="J107" s="990">
        <f t="shared" si="18"/>
        <v>0.63369185598999711</v>
      </c>
      <c r="K107" s="987">
        <f>'Recycling - Case 1'!Z161*'Recycling - Case 1'!C161</f>
        <v>9549.8905832681066</v>
      </c>
      <c r="L107" s="114">
        <f t="shared" si="28"/>
        <v>0.1</v>
      </c>
      <c r="M107" s="114">
        <f t="shared" si="19"/>
        <v>0.9</v>
      </c>
      <c r="N107">
        <f t="shared" ref="N107:O107" si="48">N105</f>
        <v>0</v>
      </c>
      <c r="O107">
        <f t="shared" si="48"/>
        <v>0</v>
      </c>
      <c r="P107" s="178">
        <f t="shared" si="8"/>
        <v>0.76399124666144869</v>
      </c>
      <c r="Q107" s="512">
        <f t="shared" si="4"/>
        <v>34.379606099765191</v>
      </c>
      <c r="S107" s="178">
        <f t="shared" si="14"/>
        <v>2.0627763659859109</v>
      </c>
      <c r="T107" s="585">
        <f t="shared" si="10"/>
        <v>0.99869193406515133</v>
      </c>
      <c r="U107" s="585">
        <f t="shared" si="11"/>
        <v>44.941137032931806</v>
      </c>
      <c r="V107" s="585">
        <f t="shared" si="12"/>
        <v>0</v>
      </c>
      <c r="W107" s="585">
        <f t="shared" si="13"/>
        <v>2.6964682219759082</v>
      </c>
    </row>
    <row r="108" spans="1:23">
      <c r="A108" s="123">
        <f>'Input data'!A142</f>
        <v>2044</v>
      </c>
      <c r="B108" s="986">
        <f>'Recycling - Case 1'!B122*'Recycling - Case 1'!AO122*'Recycling - Case 1'!AK122</f>
        <v>2781.6497943890804</v>
      </c>
      <c r="C108" s="114">
        <f t="shared" si="27"/>
        <v>0.1</v>
      </c>
      <c r="D108" s="114">
        <f t="shared" si="15"/>
        <v>0.9</v>
      </c>
      <c r="E108">
        <v>0</v>
      </c>
      <c r="F108">
        <v>0</v>
      </c>
      <c r="G108" s="989">
        <f t="shared" si="16"/>
        <v>0.22253198355112647</v>
      </c>
      <c r="H108" s="650">
        <f t="shared" si="17"/>
        <v>10.013939259800688</v>
      </c>
      <c r="J108" s="990">
        <f t="shared" si="18"/>
        <v>0.60083635558804138</v>
      </c>
      <c r="K108" s="987">
        <f>'Recycling - Case 1'!Z162*'Recycling - Case 1'!C162</f>
        <v>9599.7285022191409</v>
      </c>
      <c r="L108" s="114">
        <f t="shared" si="28"/>
        <v>0.1</v>
      </c>
      <c r="M108" s="114">
        <f t="shared" si="19"/>
        <v>0.9</v>
      </c>
      <c r="N108">
        <f t="shared" ref="N108:O108" si="49">N106</f>
        <v>0</v>
      </c>
      <c r="O108">
        <f t="shared" si="49"/>
        <v>0</v>
      </c>
      <c r="P108" s="178">
        <f t="shared" si="8"/>
        <v>0.76797828017753145</v>
      </c>
      <c r="Q108" s="512">
        <f t="shared" si="4"/>
        <v>34.559022607988908</v>
      </c>
      <c r="S108" s="178">
        <f t="shared" si="14"/>
        <v>2.0735413564793346</v>
      </c>
      <c r="T108" s="585">
        <f t="shared" si="10"/>
        <v>0.99051026372865791</v>
      </c>
      <c r="U108" s="585">
        <f t="shared" si="11"/>
        <v>44.572961867789594</v>
      </c>
      <c r="V108" s="585">
        <f t="shared" si="12"/>
        <v>0</v>
      </c>
      <c r="W108" s="585">
        <f t="shared" si="13"/>
        <v>2.674377712067376</v>
      </c>
    </row>
    <row r="109" spans="1:23">
      <c r="A109" s="123">
        <f>'Input data'!A143</f>
        <v>2045</v>
      </c>
      <c r="B109" s="986">
        <f>'Recycling - Case 1'!B123*'Recycling - Case 1'!AO123*'Recycling - Case 1'!AK123</f>
        <v>2627.5841888531259</v>
      </c>
      <c r="C109" s="114">
        <f t="shared" si="27"/>
        <v>0.1</v>
      </c>
      <c r="D109" s="114">
        <f t="shared" si="15"/>
        <v>0.9</v>
      </c>
      <c r="E109">
        <v>0</v>
      </c>
      <c r="F109">
        <v>0</v>
      </c>
      <c r="G109" s="989">
        <f t="shared" si="16"/>
        <v>0.21020673510825011</v>
      </c>
      <c r="H109" s="650">
        <f t="shared" si="17"/>
        <v>9.459303079871253</v>
      </c>
      <c r="J109" s="990">
        <f t="shared" si="18"/>
        <v>0.56755818479227516</v>
      </c>
      <c r="K109" s="987">
        <f>'Recycling - Case 1'!Z163*'Recycling - Case 1'!C163</f>
        <v>9671.0599341403049</v>
      </c>
      <c r="L109" s="114">
        <f t="shared" si="28"/>
        <v>0.1</v>
      </c>
      <c r="M109" s="114">
        <f t="shared" si="19"/>
        <v>0.9</v>
      </c>
      <c r="N109">
        <f t="shared" ref="N109:O109" si="50">N107</f>
        <v>0</v>
      </c>
      <c r="O109">
        <f t="shared" si="50"/>
        <v>0</v>
      </c>
      <c r="P109" s="178">
        <f t="shared" si="8"/>
        <v>0.77368479473122453</v>
      </c>
      <c r="Q109" s="512">
        <f t="shared" si="4"/>
        <v>34.815815762905096</v>
      </c>
      <c r="S109" s="178">
        <f t="shared" si="14"/>
        <v>2.0889489457743058</v>
      </c>
      <c r="T109" s="585">
        <f t="shared" si="10"/>
        <v>0.98389152983947459</v>
      </c>
      <c r="U109" s="585">
        <f t="shared" si="11"/>
        <v>44.275118842776351</v>
      </c>
      <c r="V109" s="585">
        <f t="shared" si="12"/>
        <v>0</v>
      </c>
      <c r="W109" s="585">
        <f t="shared" si="13"/>
        <v>2.6565071305665811</v>
      </c>
    </row>
    <row r="110" spans="1:23">
      <c r="A110" s="123">
        <f>'Input data'!A144</f>
        <v>2046</v>
      </c>
      <c r="B110" s="986">
        <f>'Recycling - Case 1'!B124*'Recycling - Case 1'!AO124*'Recycling - Case 1'!AK124</f>
        <v>2468.7313107053974</v>
      </c>
      <c r="C110" s="114">
        <f t="shared" si="27"/>
        <v>0.1</v>
      </c>
      <c r="D110" s="114">
        <f t="shared" si="15"/>
        <v>0.9</v>
      </c>
      <c r="E110">
        <v>0</v>
      </c>
      <c r="F110">
        <v>0</v>
      </c>
      <c r="G110" s="989">
        <f t="shared" si="16"/>
        <v>0.19749850485643183</v>
      </c>
      <c r="H110" s="650">
        <f t="shared" si="17"/>
        <v>8.8874327185394311</v>
      </c>
      <c r="J110" s="990">
        <f t="shared" si="18"/>
        <v>0.53324596311236583</v>
      </c>
      <c r="K110" s="987">
        <f>'Recycling - Case 1'!Z164*'Recycling - Case 1'!C164</f>
        <v>9757.7807139609358</v>
      </c>
      <c r="L110" s="114">
        <f t="shared" si="28"/>
        <v>0.1</v>
      </c>
      <c r="M110" s="114">
        <f t="shared" si="19"/>
        <v>0.9</v>
      </c>
      <c r="N110">
        <f t="shared" ref="N110:O110" si="51">N108</f>
        <v>0</v>
      </c>
      <c r="O110">
        <f t="shared" si="51"/>
        <v>0</v>
      </c>
      <c r="P110" s="178">
        <f t="shared" si="8"/>
        <v>0.78062245711687506</v>
      </c>
      <c r="Q110" s="512">
        <f t="shared" si="4"/>
        <v>35.12801057025937</v>
      </c>
      <c r="S110" s="178">
        <f t="shared" si="14"/>
        <v>2.1076806342155621</v>
      </c>
      <c r="T110" s="585">
        <f t="shared" si="10"/>
        <v>0.97812096197330689</v>
      </c>
      <c r="U110" s="585">
        <f t="shared" si="11"/>
        <v>44.015443288798799</v>
      </c>
      <c r="V110" s="585">
        <f t="shared" si="12"/>
        <v>0</v>
      </c>
      <c r="W110" s="585">
        <f t="shared" si="13"/>
        <v>2.6409265973279279</v>
      </c>
    </row>
    <row r="111" spans="1:23">
      <c r="A111" s="123">
        <f>'Input data'!A145</f>
        <v>2047</v>
      </c>
      <c r="B111" s="986">
        <f>'Recycling - Case 1'!B125*'Recycling - Case 1'!AO125*'Recycling - Case 1'!AK125</f>
        <v>2308.2257760482548</v>
      </c>
      <c r="C111" s="114">
        <f t="shared" si="27"/>
        <v>0.1</v>
      </c>
      <c r="D111" s="114">
        <f t="shared" si="15"/>
        <v>0.9</v>
      </c>
      <c r="E111">
        <v>0</v>
      </c>
      <c r="F111">
        <v>0</v>
      </c>
      <c r="G111" s="989">
        <f t="shared" si="16"/>
        <v>0.1846580620838604</v>
      </c>
      <c r="H111" s="650">
        <f t="shared" si="17"/>
        <v>8.3096127937737183</v>
      </c>
      <c r="J111" s="990">
        <f t="shared" si="18"/>
        <v>0.498576767626423</v>
      </c>
      <c r="K111" s="987">
        <f>'Recycling - Case 1'!Z165*'Recycling - Case 1'!C165</f>
        <v>9857.2834919254637</v>
      </c>
      <c r="L111" s="114">
        <f t="shared" si="28"/>
        <v>0.1</v>
      </c>
      <c r="M111" s="114">
        <f t="shared" si="19"/>
        <v>0.9</v>
      </c>
      <c r="N111">
        <f t="shared" ref="N111:O111" si="52">N109</f>
        <v>0</v>
      </c>
      <c r="O111">
        <f t="shared" si="52"/>
        <v>0</v>
      </c>
      <c r="P111" s="178">
        <f t="shared" si="8"/>
        <v>0.78858267935403725</v>
      </c>
      <c r="Q111" s="512">
        <f t="shared" si="4"/>
        <v>35.486220570931671</v>
      </c>
      <c r="S111" s="178">
        <f t="shared" si="14"/>
        <v>2.1291732342559002</v>
      </c>
      <c r="T111" s="585">
        <f t="shared" si="10"/>
        <v>0.97324074143789763</v>
      </c>
      <c r="U111" s="585">
        <f t="shared" si="11"/>
        <v>43.795833364705388</v>
      </c>
      <c r="V111" s="585">
        <f t="shared" si="12"/>
        <v>0</v>
      </c>
      <c r="W111" s="585">
        <f t="shared" si="13"/>
        <v>2.6277500018823234</v>
      </c>
    </row>
    <row r="112" spans="1:23">
      <c r="A112" s="123">
        <f>'Input data'!A146</f>
        <v>2048</v>
      </c>
      <c r="B112" s="986">
        <f>'Recycling - Case 1'!B126*'Recycling - Case 1'!AO126*'Recycling - Case 1'!AK126</f>
        <v>2320.0193811858494</v>
      </c>
      <c r="C112" s="114">
        <f t="shared" si="27"/>
        <v>0.1</v>
      </c>
      <c r="D112" s="114">
        <f t="shared" si="15"/>
        <v>0.9</v>
      </c>
      <c r="E112">
        <v>0</v>
      </c>
      <c r="F112">
        <v>0</v>
      </c>
      <c r="G112" s="989">
        <f t="shared" si="16"/>
        <v>0.18560155049486798</v>
      </c>
      <c r="H112" s="650">
        <f t="shared" si="17"/>
        <v>8.3520697722690578</v>
      </c>
      <c r="J112" s="990">
        <f t="shared" si="18"/>
        <v>0.50112418633614342</v>
      </c>
      <c r="K112" s="987">
        <f>'Recycling - Case 1'!Z166*'Recycling - Case 1'!C166</f>
        <v>9953.938664276282</v>
      </c>
      <c r="L112" s="114">
        <f t="shared" si="28"/>
        <v>0.1</v>
      </c>
      <c r="M112" s="114">
        <f t="shared" si="19"/>
        <v>0.9</v>
      </c>
      <c r="N112">
        <f t="shared" ref="N112:O112" si="53">N110</f>
        <v>0</v>
      </c>
      <c r="O112">
        <f t="shared" si="53"/>
        <v>0</v>
      </c>
      <c r="P112" s="178">
        <f t="shared" si="8"/>
        <v>0.79631509314210269</v>
      </c>
      <c r="Q112" s="512">
        <f t="shared" si="4"/>
        <v>35.834179191394611</v>
      </c>
      <c r="S112" s="178">
        <f t="shared" si="14"/>
        <v>2.1500507514836769</v>
      </c>
      <c r="T112" s="585">
        <f t="shared" si="10"/>
        <v>0.98191664363697062</v>
      </c>
      <c r="U112" s="585">
        <f t="shared" si="11"/>
        <v>44.186248963663672</v>
      </c>
      <c r="V112" s="585">
        <f t="shared" si="12"/>
        <v>0</v>
      </c>
      <c r="W112" s="585">
        <f t="shared" si="13"/>
        <v>2.6511749378198202</v>
      </c>
    </row>
    <row r="113" spans="1:23">
      <c r="A113" s="123">
        <f>'Input data'!A147</f>
        <v>2049</v>
      </c>
      <c r="B113" s="986">
        <f>'Recycling - Case 1'!B127*'Recycling - Case 1'!AO127*'Recycling - Case 1'!AK127</f>
        <v>2331.8440221264382</v>
      </c>
      <c r="C113" s="114">
        <f t="shared" si="27"/>
        <v>0.1</v>
      </c>
      <c r="D113" s="114">
        <f t="shared" si="15"/>
        <v>0.9</v>
      </c>
      <c r="E113">
        <v>0</v>
      </c>
      <c r="F113">
        <v>0</v>
      </c>
      <c r="G113" s="989">
        <f t="shared" si="16"/>
        <v>0.18654752177011508</v>
      </c>
      <c r="H113" s="650">
        <f t="shared" si="17"/>
        <v>8.3946384796551783</v>
      </c>
      <c r="J113" s="990">
        <f t="shared" si="18"/>
        <v>0.50367830877931064</v>
      </c>
      <c r="K113" s="987">
        <f>'Recycling - Case 1'!Z167*'Recycling - Case 1'!C167</f>
        <v>10064.214945952697</v>
      </c>
      <c r="L113" s="114">
        <f t="shared" si="28"/>
        <v>0.1</v>
      </c>
      <c r="M113" s="114">
        <f t="shared" si="19"/>
        <v>0.9</v>
      </c>
      <c r="N113">
        <f t="shared" ref="N113:O113" si="54">N111</f>
        <v>0</v>
      </c>
      <c r="O113">
        <f t="shared" si="54"/>
        <v>0</v>
      </c>
      <c r="P113" s="178">
        <f t="shared" si="8"/>
        <v>0.80513719567621589</v>
      </c>
      <c r="Q113" s="512">
        <f t="shared" si="4"/>
        <v>36.231173805429712</v>
      </c>
      <c r="S113" s="178">
        <f t="shared" si="14"/>
        <v>2.1738704283257824</v>
      </c>
      <c r="T113" s="585">
        <f t="shared" si="10"/>
        <v>0.99168471744633102</v>
      </c>
      <c r="U113" s="585">
        <f t="shared" si="11"/>
        <v>44.625812285084891</v>
      </c>
      <c r="V113" s="585">
        <f t="shared" si="12"/>
        <v>0</v>
      </c>
      <c r="W113" s="585">
        <f t="shared" si="13"/>
        <v>2.6775487371050932</v>
      </c>
    </row>
    <row r="114" spans="1:23">
      <c r="A114" s="123">
        <f>'Input data'!A148</f>
        <v>2050</v>
      </c>
      <c r="B114" s="986">
        <f>'Recycling - Case 1'!B128*'Recycling - Case 1'!AO128*'Recycling - Case 1'!AK128</f>
        <v>2343.7617704760073</v>
      </c>
      <c r="C114" s="114">
        <f t="shared" si="27"/>
        <v>0.1</v>
      </c>
      <c r="D114" s="114">
        <f t="shared" si="15"/>
        <v>0.9</v>
      </c>
      <c r="E114">
        <v>0</v>
      </c>
      <c r="F114">
        <v>0</v>
      </c>
      <c r="G114" s="989">
        <f t="shared" si="16"/>
        <v>0.18750094163808062</v>
      </c>
      <c r="H114" s="650">
        <f t="shared" si="17"/>
        <v>8.4375423737136259</v>
      </c>
      <c r="J114" s="990">
        <f t="shared" si="18"/>
        <v>0.50625254242281759</v>
      </c>
      <c r="K114" s="987">
        <f>'Recycling - Case 1'!Z168*'Recycling - Case 1'!C168</f>
        <v>10187.42802746199</v>
      </c>
      <c r="L114" s="114">
        <f t="shared" si="28"/>
        <v>0.1</v>
      </c>
      <c r="M114" s="114">
        <f t="shared" si="19"/>
        <v>0.9</v>
      </c>
      <c r="N114">
        <f t="shared" ref="N114:O114" si="55">N112</f>
        <v>0</v>
      </c>
      <c r="O114">
        <f t="shared" si="55"/>
        <v>0</v>
      </c>
      <c r="P114" s="178">
        <f t="shared" si="8"/>
        <v>0.81499424219695937</v>
      </c>
      <c r="Q114" s="512">
        <f t="shared" si="4"/>
        <v>36.674740898863163</v>
      </c>
      <c r="S114" s="178">
        <f t="shared" si="14"/>
        <v>2.2004844539317903</v>
      </c>
      <c r="T114" s="585">
        <f t="shared" si="10"/>
        <v>1.00249518383504</v>
      </c>
      <c r="U114" s="585">
        <f t="shared" si="11"/>
        <v>45.112283272576789</v>
      </c>
      <c r="V114" s="585">
        <f t="shared" si="12"/>
        <v>0</v>
      </c>
      <c r="W114" s="585">
        <f t="shared" si="13"/>
        <v>2.706736996354608</v>
      </c>
    </row>
    <row r="115" spans="1:23">
      <c r="A115" s="988" t="s">
        <v>743</v>
      </c>
      <c r="B115" s="583"/>
      <c r="C115" s="502"/>
      <c r="D115" s="502"/>
      <c r="E115" s="501"/>
      <c r="F115" s="501"/>
      <c r="G115" s="584"/>
      <c r="H115" s="583"/>
      <c r="I115" s="472"/>
      <c r="J115" s="584"/>
      <c r="K115" s="583"/>
      <c r="L115" s="502"/>
      <c r="M115" s="502"/>
      <c r="N115" s="501"/>
      <c r="O115" s="501"/>
      <c r="P115" s="178">
        <f>L115*$D$5*'Input data'!T150/1000-N115</f>
        <v>0</v>
      </c>
      <c r="Q115" s="512">
        <f t="shared" ref="Q115:Q148" si="56">M115*$D$4*K115/1000-O115</f>
        <v>0</v>
      </c>
      <c r="S115" s="178">
        <f t="shared" si="14"/>
        <v>0</v>
      </c>
      <c r="T115" s="585">
        <f t="shared" ref="T115:T148" si="57">G115+P115</f>
        <v>0</v>
      </c>
      <c r="U115" s="585">
        <f t="shared" ref="U115:U148" si="58">H115+Q115</f>
        <v>0</v>
      </c>
      <c r="V115" s="585">
        <f t="shared" ref="V115:V148" si="59">I115+R115</f>
        <v>0</v>
      </c>
      <c r="W115" s="585">
        <f t="shared" ref="W115:W148" si="60">J115+S115</f>
        <v>0</v>
      </c>
    </row>
    <row r="116" spans="1:23">
      <c r="A116" s="123">
        <f>'Input data'!A116</f>
        <v>2018</v>
      </c>
      <c r="B116" s="986">
        <f>'Recycling - Case 1'!B96*'Recycling - Case 1'!AO96*'Recycling - Case 1'!AK96</f>
        <v>3618.1594989577079</v>
      </c>
      <c r="C116" s="114">
        <f>($C$120-$C$80)/($A$120-$A$80)+C80</f>
        <v>6.0000000000000005E-2</v>
      </c>
      <c r="D116" s="114">
        <f>1-C116</f>
        <v>0.94</v>
      </c>
      <c r="E116">
        <v>0</v>
      </c>
      <c r="F116">
        <v>0</v>
      </c>
      <c r="G116" s="989">
        <f>C116*$D$5*B116/1000-E116</f>
        <v>0.17367165594997003</v>
      </c>
      <c r="H116" s="650">
        <f>D116*$D$4*B116/1000-F116</f>
        <v>13.604279716080981</v>
      </c>
      <c r="J116" s="990">
        <f>D116*$D$7*B116/1000</f>
        <v>0.81625678296485871</v>
      </c>
      <c r="K116" s="987">
        <f>'Recycling - Case 1'!C176*'Recycling - Case 1'!Z176</f>
        <v>6182.0041421101087</v>
      </c>
      <c r="L116" s="114">
        <f>($L$120-$L$80)/($A$120-$A$80)+L80</f>
        <v>6.0000000000000005E-2</v>
      </c>
      <c r="M116" s="114">
        <f>1-L116</f>
        <v>0.94</v>
      </c>
      <c r="N116">
        <f>N114</f>
        <v>0</v>
      </c>
      <c r="O116">
        <f>O114</f>
        <v>0</v>
      </c>
      <c r="P116" s="178">
        <f t="shared" ref="P116:P148" si="61">L116*$D$5*K116/1000-N116</f>
        <v>0.29673619882128527</v>
      </c>
      <c r="Q116" s="512">
        <f t="shared" si="56"/>
        <v>23.244335574334006</v>
      </c>
      <c r="S116" s="178">
        <f t="shared" ref="S116:S148" si="62">M116*$D$7*K116/1000</f>
        <v>1.3946601344600404</v>
      </c>
      <c r="T116" s="585">
        <f t="shared" si="57"/>
        <v>0.4704078547712553</v>
      </c>
      <c r="U116" s="585">
        <f t="shared" si="58"/>
        <v>36.848615290414983</v>
      </c>
      <c r="V116" s="585">
        <f t="shared" si="59"/>
        <v>0</v>
      </c>
      <c r="W116" s="585">
        <f t="shared" si="60"/>
        <v>2.2109169174248993</v>
      </c>
    </row>
    <row r="117" spans="1:23">
      <c r="A117" s="123">
        <f>'Input data'!A117</f>
        <v>2019</v>
      </c>
      <c r="B117" s="986">
        <f>'Recycling - Case 1'!B97*'Recycling - Case 1'!AO97*'Recycling - Case 1'!AK97</f>
        <v>3883.8945846308343</v>
      </c>
      <c r="C117" s="114">
        <f>($C$120-$C$80)/($A$120-$A$80)+C116</f>
        <v>7.0000000000000007E-2</v>
      </c>
      <c r="D117" s="114">
        <f t="shared" ref="D117:D148" si="63">1-C117</f>
        <v>0.92999999999999994</v>
      </c>
      <c r="E117">
        <v>0</v>
      </c>
      <c r="F117">
        <v>0</v>
      </c>
      <c r="G117" s="989">
        <f t="shared" ref="G117:G148" si="64">C117*$D$5*B117/1000-E117</f>
        <v>0.21749809673932674</v>
      </c>
      <c r="H117" s="650">
        <f t="shared" ref="H117:H148" si="65">D117*$D$4*B117/1000-F117</f>
        <v>14.448087854826703</v>
      </c>
      <c r="J117" s="990">
        <f t="shared" ref="J117:J133" si="66">D117*$D$7*B117/1000</f>
        <v>0.86688527128960213</v>
      </c>
      <c r="K117" s="987">
        <f>'Recycling - Case 1'!C177*'Recycling - Case 1'!Z177</f>
        <v>5842.5324047672821</v>
      </c>
      <c r="L117" s="114">
        <f>($L$120-$L$80)/($A$120-$A$80)+L116</f>
        <v>7.0000000000000007E-2</v>
      </c>
      <c r="M117" s="114">
        <f t="shared" ref="M117:M148" si="67">1-L117</f>
        <v>0.92999999999999994</v>
      </c>
      <c r="N117">
        <f t="shared" ref="N117:O117" si="68">N115</f>
        <v>0</v>
      </c>
      <c r="O117">
        <f t="shared" si="68"/>
        <v>0</v>
      </c>
      <c r="P117" s="178">
        <f t="shared" si="61"/>
        <v>0.32718181466696783</v>
      </c>
      <c r="Q117" s="512">
        <f t="shared" si="56"/>
        <v>21.734220545734285</v>
      </c>
      <c r="S117" s="178">
        <f t="shared" si="62"/>
        <v>1.304053232744057</v>
      </c>
      <c r="T117" s="585">
        <f t="shared" si="57"/>
        <v>0.54467991140629457</v>
      </c>
      <c r="U117" s="585">
        <f t="shared" si="58"/>
        <v>36.182308400560984</v>
      </c>
      <c r="V117" s="585">
        <f t="shared" si="59"/>
        <v>0</v>
      </c>
      <c r="W117" s="585">
        <f t="shared" si="60"/>
        <v>2.1709385040336593</v>
      </c>
    </row>
    <row r="118" spans="1:23">
      <c r="A118" s="123">
        <f>'Input data'!A118</f>
        <v>2020</v>
      </c>
      <c r="B118" s="986">
        <f>'Recycling - Case 1'!B98*'Recycling - Case 1'!AO98*'Recycling - Case 1'!AK98</f>
        <v>4148.07681666808</v>
      </c>
      <c r="C118" s="114">
        <f t="shared" ref="C118:C119" si="69">($C$120-$C$80)/($A$120-$A$80)+C117</f>
        <v>0.08</v>
      </c>
      <c r="D118" s="114">
        <f t="shared" si="63"/>
        <v>0.92</v>
      </c>
      <c r="E118">
        <v>0</v>
      </c>
      <c r="F118">
        <v>0</v>
      </c>
      <c r="G118" s="989">
        <f t="shared" si="64"/>
        <v>0.26547691626675712</v>
      </c>
      <c r="H118" s="650">
        <f t="shared" si="65"/>
        <v>15.264922685338535</v>
      </c>
      <c r="J118" s="990">
        <f t="shared" si="66"/>
        <v>0.915895361120312</v>
      </c>
      <c r="K118" s="987">
        <f>'Recycling - Case 1'!C178*'Recycling - Case 1'!Z178</f>
        <v>4029.969869399753</v>
      </c>
      <c r="L118" s="114">
        <f t="shared" ref="L118:L119" si="70">($L$120-$L$80)/($A$120-$A$80)+L117</f>
        <v>0.08</v>
      </c>
      <c r="M118" s="114">
        <f t="shared" si="67"/>
        <v>0.92</v>
      </c>
      <c r="N118">
        <f t="shared" ref="N118:O118" si="71">N116</f>
        <v>0</v>
      </c>
      <c r="O118">
        <f t="shared" si="71"/>
        <v>0</v>
      </c>
      <c r="P118" s="178">
        <f t="shared" si="61"/>
        <v>0.2579180716415842</v>
      </c>
      <c r="Q118" s="512">
        <f t="shared" si="56"/>
        <v>14.830289119391091</v>
      </c>
      <c r="S118" s="178">
        <f t="shared" si="62"/>
        <v>0.8898173471634655</v>
      </c>
      <c r="T118" s="585">
        <f t="shared" si="57"/>
        <v>0.52339498790834127</v>
      </c>
      <c r="U118" s="585">
        <f t="shared" si="58"/>
        <v>30.095211804729626</v>
      </c>
      <c r="V118" s="585">
        <f t="shared" si="59"/>
        <v>0</v>
      </c>
      <c r="W118" s="585">
        <f t="shared" si="60"/>
        <v>1.8057127082837776</v>
      </c>
    </row>
    <row r="119" spans="1:23">
      <c r="A119" s="123">
        <f>'Input data'!A119</f>
        <v>2021</v>
      </c>
      <c r="B119" s="986">
        <f>'Recycling - Case 1'!B99*'Recycling - Case 1'!AO99*'Recycling - Case 1'!AK99</f>
        <v>4391.4182309081298</v>
      </c>
      <c r="C119" s="114">
        <f t="shared" si="69"/>
        <v>0.09</v>
      </c>
      <c r="D119" s="114">
        <f t="shared" si="63"/>
        <v>0.91</v>
      </c>
      <c r="E119">
        <v>0</v>
      </c>
      <c r="F119">
        <v>0</v>
      </c>
      <c r="G119" s="989">
        <f t="shared" si="64"/>
        <v>0.31618211262538537</v>
      </c>
      <c r="H119" s="650">
        <f t="shared" si="65"/>
        <v>15.984762360505592</v>
      </c>
      <c r="J119" s="990">
        <f t="shared" si="66"/>
        <v>0.95908574163033566</v>
      </c>
      <c r="K119" s="987">
        <f>'Recycling - Case 1'!C179*'Recycling - Case 1'!Z179</f>
        <v>3837.1373127353322</v>
      </c>
      <c r="L119" s="114">
        <f t="shared" si="70"/>
        <v>0.09</v>
      </c>
      <c r="M119" s="114">
        <f t="shared" si="67"/>
        <v>0.91</v>
      </c>
      <c r="N119">
        <f t="shared" ref="N119:O119" si="72">N117</f>
        <v>0</v>
      </c>
      <c r="O119">
        <f t="shared" si="72"/>
        <v>0</v>
      </c>
      <c r="P119" s="178">
        <f t="shared" si="61"/>
        <v>0.2762738865169439</v>
      </c>
      <c r="Q119" s="512">
        <f t="shared" si="56"/>
        <v>13.967179818356609</v>
      </c>
      <c r="S119" s="178">
        <f t="shared" si="62"/>
        <v>0.83803078910139661</v>
      </c>
      <c r="T119" s="585">
        <f t="shared" si="57"/>
        <v>0.59245599914232927</v>
      </c>
      <c r="U119" s="585">
        <f t="shared" si="58"/>
        <v>29.9519421788622</v>
      </c>
      <c r="V119" s="585">
        <f t="shared" si="59"/>
        <v>0</v>
      </c>
      <c r="W119" s="585">
        <f t="shared" si="60"/>
        <v>1.7971165307317323</v>
      </c>
    </row>
    <row r="120" spans="1:23">
      <c r="A120" s="123">
        <f>'Input data'!A120</f>
        <v>2022</v>
      </c>
      <c r="B120" s="986">
        <f>'Recycling - Case 1'!B100*'Recycling - Case 1'!AO100*'Recycling - Case 1'!AK100</f>
        <v>4632.7484481702204</v>
      </c>
      <c r="C120" s="114">
        <f>'Recycling - Case 1'!C31</f>
        <v>0.1</v>
      </c>
      <c r="D120" s="114">
        <f t="shared" si="63"/>
        <v>0.9</v>
      </c>
      <c r="E120">
        <v>0</v>
      </c>
      <c r="F120">
        <v>0</v>
      </c>
      <c r="G120" s="989">
        <f t="shared" si="64"/>
        <v>0.37061987585361772</v>
      </c>
      <c r="H120" s="650">
        <f t="shared" si="65"/>
        <v>16.677894413412794</v>
      </c>
      <c r="J120" s="990">
        <f t="shared" si="66"/>
        <v>1.0006736648047676</v>
      </c>
      <c r="K120" s="987">
        <f>'Recycling - Case 1'!C180*'Recycling - Case 1'!Z180</f>
        <v>3607.3041342968554</v>
      </c>
      <c r="L120" s="114">
        <f>'Recycling - Case 1'!C31</f>
        <v>0.1</v>
      </c>
      <c r="M120" s="114">
        <f t="shared" si="67"/>
        <v>0.9</v>
      </c>
      <c r="N120">
        <f t="shared" ref="N120:O120" si="73">N118</f>
        <v>0</v>
      </c>
      <c r="O120">
        <f t="shared" si="73"/>
        <v>0</v>
      </c>
      <c r="P120" s="178">
        <f t="shared" si="61"/>
        <v>0.28858433074374845</v>
      </c>
      <c r="Q120" s="512">
        <f t="shared" si="56"/>
        <v>12.986294883468679</v>
      </c>
      <c r="S120" s="178">
        <f t="shared" si="62"/>
        <v>0.77917769300812079</v>
      </c>
      <c r="T120" s="585">
        <f t="shared" si="57"/>
        <v>0.65920420659736623</v>
      </c>
      <c r="U120" s="585">
        <f t="shared" si="58"/>
        <v>29.664189296881474</v>
      </c>
      <c r="V120" s="585">
        <f t="shared" si="59"/>
        <v>0</v>
      </c>
      <c r="W120" s="585">
        <f t="shared" si="60"/>
        <v>1.7798513578128885</v>
      </c>
    </row>
    <row r="121" spans="1:23">
      <c r="A121" s="123">
        <f>'Input data'!A121</f>
        <v>2023</v>
      </c>
      <c r="B121" s="986">
        <f>'Recycling - Case 1'!B101*'Recycling - Case 1'!AO101*'Recycling - Case 1'!AK101</f>
        <v>4873.2756688444188</v>
      </c>
      <c r="C121" s="114">
        <f>C120</f>
        <v>0.1</v>
      </c>
      <c r="D121" s="114">
        <f t="shared" si="63"/>
        <v>0.9</v>
      </c>
      <c r="E121">
        <v>0</v>
      </c>
      <c r="F121">
        <v>0</v>
      </c>
      <c r="G121" s="989">
        <f t="shared" si="64"/>
        <v>0.3898620535075536</v>
      </c>
      <c r="H121" s="650">
        <f t="shared" si="65"/>
        <v>17.543792407839909</v>
      </c>
      <c r="J121" s="990">
        <f t="shared" si="66"/>
        <v>1.0526275444703945</v>
      </c>
      <c r="K121" s="987">
        <f>'Recycling - Case 1'!C181*'Recycling - Case 1'!Z181</f>
        <v>3362.0201334225212</v>
      </c>
      <c r="L121" s="114">
        <f>L120</f>
        <v>0.1</v>
      </c>
      <c r="M121" s="114">
        <f t="shared" si="67"/>
        <v>0.9</v>
      </c>
      <c r="N121">
        <f t="shared" ref="N121:O121" si="74">N119</f>
        <v>0</v>
      </c>
      <c r="O121">
        <f t="shared" si="74"/>
        <v>0</v>
      </c>
      <c r="P121" s="178">
        <f t="shared" si="61"/>
        <v>0.26896161067380175</v>
      </c>
      <c r="Q121" s="512">
        <f t="shared" si="56"/>
        <v>12.103272480321078</v>
      </c>
      <c r="S121" s="178">
        <f t="shared" si="62"/>
        <v>0.72619634881926454</v>
      </c>
      <c r="T121" s="585">
        <f t="shared" si="57"/>
        <v>0.65882366418135541</v>
      </c>
      <c r="U121" s="585">
        <f t="shared" si="58"/>
        <v>29.647064888160987</v>
      </c>
      <c r="V121" s="585">
        <f t="shared" si="59"/>
        <v>0</v>
      </c>
      <c r="W121" s="585">
        <f t="shared" si="60"/>
        <v>1.7788238932896592</v>
      </c>
    </row>
    <row r="122" spans="1:23">
      <c r="A122" s="123">
        <f>'Input data'!A122</f>
        <v>2024</v>
      </c>
      <c r="B122" s="986">
        <f>'Recycling - Case 1'!B102*'Recycling - Case 1'!AO102*'Recycling - Case 1'!AK102</f>
        <v>5114.0518807671706</v>
      </c>
      <c r="C122" s="114">
        <f t="shared" ref="C122:C137" si="75">C121</f>
        <v>0.1</v>
      </c>
      <c r="D122" s="114">
        <f t="shared" si="63"/>
        <v>0.9</v>
      </c>
      <c r="E122">
        <v>0</v>
      </c>
      <c r="F122">
        <v>0</v>
      </c>
      <c r="G122" s="989">
        <f t="shared" si="64"/>
        <v>0.40912415046137374</v>
      </c>
      <c r="H122" s="650">
        <f t="shared" si="65"/>
        <v>18.410586770761817</v>
      </c>
      <c r="J122" s="990">
        <f t="shared" si="66"/>
        <v>1.1046352062457088</v>
      </c>
      <c r="K122" s="987">
        <f>'Recycling - Case 1'!C182*'Recycling - Case 1'!Z182</f>
        <v>3089.25558426619</v>
      </c>
      <c r="L122" s="114">
        <f t="shared" ref="L122:L137" si="76">L121</f>
        <v>0.1</v>
      </c>
      <c r="M122" s="114">
        <f t="shared" si="67"/>
        <v>0.9</v>
      </c>
      <c r="N122">
        <f t="shared" ref="N122:O122" si="77">N120</f>
        <v>0</v>
      </c>
      <c r="O122">
        <f t="shared" si="77"/>
        <v>0</v>
      </c>
      <c r="P122" s="178">
        <f t="shared" si="61"/>
        <v>0.24714044674129526</v>
      </c>
      <c r="Q122" s="512">
        <f t="shared" si="56"/>
        <v>11.121320103358284</v>
      </c>
      <c r="S122" s="178">
        <f t="shared" si="62"/>
        <v>0.66727920620149705</v>
      </c>
      <c r="T122" s="585">
        <f t="shared" si="57"/>
        <v>0.65626459720266905</v>
      </c>
      <c r="U122" s="585">
        <f t="shared" si="58"/>
        <v>29.531906874120104</v>
      </c>
      <c r="V122" s="585">
        <f t="shared" si="59"/>
        <v>0</v>
      </c>
      <c r="W122" s="585">
        <f t="shared" si="60"/>
        <v>1.7719144124472059</v>
      </c>
    </row>
    <row r="123" spans="1:23">
      <c r="A123" s="123">
        <f>'Input data'!A123</f>
        <v>2025</v>
      </c>
      <c r="B123" s="986">
        <f>'Recycling - Case 1'!B103*'Recycling - Case 1'!AO103*'Recycling - Case 1'!AK103</f>
        <v>5356.2849256095706</v>
      </c>
      <c r="C123" s="114">
        <f t="shared" si="75"/>
        <v>0.1</v>
      </c>
      <c r="D123" s="114">
        <f t="shared" si="63"/>
        <v>0.9</v>
      </c>
      <c r="E123">
        <v>0</v>
      </c>
      <c r="F123">
        <v>0</v>
      </c>
      <c r="G123" s="989">
        <f t="shared" si="64"/>
        <v>0.42850279404876573</v>
      </c>
      <c r="H123" s="650">
        <f t="shared" si="65"/>
        <v>19.282625732194454</v>
      </c>
      <c r="J123" s="990">
        <f t="shared" si="66"/>
        <v>1.1569575439316673</v>
      </c>
      <c r="K123" s="987">
        <f>'Recycling - Case 1'!C183*'Recycling - Case 1'!Z183</f>
        <v>2820.7781528088444</v>
      </c>
      <c r="L123" s="114">
        <f t="shared" si="76"/>
        <v>0.1</v>
      </c>
      <c r="M123" s="114">
        <f t="shared" si="67"/>
        <v>0.9</v>
      </c>
      <c r="N123">
        <f t="shared" ref="N123:O123" si="78">N121</f>
        <v>0</v>
      </c>
      <c r="O123">
        <f t="shared" si="78"/>
        <v>0</v>
      </c>
      <c r="P123" s="178">
        <f t="shared" si="61"/>
        <v>0.22566225222470759</v>
      </c>
      <c r="Q123" s="512">
        <f t="shared" si="56"/>
        <v>10.154801350111841</v>
      </c>
      <c r="S123" s="178">
        <f t="shared" si="62"/>
        <v>0.60928808100671039</v>
      </c>
      <c r="T123" s="585">
        <f t="shared" si="57"/>
        <v>0.65416504627347338</v>
      </c>
      <c r="U123" s="585">
        <f t="shared" si="58"/>
        <v>29.437427082306293</v>
      </c>
      <c r="V123" s="585">
        <f t="shared" si="59"/>
        <v>0</v>
      </c>
      <c r="W123" s="585">
        <f t="shared" si="60"/>
        <v>1.7662456249383776</v>
      </c>
    </row>
    <row r="124" spans="1:23">
      <c r="A124" s="123">
        <f>'Input data'!A124</f>
        <v>2026</v>
      </c>
      <c r="B124" s="986">
        <f>'Recycling - Case 1'!B104*'Recycling - Case 1'!AO104*'Recycling - Case 1'!AK104</f>
        <v>5592.026325896888</v>
      </c>
      <c r="C124" s="114">
        <f t="shared" si="75"/>
        <v>0.1</v>
      </c>
      <c r="D124" s="114">
        <f t="shared" si="63"/>
        <v>0.9</v>
      </c>
      <c r="E124">
        <v>0</v>
      </c>
      <c r="F124">
        <v>0</v>
      </c>
      <c r="G124" s="989">
        <f t="shared" si="64"/>
        <v>0.44736210607175109</v>
      </c>
      <c r="H124" s="650">
        <f t="shared" si="65"/>
        <v>20.131294773228799</v>
      </c>
      <c r="J124" s="990">
        <f t="shared" si="66"/>
        <v>1.2078776863937277</v>
      </c>
      <c r="K124" s="987">
        <f>'Recycling - Case 1'!C184*'Recycling - Case 1'!Z184</f>
        <v>2613.7730242071912</v>
      </c>
      <c r="L124" s="114">
        <f t="shared" si="76"/>
        <v>0.1</v>
      </c>
      <c r="M124" s="114">
        <f t="shared" si="67"/>
        <v>0.9</v>
      </c>
      <c r="N124">
        <f t="shared" ref="N124:O124" si="79">N122</f>
        <v>0</v>
      </c>
      <c r="O124">
        <f t="shared" si="79"/>
        <v>0</v>
      </c>
      <c r="P124" s="178">
        <f t="shared" si="61"/>
        <v>0.20910184193657533</v>
      </c>
      <c r="Q124" s="512">
        <f t="shared" si="56"/>
        <v>9.4095828871458895</v>
      </c>
      <c r="S124" s="178">
        <f t="shared" si="62"/>
        <v>0.56457497322875327</v>
      </c>
      <c r="T124" s="585">
        <f t="shared" si="57"/>
        <v>0.65646394800832641</v>
      </c>
      <c r="U124" s="585">
        <f t="shared" si="58"/>
        <v>29.54087766037469</v>
      </c>
      <c r="V124" s="585">
        <f t="shared" si="59"/>
        <v>0</v>
      </c>
      <c r="W124" s="585">
        <f t="shared" si="60"/>
        <v>1.772452659622481</v>
      </c>
    </row>
    <row r="125" spans="1:23">
      <c r="A125" s="123">
        <f>'Input data'!A125</f>
        <v>2027</v>
      </c>
      <c r="B125" s="986">
        <f>'Recycling - Case 1'!B105*'Recycling - Case 1'!AO105*'Recycling - Case 1'!AK105</f>
        <v>5831.2742432911045</v>
      </c>
      <c r="C125" s="114">
        <f t="shared" si="75"/>
        <v>0.1</v>
      </c>
      <c r="D125" s="114">
        <f t="shared" si="63"/>
        <v>0.9</v>
      </c>
      <c r="E125">
        <v>0</v>
      </c>
      <c r="F125">
        <v>0</v>
      </c>
      <c r="G125" s="989">
        <f t="shared" si="64"/>
        <v>0.46650193946328844</v>
      </c>
      <c r="H125" s="650">
        <f t="shared" si="65"/>
        <v>20.992587275847978</v>
      </c>
      <c r="J125" s="990">
        <f t="shared" si="66"/>
        <v>1.2595552365508786</v>
      </c>
      <c r="K125" s="987">
        <f>'Recycling - Case 1'!C185*'Recycling - Case 1'!Z185</f>
        <v>2402.338590488916</v>
      </c>
      <c r="L125" s="114">
        <f t="shared" si="76"/>
        <v>0.1</v>
      </c>
      <c r="M125" s="114">
        <f t="shared" si="67"/>
        <v>0.9</v>
      </c>
      <c r="N125">
        <f t="shared" ref="N125:O125" si="80">N123</f>
        <v>0</v>
      </c>
      <c r="O125">
        <f t="shared" si="80"/>
        <v>0</v>
      </c>
      <c r="P125" s="178">
        <f t="shared" si="61"/>
        <v>0.19218708723911332</v>
      </c>
      <c r="Q125" s="512">
        <f t="shared" si="56"/>
        <v>8.6484189257600974</v>
      </c>
      <c r="S125" s="178">
        <f t="shared" si="62"/>
        <v>0.5189051355456058</v>
      </c>
      <c r="T125" s="585">
        <f t="shared" si="57"/>
        <v>0.6586890267024017</v>
      </c>
      <c r="U125" s="585">
        <f t="shared" si="58"/>
        <v>29.641006201608075</v>
      </c>
      <c r="V125" s="585">
        <f t="shared" si="59"/>
        <v>0</v>
      </c>
      <c r="W125" s="585">
        <f t="shared" si="60"/>
        <v>1.7784603720964844</v>
      </c>
    </row>
    <row r="126" spans="1:23">
      <c r="A126" s="123">
        <f>'Input data'!A126</f>
        <v>2028</v>
      </c>
      <c r="B126" s="986">
        <f>'Recycling - Case 1'!B106*'Recycling - Case 1'!AO106*'Recycling - Case 1'!AK106</f>
        <v>5582.8820746627725</v>
      </c>
      <c r="C126" s="114">
        <f t="shared" si="75"/>
        <v>0.1</v>
      </c>
      <c r="D126" s="114">
        <f t="shared" si="63"/>
        <v>0.9</v>
      </c>
      <c r="E126">
        <v>0</v>
      </c>
      <c r="F126">
        <v>0</v>
      </c>
      <c r="G126" s="989">
        <f t="shared" si="64"/>
        <v>0.44663056597302186</v>
      </c>
      <c r="H126" s="650">
        <f t="shared" si="65"/>
        <v>20.098375468785981</v>
      </c>
      <c r="J126" s="990">
        <f t="shared" si="66"/>
        <v>1.2059025281271587</v>
      </c>
      <c r="K126" s="987">
        <f>'Recycling - Case 1'!C186*'Recycling - Case 1'!Z186</f>
        <v>2113.5131585934705</v>
      </c>
      <c r="L126" s="114">
        <f t="shared" si="76"/>
        <v>0.1</v>
      </c>
      <c r="M126" s="114">
        <f t="shared" si="67"/>
        <v>0.9</v>
      </c>
      <c r="N126">
        <f t="shared" ref="N126:O126" si="81">N124</f>
        <v>0</v>
      </c>
      <c r="O126">
        <f t="shared" si="81"/>
        <v>0</v>
      </c>
      <c r="P126" s="178">
        <f t="shared" si="61"/>
        <v>0.16908105268747767</v>
      </c>
      <c r="Q126" s="512">
        <f t="shared" si="56"/>
        <v>7.6086473709364935</v>
      </c>
      <c r="S126" s="178">
        <f t="shared" si="62"/>
        <v>0.45651884225618961</v>
      </c>
      <c r="T126" s="585">
        <f t="shared" si="57"/>
        <v>0.6157116186604995</v>
      </c>
      <c r="U126" s="585">
        <f t="shared" si="58"/>
        <v>27.707022839722477</v>
      </c>
      <c r="V126" s="585">
        <f t="shared" si="59"/>
        <v>0</v>
      </c>
      <c r="W126" s="585">
        <f t="shared" si="60"/>
        <v>1.6624213703833484</v>
      </c>
    </row>
    <row r="127" spans="1:23">
      <c r="A127" s="123">
        <f>'Input data'!A127</f>
        <v>2029</v>
      </c>
      <c r="B127" s="986">
        <f>'Recycling - Case 1'!B107*'Recycling - Case 1'!AO107*'Recycling - Case 1'!AK107</f>
        <v>5345.1362633003891</v>
      </c>
      <c r="C127" s="114">
        <f t="shared" si="75"/>
        <v>0.1</v>
      </c>
      <c r="D127" s="114">
        <f t="shared" si="63"/>
        <v>0.9</v>
      </c>
      <c r="E127">
        <v>0</v>
      </c>
      <c r="F127">
        <v>0</v>
      </c>
      <c r="G127" s="989">
        <f t="shared" si="64"/>
        <v>0.42761090106403121</v>
      </c>
      <c r="H127" s="650">
        <f t="shared" si="65"/>
        <v>19.242490547881399</v>
      </c>
      <c r="J127" s="990">
        <f t="shared" si="66"/>
        <v>1.1545494328728843</v>
      </c>
      <c r="K127" s="987">
        <f>'Recycling - Case 1'!C187*'Recycling - Case 1'!Z187</f>
        <v>1872.7094906254001</v>
      </c>
      <c r="L127" s="114">
        <f t="shared" si="76"/>
        <v>0.1</v>
      </c>
      <c r="M127" s="114">
        <f t="shared" si="67"/>
        <v>0.9</v>
      </c>
      <c r="N127">
        <f t="shared" ref="N127:O127" si="82">N125</f>
        <v>0</v>
      </c>
      <c r="O127">
        <f t="shared" si="82"/>
        <v>0</v>
      </c>
      <c r="P127" s="178">
        <f t="shared" si="61"/>
        <v>0.14981675925003204</v>
      </c>
      <c r="Q127" s="512">
        <f t="shared" si="56"/>
        <v>6.7417541662514404</v>
      </c>
      <c r="S127" s="178">
        <f t="shared" si="62"/>
        <v>0.40450524997508641</v>
      </c>
      <c r="T127" s="585">
        <f t="shared" si="57"/>
        <v>0.57742766031406323</v>
      </c>
      <c r="U127" s="585">
        <f t="shared" si="58"/>
        <v>25.984244714132839</v>
      </c>
      <c r="V127" s="585">
        <f t="shared" si="59"/>
        <v>0</v>
      </c>
      <c r="W127" s="585">
        <f t="shared" si="60"/>
        <v>1.5590546828479708</v>
      </c>
    </row>
    <row r="128" spans="1:23">
      <c r="A128" s="123">
        <f>'Input data'!A128</f>
        <v>2030</v>
      </c>
      <c r="B128" s="986">
        <f>'Recycling - Case 1'!B108*'Recycling - Case 1'!AO108*'Recycling - Case 1'!AK108</f>
        <v>5117.4935556263281</v>
      </c>
      <c r="C128" s="114">
        <f t="shared" si="75"/>
        <v>0.1</v>
      </c>
      <c r="D128" s="114">
        <f t="shared" si="63"/>
        <v>0.9</v>
      </c>
      <c r="E128">
        <v>0</v>
      </c>
      <c r="F128">
        <v>0</v>
      </c>
      <c r="G128" s="989">
        <f t="shared" si="64"/>
        <v>0.40939948445010632</v>
      </c>
      <c r="H128" s="650">
        <f t="shared" si="65"/>
        <v>18.422976800254784</v>
      </c>
      <c r="J128" s="990">
        <f t="shared" si="66"/>
        <v>1.1053786080152868</v>
      </c>
      <c r="K128" s="987">
        <f>'Recycling - Case 1'!C188*'Recycling - Case 1'!Z188</f>
        <v>1682.2807353702888</v>
      </c>
      <c r="L128" s="114">
        <f t="shared" si="76"/>
        <v>0.1</v>
      </c>
      <c r="M128" s="114">
        <f t="shared" si="67"/>
        <v>0.9</v>
      </c>
      <c r="N128">
        <f t="shared" ref="N128:O128" si="83">N126</f>
        <v>0</v>
      </c>
      <c r="O128">
        <f t="shared" si="83"/>
        <v>0</v>
      </c>
      <c r="P128" s="178">
        <f t="shared" si="61"/>
        <v>0.13458245882962314</v>
      </c>
      <c r="Q128" s="512">
        <f t="shared" si="56"/>
        <v>6.0562106473330397</v>
      </c>
      <c r="S128" s="178">
        <f t="shared" si="62"/>
        <v>0.36337263883998233</v>
      </c>
      <c r="T128" s="585">
        <f t="shared" si="57"/>
        <v>0.54398194327972949</v>
      </c>
      <c r="U128" s="585">
        <f t="shared" si="58"/>
        <v>24.479187447587822</v>
      </c>
      <c r="V128" s="585">
        <f t="shared" si="59"/>
        <v>0</v>
      </c>
      <c r="W128" s="585">
        <f t="shared" si="60"/>
        <v>1.468751246855269</v>
      </c>
    </row>
    <row r="129" spans="1:23">
      <c r="A129" s="123">
        <f>'Input data'!A129</f>
        <v>2031</v>
      </c>
      <c r="B129" s="986">
        <f>'Recycling - Case 1'!B109*'Recycling - Case 1'!AO109*'Recycling - Case 1'!AK109</f>
        <v>4916.8151508003148</v>
      </c>
      <c r="C129" s="114">
        <f t="shared" si="75"/>
        <v>0.1</v>
      </c>
      <c r="D129" s="114">
        <f t="shared" si="63"/>
        <v>0.9</v>
      </c>
      <c r="E129">
        <v>0</v>
      </c>
      <c r="F129">
        <v>0</v>
      </c>
      <c r="G129" s="989">
        <f t="shared" si="64"/>
        <v>0.39334521206402523</v>
      </c>
      <c r="H129" s="650">
        <f t="shared" si="65"/>
        <v>17.700534542881133</v>
      </c>
      <c r="J129" s="990">
        <f t="shared" si="66"/>
        <v>1.062032072572868</v>
      </c>
      <c r="K129" s="987">
        <f>'Recycling - Case 1'!C189*'Recycling - Case 1'!Z189</f>
        <v>1701.0090509135161</v>
      </c>
      <c r="L129" s="114">
        <f t="shared" si="76"/>
        <v>0.1</v>
      </c>
      <c r="M129" s="114">
        <f t="shared" si="67"/>
        <v>0.9</v>
      </c>
      <c r="N129">
        <f t="shared" ref="N129:O129" si="84">N127</f>
        <v>0</v>
      </c>
      <c r="O129">
        <f t="shared" si="84"/>
        <v>0</v>
      </c>
      <c r="P129" s="178">
        <f t="shared" si="61"/>
        <v>0.13608072407308131</v>
      </c>
      <c r="Q129" s="512">
        <f t="shared" si="56"/>
        <v>6.1236325832886589</v>
      </c>
      <c r="S129" s="178">
        <f t="shared" si="62"/>
        <v>0.3674179549973195</v>
      </c>
      <c r="T129" s="585">
        <f t="shared" si="57"/>
        <v>0.52942593613710653</v>
      </c>
      <c r="U129" s="585">
        <f t="shared" si="58"/>
        <v>23.82416712616979</v>
      </c>
      <c r="V129" s="585">
        <f t="shared" si="59"/>
        <v>0</v>
      </c>
      <c r="W129" s="585">
        <f t="shared" si="60"/>
        <v>1.4294500275701876</v>
      </c>
    </row>
    <row r="130" spans="1:23">
      <c r="A130" s="123">
        <f>'Input data'!A130</f>
        <v>2032</v>
      </c>
      <c r="B130" s="986">
        <f>'Recycling - Case 1'!B110*'Recycling - Case 1'!AO110*'Recycling - Case 1'!AK110</f>
        <v>4712.3515334521144</v>
      </c>
      <c r="C130" s="114">
        <f t="shared" si="75"/>
        <v>0.1</v>
      </c>
      <c r="D130" s="114">
        <f t="shared" si="63"/>
        <v>0.9</v>
      </c>
      <c r="E130">
        <v>0</v>
      </c>
      <c r="F130">
        <v>0</v>
      </c>
      <c r="G130" s="989">
        <f t="shared" si="64"/>
        <v>0.37698812267616921</v>
      </c>
      <c r="H130" s="650">
        <f t="shared" si="65"/>
        <v>16.964465520427613</v>
      </c>
      <c r="J130" s="990">
        <f t="shared" si="66"/>
        <v>1.0178679312256567</v>
      </c>
      <c r="K130" s="987">
        <f>'Recycling - Case 1'!C190*'Recycling - Case 1'!Z190</f>
        <v>1744.5040617021439</v>
      </c>
      <c r="L130" s="114">
        <f t="shared" si="76"/>
        <v>0.1</v>
      </c>
      <c r="M130" s="114">
        <f t="shared" si="67"/>
        <v>0.9</v>
      </c>
      <c r="N130">
        <f t="shared" ref="N130:O130" si="85">N128</f>
        <v>0</v>
      </c>
      <c r="O130">
        <f t="shared" si="85"/>
        <v>0</v>
      </c>
      <c r="P130" s="178">
        <f t="shared" si="61"/>
        <v>0.13956032493617151</v>
      </c>
      <c r="Q130" s="512">
        <f t="shared" si="56"/>
        <v>6.2802146221277182</v>
      </c>
      <c r="S130" s="178">
        <f t="shared" si="62"/>
        <v>0.37681287732766305</v>
      </c>
      <c r="T130" s="585">
        <f t="shared" si="57"/>
        <v>0.51654844761234076</v>
      </c>
      <c r="U130" s="585">
        <f t="shared" si="58"/>
        <v>23.244680142555332</v>
      </c>
      <c r="V130" s="585">
        <f t="shared" si="59"/>
        <v>0</v>
      </c>
      <c r="W130" s="585">
        <f t="shared" si="60"/>
        <v>1.3946808085533198</v>
      </c>
    </row>
    <row r="131" spans="1:23">
      <c r="A131" s="123">
        <f>'Input data'!A131</f>
        <v>2033</v>
      </c>
      <c r="B131" s="986">
        <f>'Recycling - Case 1'!B111*'Recycling - Case 1'!AO111*'Recycling - Case 1'!AK111</f>
        <v>4503.9810313975577</v>
      </c>
      <c r="C131" s="114">
        <f t="shared" si="75"/>
        <v>0.1</v>
      </c>
      <c r="D131" s="114">
        <f t="shared" si="63"/>
        <v>0.9</v>
      </c>
      <c r="E131">
        <v>0</v>
      </c>
      <c r="F131">
        <v>0</v>
      </c>
      <c r="G131" s="989">
        <f t="shared" si="64"/>
        <v>0.36031848251180471</v>
      </c>
      <c r="H131" s="650">
        <f t="shared" si="65"/>
        <v>16.214331713031207</v>
      </c>
      <c r="J131" s="990">
        <f t="shared" si="66"/>
        <v>0.9728599027818724</v>
      </c>
      <c r="K131" s="987">
        <f>'Recycling - Case 1'!C191*'Recycling - Case 1'!Z191</f>
        <v>1792.8112479591196</v>
      </c>
      <c r="L131" s="114">
        <f t="shared" si="76"/>
        <v>0.1</v>
      </c>
      <c r="M131" s="114">
        <f t="shared" si="67"/>
        <v>0.9</v>
      </c>
      <c r="N131">
        <f t="shared" ref="N131:O131" si="86">N129</f>
        <v>0</v>
      </c>
      <c r="O131">
        <f t="shared" si="86"/>
        <v>0</v>
      </c>
      <c r="P131" s="178">
        <f t="shared" si="61"/>
        <v>0.1434248998367296</v>
      </c>
      <c r="Q131" s="512">
        <f t="shared" si="56"/>
        <v>6.4541204926528311</v>
      </c>
      <c r="S131" s="178">
        <f t="shared" si="62"/>
        <v>0.38724722955916979</v>
      </c>
      <c r="T131" s="585">
        <f t="shared" si="57"/>
        <v>0.50374338234853433</v>
      </c>
      <c r="U131" s="585">
        <f t="shared" si="58"/>
        <v>22.668452205684037</v>
      </c>
      <c r="V131" s="585">
        <f t="shared" si="59"/>
        <v>0</v>
      </c>
      <c r="W131" s="585">
        <f t="shared" si="60"/>
        <v>1.3601071323410423</v>
      </c>
    </row>
    <row r="132" spans="1:23">
      <c r="A132" s="123">
        <f>'Input data'!A132</f>
        <v>2034</v>
      </c>
      <c r="B132" s="986">
        <f>'Recycling - Case 1'!B112*'Recycling - Case 1'!AO112*'Recycling - Case 1'!AK112</f>
        <v>4291.7853525238015</v>
      </c>
      <c r="C132" s="114">
        <f t="shared" si="75"/>
        <v>0.1</v>
      </c>
      <c r="D132" s="114">
        <f t="shared" si="63"/>
        <v>0.9</v>
      </c>
      <c r="E132">
        <v>0</v>
      </c>
      <c r="F132">
        <v>0</v>
      </c>
      <c r="G132" s="989">
        <f t="shared" si="64"/>
        <v>0.3433428282019042</v>
      </c>
      <c r="H132" s="650">
        <f t="shared" si="65"/>
        <v>15.450427269085685</v>
      </c>
      <c r="J132" s="990">
        <f t="shared" si="66"/>
        <v>0.92702563614514111</v>
      </c>
      <c r="K132" s="987">
        <f>'Recycling - Case 1'!C192*'Recycling - Case 1'!Z192</f>
        <v>1844.465247981675</v>
      </c>
      <c r="L132" s="114">
        <f t="shared" si="76"/>
        <v>0.1</v>
      </c>
      <c r="M132" s="114">
        <f t="shared" si="67"/>
        <v>0.9</v>
      </c>
      <c r="N132">
        <f t="shared" ref="N132:O132" si="87">N130</f>
        <v>0</v>
      </c>
      <c r="O132">
        <f t="shared" si="87"/>
        <v>0</v>
      </c>
      <c r="P132" s="178">
        <f t="shared" si="61"/>
        <v>0.14755721983853404</v>
      </c>
      <c r="Q132" s="512">
        <f t="shared" si="56"/>
        <v>6.6400748927340301</v>
      </c>
      <c r="R132" s="501"/>
      <c r="S132" s="584">
        <f t="shared" si="62"/>
        <v>0.39840449356404178</v>
      </c>
      <c r="T132" s="585">
        <f t="shared" si="57"/>
        <v>0.49090004804043824</v>
      </c>
      <c r="U132" s="585">
        <f t="shared" si="58"/>
        <v>22.090502161819714</v>
      </c>
      <c r="V132" s="585">
        <f t="shared" si="59"/>
        <v>0</v>
      </c>
      <c r="W132" s="585">
        <f t="shared" si="60"/>
        <v>1.3254301297091828</v>
      </c>
    </row>
    <row r="133" spans="1:23">
      <c r="A133" s="123">
        <f>'Input data'!A133</f>
        <v>2035</v>
      </c>
      <c r="B133" s="986">
        <f>'Recycling - Case 1'!B113*'Recycling - Case 1'!AO113*'Recycling - Case 1'!AK113</f>
        <v>4075.5799293647592</v>
      </c>
      <c r="C133" s="114">
        <f t="shared" si="75"/>
        <v>0.1</v>
      </c>
      <c r="D133" s="114">
        <f t="shared" si="63"/>
        <v>0.9</v>
      </c>
      <c r="E133">
        <v>0</v>
      </c>
      <c r="F133">
        <v>0</v>
      </c>
      <c r="G133" s="989">
        <f t="shared" si="64"/>
        <v>0.32604639434918081</v>
      </c>
      <c r="H133" s="650">
        <f t="shared" si="65"/>
        <v>14.672087745713133</v>
      </c>
      <c r="J133" s="991">
        <f t="shared" si="66"/>
        <v>0.88032526474278805</v>
      </c>
      <c r="K133" s="987">
        <f>'Recycling - Case 1'!C193*'Recycling - Case 1'!Z193</f>
        <v>1899.6741069498332</v>
      </c>
      <c r="L133" s="114">
        <f t="shared" si="76"/>
        <v>0.1</v>
      </c>
      <c r="M133" s="114">
        <f t="shared" si="67"/>
        <v>0.9</v>
      </c>
      <c r="N133">
        <f t="shared" ref="N133:O133" si="88">N131</f>
        <v>0</v>
      </c>
      <c r="O133">
        <f t="shared" si="88"/>
        <v>0</v>
      </c>
      <c r="P133" s="178">
        <f t="shared" si="61"/>
        <v>0.15197392855598668</v>
      </c>
      <c r="Q133" s="512">
        <f t="shared" si="56"/>
        <v>6.8388267850193998</v>
      </c>
      <c r="S133" s="178">
        <f t="shared" si="62"/>
        <v>0.41032960710116395</v>
      </c>
      <c r="T133" s="585">
        <f t="shared" si="57"/>
        <v>0.47802032290516749</v>
      </c>
      <c r="U133" s="585">
        <f t="shared" si="58"/>
        <v>21.510914530732535</v>
      </c>
      <c r="V133" s="585">
        <f t="shared" si="59"/>
        <v>0</v>
      </c>
      <c r="W133" s="585">
        <f t="shared" si="60"/>
        <v>1.2906548718439521</v>
      </c>
    </row>
    <row r="134" spans="1:23">
      <c r="A134" s="123">
        <f>'Input data'!A134</f>
        <v>2036</v>
      </c>
      <c r="B134" s="986">
        <f>'Recycling - Case 1'!B114*'Recycling - Case 1'!AO114*'Recycling - Case 1'!AK114</f>
        <v>3850.7657293741604</v>
      </c>
      <c r="C134" s="114">
        <f t="shared" si="75"/>
        <v>0.1</v>
      </c>
      <c r="D134" s="114">
        <f t="shared" si="63"/>
        <v>0.9</v>
      </c>
      <c r="E134">
        <v>0</v>
      </c>
      <c r="F134">
        <v>0</v>
      </c>
      <c r="G134" s="989">
        <f t="shared" si="64"/>
        <v>0.30806125834993286</v>
      </c>
      <c r="H134" s="650">
        <f t="shared" si="65"/>
        <v>13.862756625746977</v>
      </c>
      <c r="J134" s="990">
        <f>D134*$D$7*B134/1000</f>
        <v>0.8317653975448186</v>
      </c>
      <c r="K134" s="987">
        <f>'Recycling - Case 1'!C194*'Recycling - Case 1'!Z194</f>
        <v>1956.5156683090383</v>
      </c>
      <c r="L134" s="114">
        <f t="shared" si="76"/>
        <v>0.1</v>
      </c>
      <c r="M134" s="114">
        <f t="shared" si="67"/>
        <v>0.9</v>
      </c>
      <c r="N134">
        <f t="shared" ref="N134:O134" si="89">N132</f>
        <v>0</v>
      </c>
      <c r="O134">
        <f t="shared" si="89"/>
        <v>0</v>
      </c>
      <c r="P134" s="178">
        <f t="shared" si="61"/>
        <v>0.15652125346472309</v>
      </c>
      <c r="Q134" s="512">
        <f t="shared" si="56"/>
        <v>7.0434564059125382</v>
      </c>
      <c r="S134" s="178">
        <f t="shared" si="62"/>
        <v>0.42260738435475231</v>
      </c>
      <c r="T134" s="585">
        <f t="shared" si="57"/>
        <v>0.46458251181465593</v>
      </c>
      <c r="U134" s="585">
        <f t="shared" si="58"/>
        <v>20.906213031659515</v>
      </c>
      <c r="V134" s="585">
        <f t="shared" si="59"/>
        <v>0</v>
      </c>
      <c r="W134" s="585">
        <f t="shared" si="60"/>
        <v>1.2543727818995709</v>
      </c>
    </row>
    <row r="135" spans="1:23">
      <c r="A135" s="123">
        <f>'Input data'!A135</f>
        <v>2037</v>
      </c>
      <c r="B135" s="986">
        <f>'Recycling - Case 1'!B115*'Recycling - Case 1'!AO115*'Recycling - Case 1'!AK115</f>
        <v>3792.6527153340176</v>
      </c>
      <c r="C135" s="114">
        <f t="shared" si="75"/>
        <v>0.1</v>
      </c>
      <c r="D135" s="114">
        <f t="shared" si="63"/>
        <v>0.9</v>
      </c>
      <c r="E135">
        <v>0</v>
      </c>
      <c r="F135">
        <v>0</v>
      </c>
      <c r="G135" s="989">
        <f t="shared" si="64"/>
        <v>0.30341221722672146</v>
      </c>
      <c r="H135" s="650">
        <f t="shared" si="65"/>
        <v>13.653549775202464</v>
      </c>
      <c r="J135" s="990">
        <f t="shared" ref="J135:J148" si="90">D135*$D$7*B135/1000</f>
        <v>0.8192129865121478</v>
      </c>
      <c r="K135" s="987">
        <f>'Recycling - Case 1'!C195*'Recycling - Case 1'!Z195</f>
        <v>2015.7768855663328</v>
      </c>
      <c r="L135" s="114">
        <f t="shared" si="76"/>
        <v>0.1</v>
      </c>
      <c r="M135" s="114">
        <f t="shared" si="67"/>
        <v>0.9</v>
      </c>
      <c r="N135">
        <f t="shared" ref="N135:O135" si="91">N133</f>
        <v>0</v>
      </c>
      <c r="O135">
        <f t="shared" si="91"/>
        <v>0</v>
      </c>
      <c r="P135" s="178">
        <f t="shared" si="61"/>
        <v>0.16126215084530665</v>
      </c>
      <c r="Q135" s="512">
        <f t="shared" si="56"/>
        <v>7.2567967880387974</v>
      </c>
      <c r="S135" s="178">
        <f t="shared" si="62"/>
        <v>0.43540780728232792</v>
      </c>
      <c r="T135" s="585">
        <f t="shared" si="57"/>
        <v>0.46467436807202811</v>
      </c>
      <c r="U135" s="585">
        <f t="shared" si="58"/>
        <v>20.910346563241262</v>
      </c>
      <c r="V135" s="585">
        <f t="shared" si="59"/>
        <v>0</v>
      </c>
      <c r="W135" s="585">
        <f t="shared" si="60"/>
        <v>1.2546207937944758</v>
      </c>
    </row>
    <row r="136" spans="1:23">
      <c r="A136" s="123">
        <f>'Input data'!A136</f>
        <v>2038</v>
      </c>
      <c r="B136" s="986">
        <f>'Recycling - Case 1'!B116*'Recycling - Case 1'!AO116*'Recycling - Case 1'!AK116</f>
        <v>3656.7267607527911</v>
      </c>
      <c r="C136" s="114">
        <f t="shared" si="75"/>
        <v>0.1</v>
      </c>
      <c r="D136" s="114">
        <f t="shared" si="63"/>
        <v>0.9</v>
      </c>
      <c r="E136">
        <v>0</v>
      </c>
      <c r="F136">
        <v>0</v>
      </c>
      <c r="G136" s="989">
        <f t="shared" si="64"/>
        <v>0.29253814086022334</v>
      </c>
      <c r="H136" s="650">
        <f t="shared" si="65"/>
        <v>13.164216338710048</v>
      </c>
      <c r="J136" s="990">
        <f t="shared" si="90"/>
        <v>0.78985298032260287</v>
      </c>
      <c r="K136" s="987">
        <f>'Recycling - Case 1'!C196*'Recycling - Case 1'!Z196</f>
        <v>2075.9426470845929</v>
      </c>
      <c r="L136" s="114">
        <f t="shared" si="76"/>
        <v>0.1</v>
      </c>
      <c r="M136" s="114">
        <f t="shared" si="67"/>
        <v>0.9</v>
      </c>
      <c r="N136">
        <f t="shared" ref="N136:O136" si="92">N134</f>
        <v>0</v>
      </c>
      <c r="O136">
        <f t="shared" si="92"/>
        <v>0</v>
      </c>
      <c r="P136" s="178">
        <f t="shared" si="61"/>
        <v>0.16607541176676746</v>
      </c>
      <c r="Q136" s="512">
        <f t="shared" si="56"/>
        <v>7.4733935295045351</v>
      </c>
      <c r="S136" s="178">
        <f t="shared" si="62"/>
        <v>0.44840361177027205</v>
      </c>
      <c r="T136" s="585">
        <f t="shared" si="57"/>
        <v>0.45861355262699077</v>
      </c>
      <c r="U136" s="585">
        <f t="shared" si="58"/>
        <v>20.637609868214582</v>
      </c>
      <c r="V136" s="585">
        <f t="shared" si="59"/>
        <v>0</v>
      </c>
      <c r="W136" s="585">
        <f t="shared" si="60"/>
        <v>1.238256592092875</v>
      </c>
    </row>
    <row r="137" spans="1:23">
      <c r="A137" s="123">
        <f>'Input data'!A137</f>
        <v>2039</v>
      </c>
      <c r="B137" s="986">
        <f>'Recycling - Case 1'!B117*'Recycling - Case 1'!AO117*'Recycling - Case 1'!AK117</f>
        <v>3518.5662283560159</v>
      </c>
      <c r="C137" s="114">
        <f t="shared" si="75"/>
        <v>0.1</v>
      </c>
      <c r="D137" s="114">
        <f t="shared" si="63"/>
        <v>0.9</v>
      </c>
      <c r="E137">
        <v>0</v>
      </c>
      <c r="F137">
        <v>0</v>
      </c>
      <c r="G137" s="989">
        <f t="shared" si="64"/>
        <v>0.28148529826848129</v>
      </c>
      <c r="H137" s="650">
        <f t="shared" si="65"/>
        <v>12.666838422081657</v>
      </c>
      <c r="J137" s="990">
        <f t="shared" si="90"/>
        <v>0.76001030532489933</v>
      </c>
      <c r="K137" s="987">
        <f>'Recycling - Case 1'!C197*'Recycling - Case 1'!Z197</f>
        <v>2138.5823371566007</v>
      </c>
      <c r="L137" s="114">
        <f t="shared" si="76"/>
        <v>0.1</v>
      </c>
      <c r="M137" s="114">
        <f t="shared" si="67"/>
        <v>0.9</v>
      </c>
      <c r="N137">
        <f t="shared" ref="N137:O137" si="93">N135</f>
        <v>0</v>
      </c>
      <c r="O137">
        <f t="shared" si="93"/>
        <v>0</v>
      </c>
      <c r="P137" s="178">
        <f t="shared" si="61"/>
        <v>0.1710865869725281</v>
      </c>
      <c r="Q137" s="512">
        <f t="shared" si="56"/>
        <v>7.6988964137637632</v>
      </c>
      <c r="S137" s="178">
        <f t="shared" si="62"/>
        <v>0.46193378482582576</v>
      </c>
      <c r="T137" s="585">
        <f t="shared" si="57"/>
        <v>0.45257188524100939</v>
      </c>
      <c r="U137" s="585">
        <f t="shared" si="58"/>
        <v>20.365734835845419</v>
      </c>
      <c r="V137" s="585">
        <f t="shared" si="59"/>
        <v>0</v>
      </c>
      <c r="W137" s="585">
        <f t="shared" si="60"/>
        <v>1.221944090150725</v>
      </c>
    </row>
    <row r="138" spans="1:23">
      <c r="A138" s="123">
        <f>'Input data'!A138</f>
        <v>2040</v>
      </c>
      <c r="B138" s="986">
        <f>'Recycling - Case 1'!B118*'Recycling - Case 1'!AO118*'Recycling - Case 1'!AK118</f>
        <v>3378.1501689766783</v>
      </c>
      <c r="C138" s="114">
        <f t="shared" ref="C138:C148" si="94">C137</f>
        <v>0.1</v>
      </c>
      <c r="D138" s="114">
        <f t="shared" si="63"/>
        <v>0.9</v>
      </c>
      <c r="E138">
        <v>0</v>
      </c>
      <c r="F138">
        <v>0</v>
      </c>
      <c r="G138" s="989">
        <f t="shared" si="64"/>
        <v>0.27025201351813433</v>
      </c>
      <c r="H138" s="650">
        <f t="shared" si="65"/>
        <v>12.161340608316042</v>
      </c>
      <c r="J138" s="990">
        <f t="shared" si="90"/>
        <v>0.72968043649896253</v>
      </c>
      <c r="K138" s="987">
        <f>'Recycling - Case 1'!C198*'Recycling - Case 1'!Z198</f>
        <v>2205.0572948951103</v>
      </c>
      <c r="L138" s="114">
        <f t="shared" ref="L138:L148" si="95">L137</f>
        <v>0.1</v>
      </c>
      <c r="M138" s="114">
        <f t="shared" si="67"/>
        <v>0.9</v>
      </c>
      <c r="N138">
        <f t="shared" ref="N138:O138" si="96">N136</f>
        <v>0</v>
      </c>
      <c r="O138">
        <f t="shared" si="96"/>
        <v>0</v>
      </c>
      <c r="P138" s="178">
        <f t="shared" si="61"/>
        <v>0.17640458359160885</v>
      </c>
      <c r="Q138" s="512">
        <f t="shared" si="56"/>
        <v>7.9382062616223976</v>
      </c>
      <c r="S138" s="178">
        <f t="shared" si="62"/>
        <v>0.47629237569734378</v>
      </c>
      <c r="T138" s="585">
        <f t="shared" si="57"/>
        <v>0.44665659710974315</v>
      </c>
      <c r="U138" s="585">
        <f t="shared" si="58"/>
        <v>20.09954686993844</v>
      </c>
      <c r="V138" s="585">
        <f t="shared" si="59"/>
        <v>0</v>
      </c>
      <c r="W138" s="585">
        <f t="shared" si="60"/>
        <v>1.2059728121963063</v>
      </c>
    </row>
    <row r="139" spans="1:23">
      <c r="A139" s="123">
        <f>'Input data'!A139</f>
        <v>2041</v>
      </c>
      <c r="B139" s="986">
        <f>'Recycling - Case 1'!B119*'Recycling - Case 1'!AO119*'Recycling - Case 1'!AK119</f>
        <v>3231.9924860435117</v>
      </c>
      <c r="C139" s="114">
        <f t="shared" si="94"/>
        <v>0.1</v>
      </c>
      <c r="D139" s="114">
        <f t="shared" si="63"/>
        <v>0.9</v>
      </c>
      <c r="E139">
        <v>0</v>
      </c>
      <c r="F139">
        <v>0</v>
      </c>
      <c r="G139" s="989">
        <f t="shared" si="64"/>
        <v>0.25855939888348101</v>
      </c>
      <c r="H139" s="650">
        <f t="shared" si="65"/>
        <v>11.635172949756644</v>
      </c>
      <c r="J139" s="990">
        <f t="shared" si="90"/>
        <v>0.69811037698539846</v>
      </c>
      <c r="K139" s="987">
        <f>'Recycling - Case 1'!C199*'Recycling - Case 1'!Z199</f>
        <v>2274.2684990230473</v>
      </c>
      <c r="L139" s="114">
        <f t="shared" si="95"/>
        <v>0.1</v>
      </c>
      <c r="M139" s="114">
        <f t="shared" si="67"/>
        <v>0.9</v>
      </c>
      <c r="N139">
        <f t="shared" ref="N139:O139" si="97">N137</f>
        <v>0</v>
      </c>
      <c r="O139">
        <f t="shared" si="97"/>
        <v>0</v>
      </c>
      <c r="P139" s="178">
        <f t="shared" si="61"/>
        <v>0.18194147992184381</v>
      </c>
      <c r="Q139" s="512">
        <f t="shared" si="56"/>
        <v>8.1873665964829705</v>
      </c>
      <c r="S139" s="178">
        <f t="shared" si="62"/>
        <v>0.4912419957889782</v>
      </c>
      <c r="T139" s="585">
        <f t="shared" si="57"/>
        <v>0.44050087880532485</v>
      </c>
      <c r="U139" s="585">
        <f t="shared" si="58"/>
        <v>19.822539546239614</v>
      </c>
      <c r="V139" s="585">
        <f t="shared" si="59"/>
        <v>0</v>
      </c>
      <c r="W139" s="585">
        <f t="shared" si="60"/>
        <v>1.1893523727743767</v>
      </c>
    </row>
    <row r="140" spans="1:23">
      <c r="A140" s="123">
        <f>'Input data'!A140</f>
        <v>2042</v>
      </c>
      <c r="B140" s="986">
        <f>'Recycling - Case 1'!B120*'Recycling - Case 1'!AO120*'Recycling - Case 1'!AK120</f>
        <v>3083.853167089198</v>
      </c>
      <c r="C140" s="114">
        <f t="shared" si="94"/>
        <v>0.1</v>
      </c>
      <c r="D140" s="114">
        <f t="shared" si="63"/>
        <v>0.9</v>
      </c>
      <c r="E140">
        <v>0</v>
      </c>
      <c r="F140">
        <v>0</v>
      </c>
      <c r="G140" s="989">
        <f t="shared" si="64"/>
        <v>0.24670825336713589</v>
      </c>
      <c r="H140" s="650">
        <f t="shared" si="65"/>
        <v>11.101871401521114</v>
      </c>
      <c r="J140" s="990">
        <f t="shared" si="90"/>
        <v>0.66611228409126677</v>
      </c>
      <c r="K140" s="987">
        <f>'Recycling - Case 1'!C200*'Recycling - Case 1'!Z200</f>
        <v>2346.4330401630441</v>
      </c>
      <c r="L140" s="114">
        <f t="shared" si="95"/>
        <v>0.1</v>
      </c>
      <c r="M140" s="114">
        <f t="shared" si="67"/>
        <v>0.9</v>
      </c>
      <c r="N140">
        <f t="shared" ref="N140:O140" si="98">N138</f>
        <v>0</v>
      </c>
      <c r="O140">
        <f t="shared" si="98"/>
        <v>0</v>
      </c>
      <c r="P140" s="178">
        <f t="shared" si="61"/>
        <v>0.18771464321304357</v>
      </c>
      <c r="Q140" s="512">
        <f t="shared" si="56"/>
        <v>8.4471589445869597</v>
      </c>
      <c r="S140" s="178">
        <f t="shared" si="62"/>
        <v>0.50682953667521757</v>
      </c>
      <c r="T140" s="585">
        <f t="shared" si="57"/>
        <v>0.43442289658017946</v>
      </c>
      <c r="U140" s="585">
        <f t="shared" si="58"/>
        <v>19.549030346108076</v>
      </c>
      <c r="V140" s="585">
        <f t="shared" si="59"/>
        <v>0</v>
      </c>
      <c r="W140" s="585">
        <f t="shared" si="60"/>
        <v>1.1729418207664843</v>
      </c>
    </row>
    <row r="141" spans="1:23">
      <c r="A141" s="123">
        <f>'Input data'!A141</f>
        <v>2043</v>
      </c>
      <c r="B141" s="986">
        <f>'Recycling - Case 1'!B121*'Recycling - Case 1'!AO121*'Recycling - Case 1'!AK121</f>
        <v>2933.7585925462827</v>
      </c>
      <c r="C141" s="114">
        <f t="shared" si="94"/>
        <v>0.1</v>
      </c>
      <c r="D141" s="114">
        <f t="shared" si="63"/>
        <v>0.9</v>
      </c>
      <c r="E141">
        <v>0</v>
      </c>
      <c r="F141">
        <v>0</v>
      </c>
      <c r="G141" s="989">
        <f t="shared" si="64"/>
        <v>0.23470068740370265</v>
      </c>
      <c r="H141" s="650">
        <f t="shared" si="65"/>
        <v>10.561530933166617</v>
      </c>
      <c r="J141" s="990">
        <f t="shared" si="90"/>
        <v>0.63369185598999711</v>
      </c>
      <c r="K141" s="987">
        <f>'Recycling - Case 1'!C201*'Recycling - Case 1'!Z201</f>
        <v>2421.3700094629057</v>
      </c>
      <c r="L141" s="114">
        <f t="shared" si="95"/>
        <v>0.1</v>
      </c>
      <c r="M141" s="114">
        <f t="shared" si="67"/>
        <v>0.9</v>
      </c>
      <c r="N141">
        <f t="shared" ref="N141:O141" si="99">N139</f>
        <v>0</v>
      </c>
      <c r="O141">
        <f t="shared" si="99"/>
        <v>0</v>
      </c>
      <c r="P141" s="178">
        <f t="shared" si="61"/>
        <v>0.1937096007570325</v>
      </c>
      <c r="Q141" s="512">
        <f t="shared" si="56"/>
        <v>8.7169320340664616</v>
      </c>
      <c r="S141" s="178">
        <f t="shared" si="62"/>
        <v>0.52301592204398761</v>
      </c>
      <c r="T141" s="585">
        <f t="shared" si="57"/>
        <v>0.42841028816073512</v>
      </c>
      <c r="U141" s="585">
        <f t="shared" si="58"/>
        <v>19.278462967233079</v>
      </c>
      <c r="V141" s="585">
        <f t="shared" si="59"/>
        <v>0</v>
      </c>
      <c r="W141" s="585">
        <f t="shared" si="60"/>
        <v>1.1567077780339847</v>
      </c>
    </row>
    <row r="142" spans="1:23">
      <c r="A142" s="123">
        <f>'Input data'!A142</f>
        <v>2044</v>
      </c>
      <c r="B142" s="986">
        <f>'Recycling - Case 1'!B122*'Recycling - Case 1'!AO122*'Recycling - Case 1'!AK122</f>
        <v>2781.6497943890804</v>
      </c>
      <c r="C142" s="114">
        <f t="shared" si="94"/>
        <v>0.1</v>
      </c>
      <c r="D142" s="114">
        <f t="shared" si="63"/>
        <v>0.9</v>
      </c>
      <c r="E142">
        <v>0</v>
      </c>
      <c r="F142">
        <v>0</v>
      </c>
      <c r="G142" s="989">
        <f t="shared" si="64"/>
        <v>0.22253198355112647</v>
      </c>
      <c r="H142" s="650">
        <f t="shared" si="65"/>
        <v>10.013939259800688</v>
      </c>
      <c r="J142" s="990">
        <f t="shared" si="90"/>
        <v>0.60083635558804138</v>
      </c>
      <c r="K142" s="987">
        <f>'Recycling - Case 1'!C202*'Recycling - Case 1'!Z202</f>
        <v>2499.4819291187655</v>
      </c>
      <c r="L142" s="114">
        <f t="shared" si="95"/>
        <v>0.1</v>
      </c>
      <c r="M142" s="114">
        <f t="shared" si="67"/>
        <v>0.9</v>
      </c>
      <c r="N142">
        <f t="shared" ref="N142:O142" si="100">N140</f>
        <v>0</v>
      </c>
      <c r="O142">
        <f t="shared" si="100"/>
        <v>0</v>
      </c>
      <c r="P142" s="178">
        <f t="shared" si="61"/>
        <v>0.19995855432950127</v>
      </c>
      <c r="Q142" s="512">
        <f t="shared" si="56"/>
        <v>8.9981349448275552</v>
      </c>
      <c r="S142" s="178">
        <f t="shared" si="62"/>
        <v>0.53988809668965332</v>
      </c>
      <c r="T142" s="585">
        <f t="shared" si="57"/>
        <v>0.42249053788062774</v>
      </c>
      <c r="U142" s="585">
        <f t="shared" si="58"/>
        <v>19.012074204628242</v>
      </c>
      <c r="V142" s="585">
        <f t="shared" si="59"/>
        <v>0</v>
      </c>
      <c r="W142" s="585">
        <f t="shared" si="60"/>
        <v>1.1407244522776947</v>
      </c>
    </row>
    <row r="143" spans="1:23">
      <c r="A143" s="123">
        <f>'Input data'!A143</f>
        <v>2045</v>
      </c>
      <c r="B143" s="986">
        <f>'Recycling - Case 1'!B123*'Recycling - Case 1'!AO123*'Recycling - Case 1'!AK123</f>
        <v>2627.5841888531259</v>
      </c>
      <c r="C143" s="114">
        <f t="shared" si="94"/>
        <v>0.1</v>
      </c>
      <c r="D143" s="114">
        <f t="shared" si="63"/>
        <v>0.9</v>
      </c>
      <c r="E143">
        <v>0</v>
      </c>
      <c r="F143">
        <v>0</v>
      </c>
      <c r="G143" s="989">
        <f t="shared" si="64"/>
        <v>0.21020673510825011</v>
      </c>
      <c r="H143" s="650">
        <f t="shared" si="65"/>
        <v>9.459303079871253</v>
      </c>
      <c r="J143" s="990">
        <f t="shared" si="90"/>
        <v>0.56755818479227516</v>
      </c>
      <c r="K143" s="987">
        <f>'Recycling - Case 1'!C203*'Recycling - Case 1'!Z203</f>
        <v>2582.4422060134098</v>
      </c>
      <c r="L143" s="114">
        <f t="shared" si="95"/>
        <v>0.1</v>
      </c>
      <c r="M143" s="114">
        <f t="shared" si="67"/>
        <v>0.9</v>
      </c>
      <c r="N143">
        <f t="shared" ref="N143:O143" si="101">N141</f>
        <v>0</v>
      </c>
      <c r="O143">
        <f t="shared" si="101"/>
        <v>0</v>
      </c>
      <c r="P143" s="178">
        <f t="shared" si="61"/>
        <v>0.20659537648107285</v>
      </c>
      <c r="Q143" s="512">
        <f t="shared" si="56"/>
        <v>9.2967919416482747</v>
      </c>
      <c r="S143" s="178">
        <f t="shared" si="62"/>
        <v>0.55780751649889648</v>
      </c>
      <c r="T143" s="585">
        <f t="shared" si="57"/>
        <v>0.41680211158932295</v>
      </c>
      <c r="U143" s="585">
        <f t="shared" si="58"/>
        <v>18.756095021519528</v>
      </c>
      <c r="V143" s="585">
        <f t="shared" si="59"/>
        <v>0</v>
      </c>
      <c r="W143" s="585">
        <f t="shared" si="60"/>
        <v>1.1253657012911717</v>
      </c>
    </row>
    <row r="144" spans="1:23">
      <c r="A144" s="123">
        <f>'Input data'!A144</f>
        <v>2046</v>
      </c>
      <c r="B144" s="986">
        <f>'Recycling - Case 1'!B124*'Recycling - Case 1'!AO124*'Recycling - Case 1'!AK124</f>
        <v>2468.7313107053974</v>
      </c>
      <c r="C144" s="114">
        <f t="shared" si="94"/>
        <v>0.1</v>
      </c>
      <c r="D144" s="114">
        <f t="shared" si="63"/>
        <v>0.9</v>
      </c>
      <c r="E144">
        <v>0</v>
      </c>
      <c r="F144">
        <v>0</v>
      </c>
      <c r="G144" s="989">
        <f t="shared" si="64"/>
        <v>0.19749850485643183</v>
      </c>
      <c r="H144" s="650">
        <f t="shared" si="65"/>
        <v>8.8874327185394311</v>
      </c>
      <c r="J144" s="990">
        <f t="shared" si="90"/>
        <v>0.53324596311236583</v>
      </c>
      <c r="K144" s="987">
        <f>'Recycling - Case 1'!C204*'Recycling - Case 1'!Z204</f>
        <v>2669.5045911315424</v>
      </c>
      <c r="L144" s="114">
        <f t="shared" si="95"/>
        <v>0.1</v>
      </c>
      <c r="M144" s="114">
        <f t="shared" si="67"/>
        <v>0.9</v>
      </c>
      <c r="N144">
        <f t="shared" ref="N144:O144" si="102">N142</f>
        <v>0</v>
      </c>
      <c r="O144">
        <f t="shared" si="102"/>
        <v>0</v>
      </c>
      <c r="P144" s="178">
        <f t="shared" si="61"/>
        <v>0.21356036729052344</v>
      </c>
      <c r="Q144" s="512">
        <f t="shared" si="56"/>
        <v>9.6102165280735541</v>
      </c>
      <c r="S144" s="178">
        <f t="shared" si="62"/>
        <v>0.57661299168441316</v>
      </c>
      <c r="T144" s="585">
        <f t="shared" si="57"/>
        <v>0.41105887214695525</v>
      </c>
      <c r="U144" s="585">
        <f t="shared" si="58"/>
        <v>18.497649246612987</v>
      </c>
      <c r="V144" s="585">
        <f t="shared" si="59"/>
        <v>0</v>
      </c>
      <c r="W144" s="585">
        <f t="shared" si="60"/>
        <v>1.109858954796779</v>
      </c>
    </row>
    <row r="145" spans="1:23">
      <c r="A145" s="123">
        <f>'Input data'!A145</f>
        <v>2047</v>
      </c>
      <c r="B145" s="986">
        <f>'Recycling - Case 1'!B125*'Recycling - Case 1'!AO125*'Recycling - Case 1'!AK125</f>
        <v>2308.2257760482548</v>
      </c>
      <c r="C145" s="114">
        <f t="shared" si="94"/>
        <v>0.1</v>
      </c>
      <c r="D145" s="114">
        <f t="shared" si="63"/>
        <v>0.9</v>
      </c>
      <c r="E145">
        <v>0</v>
      </c>
      <c r="F145">
        <v>0</v>
      </c>
      <c r="G145" s="989">
        <f t="shared" si="64"/>
        <v>0.1846580620838604</v>
      </c>
      <c r="H145" s="650">
        <f t="shared" si="65"/>
        <v>8.3096127937737183</v>
      </c>
      <c r="J145" s="990">
        <f t="shared" si="90"/>
        <v>0.498576767626423</v>
      </c>
      <c r="K145" s="987">
        <f>'Recycling - Case 1'!C205*'Recycling - Case 1'!Z205</f>
        <v>2760.7233571288211</v>
      </c>
      <c r="L145" s="114">
        <f t="shared" si="95"/>
        <v>0.1</v>
      </c>
      <c r="M145" s="114">
        <f t="shared" si="67"/>
        <v>0.9</v>
      </c>
      <c r="N145">
        <f t="shared" ref="N145:O145" si="103">N143</f>
        <v>0</v>
      </c>
      <c r="O145">
        <f t="shared" si="103"/>
        <v>0</v>
      </c>
      <c r="P145" s="178">
        <f t="shared" si="61"/>
        <v>0.22085786857030573</v>
      </c>
      <c r="Q145" s="512">
        <f t="shared" si="56"/>
        <v>9.938604085663755</v>
      </c>
      <c r="S145" s="178">
        <f t="shared" si="62"/>
        <v>0.5963162451398254</v>
      </c>
      <c r="T145" s="585">
        <f t="shared" si="57"/>
        <v>0.40551593065416613</v>
      </c>
      <c r="U145" s="585">
        <f t="shared" si="58"/>
        <v>18.248216879437472</v>
      </c>
      <c r="V145" s="585">
        <f t="shared" si="59"/>
        <v>0</v>
      </c>
      <c r="W145" s="585">
        <f t="shared" si="60"/>
        <v>1.0948930127662484</v>
      </c>
    </row>
    <row r="146" spans="1:23">
      <c r="A146" s="123">
        <f>'Input data'!A146</f>
        <v>2048</v>
      </c>
      <c r="B146" s="986">
        <f>'Recycling - Case 1'!B126*'Recycling - Case 1'!AO126*'Recycling - Case 1'!AK126</f>
        <v>2320.0193811858494</v>
      </c>
      <c r="C146" s="114">
        <f t="shared" si="94"/>
        <v>0.1</v>
      </c>
      <c r="D146" s="114">
        <f t="shared" si="63"/>
        <v>0.9</v>
      </c>
      <c r="E146">
        <v>0</v>
      </c>
      <c r="F146">
        <v>0</v>
      </c>
      <c r="G146" s="989">
        <f t="shared" si="64"/>
        <v>0.18560155049486798</v>
      </c>
      <c r="H146" s="650">
        <f t="shared" si="65"/>
        <v>8.3520697722690578</v>
      </c>
      <c r="J146" s="990">
        <f t="shared" si="90"/>
        <v>0.50112418633614342</v>
      </c>
      <c r="K146" s="987">
        <f>'Recycling - Case 1'!C206*'Recycling - Case 1'!Z206</f>
        <v>2852.9913944688233</v>
      </c>
      <c r="L146" s="114">
        <f t="shared" si="95"/>
        <v>0.1</v>
      </c>
      <c r="M146" s="114">
        <f t="shared" si="67"/>
        <v>0.9</v>
      </c>
      <c r="N146">
        <f t="shared" ref="N146:O146" si="104">N144</f>
        <v>0</v>
      </c>
      <c r="O146">
        <f t="shared" si="104"/>
        <v>0</v>
      </c>
      <c r="P146" s="178">
        <f t="shared" si="61"/>
        <v>0.2282393115575059</v>
      </c>
      <c r="Q146" s="512">
        <f t="shared" si="56"/>
        <v>10.270769020087764</v>
      </c>
      <c r="S146" s="178">
        <f t="shared" si="62"/>
        <v>0.61624614120526588</v>
      </c>
      <c r="T146" s="585">
        <f t="shared" si="57"/>
        <v>0.41384086205237391</v>
      </c>
      <c r="U146" s="585">
        <f t="shared" si="58"/>
        <v>18.622838792356823</v>
      </c>
      <c r="V146" s="585">
        <f t="shared" si="59"/>
        <v>0</v>
      </c>
      <c r="W146" s="585">
        <f t="shared" si="60"/>
        <v>1.1173703275414093</v>
      </c>
    </row>
    <row r="147" spans="1:23">
      <c r="A147" s="123">
        <f>'Input data'!A147</f>
        <v>2049</v>
      </c>
      <c r="B147" s="986">
        <f>'Recycling - Case 1'!B127*'Recycling - Case 1'!AO127*'Recycling - Case 1'!AK127</f>
        <v>2331.8440221264382</v>
      </c>
      <c r="C147" s="114">
        <f t="shared" si="94"/>
        <v>0.1</v>
      </c>
      <c r="D147" s="114">
        <f t="shared" si="63"/>
        <v>0.9</v>
      </c>
      <c r="E147">
        <v>0</v>
      </c>
      <c r="F147">
        <v>0</v>
      </c>
      <c r="G147" s="989">
        <f t="shared" si="64"/>
        <v>0.18654752177011508</v>
      </c>
      <c r="H147" s="650">
        <f t="shared" si="65"/>
        <v>8.3946384796551783</v>
      </c>
      <c r="J147" s="990">
        <f t="shared" si="90"/>
        <v>0.50367830877931064</v>
      </c>
      <c r="K147" s="987">
        <f>'Recycling - Case 1'!C207*'Recycling - Case 1'!Z207</f>
        <v>2949.8092894414926</v>
      </c>
      <c r="L147" s="114">
        <f t="shared" si="95"/>
        <v>0.1</v>
      </c>
      <c r="M147" s="114">
        <f t="shared" si="67"/>
        <v>0.9</v>
      </c>
      <c r="N147">
        <f t="shared" ref="N147:O147" si="105">N145</f>
        <v>0</v>
      </c>
      <c r="O147">
        <f t="shared" si="105"/>
        <v>0</v>
      </c>
      <c r="P147" s="178">
        <f t="shared" si="61"/>
        <v>0.23598474315531945</v>
      </c>
      <c r="Q147" s="512">
        <f t="shared" si="56"/>
        <v>10.619313441989375</v>
      </c>
      <c r="S147" s="178">
        <f t="shared" si="62"/>
        <v>0.63715880651936241</v>
      </c>
      <c r="T147" s="585">
        <f t="shared" si="57"/>
        <v>0.4225322649254345</v>
      </c>
      <c r="U147" s="585">
        <f t="shared" si="58"/>
        <v>19.013951921644555</v>
      </c>
      <c r="V147" s="585">
        <f t="shared" si="59"/>
        <v>0</v>
      </c>
      <c r="W147" s="585">
        <f t="shared" si="60"/>
        <v>1.1408371152986732</v>
      </c>
    </row>
    <row r="148" spans="1:23">
      <c r="A148" s="123">
        <f>'Input data'!A148</f>
        <v>2050</v>
      </c>
      <c r="B148" s="986">
        <f>'Recycling - Case 1'!B128*'Recycling - Case 1'!AO128*'Recycling - Case 1'!AK128</f>
        <v>2343.7617704760073</v>
      </c>
      <c r="C148" s="114">
        <f t="shared" si="94"/>
        <v>0.1</v>
      </c>
      <c r="D148" s="114">
        <f t="shared" si="63"/>
        <v>0.9</v>
      </c>
      <c r="E148">
        <v>0</v>
      </c>
      <c r="F148">
        <v>0</v>
      </c>
      <c r="G148" s="989">
        <f t="shared" si="64"/>
        <v>0.18750094163808062</v>
      </c>
      <c r="H148" s="650">
        <f t="shared" si="65"/>
        <v>8.4375423737136259</v>
      </c>
      <c r="J148" s="990">
        <f t="shared" si="90"/>
        <v>0.50625254242281759</v>
      </c>
      <c r="K148" s="987">
        <f>'Recycling - Case 1'!C208*'Recycling - Case 1'!Z208</f>
        <v>3051.538859751216</v>
      </c>
      <c r="L148" s="114">
        <f t="shared" si="95"/>
        <v>0.1</v>
      </c>
      <c r="M148" s="114">
        <f t="shared" si="67"/>
        <v>0.9</v>
      </c>
      <c r="N148">
        <f t="shared" ref="N148:O148" si="106">N146</f>
        <v>0</v>
      </c>
      <c r="O148">
        <f t="shared" si="106"/>
        <v>0</v>
      </c>
      <c r="P148" s="178">
        <f t="shared" si="61"/>
        <v>0.24412310878009735</v>
      </c>
      <c r="Q148" s="512">
        <f t="shared" si="56"/>
        <v>10.985539895104377</v>
      </c>
      <c r="S148" s="178">
        <f t="shared" si="62"/>
        <v>0.65913239370626264</v>
      </c>
      <c r="T148" s="585">
        <f t="shared" si="57"/>
        <v>0.43162405041817797</v>
      </c>
      <c r="U148" s="585">
        <f t="shared" si="58"/>
        <v>19.423082268818003</v>
      </c>
      <c r="V148" s="585">
        <f t="shared" si="59"/>
        <v>0</v>
      </c>
      <c r="W148" s="585">
        <f t="shared" si="60"/>
        <v>1.1653849361290802</v>
      </c>
    </row>
    <row r="149" spans="1:23">
      <c r="A149" s="988" t="s">
        <v>753</v>
      </c>
    </row>
    <row r="150" spans="1:23">
      <c r="A150" s="123">
        <f>'Input data'!A116</f>
        <v>2018</v>
      </c>
      <c r="B150" s="986">
        <f>'Recycling - Case 2'!AI96*'Recycling - Case 2'!B96</f>
        <v>3621.0946455823168</v>
      </c>
      <c r="C150" s="114">
        <f>($C$154-$C$80)/($A$154-$A$80)+C80</f>
        <v>6.0000000000000005E-2</v>
      </c>
      <c r="D150" s="114">
        <f>($D$154-$D$80)/($A$154-$A$80)+D80</f>
        <v>0.94</v>
      </c>
      <c r="E150">
        <v>0</v>
      </c>
      <c r="F150">
        <v>0</v>
      </c>
      <c r="G150" s="989">
        <f t="shared" ref="G150:G182" si="107">C150*$D$5*B150/1000-E150</f>
        <v>0.17381254298795124</v>
      </c>
      <c r="H150" s="650">
        <f t="shared" ref="H150:H182" si="108">D150*$D$4*B150/1000-F150</f>
        <v>13.61531586738951</v>
      </c>
      <c r="J150" s="990">
        <f t="shared" ref="J150:J182" si="109">D150*$D$7*B150/1000</f>
        <v>0.81691895204337062</v>
      </c>
      <c r="K150" s="987">
        <f>'Recycling - Case 2'!Z136*'Recycling - Case 2'!C136</f>
        <v>6276.5943854712859</v>
      </c>
      <c r="L150" s="114">
        <f>($L$154-$L$80)/($A$154-$A$80)+L80</f>
        <v>6.0000000000000005E-2</v>
      </c>
      <c r="M150" s="114">
        <f>($M$154-$M$80)/($A$154-$A$80)+M80</f>
        <v>0.94</v>
      </c>
      <c r="N150">
        <f>N114</f>
        <v>0</v>
      </c>
      <c r="O150">
        <f>O114</f>
        <v>0</v>
      </c>
      <c r="P150" s="178">
        <f t="shared" ref="P150:P182" si="110">L150*$D$5*K150/1000-N150</f>
        <v>0.30127653050262176</v>
      </c>
      <c r="Q150" s="512">
        <f t="shared" ref="Q150:Q182" si="111">M150*$D$4*K150/1000-O150</f>
        <v>23.599994889372031</v>
      </c>
      <c r="S150" s="178">
        <f t="shared" ref="S150:S182" si="112">M150*$D$7*K150/1000</f>
        <v>1.415999693362322</v>
      </c>
      <c r="T150" s="585">
        <f t="shared" ref="T150:T182" si="113">G150+P150</f>
        <v>0.475089073490573</v>
      </c>
      <c r="U150" s="585">
        <f t="shared" ref="U150:U182" si="114">H150+Q150</f>
        <v>37.215310756761539</v>
      </c>
      <c r="V150" s="585">
        <f t="shared" ref="V150:V182" si="115">I150+R150</f>
        <v>0</v>
      </c>
      <c r="W150" s="585">
        <f t="shared" ref="W150:W182" si="116">J150+S150</f>
        <v>2.2329186454056926</v>
      </c>
    </row>
    <row r="151" spans="1:23">
      <c r="A151" s="123">
        <f>'Input data'!A117</f>
        <v>2019</v>
      </c>
      <c r="B151" s="986">
        <f>'Recycling - Case 2'!AI97*'Recycling - Case 2'!B97</f>
        <v>3920.8675148070129</v>
      </c>
      <c r="C151" s="114">
        <f>($C$154-$C$80)/($A$154-$A$80)+C150</f>
        <v>7.0000000000000007E-2</v>
      </c>
      <c r="D151" s="114">
        <f>($D$154-$D$80)/($A$154-$A$80)+D150</f>
        <v>0.92999999999999994</v>
      </c>
      <c r="E151">
        <v>0</v>
      </c>
      <c r="F151">
        <v>0</v>
      </c>
      <c r="G151" s="989">
        <f t="shared" si="107"/>
        <v>0.21956858082919273</v>
      </c>
      <c r="H151" s="650">
        <f t="shared" si="108"/>
        <v>14.585627155082088</v>
      </c>
      <c r="J151" s="990">
        <f t="shared" si="109"/>
        <v>0.87513762930492522</v>
      </c>
      <c r="K151" s="987">
        <f>'Recycling - Case 2'!Z137*'Recycling - Case 2'!C137</f>
        <v>6352.9575581335039</v>
      </c>
      <c r="L151" s="114">
        <f>($L$154-$L$80)/($A$154-$A$80)+L150</f>
        <v>7.0000000000000007E-2</v>
      </c>
      <c r="M151" s="114">
        <f>($M$154-$M$80)/($A$154-$A$80)+M150</f>
        <v>0.92999999999999994</v>
      </c>
      <c r="N151">
        <f t="shared" ref="N151:O151" si="117">N149</f>
        <v>0</v>
      </c>
      <c r="O151">
        <f t="shared" si="117"/>
        <v>0</v>
      </c>
      <c r="P151" s="178">
        <f t="shared" si="110"/>
        <v>0.35576562325547628</v>
      </c>
      <c r="Q151" s="512">
        <f t="shared" si="111"/>
        <v>23.633002116256634</v>
      </c>
      <c r="S151" s="178">
        <f t="shared" si="112"/>
        <v>1.417980126975398</v>
      </c>
      <c r="T151" s="585">
        <f t="shared" si="113"/>
        <v>0.57533420408466895</v>
      </c>
      <c r="U151" s="585">
        <f t="shared" si="114"/>
        <v>38.21862927133872</v>
      </c>
      <c r="V151" s="585">
        <f t="shared" si="115"/>
        <v>0</v>
      </c>
      <c r="W151" s="585">
        <f t="shared" si="116"/>
        <v>2.2931177562803233</v>
      </c>
    </row>
    <row r="152" spans="1:23">
      <c r="A152" s="123">
        <f>'Input data'!A118</f>
        <v>2020</v>
      </c>
      <c r="B152" s="986">
        <f>'Recycling - Case 2'!AI98*'Recycling - Case 2'!B98</f>
        <v>4489.6146062493435</v>
      </c>
      <c r="C152" s="114">
        <f>($C$154-$C$80)/($A$154-$A$80)+C151</f>
        <v>0.08</v>
      </c>
      <c r="D152" s="114">
        <f>($D$154-$D$80)/($A$154-$A$80)+D151</f>
        <v>0.91999999999999993</v>
      </c>
      <c r="E152">
        <v>0</v>
      </c>
      <c r="F152">
        <v>0</v>
      </c>
      <c r="G152" s="989">
        <f t="shared" si="107"/>
        <v>0.28733533479995799</v>
      </c>
      <c r="H152" s="650">
        <f t="shared" si="108"/>
        <v>16.521781750997583</v>
      </c>
      <c r="J152" s="990">
        <f t="shared" si="109"/>
        <v>0.99130690505985486</v>
      </c>
      <c r="K152" s="987">
        <f>'Recycling - Case 2'!Z138*'Recycling - Case 2'!C138</f>
        <v>5085.1995396120392</v>
      </c>
      <c r="L152" s="114">
        <f>($L$154-$L$80)/($A$154-$A$80)+L151</f>
        <v>0.08</v>
      </c>
      <c r="M152" s="114">
        <f>($M$154-$M$80)/($A$154-$A$80)+M151</f>
        <v>0.91999999999999993</v>
      </c>
      <c r="N152">
        <f t="shared" ref="N152:O152" si="118">N150</f>
        <v>0</v>
      </c>
      <c r="O152">
        <f t="shared" si="118"/>
        <v>0</v>
      </c>
      <c r="P152" s="178">
        <f t="shared" si="110"/>
        <v>0.32545277053517047</v>
      </c>
      <c r="Q152" s="512">
        <f t="shared" si="111"/>
        <v>18.713534305772303</v>
      </c>
      <c r="S152" s="178">
        <f t="shared" si="112"/>
        <v>1.1228120583463381</v>
      </c>
      <c r="T152" s="585">
        <f t="shared" si="113"/>
        <v>0.61278810533512851</v>
      </c>
      <c r="U152" s="585">
        <f t="shared" si="114"/>
        <v>35.235316056769889</v>
      </c>
      <c r="V152" s="585">
        <f t="shared" si="115"/>
        <v>0</v>
      </c>
      <c r="W152" s="585">
        <f t="shared" si="116"/>
        <v>2.114118963406193</v>
      </c>
    </row>
    <row r="153" spans="1:23">
      <c r="A153" s="123">
        <f>'Input data'!A119</f>
        <v>2021</v>
      </c>
      <c r="B153" s="986">
        <f>'Recycling - Case 2'!AI99*'Recycling - Case 2'!B99</f>
        <v>5342.7306030456248</v>
      </c>
      <c r="C153" s="114">
        <f>($C$154-$C$80)/($A$154-$A$80)+C152</f>
        <v>0.09</v>
      </c>
      <c r="D153" s="114">
        <f>($D$154-$D$80)/($A$154-$A$80)+D152</f>
        <v>0.90999999999999992</v>
      </c>
      <c r="E153">
        <v>0</v>
      </c>
      <c r="F153">
        <v>0</v>
      </c>
      <c r="G153" s="989">
        <f t="shared" si="107"/>
        <v>0.38467660341928495</v>
      </c>
      <c r="H153" s="650">
        <f t="shared" si="108"/>
        <v>19.447539395086071</v>
      </c>
      <c r="J153" s="990">
        <f t="shared" si="109"/>
        <v>1.1668523637051644</v>
      </c>
      <c r="K153" s="987">
        <f>'Recycling - Case 2'!Z139*'Recycling - Case 2'!C139</f>
        <v>2972.5052686726208</v>
      </c>
      <c r="L153" s="114">
        <f>($L$154-$L$80)/($A$154-$A$80)+L152</f>
        <v>0.09</v>
      </c>
      <c r="M153" s="114">
        <f>($M$154-$M$80)/($A$154-$A$80)+M152</f>
        <v>0.90999999999999992</v>
      </c>
      <c r="N153">
        <f t="shared" ref="N153:O153" si="119">N151</f>
        <v>0</v>
      </c>
      <c r="O153">
        <f t="shared" si="119"/>
        <v>0</v>
      </c>
      <c r="P153" s="178">
        <f t="shared" si="110"/>
        <v>0.21402037934442866</v>
      </c>
      <c r="Q153" s="512">
        <f t="shared" si="111"/>
        <v>10.819919177968339</v>
      </c>
      <c r="S153" s="178">
        <f t="shared" si="112"/>
        <v>0.6491951506781003</v>
      </c>
      <c r="T153" s="585">
        <f t="shared" si="113"/>
        <v>0.59869698276371364</v>
      </c>
      <c r="U153" s="585">
        <f t="shared" si="114"/>
        <v>30.267458573054412</v>
      </c>
      <c r="V153" s="585">
        <f t="shared" si="115"/>
        <v>0</v>
      </c>
      <c r="W153" s="585">
        <f t="shared" si="116"/>
        <v>1.8160475143832646</v>
      </c>
    </row>
    <row r="154" spans="1:23">
      <c r="A154" s="123">
        <f>'Input data'!A120</f>
        <v>2022</v>
      </c>
      <c r="B154" s="986">
        <f>'Recycling - Case 2'!AI100*'Recycling - Case 2'!B100</f>
        <v>5021.1547579907265</v>
      </c>
      <c r="C154" s="114">
        <f>'Recycling - Case 2'!E31</f>
        <v>0.1</v>
      </c>
      <c r="D154" s="114">
        <f>'Recycling - Case 2'!F31</f>
        <v>0.9</v>
      </c>
      <c r="E154">
        <v>0</v>
      </c>
      <c r="F154">
        <v>0</v>
      </c>
      <c r="G154" s="989">
        <f t="shared" si="107"/>
        <v>0.40169238063925822</v>
      </c>
      <c r="H154" s="650">
        <f t="shared" si="108"/>
        <v>18.076157128766617</v>
      </c>
      <c r="J154" s="990">
        <f t="shared" si="109"/>
        <v>1.084569427725997</v>
      </c>
      <c r="K154" s="987">
        <f>'Recycling - Case 2'!Z140*'Recycling - Case 2'!C140</f>
        <v>1391.7317999247737</v>
      </c>
      <c r="L154" s="114">
        <f>'Recycling - Case 2'!E31</f>
        <v>0.1</v>
      </c>
      <c r="M154" s="114">
        <f>'Recycling - Case 2'!F31</f>
        <v>0.9</v>
      </c>
      <c r="N154">
        <f t="shared" ref="N154:O154" si="120">N152</f>
        <v>0</v>
      </c>
      <c r="O154">
        <f t="shared" si="120"/>
        <v>0</v>
      </c>
      <c r="P154" s="178">
        <f t="shared" si="110"/>
        <v>0.11133854399398191</v>
      </c>
      <c r="Q154" s="512">
        <f t="shared" si="111"/>
        <v>5.0102344797291849</v>
      </c>
      <c r="S154" s="178">
        <f t="shared" si="112"/>
        <v>0.30061406878375113</v>
      </c>
      <c r="T154" s="585">
        <f t="shared" si="113"/>
        <v>0.51303092463324007</v>
      </c>
      <c r="U154" s="585">
        <f t="shared" si="114"/>
        <v>23.086391608495802</v>
      </c>
      <c r="V154" s="585">
        <f t="shared" si="115"/>
        <v>0</v>
      </c>
      <c r="W154" s="585">
        <f t="shared" si="116"/>
        <v>1.385183496509748</v>
      </c>
    </row>
    <row r="155" spans="1:23">
      <c r="A155" s="123">
        <f>'Input data'!A121</f>
        <v>2023</v>
      </c>
      <c r="B155" s="986">
        <f>'Recycling - Case 2'!AI101*'Recycling - Case 2'!B101</f>
        <v>4838.5591386232072</v>
      </c>
      <c r="C155" s="114">
        <f>C154</f>
        <v>0.1</v>
      </c>
      <c r="D155" s="114">
        <f>D154</f>
        <v>0.9</v>
      </c>
      <c r="E155">
        <v>0</v>
      </c>
      <c r="F155">
        <v>0</v>
      </c>
      <c r="G155" s="989">
        <f t="shared" si="107"/>
        <v>0.38708473108985664</v>
      </c>
      <c r="H155" s="650">
        <f t="shared" si="108"/>
        <v>17.418812899043548</v>
      </c>
      <c r="J155" s="990">
        <f t="shared" si="109"/>
        <v>1.0451287739426127</v>
      </c>
      <c r="K155" s="987">
        <f>'Recycling - Case 2'!Z141*'Recycling - Case 2'!C141</f>
        <v>1420.410375718752</v>
      </c>
      <c r="L155" s="114">
        <f>L154</f>
        <v>0.1</v>
      </c>
      <c r="M155" s="114">
        <f>M154</f>
        <v>0.9</v>
      </c>
      <c r="N155">
        <f t="shared" ref="N155:O155" si="121">N153</f>
        <v>0</v>
      </c>
      <c r="O155">
        <f t="shared" si="121"/>
        <v>0</v>
      </c>
      <c r="P155" s="178">
        <f t="shared" si="110"/>
        <v>0.11363283005750019</v>
      </c>
      <c r="Q155" s="512">
        <f t="shared" si="111"/>
        <v>5.1134773525875072</v>
      </c>
      <c r="S155" s="178">
        <f t="shared" si="112"/>
        <v>0.30680864115525042</v>
      </c>
      <c r="T155" s="585">
        <f t="shared" si="113"/>
        <v>0.50071756114735688</v>
      </c>
      <c r="U155" s="585">
        <f t="shared" si="114"/>
        <v>22.532290251631053</v>
      </c>
      <c r="V155" s="585">
        <f t="shared" si="115"/>
        <v>0</v>
      </c>
      <c r="W155" s="585">
        <f t="shared" si="116"/>
        <v>1.3519374150978631</v>
      </c>
    </row>
    <row r="156" spans="1:23">
      <c r="A156" s="123">
        <f>'Input data'!A122</f>
        <v>2024</v>
      </c>
      <c r="B156" s="986">
        <f>'Recycling - Case 2'!AI102*'Recycling - Case 2'!B102</f>
        <v>4644.4457885792062</v>
      </c>
      <c r="C156" s="114">
        <f t="shared" ref="C156:C182" si="122">C155</f>
        <v>0.1</v>
      </c>
      <c r="D156" s="114">
        <f t="shared" ref="D156:D182" si="123">D155</f>
        <v>0.9</v>
      </c>
      <c r="E156">
        <v>0</v>
      </c>
      <c r="F156">
        <v>0</v>
      </c>
      <c r="G156" s="989">
        <f t="shared" si="107"/>
        <v>0.37155566308633653</v>
      </c>
      <c r="H156" s="650">
        <f t="shared" si="108"/>
        <v>16.720004838885142</v>
      </c>
      <c r="J156" s="990">
        <f t="shared" si="109"/>
        <v>1.0032002903331085</v>
      </c>
      <c r="K156" s="987">
        <f>'Recycling - Case 2'!Z142*'Recycling - Case 2'!C142</f>
        <v>1448.0713392191417</v>
      </c>
      <c r="L156" s="114">
        <f t="shared" ref="L156:L182" si="124">L155</f>
        <v>0.1</v>
      </c>
      <c r="M156" s="114">
        <f t="shared" ref="M156:M182" si="125">M155</f>
        <v>0.9</v>
      </c>
      <c r="N156">
        <f t="shared" ref="N156:O156" si="126">N154</f>
        <v>0</v>
      </c>
      <c r="O156">
        <f t="shared" si="126"/>
        <v>0</v>
      </c>
      <c r="P156" s="178">
        <f t="shared" si="110"/>
        <v>0.11584570713753137</v>
      </c>
      <c r="Q156" s="512">
        <f t="shared" si="111"/>
        <v>5.2130568211889106</v>
      </c>
      <c r="S156" s="178">
        <f t="shared" si="112"/>
        <v>0.31278340927133463</v>
      </c>
      <c r="T156" s="585">
        <f t="shared" si="113"/>
        <v>0.48740137022386787</v>
      </c>
      <c r="U156" s="585">
        <f t="shared" si="114"/>
        <v>21.933061660074053</v>
      </c>
      <c r="V156" s="585">
        <f t="shared" si="115"/>
        <v>0</v>
      </c>
      <c r="W156" s="585">
        <f t="shared" si="116"/>
        <v>1.3159836996044432</v>
      </c>
    </row>
    <row r="157" spans="1:23">
      <c r="A157" s="123">
        <f>'Input data'!A123</f>
        <v>2025</v>
      </c>
      <c r="B157" s="986">
        <f>'Recycling - Case 2'!AI103*'Recycling - Case 2'!B103</f>
        <v>4438.2123213922823</v>
      </c>
      <c r="C157" s="114">
        <f t="shared" si="122"/>
        <v>0.1</v>
      </c>
      <c r="D157" s="114">
        <f t="shared" si="123"/>
        <v>0.9</v>
      </c>
      <c r="E157">
        <v>0</v>
      </c>
      <c r="F157">
        <v>0</v>
      </c>
      <c r="G157" s="989">
        <f t="shared" si="107"/>
        <v>0.35505698571138267</v>
      </c>
      <c r="H157" s="650">
        <f t="shared" si="108"/>
        <v>15.977564357012218</v>
      </c>
      <c r="J157" s="990">
        <f t="shared" si="109"/>
        <v>0.95865386142073294</v>
      </c>
      <c r="K157" s="987">
        <f>'Recycling - Case 2'!Z143*'Recycling - Case 2'!C143</f>
        <v>1476.9127329800942</v>
      </c>
      <c r="L157" s="114">
        <f t="shared" si="124"/>
        <v>0.1</v>
      </c>
      <c r="M157" s="114">
        <f t="shared" si="125"/>
        <v>0.9</v>
      </c>
      <c r="N157">
        <f t="shared" ref="N157:O157" si="127">N155</f>
        <v>0</v>
      </c>
      <c r="O157">
        <f t="shared" si="127"/>
        <v>0</v>
      </c>
      <c r="P157" s="178">
        <f t="shared" si="110"/>
        <v>0.11815301863840756</v>
      </c>
      <c r="Q157" s="512">
        <f t="shared" si="111"/>
        <v>5.3168858387283393</v>
      </c>
      <c r="S157" s="178">
        <f t="shared" si="112"/>
        <v>0.31901315032370037</v>
      </c>
      <c r="T157" s="585">
        <f t="shared" si="113"/>
        <v>0.47321000434979021</v>
      </c>
      <c r="U157" s="585">
        <f t="shared" si="114"/>
        <v>21.294450195740559</v>
      </c>
      <c r="V157" s="585">
        <f t="shared" si="115"/>
        <v>0</v>
      </c>
      <c r="W157" s="585">
        <f t="shared" si="116"/>
        <v>1.2776670117444333</v>
      </c>
    </row>
    <row r="158" spans="1:23">
      <c r="A158" s="123">
        <f>'Input data'!A124</f>
        <v>2026</v>
      </c>
      <c r="B158" s="986">
        <f>'Recycling - Case 2'!AI104*'Recycling - Case 2'!B104</f>
        <v>4212.2487177631583</v>
      </c>
      <c r="C158" s="114">
        <f t="shared" si="122"/>
        <v>0.1</v>
      </c>
      <c r="D158" s="114">
        <f t="shared" si="123"/>
        <v>0.9</v>
      </c>
      <c r="E158">
        <v>0</v>
      </c>
      <c r="F158">
        <v>0</v>
      </c>
      <c r="G158" s="989">
        <f t="shared" si="107"/>
        <v>0.33697989742105272</v>
      </c>
      <c r="H158" s="650">
        <f t="shared" si="108"/>
        <v>15.16409538394737</v>
      </c>
      <c r="J158" s="990">
        <f t="shared" si="109"/>
        <v>0.90984572303684219</v>
      </c>
      <c r="K158" s="987">
        <f>'Recycling - Case 2'!Z144*'Recycling - Case 2'!C144</f>
        <v>1511.1678241429379</v>
      </c>
      <c r="L158" s="114">
        <f t="shared" si="124"/>
        <v>0.1</v>
      </c>
      <c r="M158" s="114">
        <f t="shared" si="125"/>
        <v>0.9</v>
      </c>
      <c r="N158">
        <f t="shared" ref="N158:O158" si="128">N156</f>
        <v>0</v>
      </c>
      <c r="O158">
        <f t="shared" si="128"/>
        <v>0</v>
      </c>
      <c r="P158" s="178">
        <f t="shared" si="110"/>
        <v>0.12089342593143507</v>
      </c>
      <c r="Q158" s="512">
        <f t="shared" si="111"/>
        <v>5.4402041669145769</v>
      </c>
      <c r="S158" s="178">
        <f t="shared" si="112"/>
        <v>0.32641225001487456</v>
      </c>
      <c r="T158" s="585">
        <f t="shared" si="113"/>
        <v>0.45787332335248776</v>
      </c>
      <c r="U158" s="585">
        <f t="shared" si="114"/>
        <v>20.604299550861946</v>
      </c>
      <c r="V158" s="585">
        <f t="shared" si="115"/>
        <v>0</v>
      </c>
      <c r="W158" s="585">
        <f t="shared" si="116"/>
        <v>1.2362579730517167</v>
      </c>
    </row>
    <row r="159" spans="1:23">
      <c r="A159" s="123">
        <f>'Input data'!A125</f>
        <v>2027</v>
      </c>
      <c r="B159" s="986">
        <f>'Recycling - Case 2'!AI105*'Recycling - Case 2'!B105</f>
        <v>3973.7125528245519</v>
      </c>
      <c r="C159" s="114">
        <f t="shared" si="122"/>
        <v>0.1</v>
      </c>
      <c r="D159" s="114">
        <f t="shared" si="123"/>
        <v>0.9</v>
      </c>
      <c r="E159">
        <v>0</v>
      </c>
      <c r="F159">
        <v>0</v>
      </c>
      <c r="G159" s="989">
        <f t="shared" si="107"/>
        <v>0.31789700422596423</v>
      </c>
      <c r="H159" s="650">
        <f t="shared" si="108"/>
        <v>14.305365190168388</v>
      </c>
      <c r="J159" s="990">
        <f t="shared" si="109"/>
        <v>0.85832191141010317</v>
      </c>
      <c r="K159" s="987">
        <f>'Recycling - Case 2'!Z145*'Recycling - Case 2'!C145</f>
        <v>1545.0882339292232</v>
      </c>
      <c r="L159" s="114">
        <f t="shared" si="124"/>
        <v>0.1</v>
      </c>
      <c r="M159" s="114">
        <f t="shared" si="125"/>
        <v>0.9</v>
      </c>
      <c r="N159">
        <f t="shared" ref="N159:O159" si="129">N157</f>
        <v>0</v>
      </c>
      <c r="O159">
        <f t="shared" si="129"/>
        <v>0</v>
      </c>
      <c r="P159" s="178">
        <f t="shared" si="110"/>
        <v>0.12360705871433789</v>
      </c>
      <c r="Q159" s="512">
        <f t="shared" si="111"/>
        <v>5.5623176421452039</v>
      </c>
      <c r="S159" s="178">
        <f t="shared" si="112"/>
        <v>0.33373905852871216</v>
      </c>
      <c r="T159" s="585">
        <f t="shared" si="113"/>
        <v>0.44150406294030209</v>
      </c>
      <c r="U159" s="585">
        <f t="shared" si="114"/>
        <v>19.867682832313591</v>
      </c>
      <c r="V159" s="585">
        <f t="shared" si="115"/>
        <v>0</v>
      </c>
      <c r="W159" s="585">
        <f t="shared" si="116"/>
        <v>1.1920609699388154</v>
      </c>
    </row>
    <row r="160" spans="1:23">
      <c r="A160" s="123">
        <f>'Input data'!A126</f>
        <v>2028</v>
      </c>
      <c r="B160" s="986">
        <f>'Recycling - Case 2'!AI106*'Recycling - Case 2'!B106</f>
        <v>3721.8307341944769</v>
      </c>
      <c r="C160" s="114">
        <f t="shared" si="122"/>
        <v>0.1</v>
      </c>
      <c r="D160" s="114">
        <f t="shared" si="123"/>
        <v>0.9</v>
      </c>
      <c r="E160">
        <v>0</v>
      </c>
      <c r="F160">
        <v>0</v>
      </c>
      <c r="G160" s="989">
        <f t="shared" si="107"/>
        <v>0.29774645873555822</v>
      </c>
      <c r="H160" s="650">
        <f t="shared" si="108"/>
        <v>13.398590643100118</v>
      </c>
      <c r="J160" s="990">
        <f t="shared" si="109"/>
        <v>0.803915438586007</v>
      </c>
      <c r="K160" s="987">
        <f>'Recycling - Case 2'!Z146*'Recycling - Case 2'!C146</f>
        <v>1580.6368233852509</v>
      </c>
      <c r="L160" s="114">
        <f t="shared" si="124"/>
        <v>0.1</v>
      </c>
      <c r="M160" s="114">
        <f t="shared" si="125"/>
        <v>0.9</v>
      </c>
      <c r="N160">
        <f t="shared" ref="N160:O160" si="130">N158</f>
        <v>0</v>
      </c>
      <c r="O160">
        <f t="shared" si="130"/>
        <v>0</v>
      </c>
      <c r="P160" s="178">
        <f t="shared" si="110"/>
        <v>0.12645094587082009</v>
      </c>
      <c r="Q160" s="512">
        <f t="shared" si="111"/>
        <v>5.6902925641869029</v>
      </c>
      <c r="S160" s="178">
        <f t="shared" si="112"/>
        <v>0.34141755385121414</v>
      </c>
      <c r="T160" s="585">
        <f t="shared" si="113"/>
        <v>0.42419740460637834</v>
      </c>
      <c r="U160" s="585">
        <f t="shared" si="114"/>
        <v>19.088883207287019</v>
      </c>
      <c r="V160" s="585">
        <f t="shared" si="115"/>
        <v>0</v>
      </c>
      <c r="W160" s="585">
        <f t="shared" si="116"/>
        <v>1.1453329924372211</v>
      </c>
    </row>
    <row r="161" spans="1:23">
      <c r="A161" s="123">
        <f>'Input data'!A127</f>
        <v>2029</v>
      </c>
      <c r="B161" s="986">
        <f>'Recycling - Case 2'!AI107*'Recycling - Case 2'!B107</f>
        <v>3456.0403079453235</v>
      </c>
      <c r="C161" s="114">
        <f t="shared" si="122"/>
        <v>0.1</v>
      </c>
      <c r="D161" s="114">
        <f t="shared" si="123"/>
        <v>0.9</v>
      </c>
      <c r="E161">
        <v>0</v>
      </c>
      <c r="F161">
        <v>0</v>
      </c>
      <c r="G161" s="989">
        <f t="shared" si="107"/>
        <v>0.27648322463562597</v>
      </c>
      <c r="H161" s="650">
        <f t="shared" si="108"/>
        <v>12.441745108603165</v>
      </c>
      <c r="J161" s="990">
        <f t="shared" si="109"/>
        <v>0.74650470651618994</v>
      </c>
      <c r="K161" s="987">
        <f>'Recycling - Case 2'!Z147*'Recycling - Case 2'!C147</f>
        <v>1617.3613203805357</v>
      </c>
      <c r="L161" s="114">
        <f t="shared" si="124"/>
        <v>0.1</v>
      </c>
      <c r="M161" s="114">
        <f t="shared" si="125"/>
        <v>0.9</v>
      </c>
      <c r="N161">
        <f t="shared" ref="N161:O161" si="131">N159</f>
        <v>0</v>
      </c>
      <c r="O161">
        <f t="shared" si="131"/>
        <v>0</v>
      </c>
      <c r="P161" s="178">
        <f t="shared" si="110"/>
        <v>0.12938890563044289</v>
      </c>
      <c r="Q161" s="512">
        <f t="shared" si="111"/>
        <v>5.8225007533699289</v>
      </c>
      <c r="S161" s="178">
        <f t="shared" si="112"/>
        <v>0.3493500452021957</v>
      </c>
      <c r="T161" s="585">
        <f t="shared" si="113"/>
        <v>0.40587213026606883</v>
      </c>
      <c r="U161" s="585">
        <f t="shared" si="114"/>
        <v>18.264245861973095</v>
      </c>
      <c r="V161" s="585">
        <f t="shared" si="115"/>
        <v>0</v>
      </c>
      <c r="W161" s="585">
        <f t="shared" si="116"/>
        <v>1.0958547517183856</v>
      </c>
    </row>
    <row r="162" spans="1:23">
      <c r="A162" s="123">
        <f>'Input data'!A128</f>
        <v>2030</v>
      </c>
      <c r="B162" s="986">
        <f>'Recycling - Case 2'!AI108*'Recycling - Case 2'!B108</f>
        <v>3175.5559501258704</v>
      </c>
      <c r="C162" s="114">
        <f t="shared" si="122"/>
        <v>0.1</v>
      </c>
      <c r="D162" s="114">
        <f t="shared" si="123"/>
        <v>0.9</v>
      </c>
      <c r="E162">
        <v>0</v>
      </c>
      <c r="F162">
        <v>0</v>
      </c>
      <c r="G162" s="989">
        <f t="shared" si="107"/>
        <v>0.25404447601006969</v>
      </c>
      <c r="H162" s="650">
        <f t="shared" si="108"/>
        <v>11.432001420453135</v>
      </c>
      <c r="J162" s="990">
        <f t="shared" si="109"/>
        <v>0.68592008522718795</v>
      </c>
      <c r="K162" s="987">
        <f>'Recycling - Case 2'!Z148*'Recycling - Case 2'!C148</f>
        <v>1655.370270226395</v>
      </c>
      <c r="L162" s="114">
        <f t="shared" si="124"/>
        <v>0.1</v>
      </c>
      <c r="M162" s="114">
        <f t="shared" si="125"/>
        <v>0.9</v>
      </c>
      <c r="N162">
        <f t="shared" ref="N162:O162" si="132">N160</f>
        <v>0</v>
      </c>
      <c r="O162">
        <f t="shared" si="132"/>
        <v>0</v>
      </c>
      <c r="P162" s="178">
        <f t="shared" si="110"/>
        <v>0.13242962161811161</v>
      </c>
      <c r="Q162" s="512">
        <f t="shared" si="111"/>
        <v>5.9593329728150222</v>
      </c>
      <c r="S162" s="178">
        <f t="shared" si="112"/>
        <v>0.3575599783689013</v>
      </c>
      <c r="T162" s="585">
        <f t="shared" si="113"/>
        <v>0.3864740976281813</v>
      </c>
      <c r="U162" s="585">
        <f t="shared" si="114"/>
        <v>17.391334393268156</v>
      </c>
      <c r="V162" s="585">
        <f t="shared" si="115"/>
        <v>0</v>
      </c>
      <c r="W162" s="585">
        <f t="shared" si="116"/>
        <v>1.0434800635960892</v>
      </c>
    </row>
    <row r="163" spans="1:23">
      <c r="A163" s="123">
        <f>'Input data'!A129</f>
        <v>2031</v>
      </c>
      <c r="B163" s="986">
        <f>'Recycling - Case 2'!AI109*'Recycling - Case 2'!B109</f>
        <v>2833.1244977232623</v>
      </c>
      <c r="C163" s="114">
        <f t="shared" si="122"/>
        <v>0.1</v>
      </c>
      <c r="D163" s="114">
        <f t="shared" si="123"/>
        <v>0.9</v>
      </c>
      <c r="E163">
        <v>0</v>
      </c>
      <c r="F163">
        <v>0</v>
      </c>
      <c r="G163" s="989">
        <f t="shared" si="107"/>
        <v>0.22664995981786104</v>
      </c>
      <c r="H163" s="650">
        <f t="shared" si="108"/>
        <v>10.199248191803745</v>
      </c>
      <c r="J163" s="990">
        <f t="shared" si="109"/>
        <v>0.61195489150822457</v>
      </c>
      <c r="K163" s="987">
        <f>'Recycling - Case 2'!Z149*'Recycling - Case 2'!C149</f>
        <v>1701.0090509135161</v>
      </c>
      <c r="L163" s="114">
        <f t="shared" si="124"/>
        <v>0.1</v>
      </c>
      <c r="M163" s="114">
        <f t="shared" si="125"/>
        <v>0.9</v>
      </c>
      <c r="N163">
        <f t="shared" ref="N163:O163" si="133">N161</f>
        <v>0</v>
      </c>
      <c r="O163">
        <f t="shared" si="133"/>
        <v>0</v>
      </c>
      <c r="P163" s="178">
        <f t="shared" si="110"/>
        <v>0.13608072407308131</v>
      </c>
      <c r="Q163" s="512">
        <f t="shared" si="111"/>
        <v>6.1236325832886589</v>
      </c>
      <c r="S163" s="178">
        <f t="shared" si="112"/>
        <v>0.3674179549973195</v>
      </c>
      <c r="T163" s="585">
        <f t="shared" si="113"/>
        <v>0.36273068389094232</v>
      </c>
      <c r="U163" s="585">
        <f t="shared" si="114"/>
        <v>16.322880775092404</v>
      </c>
      <c r="V163" s="585">
        <f t="shared" si="115"/>
        <v>0</v>
      </c>
      <c r="W163" s="585">
        <f t="shared" si="116"/>
        <v>0.97937284650554401</v>
      </c>
    </row>
    <row r="164" spans="1:23">
      <c r="A164" s="123">
        <f>'Input data'!A130</f>
        <v>2032</v>
      </c>
      <c r="B164" s="986">
        <f>'Recycling - Case 2'!AI110*'Recycling - Case 2'!B110</f>
        <v>2484.6228724288708</v>
      </c>
      <c r="C164" s="114">
        <f t="shared" si="122"/>
        <v>0.1</v>
      </c>
      <c r="D164" s="114">
        <f t="shared" si="123"/>
        <v>0.9</v>
      </c>
      <c r="E164">
        <v>0</v>
      </c>
      <c r="F164">
        <v>0</v>
      </c>
      <c r="G164" s="989">
        <f t="shared" si="107"/>
        <v>0.19876982979430971</v>
      </c>
      <c r="H164" s="650">
        <f t="shared" si="108"/>
        <v>8.9446423407439344</v>
      </c>
      <c r="J164" s="990">
        <f t="shared" si="109"/>
        <v>0.53667854044463603</v>
      </c>
      <c r="K164" s="987">
        <f>'Recycling - Case 2'!Z150*'Recycling - Case 2'!C150</f>
        <v>1744.5040617021439</v>
      </c>
      <c r="L164" s="114">
        <f t="shared" si="124"/>
        <v>0.1</v>
      </c>
      <c r="M164" s="114">
        <f t="shared" si="125"/>
        <v>0.9</v>
      </c>
      <c r="N164">
        <f t="shared" ref="N164:O164" si="134">N162</f>
        <v>0</v>
      </c>
      <c r="O164">
        <f t="shared" si="134"/>
        <v>0</v>
      </c>
      <c r="P164" s="178">
        <f t="shared" si="110"/>
        <v>0.13956032493617151</v>
      </c>
      <c r="Q164" s="512">
        <f t="shared" si="111"/>
        <v>6.2802146221277182</v>
      </c>
      <c r="S164" s="178">
        <f t="shared" si="112"/>
        <v>0.37681287732766305</v>
      </c>
      <c r="T164" s="585">
        <f t="shared" si="113"/>
        <v>0.33833015473048123</v>
      </c>
      <c r="U164" s="585">
        <f t="shared" si="114"/>
        <v>15.224856962871652</v>
      </c>
      <c r="V164" s="585">
        <f t="shared" si="115"/>
        <v>0</v>
      </c>
      <c r="W164" s="585">
        <f t="shared" si="116"/>
        <v>0.91349141777229903</v>
      </c>
    </row>
    <row r="165" spans="1:23">
      <c r="A165" s="123">
        <f>'Input data'!A131</f>
        <v>2033</v>
      </c>
      <c r="B165" s="986">
        <f>'Recycling - Case 2'!AI111*'Recycling - Case 2'!B111</f>
        <v>2505.8073684270425</v>
      </c>
      <c r="C165" s="114">
        <f t="shared" si="122"/>
        <v>0.1</v>
      </c>
      <c r="D165" s="114">
        <f t="shared" si="123"/>
        <v>0.9</v>
      </c>
      <c r="E165">
        <v>0</v>
      </c>
      <c r="F165">
        <v>0</v>
      </c>
      <c r="G165" s="989">
        <f t="shared" si="107"/>
        <v>0.20046458947416343</v>
      </c>
      <c r="H165" s="650">
        <f t="shared" si="108"/>
        <v>9.0209065263373542</v>
      </c>
      <c r="J165" s="990">
        <f t="shared" si="109"/>
        <v>0.54125439158024125</v>
      </c>
      <c r="K165" s="987">
        <f>'Recycling - Case 2'!Z151*'Recycling - Case 2'!C151</f>
        <v>1792.8112479591196</v>
      </c>
      <c r="L165" s="114">
        <f t="shared" si="124"/>
        <v>0.1</v>
      </c>
      <c r="M165" s="114">
        <f t="shared" si="125"/>
        <v>0.9</v>
      </c>
      <c r="N165">
        <f t="shared" ref="N165:O165" si="135">N163</f>
        <v>0</v>
      </c>
      <c r="O165">
        <f t="shared" si="135"/>
        <v>0</v>
      </c>
      <c r="P165" s="178">
        <f t="shared" si="110"/>
        <v>0.1434248998367296</v>
      </c>
      <c r="Q165" s="512">
        <f t="shared" si="111"/>
        <v>6.4541204926528311</v>
      </c>
      <c r="S165" s="178">
        <f t="shared" si="112"/>
        <v>0.38724722955916979</v>
      </c>
      <c r="T165" s="585">
        <f t="shared" si="113"/>
        <v>0.34388948931089303</v>
      </c>
      <c r="U165" s="585">
        <f t="shared" si="114"/>
        <v>15.475027018990186</v>
      </c>
      <c r="V165" s="585">
        <f t="shared" si="115"/>
        <v>0</v>
      </c>
      <c r="W165" s="585">
        <f t="shared" si="116"/>
        <v>0.92850162113941104</v>
      </c>
    </row>
    <row r="166" spans="1:23">
      <c r="A166" s="123">
        <f>'Input data'!A132</f>
        <v>2034</v>
      </c>
      <c r="B166" s="986">
        <f>'Recycling - Case 2'!AI112*'Recycling - Case 2'!B112</f>
        <v>2527.214079418201</v>
      </c>
      <c r="C166" s="114">
        <f t="shared" si="122"/>
        <v>0.1</v>
      </c>
      <c r="D166" s="114">
        <f t="shared" si="123"/>
        <v>0.9</v>
      </c>
      <c r="E166">
        <v>0</v>
      </c>
      <c r="F166">
        <v>0</v>
      </c>
      <c r="G166" s="989">
        <f t="shared" si="107"/>
        <v>0.20217712635345611</v>
      </c>
      <c r="H166" s="650">
        <f t="shared" si="108"/>
        <v>9.0979706859055245</v>
      </c>
      <c r="J166" s="990">
        <f t="shared" si="109"/>
        <v>0.54587824115433137</v>
      </c>
      <c r="K166" s="987">
        <f>'Recycling - Case 2'!Z152*'Recycling - Case 2'!C152</f>
        <v>1844.465247981675</v>
      </c>
      <c r="L166" s="114">
        <f t="shared" si="124"/>
        <v>0.1</v>
      </c>
      <c r="M166" s="114">
        <f t="shared" si="125"/>
        <v>0.9</v>
      </c>
      <c r="N166">
        <f t="shared" ref="N166:O166" si="136">N164</f>
        <v>0</v>
      </c>
      <c r="O166">
        <f t="shared" si="136"/>
        <v>0</v>
      </c>
      <c r="P166" s="178">
        <f t="shared" si="110"/>
        <v>0.14755721983853404</v>
      </c>
      <c r="Q166" s="512">
        <f t="shared" si="111"/>
        <v>6.6400748927340301</v>
      </c>
      <c r="R166" s="501"/>
      <c r="S166" s="584">
        <f t="shared" si="112"/>
        <v>0.39840449356404178</v>
      </c>
      <c r="T166" s="585">
        <f t="shared" si="113"/>
        <v>0.34973434619199018</v>
      </c>
      <c r="U166" s="585">
        <f t="shared" si="114"/>
        <v>15.738045578639554</v>
      </c>
      <c r="V166" s="585">
        <f t="shared" si="115"/>
        <v>0</v>
      </c>
      <c r="W166" s="585">
        <f t="shared" si="116"/>
        <v>0.9442827347183731</v>
      </c>
    </row>
    <row r="167" spans="1:23">
      <c r="A167" s="123">
        <f>'Input data'!A133</f>
        <v>2035</v>
      </c>
      <c r="B167" s="986">
        <f>'Recycling - Case 2'!AI113*'Recycling - Case 2'!B113</f>
        <v>2548.7689337380189</v>
      </c>
      <c r="C167" s="114">
        <f t="shared" si="122"/>
        <v>0.1</v>
      </c>
      <c r="D167" s="114">
        <f t="shared" si="123"/>
        <v>0.9</v>
      </c>
      <c r="E167">
        <v>0</v>
      </c>
      <c r="F167">
        <v>0</v>
      </c>
      <c r="G167" s="989">
        <f t="shared" si="107"/>
        <v>0.20390151469904155</v>
      </c>
      <c r="H167" s="650">
        <f t="shared" si="108"/>
        <v>9.1755681614568676</v>
      </c>
      <c r="J167" s="990">
        <f t="shared" si="109"/>
        <v>0.55053408968741213</v>
      </c>
      <c r="K167" s="987">
        <f>'Recycling - Case 2'!Z153*'Recycling - Case 2'!C153</f>
        <v>1899.6741069498332</v>
      </c>
      <c r="L167" s="114">
        <f t="shared" si="124"/>
        <v>0.1</v>
      </c>
      <c r="M167" s="114">
        <f t="shared" si="125"/>
        <v>0.9</v>
      </c>
      <c r="N167">
        <f t="shared" ref="N167:O167" si="137">N165</f>
        <v>0</v>
      </c>
      <c r="O167">
        <f t="shared" si="137"/>
        <v>0</v>
      </c>
      <c r="P167" s="178">
        <f t="shared" si="110"/>
        <v>0.15197392855598668</v>
      </c>
      <c r="Q167" s="512">
        <f t="shared" si="111"/>
        <v>6.8388267850193998</v>
      </c>
      <c r="S167" s="178">
        <f t="shared" si="112"/>
        <v>0.41032960710116395</v>
      </c>
      <c r="T167" s="585">
        <f t="shared" si="113"/>
        <v>0.35587544325502823</v>
      </c>
      <c r="U167" s="585">
        <f t="shared" si="114"/>
        <v>16.014394946476266</v>
      </c>
      <c r="V167" s="585">
        <f t="shared" si="115"/>
        <v>0</v>
      </c>
      <c r="W167" s="585">
        <f t="shared" si="116"/>
        <v>0.96086369678857608</v>
      </c>
    </row>
    <row r="168" spans="1:23">
      <c r="A168" s="123">
        <f>'Input data'!A134</f>
        <v>2036</v>
      </c>
      <c r="B168" s="986">
        <f>'Recycling - Case 2'!AI114*'Recycling - Case 2'!B114</f>
        <v>2567.4349931489946</v>
      </c>
      <c r="C168" s="114">
        <f t="shared" si="122"/>
        <v>0.1</v>
      </c>
      <c r="D168" s="114">
        <f t="shared" si="123"/>
        <v>0.9</v>
      </c>
      <c r="E168">
        <v>0</v>
      </c>
      <c r="F168">
        <v>0</v>
      </c>
      <c r="G168" s="989">
        <f t="shared" si="107"/>
        <v>0.20539479945191963</v>
      </c>
      <c r="H168" s="650">
        <f t="shared" si="108"/>
        <v>9.2427659753363809</v>
      </c>
      <c r="J168" s="990">
        <f t="shared" si="109"/>
        <v>0.55456595852018276</v>
      </c>
      <c r="K168" s="987">
        <f>'Recycling - Case 2'!Z154*'Recycling - Case 2'!C154</f>
        <v>1956.5156683090383</v>
      </c>
      <c r="L168" s="114">
        <f t="shared" si="124"/>
        <v>0.1</v>
      </c>
      <c r="M168" s="114">
        <f t="shared" si="125"/>
        <v>0.9</v>
      </c>
      <c r="N168">
        <f t="shared" ref="N168:O168" si="138">N166</f>
        <v>0</v>
      </c>
      <c r="O168">
        <f t="shared" si="138"/>
        <v>0</v>
      </c>
      <c r="P168" s="178">
        <f t="shared" si="110"/>
        <v>0.15652125346472309</v>
      </c>
      <c r="Q168" s="512">
        <f t="shared" si="111"/>
        <v>7.0434564059125382</v>
      </c>
      <c r="S168" s="178">
        <f t="shared" si="112"/>
        <v>0.42260738435475231</v>
      </c>
      <c r="T168" s="585">
        <f t="shared" si="113"/>
        <v>0.36191605291664275</v>
      </c>
      <c r="U168" s="585">
        <f t="shared" si="114"/>
        <v>16.286222381248919</v>
      </c>
      <c r="V168" s="585">
        <f t="shared" si="115"/>
        <v>0</v>
      </c>
      <c r="W168" s="585">
        <f t="shared" si="116"/>
        <v>0.97717334287493507</v>
      </c>
    </row>
    <row r="169" spans="1:23">
      <c r="A169" s="123">
        <f>'Input data'!A135</f>
        <v>2037</v>
      </c>
      <c r="B169" s="986">
        <f>'Recycling - Case 2'!AI115*'Recycling - Case 2'!B115</f>
        <v>2586.2121600564647</v>
      </c>
      <c r="C169" s="114">
        <f t="shared" si="122"/>
        <v>0.1</v>
      </c>
      <c r="D169" s="114">
        <f t="shared" si="123"/>
        <v>0.9</v>
      </c>
      <c r="E169">
        <v>0</v>
      </c>
      <c r="F169">
        <v>0</v>
      </c>
      <c r="G169" s="989">
        <f t="shared" si="107"/>
        <v>0.20689697280451722</v>
      </c>
      <c r="H169" s="650">
        <f t="shared" si="108"/>
        <v>9.3103637762032729</v>
      </c>
      <c r="J169" s="990">
        <f t="shared" si="109"/>
        <v>0.55862182657219639</v>
      </c>
      <c r="K169" s="987">
        <f>'Recycling - Case 2'!Z155*'Recycling - Case 2'!C155</f>
        <v>2015.7768855663328</v>
      </c>
      <c r="L169" s="114">
        <f t="shared" si="124"/>
        <v>0.1</v>
      </c>
      <c r="M169" s="114">
        <f t="shared" si="125"/>
        <v>0.9</v>
      </c>
      <c r="N169">
        <f t="shared" ref="N169:O169" si="139">N167</f>
        <v>0</v>
      </c>
      <c r="O169">
        <f t="shared" si="139"/>
        <v>0</v>
      </c>
      <c r="P169" s="178">
        <f t="shared" si="110"/>
        <v>0.16126215084530665</v>
      </c>
      <c r="Q169" s="512">
        <f t="shared" si="111"/>
        <v>7.2567967880387974</v>
      </c>
      <c r="S169" s="178">
        <f t="shared" si="112"/>
        <v>0.43540780728232792</v>
      </c>
      <c r="T169" s="585">
        <f t="shared" si="113"/>
        <v>0.36815912364982384</v>
      </c>
      <c r="U169" s="585">
        <f t="shared" si="114"/>
        <v>16.567160564242069</v>
      </c>
      <c r="V169" s="585">
        <f t="shared" si="115"/>
        <v>0</v>
      </c>
      <c r="W169" s="585">
        <f t="shared" si="116"/>
        <v>0.99402963385452425</v>
      </c>
    </row>
    <row r="170" spans="1:23">
      <c r="A170" s="123">
        <f>'Input data'!A136</f>
        <v>2038</v>
      </c>
      <c r="B170" s="986">
        <f>'Recycling - Case 2'!AI116*'Recycling - Case 2'!B116</f>
        <v>2605.174506124758</v>
      </c>
      <c r="C170" s="114">
        <f t="shared" si="122"/>
        <v>0.1</v>
      </c>
      <c r="D170" s="114">
        <f t="shared" si="123"/>
        <v>0.9</v>
      </c>
      <c r="E170">
        <v>0</v>
      </c>
      <c r="F170">
        <v>0</v>
      </c>
      <c r="G170" s="989">
        <f t="shared" si="107"/>
        <v>0.20841396048998068</v>
      </c>
      <c r="H170" s="650">
        <f t="shared" si="108"/>
        <v>9.3786282220491284</v>
      </c>
      <c r="J170" s="990">
        <f t="shared" si="109"/>
        <v>0.56271769332294774</v>
      </c>
      <c r="K170" s="987">
        <f>'Recycling - Case 2'!Z156*'Recycling - Case 2'!C156</f>
        <v>2075.9426470845929</v>
      </c>
      <c r="L170" s="114">
        <f t="shared" si="124"/>
        <v>0.1</v>
      </c>
      <c r="M170" s="114">
        <f t="shared" si="125"/>
        <v>0.9</v>
      </c>
      <c r="N170">
        <f t="shared" ref="N170:O170" si="140">N168</f>
        <v>0</v>
      </c>
      <c r="O170">
        <f t="shared" si="140"/>
        <v>0</v>
      </c>
      <c r="P170" s="178">
        <f t="shared" si="110"/>
        <v>0.16607541176676746</v>
      </c>
      <c r="Q170" s="512">
        <f t="shared" si="111"/>
        <v>7.4733935295045351</v>
      </c>
      <c r="S170" s="178">
        <f t="shared" si="112"/>
        <v>0.44840361177027205</v>
      </c>
      <c r="T170" s="585">
        <f t="shared" si="113"/>
        <v>0.37448937225674817</v>
      </c>
      <c r="U170" s="585">
        <f t="shared" si="114"/>
        <v>16.852021751553664</v>
      </c>
      <c r="V170" s="585">
        <f t="shared" si="115"/>
        <v>0</v>
      </c>
      <c r="W170" s="585">
        <f t="shared" si="116"/>
        <v>1.0111213050932197</v>
      </c>
    </row>
    <row r="171" spans="1:23">
      <c r="A171" s="123">
        <f>'Input data'!A137</f>
        <v>2039</v>
      </c>
      <c r="B171" s="986">
        <f>'Recycling - Case 2'!AI117*'Recycling - Case 2'!B117</f>
        <v>2624.247959689545</v>
      </c>
      <c r="C171" s="114">
        <f t="shared" si="122"/>
        <v>0.1</v>
      </c>
      <c r="D171" s="114">
        <f t="shared" si="123"/>
        <v>0.9</v>
      </c>
      <c r="E171">
        <v>0</v>
      </c>
      <c r="F171">
        <v>0</v>
      </c>
      <c r="G171" s="989">
        <f t="shared" si="107"/>
        <v>0.20993983677516365</v>
      </c>
      <c r="H171" s="650">
        <f t="shared" si="108"/>
        <v>9.4472926548823608</v>
      </c>
      <c r="J171" s="990">
        <f t="shared" si="109"/>
        <v>0.56683755929294166</v>
      </c>
      <c r="K171" s="987">
        <f>'Recycling - Case 2'!Z157*'Recycling - Case 2'!C157</f>
        <v>3135.7668720858569</v>
      </c>
      <c r="L171" s="114">
        <f t="shared" si="124"/>
        <v>0.1</v>
      </c>
      <c r="M171" s="114">
        <f t="shared" si="125"/>
        <v>0.9</v>
      </c>
      <c r="N171">
        <f t="shared" ref="N171:O171" si="141">N169</f>
        <v>0</v>
      </c>
      <c r="O171">
        <f t="shared" si="141"/>
        <v>0</v>
      </c>
      <c r="P171" s="178">
        <f t="shared" si="110"/>
        <v>0.25086134976686864</v>
      </c>
      <c r="Q171" s="512">
        <f t="shared" si="111"/>
        <v>11.288760739509085</v>
      </c>
      <c r="S171" s="178">
        <f t="shared" si="112"/>
        <v>0.6773256443705451</v>
      </c>
      <c r="T171" s="585">
        <f t="shared" si="113"/>
        <v>0.46080118654203228</v>
      </c>
      <c r="U171" s="585">
        <f t="shared" si="114"/>
        <v>20.736053394391448</v>
      </c>
      <c r="V171" s="585">
        <f t="shared" si="115"/>
        <v>0</v>
      </c>
      <c r="W171" s="585">
        <f t="shared" si="116"/>
        <v>1.2441632036634869</v>
      </c>
    </row>
    <row r="172" spans="1:23">
      <c r="A172" s="123">
        <f>'Input data'!A138</f>
        <v>2040</v>
      </c>
      <c r="B172" s="986">
        <f>'Recycling - Case 2'!AI118*'Recycling - Case 2'!B118</f>
        <v>2643.4325207508259</v>
      </c>
      <c r="C172" s="114">
        <f t="shared" si="122"/>
        <v>0.1</v>
      </c>
      <c r="D172" s="114">
        <f t="shared" si="123"/>
        <v>0.9</v>
      </c>
      <c r="E172">
        <v>0</v>
      </c>
      <c r="F172">
        <v>0</v>
      </c>
      <c r="G172" s="989">
        <f t="shared" si="107"/>
        <v>0.21147460166006612</v>
      </c>
      <c r="H172" s="650">
        <f t="shared" si="108"/>
        <v>9.5163570747029738</v>
      </c>
      <c r="J172" s="990">
        <f t="shared" si="109"/>
        <v>0.57098142448217837</v>
      </c>
      <c r="K172" s="987">
        <f>'Recycling - Case 2'!Z158*'Recycling - Case 2'!C158</f>
        <v>4223.8259497981062</v>
      </c>
      <c r="L172" s="114">
        <f t="shared" si="124"/>
        <v>0.1</v>
      </c>
      <c r="M172" s="114">
        <f t="shared" si="125"/>
        <v>0.9</v>
      </c>
      <c r="N172">
        <f t="shared" ref="N172:O172" si="142">N170</f>
        <v>0</v>
      </c>
      <c r="O172">
        <f t="shared" si="142"/>
        <v>0</v>
      </c>
      <c r="P172" s="178">
        <f t="shared" si="110"/>
        <v>0.33790607598384853</v>
      </c>
      <c r="Q172" s="512">
        <f t="shared" si="111"/>
        <v>15.205773419273182</v>
      </c>
      <c r="S172" s="178">
        <f t="shared" si="112"/>
        <v>0.91234640515639087</v>
      </c>
      <c r="T172" s="585">
        <f t="shared" si="113"/>
        <v>0.54938067764391463</v>
      </c>
      <c r="U172" s="585">
        <f t="shared" si="114"/>
        <v>24.722130493976156</v>
      </c>
      <c r="V172" s="585">
        <f t="shared" si="115"/>
        <v>0</v>
      </c>
      <c r="W172" s="585">
        <f t="shared" si="116"/>
        <v>1.4833278296385692</v>
      </c>
    </row>
    <row r="173" spans="1:23">
      <c r="A173" s="123">
        <f>'Input data'!A139</f>
        <v>2041</v>
      </c>
      <c r="B173" s="986">
        <f>'Recycling - Case 2'!AI119*'Recycling - Case 2'!B119</f>
        <v>2659.8764302319241</v>
      </c>
      <c r="C173" s="114">
        <f t="shared" si="122"/>
        <v>0.1</v>
      </c>
      <c r="D173" s="114">
        <f t="shared" si="123"/>
        <v>0.9</v>
      </c>
      <c r="E173">
        <v>0</v>
      </c>
      <c r="F173">
        <v>0</v>
      </c>
      <c r="G173" s="989">
        <f t="shared" si="107"/>
        <v>0.21279011441855397</v>
      </c>
      <c r="H173" s="650">
        <f t="shared" si="108"/>
        <v>9.5755551488349262</v>
      </c>
      <c r="J173" s="990">
        <f t="shared" si="109"/>
        <v>0.57453330893009558</v>
      </c>
      <c r="K173" s="987">
        <f>'Recycling - Case 2'!Z159*'Recycling - Case 2'!C159</f>
        <v>4820.4406374329919</v>
      </c>
      <c r="L173" s="114">
        <f t="shared" si="124"/>
        <v>0.1</v>
      </c>
      <c r="M173" s="114">
        <f t="shared" si="125"/>
        <v>0.9</v>
      </c>
      <c r="N173">
        <f t="shared" ref="N173:O173" si="143">N171</f>
        <v>0</v>
      </c>
      <c r="O173">
        <f t="shared" si="143"/>
        <v>0</v>
      </c>
      <c r="P173" s="178">
        <f t="shared" si="110"/>
        <v>0.38563525099463941</v>
      </c>
      <c r="Q173" s="512">
        <f t="shared" si="111"/>
        <v>17.35358629475877</v>
      </c>
      <c r="S173" s="178">
        <f t="shared" si="112"/>
        <v>1.0412151776855263</v>
      </c>
      <c r="T173" s="585">
        <f t="shared" si="113"/>
        <v>0.59842536541319336</v>
      </c>
      <c r="U173" s="585">
        <f t="shared" si="114"/>
        <v>26.929141443593696</v>
      </c>
      <c r="V173" s="585">
        <f t="shared" si="115"/>
        <v>0</v>
      </c>
      <c r="W173" s="585">
        <f t="shared" si="116"/>
        <v>1.615748486615622</v>
      </c>
    </row>
    <row r="174" spans="1:23">
      <c r="A174" s="123">
        <f>'Input data'!A140</f>
        <v>2042</v>
      </c>
      <c r="B174" s="986">
        <f>'Recycling - Case 2'!AI120*'Recycling - Case 2'!B120</f>
        <v>2676.3944113773509</v>
      </c>
      <c r="C174" s="114">
        <f t="shared" si="122"/>
        <v>0.1</v>
      </c>
      <c r="D174" s="114">
        <f t="shared" si="123"/>
        <v>0.9</v>
      </c>
      <c r="E174">
        <v>0</v>
      </c>
      <c r="F174">
        <v>0</v>
      </c>
      <c r="G174" s="989">
        <f t="shared" si="107"/>
        <v>0.21411155291018813</v>
      </c>
      <c r="H174" s="650">
        <f t="shared" si="108"/>
        <v>9.6350198809584633</v>
      </c>
      <c r="J174" s="990">
        <f t="shared" si="109"/>
        <v>0.57810119285750783</v>
      </c>
      <c r="K174" s="987">
        <f>'Recycling - Case 2'!Z160*'Recycling - Case 2'!C160</f>
        <v>5429.4284635167378</v>
      </c>
      <c r="L174" s="114">
        <f t="shared" si="124"/>
        <v>0.1</v>
      </c>
      <c r="M174" s="114">
        <f t="shared" si="125"/>
        <v>0.9</v>
      </c>
      <c r="N174">
        <f t="shared" ref="N174:O174" si="144">N172</f>
        <v>0</v>
      </c>
      <c r="O174">
        <f t="shared" si="144"/>
        <v>0</v>
      </c>
      <c r="P174" s="178">
        <f t="shared" si="110"/>
        <v>0.43435427708133911</v>
      </c>
      <c r="Q174" s="512">
        <f t="shared" si="111"/>
        <v>19.545942468660257</v>
      </c>
      <c r="S174" s="178">
        <f t="shared" si="112"/>
        <v>1.1727565481196154</v>
      </c>
      <c r="T174" s="585">
        <f t="shared" si="113"/>
        <v>0.64846582999152724</v>
      </c>
      <c r="U174" s="585">
        <f t="shared" si="114"/>
        <v>29.180962349618721</v>
      </c>
      <c r="V174" s="585">
        <f t="shared" si="115"/>
        <v>0</v>
      </c>
      <c r="W174" s="585">
        <f t="shared" si="116"/>
        <v>1.7508577409771231</v>
      </c>
    </row>
    <row r="175" spans="1:23">
      <c r="A175" s="123">
        <f>'Input data'!A141</f>
        <v>2043</v>
      </c>
      <c r="B175" s="986">
        <f>'Recycling - Case 2'!AI121*'Recycling - Case 2'!B121</f>
        <v>2693.023500019272</v>
      </c>
      <c r="C175" s="114">
        <f t="shared" si="122"/>
        <v>0.1</v>
      </c>
      <c r="D175" s="114">
        <f t="shared" si="123"/>
        <v>0.9</v>
      </c>
      <c r="E175">
        <v>0</v>
      </c>
      <c r="F175">
        <v>0</v>
      </c>
      <c r="G175" s="989">
        <f t="shared" si="107"/>
        <v>0.2154418800015418</v>
      </c>
      <c r="H175" s="650">
        <f t="shared" si="108"/>
        <v>9.6948846000693791</v>
      </c>
      <c r="J175" s="990">
        <f t="shared" si="109"/>
        <v>0.58169307600416276</v>
      </c>
      <c r="K175" s="987">
        <f>'Recycling - Case 2'!Z161*'Recycling - Case 2'!C161</f>
        <v>6050.0315022637978</v>
      </c>
      <c r="L175" s="114">
        <f t="shared" si="124"/>
        <v>0.1</v>
      </c>
      <c r="M175" s="114">
        <f t="shared" si="125"/>
        <v>0.9</v>
      </c>
      <c r="N175">
        <f t="shared" ref="N175:O175" si="145">N173</f>
        <v>0</v>
      </c>
      <c r="O175">
        <f t="shared" si="145"/>
        <v>0</v>
      </c>
      <c r="P175" s="178">
        <f t="shared" si="110"/>
        <v>0.48400252018110396</v>
      </c>
      <c r="Q175" s="512">
        <f t="shared" si="111"/>
        <v>21.780113408149671</v>
      </c>
      <c r="S175" s="178">
        <f t="shared" si="112"/>
        <v>1.3068068044889802</v>
      </c>
      <c r="T175" s="585">
        <f t="shared" si="113"/>
        <v>0.69944440018264575</v>
      </c>
      <c r="U175" s="585">
        <f t="shared" si="114"/>
        <v>31.47499800821905</v>
      </c>
      <c r="V175" s="585">
        <f t="shared" si="115"/>
        <v>0</v>
      </c>
      <c r="W175" s="585">
        <f t="shared" si="116"/>
        <v>1.888499880493143</v>
      </c>
    </row>
    <row r="176" spans="1:23">
      <c r="A176" s="123">
        <f>'Input data'!A142</f>
        <v>2044</v>
      </c>
      <c r="B176" s="986">
        <f>'Recycling - Case 2'!AI122*'Recycling - Case 2'!B122</f>
        <v>2709.726660325523</v>
      </c>
      <c r="C176" s="114">
        <f t="shared" si="122"/>
        <v>0.1</v>
      </c>
      <c r="D176" s="114">
        <f t="shared" si="123"/>
        <v>0.9</v>
      </c>
      <c r="E176">
        <v>0</v>
      </c>
      <c r="F176">
        <v>0</v>
      </c>
      <c r="G176" s="989">
        <f t="shared" si="107"/>
        <v>0.21677813282604189</v>
      </c>
      <c r="H176" s="650">
        <f t="shared" si="108"/>
        <v>9.7550159771718832</v>
      </c>
      <c r="J176" s="990">
        <f t="shared" si="109"/>
        <v>0.58530095863031295</v>
      </c>
      <c r="K176" s="987">
        <f>'Recycling - Case 2'!Z162*'Recycling - Case 2'!C162</f>
        <v>6683.9361385470093</v>
      </c>
      <c r="L176" s="114">
        <f t="shared" si="124"/>
        <v>0.1</v>
      </c>
      <c r="M176" s="114">
        <f t="shared" si="125"/>
        <v>0.9</v>
      </c>
      <c r="N176">
        <f t="shared" ref="N176:O176" si="146">N174</f>
        <v>0</v>
      </c>
      <c r="O176">
        <f t="shared" si="146"/>
        <v>0</v>
      </c>
      <c r="P176" s="178">
        <f t="shared" si="110"/>
        <v>0.5347148910837608</v>
      </c>
      <c r="Q176" s="512">
        <f t="shared" si="111"/>
        <v>24.062170098769236</v>
      </c>
      <c r="S176" s="178">
        <f t="shared" si="112"/>
        <v>1.4437302059261541</v>
      </c>
      <c r="T176" s="585">
        <f t="shared" si="113"/>
        <v>0.75149302390980266</v>
      </c>
      <c r="U176" s="585">
        <f t="shared" si="114"/>
        <v>33.817186075941123</v>
      </c>
      <c r="V176" s="585">
        <f t="shared" si="115"/>
        <v>0</v>
      </c>
      <c r="W176" s="585">
        <f t="shared" si="116"/>
        <v>2.0290311645564669</v>
      </c>
    </row>
    <row r="177" spans="1:23">
      <c r="A177" s="123">
        <f>'Input data'!A143</f>
        <v>2045</v>
      </c>
      <c r="B177" s="986">
        <f>'Recycling - Case 2'!AI123*'Recycling - Case 2'!B123</f>
        <v>2726.5779639604316</v>
      </c>
      <c r="C177" s="114">
        <f t="shared" si="122"/>
        <v>0.1</v>
      </c>
      <c r="D177" s="114">
        <f t="shared" si="123"/>
        <v>0.9</v>
      </c>
      <c r="E177">
        <v>0</v>
      </c>
      <c r="F177">
        <v>0</v>
      </c>
      <c r="G177" s="989">
        <f t="shared" si="107"/>
        <v>0.21812623711683457</v>
      </c>
      <c r="H177" s="650">
        <f t="shared" si="108"/>
        <v>9.8156806702575548</v>
      </c>
      <c r="J177" s="990">
        <f t="shared" si="109"/>
        <v>0.58894084021545323</v>
      </c>
      <c r="K177" s="987">
        <f>'Recycling - Case 2'!Z163*'Recycling - Case 2'!C163</f>
        <v>7338.1531858825419</v>
      </c>
      <c r="L177" s="114">
        <f t="shared" si="124"/>
        <v>0.1</v>
      </c>
      <c r="M177" s="114">
        <f t="shared" si="125"/>
        <v>0.9</v>
      </c>
      <c r="N177">
        <f t="shared" ref="N177:O177" si="147">N175</f>
        <v>0</v>
      </c>
      <c r="O177">
        <f t="shared" si="147"/>
        <v>0</v>
      </c>
      <c r="P177" s="178">
        <f t="shared" si="110"/>
        <v>0.58705225487060353</v>
      </c>
      <c r="Q177" s="512">
        <f t="shared" si="111"/>
        <v>26.417351469177152</v>
      </c>
      <c r="S177" s="178">
        <f t="shared" si="112"/>
        <v>1.5850410881506292</v>
      </c>
      <c r="T177" s="585">
        <f t="shared" si="113"/>
        <v>0.80517849198743807</v>
      </c>
      <c r="U177" s="585">
        <f t="shared" si="114"/>
        <v>36.233032139434705</v>
      </c>
      <c r="V177" s="585">
        <f t="shared" si="115"/>
        <v>0</v>
      </c>
      <c r="W177" s="585">
        <f t="shared" si="116"/>
        <v>2.1739819283660822</v>
      </c>
    </row>
    <row r="178" spans="1:23">
      <c r="A178" s="123">
        <f>'Input data'!A144</f>
        <v>2046</v>
      </c>
      <c r="B178" s="986">
        <f>'Recycling - Case 2'!AI124*'Recycling - Case 2'!B124</f>
        <v>2740.46640102217</v>
      </c>
      <c r="C178" s="114">
        <f t="shared" si="122"/>
        <v>0.1</v>
      </c>
      <c r="D178" s="114">
        <f t="shared" si="123"/>
        <v>0.9</v>
      </c>
      <c r="E178">
        <v>0</v>
      </c>
      <c r="F178">
        <v>0</v>
      </c>
      <c r="G178" s="989">
        <f t="shared" si="107"/>
        <v>0.21923731208177363</v>
      </c>
      <c r="H178" s="650">
        <f t="shared" si="108"/>
        <v>9.8656790436798136</v>
      </c>
      <c r="J178" s="990">
        <f t="shared" si="109"/>
        <v>0.59194074262078866</v>
      </c>
      <c r="K178" s="987">
        <f>'Recycling - Case 2'!Z164*'Recycling - Case 2'!C164</f>
        <v>8009.9650687120593</v>
      </c>
      <c r="L178" s="114">
        <f t="shared" si="124"/>
        <v>0.1</v>
      </c>
      <c r="M178" s="114">
        <f t="shared" si="125"/>
        <v>0.9</v>
      </c>
      <c r="N178">
        <f t="shared" ref="N178:O178" si="148">N176</f>
        <v>0</v>
      </c>
      <c r="O178">
        <f t="shared" si="148"/>
        <v>0</v>
      </c>
      <c r="P178" s="178">
        <f t="shared" si="110"/>
        <v>0.64079720549696495</v>
      </c>
      <c r="Q178" s="512">
        <f t="shared" si="111"/>
        <v>28.835874247363417</v>
      </c>
      <c r="S178" s="178">
        <f t="shared" si="112"/>
        <v>1.7301524548418046</v>
      </c>
      <c r="T178" s="585">
        <f t="shared" si="113"/>
        <v>0.86003451757873861</v>
      </c>
      <c r="U178" s="585">
        <f t="shared" si="114"/>
        <v>38.701553291043233</v>
      </c>
      <c r="V178" s="585">
        <f t="shared" si="115"/>
        <v>0</v>
      </c>
      <c r="W178" s="585">
        <f t="shared" si="116"/>
        <v>2.3220931974625931</v>
      </c>
    </row>
    <row r="179" spans="1:23">
      <c r="A179" s="123">
        <f>'Input data'!A145</f>
        <v>2047</v>
      </c>
      <c r="B179" s="986">
        <f>'Recycling - Case 2'!AI125*'Recycling - Case 2'!B125</f>
        <v>2754.4659455804021</v>
      </c>
      <c r="C179" s="114">
        <f t="shared" si="122"/>
        <v>0.1</v>
      </c>
      <c r="D179" s="114">
        <f t="shared" si="123"/>
        <v>0.9</v>
      </c>
      <c r="E179">
        <v>0</v>
      </c>
      <c r="F179">
        <v>0</v>
      </c>
      <c r="G179" s="989">
        <f t="shared" si="107"/>
        <v>0.2203572756464322</v>
      </c>
      <c r="H179" s="650">
        <f t="shared" si="108"/>
        <v>9.9160774040894477</v>
      </c>
      <c r="J179" s="990">
        <f t="shared" si="109"/>
        <v>0.59496464424536688</v>
      </c>
      <c r="K179" s="987">
        <f>'Recycling - Case 2'!Z165*'Recycling - Case 2'!C165</f>
        <v>8698.7814281572628</v>
      </c>
      <c r="L179" s="114">
        <f t="shared" si="124"/>
        <v>0.1</v>
      </c>
      <c r="M179" s="114">
        <f t="shared" si="125"/>
        <v>0.9</v>
      </c>
      <c r="N179">
        <f t="shared" ref="N179:O179" si="149">N177</f>
        <v>0</v>
      </c>
      <c r="O179">
        <f t="shared" si="149"/>
        <v>0</v>
      </c>
      <c r="P179" s="178">
        <f t="shared" si="110"/>
        <v>0.69590251425258109</v>
      </c>
      <c r="Q179" s="512">
        <f t="shared" si="111"/>
        <v>31.315613141366146</v>
      </c>
      <c r="S179" s="178">
        <f t="shared" si="112"/>
        <v>1.8789367884819688</v>
      </c>
      <c r="T179" s="585">
        <f t="shared" si="113"/>
        <v>0.91625978989901324</v>
      </c>
      <c r="U179" s="585">
        <f t="shared" si="114"/>
        <v>41.231690545455592</v>
      </c>
      <c r="V179" s="585">
        <f t="shared" si="115"/>
        <v>0</v>
      </c>
      <c r="W179" s="585">
        <f t="shared" si="116"/>
        <v>2.4739014327273354</v>
      </c>
    </row>
    <row r="180" spans="1:23">
      <c r="A180" s="123">
        <f>'Input data'!A146</f>
        <v>2048</v>
      </c>
      <c r="B180" s="986">
        <f>'Recycling - Case 2'!AI126*'Recycling - Case 2'!B126</f>
        <v>2768.5395618029629</v>
      </c>
      <c r="C180" s="114">
        <f t="shared" si="122"/>
        <v>0.1</v>
      </c>
      <c r="D180" s="114">
        <f t="shared" si="123"/>
        <v>0.9</v>
      </c>
      <c r="E180">
        <v>0</v>
      </c>
      <c r="F180">
        <v>0</v>
      </c>
      <c r="G180" s="989">
        <f t="shared" si="107"/>
        <v>0.22148316494423709</v>
      </c>
      <c r="H180" s="650">
        <f t="shared" si="108"/>
        <v>9.9667424224906664</v>
      </c>
      <c r="J180" s="990">
        <f t="shared" si="109"/>
        <v>0.59800454534944003</v>
      </c>
      <c r="K180" s="987">
        <f>'Recycling - Case 2'!Z166*'Recycling - Case 2'!C166</f>
        <v>9391.993757158567</v>
      </c>
      <c r="L180" s="114">
        <f t="shared" si="124"/>
        <v>0.1</v>
      </c>
      <c r="M180" s="114">
        <f t="shared" si="125"/>
        <v>0.9</v>
      </c>
      <c r="N180">
        <f t="shared" ref="N180:O180" si="150">N178</f>
        <v>0</v>
      </c>
      <c r="O180">
        <f t="shared" si="150"/>
        <v>0</v>
      </c>
      <c r="P180" s="178">
        <f t="shared" si="110"/>
        <v>0.75135950057268552</v>
      </c>
      <c r="Q180" s="512">
        <f t="shared" si="111"/>
        <v>33.811177525770844</v>
      </c>
      <c r="S180" s="178">
        <f t="shared" si="112"/>
        <v>2.0286706515462503</v>
      </c>
      <c r="T180" s="585">
        <f t="shared" si="113"/>
        <v>0.97284266551692267</v>
      </c>
      <c r="U180" s="585">
        <f t="shared" si="114"/>
        <v>43.777919948261513</v>
      </c>
      <c r="V180" s="585">
        <f t="shared" si="115"/>
        <v>0</v>
      </c>
      <c r="W180" s="585">
        <f t="shared" si="116"/>
        <v>2.6266751968956905</v>
      </c>
    </row>
    <row r="181" spans="1:23">
      <c r="A181" s="123">
        <f>'Input data'!A147</f>
        <v>2049</v>
      </c>
      <c r="B181" s="986">
        <f>'Recycling - Case 2'!AI127*'Recycling - Case 2'!B127</f>
        <v>2782.6502138576889</v>
      </c>
      <c r="C181" s="114">
        <f t="shared" si="122"/>
        <v>0.1</v>
      </c>
      <c r="D181" s="114">
        <f t="shared" si="123"/>
        <v>0.9</v>
      </c>
      <c r="E181">
        <v>0</v>
      </c>
      <c r="F181">
        <v>0</v>
      </c>
      <c r="G181" s="989">
        <f t="shared" si="107"/>
        <v>0.22261201710861517</v>
      </c>
      <c r="H181" s="650">
        <f t="shared" si="108"/>
        <v>10.017540769887681</v>
      </c>
      <c r="J181" s="990">
        <f t="shared" si="109"/>
        <v>0.60105244619326081</v>
      </c>
      <c r="K181" s="987">
        <f>'Recycling - Case 2'!Z167*'Recycling - Case 2'!C167</f>
        <v>10104.267919666074</v>
      </c>
      <c r="L181" s="114">
        <f t="shared" si="124"/>
        <v>0.1</v>
      </c>
      <c r="M181" s="114">
        <f t="shared" si="125"/>
        <v>0.9</v>
      </c>
      <c r="N181">
        <f t="shared" ref="N181:O181" si="151">N179</f>
        <v>0</v>
      </c>
      <c r="O181">
        <f t="shared" si="151"/>
        <v>0</v>
      </c>
      <c r="P181" s="178">
        <f t="shared" si="110"/>
        <v>0.80834143357328603</v>
      </c>
      <c r="Q181" s="512">
        <f t="shared" si="111"/>
        <v>36.375364510797866</v>
      </c>
      <c r="S181" s="178">
        <f t="shared" si="112"/>
        <v>2.182521870647872</v>
      </c>
      <c r="T181" s="585">
        <f t="shared" si="113"/>
        <v>1.0309534506819011</v>
      </c>
      <c r="U181" s="585">
        <f t="shared" si="114"/>
        <v>46.392905280685547</v>
      </c>
      <c r="V181" s="585">
        <f t="shared" si="115"/>
        <v>0</v>
      </c>
      <c r="W181" s="585">
        <f t="shared" si="116"/>
        <v>2.7835743168411327</v>
      </c>
    </row>
    <row r="182" spans="1:23">
      <c r="A182" s="123">
        <f>'Input data'!A148</f>
        <v>2050</v>
      </c>
      <c r="B182" s="986">
        <f>'Recycling - Case 2'!AI128*'Recycling - Case 2'!B128</f>
        <v>2796.8719734089091</v>
      </c>
      <c r="C182" s="114">
        <f t="shared" si="122"/>
        <v>0.1</v>
      </c>
      <c r="D182" s="114">
        <f t="shared" si="123"/>
        <v>0.9</v>
      </c>
      <c r="E182">
        <v>0</v>
      </c>
      <c r="F182">
        <v>0</v>
      </c>
      <c r="G182" s="989">
        <f t="shared" si="107"/>
        <v>0.22374975787271276</v>
      </c>
      <c r="H182" s="650">
        <f t="shared" si="108"/>
        <v>10.068739104272074</v>
      </c>
      <c r="J182" s="990">
        <f t="shared" si="109"/>
        <v>0.60412434625632427</v>
      </c>
      <c r="K182" s="987">
        <f>'Recycling - Case 2'!Z168*'Recycling - Case 2'!C168</f>
        <v>10836.710898943878</v>
      </c>
      <c r="L182" s="114">
        <f t="shared" si="124"/>
        <v>0.1</v>
      </c>
      <c r="M182" s="114">
        <f t="shared" si="125"/>
        <v>0.9</v>
      </c>
      <c r="N182">
        <f t="shared" ref="N182:O182" si="152">N180</f>
        <v>0</v>
      </c>
      <c r="O182">
        <f t="shared" si="152"/>
        <v>0</v>
      </c>
      <c r="P182" s="178">
        <f t="shared" si="110"/>
        <v>0.86693687191551039</v>
      </c>
      <c r="Q182" s="512">
        <f t="shared" si="111"/>
        <v>39.012159236197967</v>
      </c>
      <c r="S182" s="178">
        <f t="shared" si="112"/>
        <v>2.3407295541718778</v>
      </c>
      <c r="T182" s="585">
        <f t="shared" si="113"/>
        <v>1.0906866297882232</v>
      </c>
      <c r="U182" s="585">
        <f t="shared" si="114"/>
        <v>49.080898340470043</v>
      </c>
      <c r="V182" s="585">
        <f t="shared" si="115"/>
        <v>0</v>
      </c>
      <c r="W182" s="585">
        <f t="shared" si="116"/>
        <v>2.9448539004282019</v>
      </c>
    </row>
    <row r="183" spans="1:23">
      <c r="A183" s="988" t="s">
        <v>760</v>
      </c>
    </row>
    <row r="184" spans="1:23">
      <c r="A184" s="123">
        <f>'Input data'!A116</f>
        <v>2018</v>
      </c>
      <c r="B184" s="986">
        <f>'Recycling - Case 2'!AI96*'Recycling - Case 2'!B96</f>
        <v>3621.0946455823168</v>
      </c>
      <c r="C184" s="114">
        <f>($C$188-$C$80)/($A$188-$A$80)+C80</f>
        <v>0.14000000000000001</v>
      </c>
      <c r="D184" s="114">
        <f>1-C184</f>
        <v>0.86</v>
      </c>
      <c r="E184">
        <v>0</v>
      </c>
      <c r="F184">
        <v>0</v>
      </c>
      <c r="G184" s="989">
        <f t="shared" ref="G184:G216" si="153">C184*$D$5*B184/1000-E184</f>
        <v>0.40556260030521951</v>
      </c>
      <c r="H184" s="650">
        <f t="shared" ref="H184:H216" si="154">D184*$D$4*B184/1000-F184</f>
        <v>12.45656558080317</v>
      </c>
      <c r="J184" s="990">
        <f t="shared" ref="J184:J216" si="155">D184*$D$7*B184/1000</f>
        <v>0.74739393484819017</v>
      </c>
      <c r="K184" s="987">
        <f>'Recycling - Case 2'!C176*'Recycling - Case 2'!Z176</f>
        <v>6276.5943854712859</v>
      </c>
      <c r="L184" s="114">
        <f>($L$188-$L$80)/($A$188-$A$80)+L80</f>
        <v>0.14000000000000001</v>
      </c>
      <c r="M184" s="114">
        <f>1-L184</f>
        <v>0.86</v>
      </c>
      <c r="N184">
        <f>N148</f>
        <v>0</v>
      </c>
      <c r="O184">
        <f>O148</f>
        <v>0</v>
      </c>
      <c r="P184" s="178">
        <f t="shared" ref="P184:P216" si="156">L184*$D$5*K184/1000-N184</f>
        <v>0.70297857117278406</v>
      </c>
      <c r="Q184" s="512">
        <f t="shared" ref="Q184:Q216" si="157">M184*$D$4*K184/1000-O184</f>
        <v>21.591484686021225</v>
      </c>
      <c r="S184" s="178">
        <f t="shared" ref="S184:S216" si="158">M184*$D$7*K184/1000</f>
        <v>1.2954890811612734</v>
      </c>
      <c r="T184" s="585">
        <f t="shared" ref="T184:T216" si="159">G184+P184</f>
        <v>1.1085411714780036</v>
      </c>
      <c r="U184" s="585">
        <f t="shared" ref="U184:U216" si="160">H184+Q184</f>
        <v>34.048050266824397</v>
      </c>
      <c r="V184" s="585">
        <f t="shared" ref="V184:V216" si="161">I184+R184</f>
        <v>0</v>
      </c>
      <c r="W184" s="585">
        <f t="shared" ref="W184:W216" si="162">J184+S184</f>
        <v>2.0428830160094638</v>
      </c>
    </row>
    <row r="185" spans="1:23">
      <c r="A185" s="123">
        <f>'Input data'!A117</f>
        <v>2019</v>
      </c>
      <c r="B185" s="986">
        <f>'Recycling - Case 2'!AI97*'Recycling - Case 2'!B97</f>
        <v>3920.8675148070129</v>
      </c>
      <c r="C185" s="114">
        <f>($C$188-$C$80)/($A$188-$A$80)+C184</f>
        <v>0.23</v>
      </c>
      <c r="D185" s="114">
        <f t="shared" ref="D185:D216" si="163">1-C185</f>
        <v>0.77</v>
      </c>
      <c r="E185">
        <v>0</v>
      </c>
      <c r="F185">
        <v>0</v>
      </c>
      <c r="G185" s="989">
        <f t="shared" si="153"/>
        <v>0.72143962272449047</v>
      </c>
      <c r="H185" s="650">
        <f t="shared" si="154"/>
        <v>12.076271945605599</v>
      </c>
      <c r="J185" s="990">
        <f t="shared" si="155"/>
        <v>0.72457631673633593</v>
      </c>
      <c r="K185" s="987">
        <f>'Recycling - Case 2'!C177*'Recycling - Case 2'!Z177</f>
        <v>6177.4576151249839</v>
      </c>
      <c r="L185" s="114">
        <f>($L$188-$L$80)/($A$188-$A$80)+L184</f>
        <v>0.23</v>
      </c>
      <c r="M185" s="114">
        <f t="shared" ref="M185:M216" si="164">1-L185</f>
        <v>0.77</v>
      </c>
      <c r="N185">
        <f t="shared" ref="N185:O185" si="165">N183</f>
        <v>0</v>
      </c>
      <c r="O185">
        <f t="shared" si="165"/>
        <v>0</v>
      </c>
      <c r="P185" s="178">
        <f t="shared" si="156"/>
        <v>1.1366522011829974</v>
      </c>
      <c r="Q185" s="512">
        <f t="shared" si="157"/>
        <v>19.026569454584951</v>
      </c>
      <c r="S185" s="178">
        <f t="shared" si="158"/>
        <v>1.1415941672750969</v>
      </c>
      <c r="T185" s="585">
        <f t="shared" si="159"/>
        <v>1.8580918239074879</v>
      </c>
      <c r="U185" s="585">
        <f t="shared" si="160"/>
        <v>31.102841400190549</v>
      </c>
      <c r="V185" s="585">
        <f t="shared" si="161"/>
        <v>0</v>
      </c>
      <c r="W185" s="585">
        <f t="shared" si="162"/>
        <v>1.8661704840114328</v>
      </c>
    </row>
    <row r="186" spans="1:23">
      <c r="A186" s="123">
        <f>'Input data'!A118</f>
        <v>2020</v>
      </c>
      <c r="B186" s="986">
        <f>'Recycling - Case 2'!AI98*'Recycling - Case 2'!B98</f>
        <v>4489.6146062493435</v>
      </c>
      <c r="C186" s="114">
        <f t="shared" ref="C186:C187" si="166">($C$188-$C$80)/($A$188-$A$80)+C185</f>
        <v>0.32</v>
      </c>
      <c r="D186" s="114">
        <f t="shared" si="163"/>
        <v>0.67999999999999994</v>
      </c>
      <c r="E186">
        <v>0</v>
      </c>
      <c r="F186">
        <v>0</v>
      </c>
      <c r="G186" s="989">
        <f t="shared" si="153"/>
        <v>1.1493413391998319</v>
      </c>
      <c r="H186" s="650">
        <f t="shared" si="154"/>
        <v>12.211751728998212</v>
      </c>
      <c r="J186" s="990">
        <f t="shared" si="155"/>
        <v>0.73270510373989284</v>
      </c>
      <c r="K186" s="987">
        <f>'Recycling - Case 2'!C178*'Recycling - Case 2'!Z178</f>
        <v>4246.7065698628503</v>
      </c>
      <c r="L186" s="114">
        <f t="shared" ref="L186:L187" si="167">($L$188-$L$80)/($A$188-$A$80)+L185</f>
        <v>0.32</v>
      </c>
      <c r="M186" s="114">
        <f t="shared" si="164"/>
        <v>0.67999999999999994</v>
      </c>
      <c r="N186">
        <f t="shared" ref="N186:O186" si="168">N184</f>
        <v>0</v>
      </c>
      <c r="O186">
        <f t="shared" si="168"/>
        <v>0</v>
      </c>
      <c r="P186" s="178">
        <f t="shared" si="156"/>
        <v>1.0871568818848898</v>
      </c>
      <c r="Q186" s="512">
        <f t="shared" si="157"/>
        <v>11.551041870026951</v>
      </c>
      <c r="S186" s="178">
        <f t="shared" si="158"/>
        <v>0.69306251220161708</v>
      </c>
      <c r="T186" s="585">
        <f t="shared" si="159"/>
        <v>2.2364982210847217</v>
      </c>
      <c r="U186" s="585">
        <f t="shared" si="160"/>
        <v>23.762793599025166</v>
      </c>
      <c r="V186" s="585">
        <f t="shared" si="161"/>
        <v>0</v>
      </c>
      <c r="W186" s="585">
        <f t="shared" si="162"/>
        <v>1.4257676159415098</v>
      </c>
    </row>
    <row r="187" spans="1:23">
      <c r="A187" s="123">
        <f>'Input data'!A119</f>
        <v>2021</v>
      </c>
      <c r="B187" s="986">
        <f>'Recycling - Case 2'!AI99*'Recycling - Case 2'!B99</f>
        <v>5342.7306030456248</v>
      </c>
      <c r="C187" s="114">
        <f t="shared" si="166"/>
        <v>0.41000000000000003</v>
      </c>
      <c r="D187" s="114">
        <f t="shared" si="163"/>
        <v>0.59</v>
      </c>
      <c r="E187">
        <v>0</v>
      </c>
      <c r="F187">
        <v>0</v>
      </c>
      <c r="G187" s="989">
        <f t="shared" si="153"/>
        <v>1.7524156377989653</v>
      </c>
      <c r="H187" s="650">
        <f t="shared" si="154"/>
        <v>12.608844223187674</v>
      </c>
      <c r="J187" s="990">
        <f t="shared" si="155"/>
        <v>0.75653065339126035</v>
      </c>
      <c r="K187" s="987">
        <f>'Recycling - Case 2'!C179*'Recycling - Case 2'!Z179</f>
        <v>2026.0265468142229</v>
      </c>
      <c r="L187" s="114">
        <f t="shared" si="167"/>
        <v>0.41000000000000003</v>
      </c>
      <c r="M187" s="114">
        <f t="shared" si="164"/>
        <v>0.59</v>
      </c>
      <c r="N187">
        <f t="shared" ref="N187:O187" si="169">N185</f>
        <v>0</v>
      </c>
      <c r="O187">
        <f t="shared" si="169"/>
        <v>0</v>
      </c>
      <c r="P187" s="178">
        <f t="shared" si="156"/>
        <v>0.6645367073550652</v>
      </c>
      <c r="Q187" s="512">
        <f t="shared" si="157"/>
        <v>4.7814226504815664</v>
      </c>
      <c r="S187" s="178">
        <f t="shared" si="158"/>
        <v>0.28688535902889389</v>
      </c>
      <c r="T187" s="585">
        <f t="shared" si="159"/>
        <v>2.4169523451540305</v>
      </c>
      <c r="U187" s="585">
        <f t="shared" si="160"/>
        <v>17.390266873669241</v>
      </c>
      <c r="V187" s="585">
        <f t="shared" si="161"/>
        <v>0</v>
      </c>
      <c r="W187" s="585">
        <f t="shared" si="162"/>
        <v>1.0434160124201544</v>
      </c>
    </row>
    <row r="188" spans="1:23">
      <c r="A188" s="123">
        <f>'Input data'!A120</f>
        <v>2022</v>
      </c>
      <c r="B188" s="986">
        <f>'Recycling - Case 2'!AI100*'Recycling - Case 2'!B100</f>
        <v>5021.1547579907265</v>
      </c>
      <c r="C188" s="114">
        <f>'Recycling - Case 2'!G31</f>
        <v>0.5</v>
      </c>
      <c r="D188" s="114">
        <f t="shared" si="163"/>
        <v>0.5</v>
      </c>
      <c r="E188">
        <v>0</v>
      </c>
      <c r="F188">
        <v>0</v>
      </c>
      <c r="G188" s="989">
        <f t="shared" si="153"/>
        <v>2.0084619031962907</v>
      </c>
      <c r="H188" s="650">
        <f t="shared" si="154"/>
        <v>10.042309515981453</v>
      </c>
      <c r="J188" s="990">
        <f t="shared" si="155"/>
        <v>0.60253857095888719</v>
      </c>
      <c r="K188" s="987">
        <f>'Recycling - Case 2'!C180*'Recycling - Case 2'!Z180</f>
        <v>1391.7317999247737</v>
      </c>
      <c r="L188" s="114">
        <f>'Recycling - Case 2'!G31</f>
        <v>0.5</v>
      </c>
      <c r="M188" s="114">
        <f t="shared" si="164"/>
        <v>0.5</v>
      </c>
      <c r="N188">
        <f t="shared" ref="N188:O188" si="170">N186</f>
        <v>0</v>
      </c>
      <c r="O188">
        <f t="shared" si="170"/>
        <v>0</v>
      </c>
      <c r="P188" s="178">
        <f t="shared" si="156"/>
        <v>0.55669271996990954</v>
      </c>
      <c r="Q188" s="512">
        <f t="shared" si="157"/>
        <v>2.7834635998495472</v>
      </c>
      <c r="S188" s="178">
        <f t="shared" si="158"/>
        <v>0.16700781599097284</v>
      </c>
      <c r="T188" s="585">
        <f t="shared" si="159"/>
        <v>2.5651546231662001</v>
      </c>
      <c r="U188" s="585">
        <f t="shared" si="160"/>
        <v>12.825773115831</v>
      </c>
      <c r="V188" s="585">
        <f t="shared" si="161"/>
        <v>0</v>
      </c>
      <c r="W188" s="585">
        <f t="shared" si="162"/>
        <v>0.76954638694986</v>
      </c>
    </row>
    <row r="189" spans="1:23">
      <c r="A189" s="123">
        <f>'Input data'!A121</f>
        <v>2023</v>
      </c>
      <c r="B189" s="986">
        <f>'Recycling - Case 2'!AI101*'Recycling - Case 2'!B101</f>
        <v>4838.5591386232072</v>
      </c>
      <c r="C189" s="114">
        <f>C188</f>
        <v>0.5</v>
      </c>
      <c r="D189" s="114">
        <f t="shared" si="163"/>
        <v>0.5</v>
      </c>
      <c r="E189">
        <v>0</v>
      </c>
      <c r="F189">
        <v>0</v>
      </c>
      <c r="G189" s="989">
        <f t="shared" si="153"/>
        <v>1.935423655449283</v>
      </c>
      <c r="H189" s="650">
        <f t="shared" si="154"/>
        <v>9.6771182772464144</v>
      </c>
      <c r="J189" s="990">
        <f t="shared" si="155"/>
        <v>0.58062709663478485</v>
      </c>
      <c r="K189" s="987">
        <f>'Recycling - Case 2'!C181*'Recycling - Case 2'!Z181</f>
        <v>1420.410375718752</v>
      </c>
      <c r="L189" s="114">
        <f>L188</f>
        <v>0.5</v>
      </c>
      <c r="M189" s="114">
        <f t="shared" si="164"/>
        <v>0.5</v>
      </c>
      <c r="N189">
        <f t="shared" ref="N189:O189" si="171">N187</f>
        <v>0</v>
      </c>
      <c r="O189">
        <f t="shared" si="171"/>
        <v>0</v>
      </c>
      <c r="P189" s="178">
        <f t="shared" si="156"/>
        <v>0.56816415028750078</v>
      </c>
      <c r="Q189" s="512">
        <f t="shared" si="157"/>
        <v>2.8408207514375041</v>
      </c>
      <c r="S189" s="178">
        <f t="shared" si="158"/>
        <v>0.17044924508625026</v>
      </c>
      <c r="T189" s="585">
        <f t="shared" si="159"/>
        <v>2.5035878057367835</v>
      </c>
      <c r="U189" s="585">
        <f t="shared" si="160"/>
        <v>12.517939028683919</v>
      </c>
      <c r="V189" s="585">
        <f t="shared" si="161"/>
        <v>0</v>
      </c>
      <c r="W189" s="585">
        <f t="shared" si="162"/>
        <v>0.7510763417210351</v>
      </c>
    </row>
    <row r="190" spans="1:23">
      <c r="A190" s="123">
        <f>'Input data'!A122</f>
        <v>2024</v>
      </c>
      <c r="B190" s="986">
        <f>'Recycling - Case 2'!AI102*'Recycling - Case 2'!B102</f>
        <v>4644.4457885792062</v>
      </c>
      <c r="C190" s="114">
        <f t="shared" ref="C190:C205" si="172">C189</f>
        <v>0.5</v>
      </c>
      <c r="D190" s="114">
        <f t="shared" si="163"/>
        <v>0.5</v>
      </c>
      <c r="E190">
        <v>0</v>
      </c>
      <c r="F190">
        <v>0</v>
      </c>
      <c r="G190" s="989">
        <f t="shared" si="153"/>
        <v>1.8577783154316825</v>
      </c>
      <c r="H190" s="650">
        <f t="shared" si="154"/>
        <v>9.2888915771584131</v>
      </c>
      <c r="J190" s="990">
        <f t="shared" si="155"/>
        <v>0.55733349462950466</v>
      </c>
      <c r="K190" s="987">
        <f>'Recycling - Case 2'!C182*'Recycling - Case 2'!Z182</f>
        <v>1448.0713392191417</v>
      </c>
      <c r="L190" s="114">
        <f t="shared" ref="L190" si="173">L189</f>
        <v>0.5</v>
      </c>
      <c r="M190" s="114">
        <f t="shared" si="164"/>
        <v>0.5</v>
      </c>
      <c r="N190">
        <f t="shared" ref="N190:O190" si="174">N188</f>
        <v>0</v>
      </c>
      <c r="O190">
        <f t="shared" si="174"/>
        <v>0</v>
      </c>
      <c r="P190" s="178">
        <f t="shared" si="156"/>
        <v>0.57922853568765675</v>
      </c>
      <c r="Q190" s="512">
        <f t="shared" si="157"/>
        <v>2.8961426784382835</v>
      </c>
      <c r="S190" s="178">
        <f t="shared" si="158"/>
        <v>0.17376856070629698</v>
      </c>
      <c r="T190" s="585">
        <f t="shared" si="159"/>
        <v>2.4370068511193392</v>
      </c>
      <c r="U190" s="585">
        <f t="shared" si="160"/>
        <v>12.185034255596698</v>
      </c>
      <c r="V190" s="585">
        <f t="shared" si="161"/>
        <v>0</v>
      </c>
      <c r="W190" s="585">
        <f t="shared" si="162"/>
        <v>0.73110205533580164</v>
      </c>
    </row>
    <row r="191" spans="1:23">
      <c r="A191" s="123">
        <f>'Input data'!A123</f>
        <v>2025</v>
      </c>
      <c r="B191" s="986">
        <f>'Recycling - Case 2'!AI103*'Recycling - Case 2'!B103</f>
        <v>4438.2123213922823</v>
      </c>
      <c r="C191" s="114">
        <f t="shared" si="172"/>
        <v>0.5</v>
      </c>
      <c r="D191" s="114">
        <f t="shared" si="163"/>
        <v>0.5</v>
      </c>
      <c r="E191">
        <v>0</v>
      </c>
      <c r="F191">
        <v>0</v>
      </c>
      <c r="G191" s="989">
        <f t="shared" si="153"/>
        <v>1.775284928556913</v>
      </c>
      <c r="H191" s="650">
        <f t="shared" si="154"/>
        <v>8.8764246427845652</v>
      </c>
      <c r="J191" s="990">
        <f t="shared" si="155"/>
        <v>0.53258547856707394</v>
      </c>
      <c r="K191" s="987">
        <f>'Recycling - Case 2'!C183*'Recycling - Case 2'!Z183</f>
        <v>1476.9127329800942</v>
      </c>
      <c r="L191" s="114">
        <f t="shared" ref="L191" si="175">L190</f>
        <v>0.5</v>
      </c>
      <c r="M191" s="114">
        <f t="shared" si="164"/>
        <v>0.5</v>
      </c>
      <c r="N191">
        <f t="shared" ref="N191:O191" si="176">N189</f>
        <v>0</v>
      </c>
      <c r="O191">
        <f t="shared" si="176"/>
        <v>0</v>
      </c>
      <c r="P191" s="178">
        <f t="shared" si="156"/>
        <v>0.59076509319203774</v>
      </c>
      <c r="Q191" s="512">
        <f t="shared" si="157"/>
        <v>2.9538254659601884</v>
      </c>
      <c r="S191" s="178">
        <f t="shared" si="158"/>
        <v>0.17722952795761132</v>
      </c>
      <c r="T191" s="585">
        <f t="shared" si="159"/>
        <v>2.3660500217489506</v>
      </c>
      <c r="U191" s="585">
        <f t="shared" si="160"/>
        <v>11.830250108744753</v>
      </c>
      <c r="V191" s="585">
        <f t="shared" si="161"/>
        <v>0</v>
      </c>
      <c r="W191" s="585">
        <f t="shared" si="162"/>
        <v>0.70981500652468532</v>
      </c>
    </row>
    <row r="192" spans="1:23">
      <c r="A192" s="123">
        <f>'Input data'!A124</f>
        <v>2026</v>
      </c>
      <c r="B192" s="986">
        <f>'Recycling - Case 2'!AI104*'Recycling - Case 2'!B104</f>
        <v>4212.2487177631583</v>
      </c>
      <c r="C192" s="114">
        <f t="shared" si="172"/>
        <v>0.5</v>
      </c>
      <c r="D192" s="114">
        <f t="shared" si="163"/>
        <v>0.5</v>
      </c>
      <c r="E192">
        <v>0</v>
      </c>
      <c r="F192">
        <v>0</v>
      </c>
      <c r="G192" s="989">
        <f t="shared" si="153"/>
        <v>1.6848994871052634</v>
      </c>
      <c r="H192" s="650">
        <f t="shared" si="154"/>
        <v>8.424497435526316</v>
      </c>
      <c r="J192" s="990">
        <f t="shared" si="155"/>
        <v>0.50546984613157897</v>
      </c>
      <c r="K192" s="987">
        <f>'Recycling - Case 2'!C184*'Recycling - Case 2'!Z184</f>
        <v>1511.1678241429379</v>
      </c>
      <c r="L192" s="114">
        <f t="shared" ref="L192" si="177">L191</f>
        <v>0.5</v>
      </c>
      <c r="M192" s="114">
        <f t="shared" si="164"/>
        <v>0.5</v>
      </c>
      <c r="N192">
        <f t="shared" ref="N192:O192" si="178">N190</f>
        <v>0</v>
      </c>
      <c r="O192">
        <f t="shared" si="178"/>
        <v>0</v>
      </c>
      <c r="P192" s="178">
        <f t="shared" si="156"/>
        <v>0.6044671296571752</v>
      </c>
      <c r="Q192" s="512">
        <f t="shared" si="157"/>
        <v>3.0223356482858756</v>
      </c>
      <c r="S192" s="178">
        <f t="shared" si="158"/>
        <v>0.18134013889715253</v>
      </c>
      <c r="T192" s="585">
        <f t="shared" si="159"/>
        <v>2.2893666167624387</v>
      </c>
      <c r="U192" s="585">
        <f t="shared" si="160"/>
        <v>11.446833083812191</v>
      </c>
      <c r="V192" s="585">
        <f t="shared" si="161"/>
        <v>0</v>
      </c>
      <c r="W192" s="585">
        <f t="shared" si="162"/>
        <v>0.68680998502873147</v>
      </c>
    </row>
    <row r="193" spans="1:23">
      <c r="A193" s="123">
        <f>'Input data'!A125</f>
        <v>2027</v>
      </c>
      <c r="B193" s="986">
        <f>'Recycling - Case 2'!AI105*'Recycling - Case 2'!B105</f>
        <v>3973.7125528245519</v>
      </c>
      <c r="C193" s="114">
        <f t="shared" si="172"/>
        <v>0.5</v>
      </c>
      <c r="D193" s="114">
        <f t="shared" si="163"/>
        <v>0.5</v>
      </c>
      <c r="E193">
        <v>0</v>
      </c>
      <c r="F193">
        <v>0</v>
      </c>
      <c r="G193" s="989">
        <f t="shared" si="153"/>
        <v>1.5894850211298208</v>
      </c>
      <c r="H193" s="650">
        <f t="shared" si="154"/>
        <v>7.9474251056491036</v>
      </c>
      <c r="J193" s="990">
        <f t="shared" si="155"/>
        <v>0.47684550633894623</v>
      </c>
      <c r="K193" s="987">
        <f>'Recycling - Case 2'!C185*'Recycling - Case 2'!Z185</f>
        <v>1545.0882339292232</v>
      </c>
      <c r="L193" s="114">
        <f t="shared" ref="L193" si="179">L192</f>
        <v>0.5</v>
      </c>
      <c r="M193" s="114">
        <f t="shared" si="164"/>
        <v>0.5</v>
      </c>
      <c r="N193">
        <f t="shared" ref="N193:O193" si="180">N191</f>
        <v>0</v>
      </c>
      <c r="O193">
        <f t="shared" si="180"/>
        <v>0</v>
      </c>
      <c r="P193" s="178">
        <f t="shared" si="156"/>
        <v>0.61803529357168929</v>
      </c>
      <c r="Q193" s="512">
        <f t="shared" si="157"/>
        <v>3.0901764678584462</v>
      </c>
      <c r="S193" s="178">
        <f t="shared" si="158"/>
        <v>0.18541058807150676</v>
      </c>
      <c r="T193" s="585">
        <f t="shared" si="159"/>
        <v>2.2075203147015099</v>
      </c>
      <c r="U193" s="585">
        <f t="shared" si="160"/>
        <v>11.037601573507549</v>
      </c>
      <c r="V193" s="585">
        <f t="shared" si="161"/>
        <v>0</v>
      </c>
      <c r="W193" s="585">
        <f t="shared" si="162"/>
        <v>0.66225609441045297</v>
      </c>
    </row>
    <row r="194" spans="1:23">
      <c r="A194" s="123">
        <f>'Input data'!A126</f>
        <v>2028</v>
      </c>
      <c r="B194" s="986">
        <f>'Recycling - Case 2'!AI106*'Recycling - Case 2'!B106</f>
        <v>3721.8307341944769</v>
      </c>
      <c r="C194" s="114">
        <f t="shared" si="172"/>
        <v>0.5</v>
      </c>
      <c r="D194" s="114">
        <f t="shared" si="163"/>
        <v>0.5</v>
      </c>
      <c r="E194">
        <v>0</v>
      </c>
      <c r="F194">
        <v>0</v>
      </c>
      <c r="G194" s="989">
        <f t="shared" si="153"/>
        <v>1.4887322936777909</v>
      </c>
      <c r="H194" s="650">
        <f t="shared" si="154"/>
        <v>7.4436614683889539</v>
      </c>
      <c r="J194" s="990">
        <f t="shared" si="155"/>
        <v>0.44661968810333724</v>
      </c>
      <c r="K194" s="987">
        <f>'Recycling - Case 2'!C186*'Recycling - Case 2'!Z186</f>
        <v>1580.6368233852509</v>
      </c>
      <c r="L194" s="114">
        <f t="shared" ref="L194" si="181">L193</f>
        <v>0.5</v>
      </c>
      <c r="M194" s="114">
        <f t="shared" si="164"/>
        <v>0.5</v>
      </c>
      <c r="N194">
        <f t="shared" ref="N194:O194" si="182">N192</f>
        <v>0</v>
      </c>
      <c r="O194">
        <f t="shared" si="182"/>
        <v>0</v>
      </c>
      <c r="P194" s="178">
        <f t="shared" si="156"/>
        <v>0.63225472935410043</v>
      </c>
      <c r="Q194" s="512">
        <f t="shared" si="157"/>
        <v>3.1612736467705016</v>
      </c>
      <c r="S194" s="178">
        <f t="shared" si="158"/>
        <v>0.1896764188062301</v>
      </c>
      <c r="T194" s="585">
        <f t="shared" si="159"/>
        <v>2.1209870230318915</v>
      </c>
      <c r="U194" s="585">
        <f t="shared" si="160"/>
        <v>10.604935115159456</v>
      </c>
      <c r="V194" s="585">
        <f t="shared" si="161"/>
        <v>0</v>
      </c>
      <c r="W194" s="585">
        <f t="shared" si="162"/>
        <v>0.63629610690956739</v>
      </c>
    </row>
    <row r="195" spans="1:23">
      <c r="A195" s="123">
        <f>'Input data'!A127</f>
        <v>2029</v>
      </c>
      <c r="B195" s="986">
        <f>'Recycling - Case 2'!AI107*'Recycling - Case 2'!B107</f>
        <v>3456.0403079453235</v>
      </c>
      <c r="C195" s="114">
        <f t="shared" si="172"/>
        <v>0.5</v>
      </c>
      <c r="D195" s="114">
        <f t="shared" si="163"/>
        <v>0.5</v>
      </c>
      <c r="E195">
        <v>0</v>
      </c>
      <c r="F195">
        <v>0</v>
      </c>
      <c r="G195" s="989">
        <f t="shared" si="153"/>
        <v>1.3824161231781296</v>
      </c>
      <c r="H195" s="650">
        <f t="shared" si="154"/>
        <v>6.9120806158906474</v>
      </c>
      <c r="J195" s="990">
        <f t="shared" si="155"/>
        <v>0.41472483695343881</v>
      </c>
      <c r="K195" s="987">
        <f>'Recycling - Case 2'!C187*'Recycling - Case 2'!Z187</f>
        <v>1617.3613203805357</v>
      </c>
      <c r="L195" s="114">
        <f t="shared" ref="L195" si="183">L194</f>
        <v>0.5</v>
      </c>
      <c r="M195" s="114">
        <f t="shared" si="164"/>
        <v>0.5</v>
      </c>
      <c r="N195">
        <f t="shared" ref="N195:O195" si="184">N193</f>
        <v>0</v>
      </c>
      <c r="O195">
        <f t="shared" si="184"/>
        <v>0</v>
      </c>
      <c r="P195" s="178">
        <f t="shared" si="156"/>
        <v>0.64694452815221437</v>
      </c>
      <c r="Q195" s="512">
        <f t="shared" si="157"/>
        <v>3.2347226407610714</v>
      </c>
      <c r="S195" s="178">
        <f t="shared" si="158"/>
        <v>0.19408335844566429</v>
      </c>
      <c r="T195" s="585">
        <f t="shared" si="159"/>
        <v>2.0293606513303439</v>
      </c>
      <c r="U195" s="585">
        <f t="shared" si="160"/>
        <v>10.146803256651719</v>
      </c>
      <c r="V195" s="585">
        <f t="shared" si="161"/>
        <v>0</v>
      </c>
      <c r="W195" s="585">
        <f t="shared" si="162"/>
        <v>0.60880819539910314</v>
      </c>
    </row>
    <row r="196" spans="1:23">
      <c r="A196" s="123">
        <f>'Input data'!A128</f>
        <v>2030</v>
      </c>
      <c r="B196" s="986">
        <f>'Recycling - Case 2'!AI108*'Recycling - Case 2'!B108</f>
        <v>3175.5559501258704</v>
      </c>
      <c r="C196" s="114">
        <f t="shared" si="172"/>
        <v>0.5</v>
      </c>
      <c r="D196" s="114">
        <f t="shared" si="163"/>
        <v>0.5</v>
      </c>
      <c r="E196">
        <v>0</v>
      </c>
      <c r="F196">
        <v>0</v>
      </c>
      <c r="G196" s="989">
        <f t="shared" si="153"/>
        <v>1.2702223800503483</v>
      </c>
      <c r="H196" s="650">
        <f t="shared" si="154"/>
        <v>6.3511119002517411</v>
      </c>
      <c r="J196" s="990">
        <f t="shared" si="155"/>
        <v>0.38106671401510445</v>
      </c>
      <c r="K196" s="987">
        <f>'Recycling - Case 2'!C188*'Recycling - Case 2'!Z188</f>
        <v>1655.370270226395</v>
      </c>
      <c r="L196" s="114">
        <f t="shared" ref="L196" si="185">L195</f>
        <v>0.5</v>
      </c>
      <c r="M196" s="114">
        <f t="shared" si="164"/>
        <v>0.5</v>
      </c>
      <c r="N196">
        <f t="shared" ref="N196:O196" si="186">N194</f>
        <v>0</v>
      </c>
      <c r="O196">
        <f t="shared" si="186"/>
        <v>0</v>
      </c>
      <c r="P196" s="178">
        <f t="shared" si="156"/>
        <v>0.66214810809055802</v>
      </c>
      <c r="Q196" s="512">
        <f t="shared" si="157"/>
        <v>3.3107405404527901</v>
      </c>
      <c r="S196" s="178">
        <f t="shared" si="158"/>
        <v>0.19864443242716737</v>
      </c>
      <c r="T196" s="585">
        <f t="shared" si="159"/>
        <v>1.9323704881409063</v>
      </c>
      <c r="U196" s="585">
        <f t="shared" si="160"/>
        <v>9.6618524407045321</v>
      </c>
      <c r="V196" s="585">
        <f t="shared" si="161"/>
        <v>0</v>
      </c>
      <c r="W196" s="585">
        <f t="shared" si="162"/>
        <v>0.57971114644227184</v>
      </c>
    </row>
    <row r="197" spans="1:23">
      <c r="A197" s="123">
        <f>'Input data'!A129</f>
        <v>2031</v>
      </c>
      <c r="B197" s="986">
        <f>'Recycling - Case 2'!AI109*'Recycling - Case 2'!B109</f>
        <v>2833.1244977232623</v>
      </c>
      <c r="C197" s="114">
        <f t="shared" si="172"/>
        <v>0.5</v>
      </c>
      <c r="D197" s="114">
        <f t="shared" si="163"/>
        <v>0.5</v>
      </c>
      <c r="E197">
        <v>0</v>
      </c>
      <c r="F197">
        <v>0</v>
      </c>
      <c r="G197" s="989">
        <f t="shared" si="153"/>
        <v>1.1332497990893051</v>
      </c>
      <c r="H197" s="650">
        <f t="shared" si="154"/>
        <v>5.6662489954465247</v>
      </c>
      <c r="J197" s="990">
        <f t="shared" si="155"/>
        <v>0.33997493972679144</v>
      </c>
      <c r="K197" s="987">
        <f>'Recycling - Case 2'!C189*'Recycling - Case 2'!Z189</f>
        <v>1701.0090509135161</v>
      </c>
      <c r="L197" s="114">
        <f t="shared" ref="L197" si="187">L196</f>
        <v>0.5</v>
      </c>
      <c r="M197" s="114">
        <f t="shared" si="164"/>
        <v>0.5</v>
      </c>
      <c r="N197">
        <f t="shared" ref="N197:O197" si="188">N195</f>
        <v>0</v>
      </c>
      <c r="O197">
        <f t="shared" si="188"/>
        <v>0</v>
      </c>
      <c r="P197" s="178">
        <f t="shared" si="156"/>
        <v>0.68040362036540647</v>
      </c>
      <c r="Q197" s="512">
        <f t="shared" si="157"/>
        <v>3.4020181018270321</v>
      </c>
      <c r="S197" s="178">
        <f t="shared" si="158"/>
        <v>0.20412108610962193</v>
      </c>
      <c r="T197" s="585">
        <f t="shared" si="159"/>
        <v>1.8136534194547116</v>
      </c>
      <c r="U197" s="585">
        <f t="shared" si="160"/>
        <v>9.0682670972735568</v>
      </c>
      <c r="V197" s="585">
        <f t="shared" si="161"/>
        <v>0</v>
      </c>
      <c r="W197" s="585">
        <f t="shared" si="162"/>
        <v>0.54409602583641337</v>
      </c>
    </row>
    <row r="198" spans="1:23">
      <c r="A198" s="123">
        <f>'Input data'!A130</f>
        <v>2032</v>
      </c>
      <c r="B198" s="986">
        <f>'Recycling - Case 2'!AI110*'Recycling - Case 2'!B110</f>
        <v>2484.6228724288708</v>
      </c>
      <c r="C198" s="114">
        <f t="shared" si="172"/>
        <v>0.5</v>
      </c>
      <c r="D198" s="114">
        <f t="shared" si="163"/>
        <v>0.5</v>
      </c>
      <c r="E198">
        <v>0</v>
      </c>
      <c r="F198">
        <v>0</v>
      </c>
      <c r="G198" s="989">
        <f t="shared" si="153"/>
        <v>0.99384914897154841</v>
      </c>
      <c r="H198" s="650">
        <f t="shared" si="154"/>
        <v>4.9692457448577416</v>
      </c>
      <c r="J198" s="990">
        <f t="shared" si="155"/>
        <v>0.29815474469146447</v>
      </c>
      <c r="K198" s="987">
        <f>'Recycling - Case 2'!C190*'Recycling - Case 2'!Z190</f>
        <v>1744.5040617021439</v>
      </c>
      <c r="L198" s="114">
        <f t="shared" ref="L198" si="189">L197</f>
        <v>0.5</v>
      </c>
      <c r="M198" s="114">
        <f t="shared" si="164"/>
        <v>0.5</v>
      </c>
      <c r="N198">
        <f t="shared" ref="N198:O198" si="190">N196</f>
        <v>0</v>
      </c>
      <c r="O198">
        <f t="shared" si="190"/>
        <v>0</v>
      </c>
      <c r="P198" s="178">
        <f t="shared" si="156"/>
        <v>0.6978016246808576</v>
      </c>
      <c r="Q198" s="512">
        <f t="shared" si="157"/>
        <v>3.4890081234042878</v>
      </c>
      <c r="S198" s="178">
        <f t="shared" si="158"/>
        <v>0.20934048740425726</v>
      </c>
      <c r="T198" s="585">
        <f t="shared" si="159"/>
        <v>1.691650773652406</v>
      </c>
      <c r="U198" s="585">
        <f t="shared" si="160"/>
        <v>8.4582538682620303</v>
      </c>
      <c r="V198" s="585">
        <f t="shared" si="161"/>
        <v>0</v>
      </c>
      <c r="W198" s="585">
        <f t="shared" si="162"/>
        <v>0.50749523209572178</v>
      </c>
    </row>
    <row r="199" spans="1:23">
      <c r="A199" s="123">
        <f>'Input data'!A131</f>
        <v>2033</v>
      </c>
      <c r="B199" s="986">
        <f>'Recycling - Case 2'!AI111*'Recycling - Case 2'!B111</f>
        <v>2505.8073684270425</v>
      </c>
      <c r="C199" s="114">
        <f t="shared" si="172"/>
        <v>0.5</v>
      </c>
      <c r="D199" s="114">
        <f t="shared" si="163"/>
        <v>0.5</v>
      </c>
      <c r="E199">
        <v>0</v>
      </c>
      <c r="F199">
        <v>0</v>
      </c>
      <c r="G199" s="989">
        <f t="shared" si="153"/>
        <v>1.0023229473708171</v>
      </c>
      <c r="H199" s="650">
        <f t="shared" si="154"/>
        <v>5.0116147368540851</v>
      </c>
      <c r="J199" s="990">
        <f t="shared" si="155"/>
        <v>0.30069688421124513</v>
      </c>
      <c r="K199" s="987">
        <f>'Recycling - Case 2'!C191*'Recycling - Case 2'!Z191</f>
        <v>1792.8112479591196</v>
      </c>
      <c r="L199" s="114">
        <f t="shared" ref="L199" si="191">L198</f>
        <v>0.5</v>
      </c>
      <c r="M199" s="114">
        <f t="shared" si="164"/>
        <v>0.5</v>
      </c>
      <c r="N199">
        <f t="shared" ref="N199:O199" si="192">N197</f>
        <v>0</v>
      </c>
      <c r="O199">
        <f t="shared" si="192"/>
        <v>0</v>
      </c>
      <c r="P199" s="178">
        <f t="shared" si="156"/>
        <v>0.71712449918364796</v>
      </c>
      <c r="Q199" s="512">
        <f t="shared" si="157"/>
        <v>3.5856224959182392</v>
      </c>
      <c r="S199" s="178">
        <f t="shared" si="158"/>
        <v>0.21513734975509433</v>
      </c>
      <c r="T199" s="585">
        <f t="shared" si="159"/>
        <v>1.7194474465544651</v>
      </c>
      <c r="U199" s="585">
        <f t="shared" si="160"/>
        <v>8.5972372327723239</v>
      </c>
      <c r="V199" s="585">
        <f t="shared" si="161"/>
        <v>0</v>
      </c>
      <c r="W199" s="585">
        <f t="shared" si="162"/>
        <v>0.51583423396633943</v>
      </c>
    </row>
    <row r="200" spans="1:23">
      <c r="A200" s="123">
        <f>'Input data'!A132</f>
        <v>2034</v>
      </c>
      <c r="B200" s="986">
        <f>'Recycling - Case 2'!AI112*'Recycling - Case 2'!B112</f>
        <v>2527.214079418201</v>
      </c>
      <c r="C200" s="114">
        <f t="shared" si="172"/>
        <v>0.5</v>
      </c>
      <c r="D200" s="114">
        <f t="shared" si="163"/>
        <v>0.5</v>
      </c>
      <c r="E200">
        <v>0</v>
      </c>
      <c r="F200">
        <v>0</v>
      </c>
      <c r="G200" s="989">
        <f t="shared" si="153"/>
        <v>1.0108856317672805</v>
      </c>
      <c r="H200" s="650">
        <f t="shared" si="154"/>
        <v>5.0544281588364024</v>
      </c>
      <c r="J200" s="990">
        <f t="shared" si="155"/>
        <v>0.30326568953018407</v>
      </c>
      <c r="K200" s="987">
        <f>'Recycling - Case 2'!C192*'Recycling - Case 2'!Z192</f>
        <v>1844.465247981675</v>
      </c>
      <c r="L200" s="114">
        <f t="shared" ref="L200" si="193">L199</f>
        <v>0.5</v>
      </c>
      <c r="M200" s="114">
        <f t="shared" si="164"/>
        <v>0.5</v>
      </c>
      <c r="N200">
        <f t="shared" ref="N200:O200" si="194">N198</f>
        <v>0</v>
      </c>
      <c r="O200">
        <f t="shared" si="194"/>
        <v>0</v>
      </c>
      <c r="P200" s="178">
        <f t="shared" si="156"/>
        <v>0.73778609919267002</v>
      </c>
      <c r="Q200" s="512">
        <f t="shared" si="157"/>
        <v>3.68893049596335</v>
      </c>
      <c r="R200" s="501"/>
      <c r="S200" s="584">
        <f t="shared" si="158"/>
        <v>0.221335829757801</v>
      </c>
      <c r="T200" s="585">
        <f t="shared" si="159"/>
        <v>1.7486717309599507</v>
      </c>
      <c r="U200" s="585">
        <f t="shared" si="160"/>
        <v>8.7433586547997528</v>
      </c>
      <c r="V200" s="585">
        <f t="shared" si="161"/>
        <v>0</v>
      </c>
      <c r="W200" s="585">
        <f t="shared" si="162"/>
        <v>0.52460151928798504</v>
      </c>
    </row>
    <row r="201" spans="1:23">
      <c r="A201" s="123">
        <f>'Input data'!A133</f>
        <v>2035</v>
      </c>
      <c r="B201" s="986">
        <f>'Recycling - Case 2'!AI113*'Recycling - Case 2'!B113</f>
        <v>2548.7689337380189</v>
      </c>
      <c r="C201" s="114">
        <f t="shared" si="172"/>
        <v>0.5</v>
      </c>
      <c r="D201" s="114">
        <f t="shared" si="163"/>
        <v>0.5</v>
      </c>
      <c r="E201">
        <v>0</v>
      </c>
      <c r="F201">
        <v>0</v>
      </c>
      <c r="G201" s="989">
        <f t="shared" si="153"/>
        <v>1.0195075734952075</v>
      </c>
      <c r="H201" s="650">
        <f t="shared" si="154"/>
        <v>5.0975378674760377</v>
      </c>
      <c r="J201" s="990">
        <f t="shared" si="155"/>
        <v>0.30585227204856225</v>
      </c>
      <c r="K201" s="987">
        <f>'Recycling - Case 2'!C193*'Recycling - Case 2'!Z193</f>
        <v>1899.6741069498332</v>
      </c>
      <c r="L201" s="114">
        <f t="shared" ref="L201" si="195">L200</f>
        <v>0.5</v>
      </c>
      <c r="M201" s="114">
        <f t="shared" si="164"/>
        <v>0.5</v>
      </c>
      <c r="N201">
        <f t="shared" ref="N201:O201" si="196">N199</f>
        <v>0</v>
      </c>
      <c r="O201">
        <f t="shared" si="196"/>
        <v>0</v>
      </c>
      <c r="P201" s="178">
        <f t="shared" si="156"/>
        <v>0.7598696427799333</v>
      </c>
      <c r="Q201" s="512">
        <f t="shared" si="157"/>
        <v>3.7993482138996666</v>
      </c>
      <c r="S201" s="178">
        <f t="shared" si="158"/>
        <v>0.22796089283397999</v>
      </c>
      <c r="T201" s="585">
        <f t="shared" si="159"/>
        <v>1.7793772162751407</v>
      </c>
      <c r="U201" s="585">
        <f t="shared" si="160"/>
        <v>8.8968860813757047</v>
      </c>
      <c r="V201" s="585">
        <f t="shared" si="161"/>
        <v>0</v>
      </c>
      <c r="W201" s="585">
        <f t="shared" si="162"/>
        <v>0.53381316488254227</v>
      </c>
    </row>
    <row r="202" spans="1:23">
      <c r="A202" s="123">
        <f>'Input data'!A134</f>
        <v>2036</v>
      </c>
      <c r="B202" s="986">
        <f>'Recycling - Case 2'!AI114*'Recycling - Case 2'!B114</f>
        <v>2567.4349931489946</v>
      </c>
      <c r="C202" s="114">
        <f t="shared" si="172"/>
        <v>0.5</v>
      </c>
      <c r="D202" s="114">
        <f t="shared" si="163"/>
        <v>0.5</v>
      </c>
      <c r="E202">
        <v>0</v>
      </c>
      <c r="F202">
        <v>0</v>
      </c>
      <c r="G202" s="989">
        <f t="shared" si="153"/>
        <v>1.0269739972595977</v>
      </c>
      <c r="H202" s="650">
        <f t="shared" si="154"/>
        <v>5.1348699862979892</v>
      </c>
      <c r="J202" s="990">
        <f t="shared" si="155"/>
        <v>0.30809219917787939</v>
      </c>
      <c r="K202" s="987">
        <f>'Recycling - Case 2'!C194*'Recycling - Case 2'!Z194</f>
        <v>1956.5156683090383</v>
      </c>
      <c r="L202" s="114">
        <f t="shared" ref="L202" si="197">L201</f>
        <v>0.5</v>
      </c>
      <c r="M202" s="114">
        <f t="shared" si="164"/>
        <v>0.5</v>
      </c>
      <c r="N202">
        <f t="shared" ref="N202:O202" si="198">N200</f>
        <v>0</v>
      </c>
      <c r="O202">
        <f t="shared" si="198"/>
        <v>0</v>
      </c>
      <c r="P202" s="178">
        <f t="shared" si="156"/>
        <v>0.78260626732361538</v>
      </c>
      <c r="Q202" s="512">
        <f t="shared" si="157"/>
        <v>3.9130313366180767</v>
      </c>
      <c r="S202" s="178">
        <f t="shared" si="158"/>
        <v>0.2347818801970846</v>
      </c>
      <c r="T202" s="585">
        <f t="shared" si="159"/>
        <v>1.8095802645832131</v>
      </c>
      <c r="U202" s="585">
        <f t="shared" si="160"/>
        <v>9.047901322916065</v>
      </c>
      <c r="V202" s="585">
        <f t="shared" si="161"/>
        <v>0</v>
      </c>
      <c r="W202" s="585">
        <f t="shared" si="162"/>
        <v>0.54287407937496401</v>
      </c>
    </row>
    <row r="203" spans="1:23">
      <c r="A203" s="123">
        <f>'Input data'!A135</f>
        <v>2037</v>
      </c>
      <c r="B203" s="986">
        <f>'Recycling - Case 2'!AI115*'Recycling - Case 2'!B115</f>
        <v>2586.2121600564647</v>
      </c>
      <c r="C203" s="114">
        <f t="shared" si="172"/>
        <v>0.5</v>
      </c>
      <c r="D203" s="114">
        <f t="shared" si="163"/>
        <v>0.5</v>
      </c>
      <c r="E203">
        <v>0</v>
      </c>
      <c r="F203">
        <v>0</v>
      </c>
      <c r="G203" s="989">
        <f t="shared" si="153"/>
        <v>1.0344848640225859</v>
      </c>
      <c r="H203" s="650">
        <f t="shared" si="154"/>
        <v>5.1724243201129294</v>
      </c>
      <c r="J203" s="990">
        <f t="shared" si="155"/>
        <v>0.31034545920677575</v>
      </c>
      <c r="K203" s="987">
        <f>'Recycling - Case 2'!C195*'Recycling - Case 2'!Z195</f>
        <v>2015.7768855663328</v>
      </c>
      <c r="L203" s="114">
        <f t="shared" ref="L203" si="199">L202</f>
        <v>0.5</v>
      </c>
      <c r="M203" s="114">
        <f t="shared" si="164"/>
        <v>0.5</v>
      </c>
      <c r="N203">
        <f t="shared" ref="N203:O203" si="200">N201</f>
        <v>0</v>
      </c>
      <c r="O203">
        <f t="shared" si="200"/>
        <v>0</v>
      </c>
      <c r="P203" s="178">
        <f t="shared" si="156"/>
        <v>0.8063107542265332</v>
      </c>
      <c r="Q203" s="512">
        <f t="shared" si="157"/>
        <v>4.0315537711326659</v>
      </c>
      <c r="S203" s="178">
        <f t="shared" si="158"/>
        <v>0.24189322626795992</v>
      </c>
      <c r="T203" s="585">
        <f t="shared" si="159"/>
        <v>1.840795618249119</v>
      </c>
      <c r="U203" s="585">
        <f t="shared" si="160"/>
        <v>9.2039780912455953</v>
      </c>
      <c r="V203" s="585">
        <f t="shared" si="161"/>
        <v>0</v>
      </c>
      <c r="W203" s="585">
        <f t="shared" si="162"/>
        <v>0.55223868547473565</v>
      </c>
    </row>
    <row r="204" spans="1:23">
      <c r="A204" s="123">
        <f>'Input data'!A136</f>
        <v>2038</v>
      </c>
      <c r="B204" s="986">
        <f>'Recycling - Case 2'!AI116*'Recycling - Case 2'!B116</f>
        <v>2605.174506124758</v>
      </c>
      <c r="C204" s="114">
        <f t="shared" si="172"/>
        <v>0.5</v>
      </c>
      <c r="D204" s="114">
        <f t="shared" si="163"/>
        <v>0.5</v>
      </c>
      <c r="E204">
        <v>0</v>
      </c>
      <c r="F204">
        <v>0</v>
      </c>
      <c r="G204" s="989">
        <f t="shared" si="153"/>
        <v>1.0420698024499031</v>
      </c>
      <c r="H204" s="650">
        <f t="shared" si="154"/>
        <v>5.210349012249516</v>
      </c>
      <c r="J204" s="990">
        <f t="shared" si="155"/>
        <v>0.31262094073497093</v>
      </c>
      <c r="K204" s="987">
        <f>'Recycling - Case 2'!C196*'Recycling - Case 2'!Z196</f>
        <v>2075.9426470845929</v>
      </c>
      <c r="L204" s="114">
        <f t="shared" ref="L204" si="201">L203</f>
        <v>0.5</v>
      </c>
      <c r="M204" s="114">
        <f t="shared" si="164"/>
        <v>0.5</v>
      </c>
      <c r="N204">
        <f t="shared" ref="N204:O204" si="202">N202</f>
        <v>0</v>
      </c>
      <c r="O204">
        <f t="shared" si="202"/>
        <v>0</v>
      </c>
      <c r="P204" s="178">
        <f t="shared" si="156"/>
        <v>0.83037705883383717</v>
      </c>
      <c r="Q204" s="512">
        <f t="shared" si="157"/>
        <v>4.1518852941691859</v>
      </c>
      <c r="S204" s="178">
        <f t="shared" si="158"/>
        <v>0.24911311765015115</v>
      </c>
      <c r="T204" s="585">
        <f t="shared" si="159"/>
        <v>1.8724468612837404</v>
      </c>
      <c r="U204" s="585">
        <f t="shared" si="160"/>
        <v>9.3622343064187028</v>
      </c>
      <c r="V204" s="585">
        <f t="shared" si="161"/>
        <v>0</v>
      </c>
      <c r="W204" s="585">
        <f t="shared" si="162"/>
        <v>0.56173405838512203</v>
      </c>
    </row>
    <row r="205" spans="1:23">
      <c r="A205" s="123">
        <f>'Input data'!A137</f>
        <v>2039</v>
      </c>
      <c r="B205" s="986">
        <f>'Recycling - Case 2'!AI117*'Recycling - Case 2'!B117</f>
        <v>2624.247959689545</v>
      </c>
      <c r="C205" s="114">
        <f t="shared" si="172"/>
        <v>0.5</v>
      </c>
      <c r="D205" s="114">
        <f t="shared" si="163"/>
        <v>0.5</v>
      </c>
      <c r="E205">
        <v>0</v>
      </c>
      <c r="F205">
        <v>0</v>
      </c>
      <c r="G205" s="989">
        <f t="shared" si="153"/>
        <v>1.0496991838758181</v>
      </c>
      <c r="H205" s="650">
        <f t="shared" si="154"/>
        <v>5.2484959193790903</v>
      </c>
      <c r="J205" s="990">
        <f t="shared" si="155"/>
        <v>0.31490975516274539</v>
      </c>
      <c r="K205" s="987">
        <f>'Recycling - Case 2'!C197*'Recycling - Case 2'!Z197</f>
        <v>2138.5823371566007</v>
      </c>
      <c r="L205" s="114">
        <f t="shared" ref="L205" si="203">L204</f>
        <v>0.5</v>
      </c>
      <c r="M205" s="114">
        <f t="shared" si="164"/>
        <v>0.5</v>
      </c>
      <c r="N205">
        <f t="shared" ref="N205:O205" si="204">N203</f>
        <v>0</v>
      </c>
      <c r="O205">
        <f t="shared" si="204"/>
        <v>0</v>
      </c>
      <c r="P205" s="178">
        <f t="shared" si="156"/>
        <v>0.85543293486264027</v>
      </c>
      <c r="Q205" s="512">
        <f t="shared" si="157"/>
        <v>4.2771646743132017</v>
      </c>
      <c r="S205" s="178">
        <f t="shared" si="158"/>
        <v>0.25662988045879204</v>
      </c>
      <c r="T205" s="585">
        <f t="shared" si="159"/>
        <v>1.9051321187384582</v>
      </c>
      <c r="U205" s="585">
        <f t="shared" si="160"/>
        <v>9.525660593692292</v>
      </c>
      <c r="V205" s="585">
        <f t="shared" si="161"/>
        <v>0</v>
      </c>
      <c r="W205" s="585">
        <f t="shared" si="162"/>
        <v>0.57153963562153742</v>
      </c>
    </row>
    <row r="206" spans="1:23">
      <c r="A206" s="123">
        <f>'Input data'!A138</f>
        <v>2040</v>
      </c>
      <c r="B206" s="986">
        <f>'Recycling - Case 2'!AI118*'Recycling - Case 2'!B118</f>
        <v>2643.4325207508259</v>
      </c>
      <c r="C206" s="114">
        <f t="shared" ref="C206:C216" si="205">C205</f>
        <v>0.5</v>
      </c>
      <c r="D206" s="114">
        <f t="shared" si="163"/>
        <v>0.5</v>
      </c>
      <c r="E206">
        <v>0</v>
      </c>
      <c r="F206">
        <v>0</v>
      </c>
      <c r="G206" s="989">
        <f t="shared" si="153"/>
        <v>1.0573730083003303</v>
      </c>
      <c r="H206" s="650">
        <f t="shared" si="154"/>
        <v>5.2868650415016516</v>
      </c>
      <c r="J206" s="990">
        <f t="shared" si="155"/>
        <v>0.31721190249009906</v>
      </c>
      <c r="K206" s="987">
        <f>'Recycling - Case 2'!C198*'Recycling - Case 2'!Z198</f>
        <v>2205.0572948951103</v>
      </c>
      <c r="L206" s="114">
        <f t="shared" ref="L206" si="206">L205</f>
        <v>0.5</v>
      </c>
      <c r="M206" s="114">
        <f t="shared" si="164"/>
        <v>0.5</v>
      </c>
      <c r="N206">
        <f t="shared" ref="N206:O206" si="207">N204</f>
        <v>0</v>
      </c>
      <c r="O206">
        <f t="shared" si="207"/>
        <v>0</v>
      </c>
      <c r="P206" s="178">
        <f t="shared" si="156"/>
        <v>0.88202291795804422</v>
      </c>
      <c r="Q206" s="512">
        <f t="shared" si="157"/>
        <v>4.4101145897902203</v>
      </c>
      <c r="S206" s="178">
        <f t="shared" si="158"/>
        <v>0.26460687538741323</v>
      </c>
      <c r="T206" s="585">
        <f t="shared" si="159"/>
        <v>1.9393959262583746</v>
      </c>
      <c r="U206" s="585">
        <f t="shared" si="160"/>
        <v>9.696979631291871</v>
      </c>
      <c r="V206" s="585">
        <f t="shared" si="161"/>
        <v>0</v>
      </c>
      <c r="W206" s="585">
        <f t="shared" si="162"/>
        <v>0.58181877787751235</v>
      </c>
    </row>
    <row r="207" spans="1:23">
      <c r="A207" s="123">
        <f>'Input data'!A139</f>
        <v>2041</v>
      </c>
      <c r="B207" s="986">
        <f>'Recycling - Case 2'!AI119*'Recycling - Case 2'!B119</f>
        <v>2659.8764302319241</v>
      </c>
      <c r="C207" s="114">
        <f t="shared" si="205"/>
        <v>0.5</v>
      </c>
      <c r="D207" s="114">
        <f t="shared" si="163"/>
        <v>0.5</v>
      </c>
      <c r="E207">
        <v>0</v>
      </c>
      <c r="F207">
        <v>0</v>
      </c>
      <c r="G207" s="989">
        <f t="shared" si="153"/>
        <v>1.0639505720927698</v>
      </c>
      <c r="H207" s="650">
        <f t="shared" si="154"/>
        <v>5.319752860463848</v>
      </c>
      <c r="J207" s="990">
        <f t="shared" si="155"/>
        <v>0.31918517162783089</v>
      </c>
      <c r="K207" s="987">
        <f>'Recycling - Case 2'!C199*'Recycling - Case 2'!Z199</f>
        <v>2274.2684990230473</v>
      </c>
      <c r="L207" s="114">
        <f t="shared" ref="L207" si="208">L206</f>
        <v>0.5</v>
      </c>
      <c r="M207" s="114">
        <f t="shared" si="164"/>
        <v>0.5</v>
      </c>
      <c r="N207">
        <f t="shared" ref="N207:O207" si="209">N205</f>
        <v>0</v>
      </c>
      <c r="O207">
        <f t="shared" si="209"/>
        <v>0</v>
      </c>
      <c r="P207" s="178">
        <f t="shared" si="156"/>
        <v>0.90970739960921898</v>
      </c>
      <c r="Q207" s="512">
        <f t="shared" si="157"/>
        <v>4.548536998046095</v>
      </c>
      <c r="S207" s="178">
        <f t="shared" si="158"/>
        <v>0.27291221988276565</v>
      </c>
      <c r="T207" s="585">
        <f t="shared" si="159"/>
        <v>1.9736579717019889</v>
      </c>
      <c r="U207" s="585">
        <f t="shared" si="160"/>
        <v>9.868289858509943</v>
      </c>
      <c r="V207" s="585">
        <f t="shared" si="161"/>
        <v>0</v>
      </c>
      <c r="W207" s="585">
        <f t="shared" si="162"/>
        <v>0.59209739151059648</v>
      </c>
    </row>
    <row r="208" spans="1:23">
      <c r="A208" s="123">
        <f>'Input data'!A140</f>
        <v>2042</v>
      </c>
      <c r="B208" s="986">
        <f>'Recycling - Case 2'!AI120*'Recycling - Case 2'!B120</f>
        <v>2676.3944113773509</v>
      </c>
      <c r="C208" s="114">
        <f t="shared" si="205"/>
        <v>0.5</v>
      </c>
      <c r="D208" s="114">
        <f t="shared" si="163"/>
        <v>0.5</v>
      </c>
      <c r="E208">
        <v>0</v>
      </c>
      <c r="F208">
        <v>0</v>
      </c>
      <c r="G208" s="989">
        <f t="shared" si="153"/>
        <v>1.0705577645509403</v>
      </c>
      <c r="H208" s="650">
        <f t="shared" si="154"/>
        <v>5.352788822754702</v>
      </c>
      <c r="J208" s="990">
        <f t="shared" si="155"/>
        <v>0.32116732936528214</v>
      </c>
      <c r="K208" s="987">
        <f>'Recycling - Case 2'!C200*'Recycling - Case 2'!Z200</f>
        <v>2346.4330401630441</v>
      </c>
      <c r="L208" s="114">
        <f t="shared" ref="L208" si="210">L207</f>
        <v>0.5</v>
      </c>
      <c r="M208" s="114">
        <f t="shared" si="164"/>
        <v>0.5</v>
      </c>
      <c r="N208">
        <f t="shared" ref="N208:O208" si="211">N206</f>
        <v>0</v>
      </c>
      <c r="O208">
        <f t="shared" si="211"/>
        <v>0</v>
      </c>
      <c r="P208" s="178">
        <f t="shared" si="156"/>
        <v>0.93857321606521771</v>
      </c>
      <c r="Q208" s="512">
        <f t="shared" si="157"/>
        <v>4.6928660803260884</v>
      </c>
      <c r="S208" s="178">
        <f t="shared" si="158"/>
        <v>0.28157196481956526</v>
      </c>
      <c r="T208" s="585">
        <f t="shared" si="159"/>
        <v>2.0091309806161579</v>
      </c>
      <c r="U208" s="585">
        <f t="shared" si="160"/>
        <v>10.045654903080791</v>
      </c>
      <c r="V208" s="585">
        <f t="shared" si="161"/>
        <v>0</v>
      </c>
      <c r="W208" s="585">
        <f t="shared" si="162"/>
        <v>0.6027392941848474</v>
      </c>
    </row>
    <row r="209" spans="1:23">
      <c r="A209" s="123">
        <f>'Input data'!A141</f>
        <v>2043</v>
      </c>
      <c r="B209" s="986">
        <f>'Recycling - Case 2'!AI121*'Recycling - Case 2'!B121</f>
        <v>2693.023500019272</v>
      </c>
      <c r="C209" s="114">
        <f t="shared" si="205"/>
        <v>0.5</v>
      </c>
      <c r="D209" s="114">
        <f t="shared" si="163"/>
        <v>0.5</v>
      </c>
      <c r="E209">
        <v>0</v>
      </c>
      <c r="F209">
        <v>0</v>
      </c>
      <c r="G209" s="989">
        <f t="shared" si="153"/>
        <v>1.0772094000077088</v>
      </c>
      <c r="H209" s="650">
        <f t="shared" si="154"/>
        <v>5.3860470000385439</v>
      </c>
      <c r="J209" s="990">
        <f t="shared" si="155"/>
        <v>0.32316282000231261</v>
      </c>
      <c r="K209" s="987">
        <f>'Recycling - Case 2'!C201*'Recycling - Case 2'!Z201</f>
        <v>2421.3700094629057</v>
      </c>
      <c r="L209" s="114">
        <f t="shared" ref="L209" si="212">L208</f>
        <v>0.5</v>
      </c>
      <c r="M209" s="114">
        <f t="shared" si="164"/>
        <v>0.5</v>
      </c>
      <c r="N209">
        <f t="shared" ref="N209:O209" si="213">N207</f>
        <v>0</v>
      </c>
      <c r="O209">
        <f t="shared" si="213"/>
        <v>0</v>
      </c>
      <c r="P209" s="178">
        <f t="shared" si="156"/>
        <v>0.96854800378516237</v>
      </c>
      <c r="Q209" s="512">
        <f t="shared" si="157"/>
        <v>4.8427400189258112</v>
      </c>
      <c r="S209" s="178">
        <f t="shared" si="158"/>
        <v>0.29056440113554866</v>
      </c>
      <c r="T209" s="585">
        <f t="shared" si="159"/>
        <v>2.0457574037928712</v>
      </c>
      <c r="U209" s="585">
        <f t="shared" si="160"/>
        <v>10.228787018964354</v>
      </c>
      <c r="V209" s="585">
        <f t="shared" si="161"/>
        <v>0</v>
      </c>
      <c r="W209" s="585">
        <f t="shared" si="162"/>
        <v>0.61372722113786127</v>
      </c>
    </row>
    <row r="210" spans="1:23">
      <c r="A210" s="123">
        <f>'Input data'!A142</f>
        <v>2044</v>
      </c>
      <c r="B210" s="986">
        <f>'Recycling - Case 2'!AI122*'Recycling - Case 2'!B122</f>
        <v>2709.726660325523</v>
      </c>
      <c r="C210" s="114">
        <f t="shared" si="205"/>
        <v>0.5</v>
      </c>
      <c r="D210" s="114">
        <f t="shared" si="163"/>
        <v>0.5</v>
      </c>
      <c r="E210">
        <v>0</v>
      </c>
      <c r="F210">
        <v>0</v>
      </c>
      <c r="G210" s="989">
        <f t="shared" si="153"/>
        <v>1.0838906641302093</v>
      </c>
      <c r="H210" s="650">
        <f t="shared" si="154"/>
        <v>5.419453320651046</v>
      </c>
      <c r="J210" s="990">
        <f t="shared" si="155"/>
        <v>0.32516719923906279</v>
      </c>
      <c r="K210" s="987">
        <f>'Recycling - Case 2'!C202*'Recycling - Case 2'!Z202</f>
        <v>2499.4819291187655</v>
      </c>
      <c r="L210" s="114">
        <f t="shared" ref="L210" si="214">L209</f>
        <v>0.5</v>
      </c>
      <c r="M210" s="114">
        <f t="shared" si="164"/>
        <v>0.5</v>
      </c>
      <c r="N210">
        <f t="shared" ref="N210:O210" si="215">N208</f>
        <v>0</v>
      </c>
      <c r="O210">
        <f t="shared" si="215"/>
        <v>0</v>
      </c>
      <c r="P210" s="178">
        <f t="shared" si="156"/>
        <v>0.99979277164750624</v>
      </c>
      <c r="Q210" s="512">
        <f t="shared" si="157"/>
        <v>4.9989638582375306</v>
      </c>
      <c r="S210" s="178">
        <f t="shared" si="158"/>
        <v>0.29993783149425185</v>
      </c>
      <c r="T210" s="585">
        <f t="shared" si="159"/>
        <v>2.0836834357777154</v>
      </c>
      <c r="U210" s="585">
        <f t="shared" si="160"/>
        <v>10.418417178888577</v>
      </c>
      <c r="V210" s="585">
        <f t="shared" si="161"/>
        <v>0</v>
      </c>
      <c r="W210" s="585">
        <f t="shared" si="162"/>
        <v>0.62510503073331458</v>
      </c>
    </row>
    <row r="211" spans="1:23">
      <c r="A211" s="123">
        <f>'Input data'!A143</f>
        <v>2045</v>
      </c>
      <c r="B211" s="986">
        <f>'Recycling - Case 2'!AI123*'Recycling - Case 2'!B123</f>
        <v>2726.5779639604316</v>
      </c>
      <c r="C211" s="114">
        <f t="shared" si="205"/>
        <v>0.5</v>
      </c>
      <c r="D211" s="114">
        <f t="shared" si="163"/>
        <v>0.5</v>
      </c>
      <c r="E211">
        <v>0</v>
      </c>
      <c r="F211">
        <v>0</v>
      </c>
      <c r="G211" s="989">
        <f t="shared" si="153"/>
        <v>1.0906311855841728</v>
      </c>
      <c r="H211" s="650">
        <f t="shared" si="154"/>
        <v>5.4531559279208635</v>
      </c>
      <c r="J211" s="990">
        <f t="shared" si="155"/>
        <v>0.32718935567525176</v>
      </c>
      <c r="K211" s="987">
        <f>'Recycling - Case 2'!C203*'Recycling - Case 2'!Z203</f>
        <v>2582.4422060134098</v>
      </c>
      <c r="L211" s="114">
        <f t="shared" ref="L211" si="216">L210</f>
        <v>0.5</v>
      </c>
      <c r="M211" s="114">
        <f t="shared" si="164"/>
        <v>0.5</v>
      </c>
      <c r="N211">
        <f t="shared" ref="N211:O211" si="217">N209</f>
        <v>0</v>
      </c>
      <c r="O211">
        <f t="shared" si="217"/>
        <v>0</v>
      </c>
      <c r="P211" s="178">
        <f t="shared" si="156"/>
        <v>1.032976882405364</v>
      </c>
      <c r="Q211" s="512">
        <f t="shared" si="157"/>
        <v>5.1648844120268196</v>
      </c>
      <c r="S211" s="178">
        <f t="shared" si="158"/>
        <v>0.30989306472160916</v>
      </c>
      <c r="T211" s="585">
        <f t="shared" si="159"/>
        <v>2.1236080679895366</v>
      </c>
      <c r="U211" s="585">
        <f t="shared" si="160"/>
        <v>10.618040339947683</v>
      </c>
      <c r="V211" s="585">
        <f t="shared" si="161"/>
        <v>0</v>
      </c>
      <c r="W211" s="585">
        <f t="shared" si="162"/>
        <v>0.63708242039686092</v>
      </c>
    </row>
    <row r="212" spans="1:23">
      <c r="A212" s="123">
        <f>'Input data'!A144</f>
        <v>2046</v>
      </c>
      <c r="B212" s="986">
        <f>'Recycling - Case 2'!AI124*'Recycling - Case 2'!B124</f>
        <v>2740.46640102217</v>
      </c>
      <c r="C212" s="114">
        <f t="shared" si="205"/>
        <v>0.5</v>
      </c>
      <c r="D212" s="114">
        <f t="shared" si="163"/>
        <v>0.5</v>
      </c>
      <c r="E212">
        <v>0</v>
      </c>
      <c r="F212">
        <v>0</v>
      </c>
      <c r="G212" s="989">
        <f t="shared" si="153"/>
        <v>1.0961865604088681</v>
      </c>
      <c r="H212" s="650">
        <f t="shared" si="154"/>
        <v>5.4809328020443395</v>
      </c>
      <c r="J212" s="990">
        <f t="shared" si="155"/>
        <v>0.32885596812266038</v>
      </c>
      <c r="K212" s="987">
        <f>'Recycling - Case 2'!C204*'Recycling - Case 2'!Z204</f>
        <v>2669.5045911315424</v>
      </c>
      <c r="L212" s="114">
        <f t="shared" ref="L212" si="218">L211</f>
        <v>0.5</v>
      </c>
      <c r="M212" s="114">
        <f t="shared" si="164"/>
        <v>0.5</v>
      </c>
      <c r="N212">
        <f t="shared" ref="N212:O212" si="219">N210</f>
        <v>0</v>
      </c>
      <c r="O212">
        <f t="shared" si="219"/>
        <v>0</v>
      </c>
      <c r="P212" s="178">
        <f t="shared" si="156"/>
        <v>1.0678018364526169</v>
      </c>
      <c r="Q212" s="512">
        <f t="shared" si="157"/>
        <v>5.3390091822630845</v>
      </c>
      <c r="S212" s="178">
        <f t="shared" si="158"/>
        <v>0.32034055093578506</v>
      </c>
      <c r="T212" s="585">
        <f t="shared" si="159"/>
        <v>2.1639883968614848</v>
      </c>
      <c r="U212" s="585">
        <f t="shared" si="160"/>
        <v>10.819941984307423</v>
      </c>
      <c r="V212" s="585">
        <f t="shared" si="161"/>
        <v>0</v>
      </c>
      <c r="W212" s="585">
        <f t="shared" si="162"/>
        <v>0.64919651905844544</v>
      </c>
    </row>
    <row r="213" spans="1:23">
      <c r="A213" s="123">
        <f>'Input data'!A145</f>
        <v>2047</v>
      </c>
      <c r="B213" s="986">
        <f>'Recycling - Case 2'!AI125*'Recycling - Case 2'!B125</f>
        <v>2754.4659455804021</v>
      </c>
      <c r="C213" s="114">
        <f t="shared" si="205"/>
        <v>0.5</v>
      </c>
      <c r="D213" s="114">
        <f t="shared" si="163"/>
        <v>0.5</v>
      </c>
      <c r="E213">
        <v>0</v>
      </c>
      <c r="F213">
        <v>0</v>
      </c>
      <c r="G213" s="989">
        <f t="shared" si="153"/>
        <v>1.1017863782321609</v>
      </c>
      <c r="H213" s="650">
        <f t="shared" si="154"/>
        <v>5.5089318911608043</v>
      </c>
      <c r="J213" s="990">
        <f t="shared" si="155"/>
        <v>0.33053591346964822</v>
      </c>
      <c r="K213" s="987">
        <f>'Recycling - Case 2'!C205*'Recycling - Case 2'!Z205</f>
        <v>2760.7233571288211</v>
      </c>
      <c r="L213" s="114">
        <f t="shared" ref="L213" si="220">L212</f>
        <v>0.5</v>
      </c>
      <c r="M213" s="114">
        <f t="shared" si="164"/>
        <v>0.5</v>
      </c>
      <c r="N213">
        <f t="shared" ref="N213:O213" si="221">N211</f>
        <v>0</v>
      </c>
      <c r="O213">
        <f t="shared" si="221"/>
        <v>0</v>
      </c>
      <c r="P213" s="178">
        <f t="shared" si="156"/>
        <v>1.1042893428515286</v>
      </c>
      <c r="Q213" s="512">
        <f t="shared" si="157"/>
        <v>5.5214467142576424</v>
      </c>
      <c r="S213" s="178">
        <f t="shared" si="158"/>
        <v>0.33128680285545853</v>
      </c>
      <c r="T213" s="585">
        <f t="shared" si="159"/>
        <v>2.2060757210836894</v>
      </c>
      <c r="U213" s="585">
        <f t="shared" si="160"/>
        <v>11.030378605418447</v>
      </c>
      <c r="V213" s="585">
        <f t="shared" si="161"/>
        <v>0</v>
      </c>
      <c r="W213" s="585">
        <f t="shared" si="162"/>
        <v>0.6618227163251067</v>
      </c>
    </row>
    <row r="214" spans="1:23">
      <c r="A214" s="123">
        <f>'Input data'!A146</f>
        <v>2048</v>
      </c>
      <c r="B214" s="986">
        <f>'Recycling - Case 2'!AI126*'Recycling - Case 2'!B126</f>
        <v>2768.5395618029629</v>
      </c>
      <c r="C214" s="114">
        <f t="shared" si="205"/>
        <v>0.5</v>
      </c>
      <c r="D214" s="114">
        <f t="shared" si="163"/>
        <v>0.5</v>
      </c>
      <c r="E214">
        <v>0</v>
      </c>
      <c r="F214">
        <v>0</v>
      </c>
      <c r="G214" s="989">
        <f t="shared" si="153"/>
        <v>1.1074158247211852</v>
      </c>
      <c r="H214" s="650">
        <f t="shared" si="154"/>
        <v>5.5370791236059258</v>
      </c>
      <c r="J214" s="990">
        <f t="shared" si="155"/>
        <v>0.33222474741635549</v>
      </c>
      <c r="K214" s="987">
        <f>'Recycling - Case 2'!C206*'Recycling - Case 2'!Z206</f>
        <v>2852.9913944688233</v>
      </c>
      <c r="L214" s="114">
        <f t="shared" ref="L214" si="222">L213</f>
        <v>0.5</v>
      </c>
      <c r="M214" s="114">
        <f t="shared" si="164"/>
        <v>0.5</v>
      </c>
      <c r="N214">
        <f t="shared" ref="N214:O214" si="223">N212</f>
        <v>0</v>
      </c>
      <c r="O214">
        <f t="shared" si="223"/>
        <v>0</v>
      </c>
      <c r="P214" s="178">
        <f t="shared" si="156"/>
        <v>1.1411965577875294</v>
      </c>
      <c r="Q214" s="512">
        <f t="shared" si="157"/>
        <v>5.7059827889376464</v>
      </c>
      <c r="S214" s="178">
        <f t="shared" si="158"/>
        <v>0.34235896733625881</v>
      </c>
      <c r="T214" s="585">
        <f t="shared" si="159"/>
        <v>2.2486123825087145</v>
      </c>
      <c r="U214" s="585">
        <f t="shared" si="160"/>
        <v>11.243061912543572</v>
      </c>
      <c r="V214" s="585">
        <f t="shared" si="161"/>
        <v>0</v>
      </c>
      <c r="W214" s="585">
        <f t="shared" si="162"/>
        <v>0.67458371475261436</v>
      </c>
    </row>
    <row r="215" spans="1:23">
      <c r="A215" s="123">
        <f>'Input data'!A147</f>
        <v>2049</v>
      </c>
      <c r="B215" s="986">
        <f>'Recycling - Case 2'!AI127*'Recycling - Case 2'!B127</f>
        <v>2782.6502138576889</v>
      </c>
      <c r="C215" s="114">
        <f t="shared" si="205"/>
        <v>0.5</v>
      </c>
      <c r="D215" s="114">
        <f t="shared" si="163"/>
        <v>0.5</v>
      </c>
      <c r="E215">
        <v>0</v>
      </c>
      <c r="F215">
        <v>0</v>
      </c>
      <c r="G215" s="989">
        <f t="shared" si="153"/>
        <v>1.1130600855430755</v>
      </c>
      <c r="H215" s="650">
        <f t="shared" si="154"/>
        <v>5.5653004277153775</v>
      </c>
      <c r="J215" s="990">
        <f t="shared" si="155"/>
        <v>0.33391802566292267</v>
      </c>
      <c r="K215" s="987">
        <f>'Recycling - Case 2'!C207*'Recycling - Case 2'!Z207</f>
        <v>2949.8092894414926</v>
      </c>
      <c r="L215" s="114">
        <f t="shared" ref="L215" si="224">L214</f>
        <v>0.5</v>
      </c>
      <c r="M215" s="114">
        <f t="shared" si="164"/>
        <v>0.5</v>
      </c>
      <c r="N215">
        <f t="shared" ref="N215:O215" si="225">N213</f>
        <v>0</v>
      </c>
      <c r="O215">
        <f t="shared" si="225"/>
        <v>0</v>
      </c>
      <c r="P215" s="178">
        <f t="shared" si="156"/>
        <v>1.1799237157765972</v>
      </c>
      <c r="Q215" s="512">
        <f t="shared" si="157"/>
        <v>5.8996185788829854</v>
      </c>
      <c r="S215" s="178">
        <f t="shared" si="158"/>
        <v>0.3539771147329791</v>
      </c>
      <c r="T215" s="585">
        <f t="shared" si="159"/>
        <v>2.2929838013196724</v>
      </c>
      <c r="U215" s="585">
        <f t="shared" si="160"/>
        <v>11.464919006598363</v>
      </c>
      <c r="V215" s="585">
        <f t="shared" si="161"/>
        <v>0</v>
      </c>
      <c r="W215" s="585">
        <f t="shared" si="162"/>
        <v>0.68789514039590172</v>
      </c>
    </row>
    <row r="216" spans="1:23">
      <c r="A216" s="123">
        <f>'Input data'!A148</f>
        <v>2050</v>
      </c>
      <c r="B216" s="986">
        <f>'Recycling - Case 2'!AI128*'Recycling - Case 2'!B128</f>
        <v>2796.8719734089091</v>
      </c>
      <c r="C216" s="114">
        <f t="shared" si="205"/>
        <v>0.5</v>
      </c>
      <c r="D216" s="114">
        <f t="shared" si="163"/>
        <v>0.5</v>
      </c>
      <c r="E216">
        <v>0</v>
      </c>
      <c r="F216">
        <v>0</v>
      </c>
      <c r="G216" s="989">
        <f t="shared" si="153"/>
        <v>1.1187487893635637</v>
      </c>
      <c r="H216" s="650">
        <f t="shared" si="154"/>
        <v>5.5937439468178178</v>
      </c>
      <c r="J216" s="990">
        <f t="shared" si="155"/>
        <v>0.33562463680906912</v>
      </c>
      <c r="K216" s="987">
        <f>'Recycling - Case 2'!C208*'Recycling - Case 2'!Z208</f>
        <v>3051.538859751216</v>
      </c>
      <c r="L216" s="114">
        <f t="shared" ref="L216" si="226">L215</f>
        <v>0.5</v>
      </c>
      <c r="M216" s="114">
        <f t="shared" si="164"/>
        <v>0.5</v>
      </c>
      <c r="N216">
        <f t="shared" ref="N216:O216" si="227">N214</f>
        <v>0</v>
      </c>
      <c r="O216">
        <f t="shared" si="227"/>
        <v>0</v>
      </c>
      <c r="P216" s="178">
        <f t="shared" si="156"/>
        <v>1.2206155439004864</v>
      </c>
      <c r="Q216" s="512">
        <f t="shared" si="157"/>
        <v>6.1030777195024317</v>
      </c>
      <c r="S216" s="178">
        <f t="shared" si="158"/>
        <v>0.36618466317014586</v>
      </c>
      <c r="T216" s="585">
        <f t="shared" si="159"/>
        <v>2.3393643332640499</v>
      </c>
      <c r="U216" s="585">
        <f t="shared" si="160"/>
        <v>11.69682166632025</v>
      </c>
      <c r="V216" s="585">
        <f t="shared" si="161"/>
        <v>0</v>
      </c>
      <c r="W216" s="585">
        <f t="shared" si="162"/>
        <v>0.70180929997921493</v>
      </c>
    </row>
    <row r="217" spans="1:23">
      <c r="A217" s="988" t="s">
        <v>776</v>
      </c>
    </row>
    <row r="218" spans="1:23">
      <c r="A218" s="123">
        <f>'Input data'!A116</f>
        <v>2018</v>
      </c>
      <c r="B218" s="986">
        <f>'Recycling - Case 3'!AI96*'Recycling - Case 3'!B96</f>
        <v>3621.0946455823168</v>
      </c>
      <c r="C218" s="114">
        <f>($C$222-$C$80)/($A$222-$A$80)+C80</f>
        <v>0.14000000000000001</v>
      </c>
      <c r="D218" s="114">
        <f>($D$222-$D$80)/($A$222-$A$80)+D80</f>
        <v>0.86</v>
      </c>
      <c r="E218">
        <v>0</v>
      </c>
      <c r="F218">
        <v>0</v>
      </c>
      <c r="G218" s="989">
        <f>C218*$D$5*B218/1000-E218</f>
        <v>0.40556260030521951</v>
      </c>
      <c r="H218" s="650">
        <f>D218*$D$4*B218/1000-F218</f>
        <v>12.45656558080317</v>
      </c>
      <c r="J218" s="990">
        <f>D218*$D$7*B218/1000</f>
        <v>0.74739393484819017</v>
      </c>
      <c r="K218" s="987">
        <f>'Recycling - Case 3'!W136*'Recycling - Case 3'!AG136*'Recycling - Case 3'!C136</f>
        <v>6276.594385471285</v>
      </c>
      <c r="L218" s="114">
        <f>($L$222-$L$80)/($A$222-$A$80)+L80</f>
        <v>0.14000000000000001</v>
      </c>
      <c r="M218" s="114">
        <f>($M$222-$M$80)/($A$222-$A$80)+M80</f>
        <v>0.86</v>
      </c>
      <c r="N218">
        <f t="shared" ref="N218:O223" si="228">N80</f>
        <v>0</v>
      </c>
      <c r="O218">
        <f t="shared" si="228"/>
        <v>0</v>
      </c>
      <c r="P218" s="178">
        <f t="shared" ref="P218:P250" si="229">L218*$D$5*K218/1000-N218</f>
        <v>0.70297857117278395</v>
      </c>
      <c r="Q218" s="512">
        <f t="shared" ref="Q218:Q250" si="230">M218*$D$4*K218/1000-O218</f>
        <v>21.591484686021222</v>
      </c>
      <c r="S218" s="178">
        <f t="shared" ref="S218:S250" si="231">M218*$D$7*K218/1000</f>
        <v>1.2954890811612731</v>
      </c>
      <c r="T218" s="585">
        <f t="shared" ref="T218:T250" si="232">G218+P218</f>
        <v>1.1085411714780036</v>
      </c>
      <c r="U218" s="585">
        <f t="shared" ref="U218:U250" si="233">H218+Q218</f>
        <v>34.04805026682439</v>
      </c>
      <c r="V218" s="585">
        <f t="shared" ref="V218:V250" si="234">I218+R218</f>
        <v>0</v>
      </c>
      <c r="W218" s="585">
        <f t="shared" ref="W218:W250" si="235">J218+S218</f>
        <v>2.0428830160094633</v>
      </c>
    </row>
    <row r="219" spans="1:23">
      <c r="A219" s="123">
        <f>'Input data'!A117</f>
        <v>2019</v>
      </c>
      <c r="B219" s="986">
        <f>'Recycling - Case 3'!AI97*'Recycling - Case 3'!B97</f>
        <v>3920.8675148070129</v>
      </c>
      <c r="C219" s="114">
        <f>($C$222-$C$80)/($A$222-$A$80)+C218</f>
        <v>0.23</v>
      </c>
      <c r="D219" s="114">
        <f>($D$222-$D$80)/($A$222-$A$80)+D218</f>
        <v>0.77</v>
      </c>
      <c r="E219">
        <v>0</v>
      </c>
      <c r="F219">
        <v>0</v>
      </c>
      <c r="G219" s="989">
        <f t="shared" ref="G219:G250" si="236">C219*$D$5*B219/1000-E219</f>
        <v>0.72143962272449047</v>
      </c>
      <c r="H219" s="650">
        <f t="shared" ref="H219:H250" si="237">D219*$D$4*B219/1000-F219</f>
        <v>12.076271945605599</v>
      </c>
      <c r="J219" s="990">
        <f t="shared" ref="J219:J250" si="238">D219*$D$7*B219/1000</f>
        <v>0.72457631673633593</v>
      </c>
      <c r="K219" s="987">
        <f>'Recycling - Case 3'!W137*'Recycling - Case 3'!AG137*'Recycling - Case 3'!C137</f>
        <v>6352.957558133503</v>
      </c>
      <c r="L219" s="114">
        <f>($L$222-$L$80)/($A$222-$A$80)+L218</f>
        <v>0.23</v>
      </c>
      <c r="M219" s="114">
        <f>($M$222-$M$80)/($A$222-$A$80)+M218</f>
        <v>0.77</v>
      </c>
      <c r="N219">
        <f t="shared" si="228"/>
        <v>0</v>
      </c>
      <c r="O219">
        <f t="shared" si="228"/>
        <v>0</v>
      </c>
      <c r="P219" s="178">
        <f t="shared" si="229"/>
        <v>1.1689441906965647</v>
      </c>
      <c r="Q219" s="512">
        <f t="shared" si="230"/>
        <v>19.567109279051191</v>
      </c>
      <c r="S219" s="178">
        <f t="shared" si="231"/>
        <v>1.1740265567430712</v>
      </c>
      <c r="T219" s="585">
        <f t="shared" si="232"/>
        <v>1.8903838134210553</v>
      </c>
      <c r="U219" s="585">
        <f t="shared" si="233"/>
        <v>31.643381224656792</v>
      </c>
      <c r="V219" s="585">
        <f t="shared" si="234"/>
        <v>0</v>
      </c>
      <c r="W219" s="585">
        <f t="shared" si="235"/>
        <v>1.8986028734794071</v>
      </c>
    </row>
    <row r="220" spans="1:23">
      <c r="A220" s="123">
        <f>'Input data'!A118</f>
        <v>2020</v>
      </c>
      <c r="B220" s="986">
        <f>'Recycling - Case 3'!AI98*'Recycling - Case 3'!B98</f>
        <v>4489.6146062493435</v>
      </c>
      <c r="C220" s="114">
        <f>($C$222-$C$80)/($A$222-$A$80)+C219</f>
        <v>0.32</v>
      </c>
      <c r="D220" s="114">
        <f>($D$222-$D$80)/($A$222-$A$80)+D219</f>
        <v>0.68</v>
      </c>
      <c r="E220">
        <v>0</v>
      </c>
      <c r="F220">
        <v>0</v>
      </c>
      <c r="G220" s="989">
        <f t="shared" si="236"/>
        <v>1.1493413391998319</v>
      </c>
      <c r="H220" s="650">
        <f t="shared" si="237"/>
        <v>12.211751728998216</v>
      </c>
      <c r="J220" s="990">
        <f t="shared" si="238"/>
        <v>0.73270510373989295</v>
      </c>
      <c r="K220" s="987">
        <f>'Recycling - Case 3'!W138*'Recycling - Case 3'!AG138*'Recycling - Case 3'!C138</f>
        <v>5085.1995396120392</v>
      </c>
      <c r="L220" s="114">
        <f>($L$222-$L$80)/($A$222-$A$80)+L219</f>
        <v>0.32</v>
      </c>
      <c r="M220" s="114">
        <f>($M$222-$M$80)/($A$222-$A$80)+M219</f>
        <v>0.68</v>
      </c>
      <c r="N220">
        <f t="shared" si="228"/>
        <v>0</v>
      </c>
      <c r="O220">
        <f t="shared" si="228"/>
        <v>0</v>
      </c>
      <c r="P220" s="178">
        <f t="shared" si="229"/>
        <v>1.3018110821406819</v>
      </c>
      <c r="Q220" s="512">
        <f t="shared" si="230"/>
        <v>13.831742747744748</v>
      </c>
      <c r="S220" s="178">
        <f t="shared" si="231"/>
        <v>0.82990456486468489</v>
      </c>
      <c r="T220" s="585">
        <f t="shared" si="232"/>
        <v>2.451152421340514</v>
      </c>
      <c r="U220" s="585">
        <f t="shared" si="233"/>
        <v>26.043494476742964</v>
      </c>
      <c r="V220" s="585">
        <f t="shared" si="234"/>
        <v>0</v>
      </c>
      <c r="W220" s="585">
        <f t="shared" si="235"/>
        <v>1.5626096686045778</v>
      </c>
    </row>
    <row r="221" spans="1:23">
      <c r="A221" s="123">
        <f>'Input data'!A119</f>
        <v>2021</v>
      </c>
      <c r="B221" s="986">
        <f>'Recycling - Case 3'!AI99*'Recycling - Case 3'!B99</f>
        <v>5342.7306030456248</v>
      </c>
      <c r="C221" s="114">
        <f>($C$222-$C$80)/($A$222-$A$80)+C220</f>
        <v>0.41000000000000003</v>
      </c>
      <c r="D221" s="114">
        <f>($D$222-$D$80)/($A$222-$A$80)+D220</f>
        <v>0.59000000000000008</v>
      </c>
      <c r="E221">
        <v>0</v>
      </c>
      <c r="F221">
        <v>0</v>
      </c>
      <c r="G221" s="989">
        <f t="shared" si="236"/>
        <v>1.7524156377989653</v>
      </c>
      <c r="H221" s="650">
        <f t="shared" si="237"/>
        <v>12.608844223187676</v>
      </c>
      <c r="J221" s="990">
        <f t="shared" si="238"/>
        <v>0.75653065339126047</v>
      </c>
      <c r="K221" s="987">
        <f>'Recycling - Case 3'!W139*'Recycling - Case 3'!AG139*'Recycling - Case 3'!C139</f>
        <v>2972.5052686726212</v>
      </c>
      <c r="L221" s="114">
        <f>($L$222-$L$80)/($A$222-$A$80)+L220</f>
        <v>0.41000000000000003</v>
      </c>
      <c r="M221" s="114">
        <f>($M$222-$M$80)/($A$222-$A$80)+M220</f>
        <v>0.59000000000000008</v>
      </c>
      <c r="N221">
        <f t="shared" si="228"/>
        <v>0</v>
      </c>
      <c r="O221">
        <f t="shared" si="228"/>
        <v>0</v>
      </c>
      <c r="P221" s="178">
        <f t="shared" si="229"/>
        <v>0.97498172812461992</v>
      </c>
      <c r="Q221" s="512">
        <f t="shared" si="230"/>
        <v>7.0151124340673867</v>
      </c>
      <c r="S221" s="178">
        <f t="shared" si="231"/>
        <v>0.42090674604404321</v>
      </c>
      <c r="T221" s="585">
        <f t="shared" si="232"/>
        <v>2.7273973659235851</v>
      </c>
      <c r="U221" s="585">
        <f t="shared" si="233"/>
        <v>19.623956657255064</v>
      </c>
      <c r="V221" s="585">
        <f t="shared" si="234"/>
        <v>0</v>
      </c>
      <c r="W221" s="585">
        <f t="shared" si="235"/>
        <v>1.1774373994353038</v>
      </c>
    </row>
    <row r="222" spans="1:23">
      <c r="A222" s="123">
        <f>'Input data'!A120</f>
        <v>2022</v>
      </c>
      <c r="B222" s="986">
        <f>'Recycling - Case 3'!AI100*'Recycling - Case 3'!B100</f>
        <v>5021.1547579907265</v>
      </c>
      <c r="C222" s="114">
        <f>'Recycling - Case 3'!G31</f>
        <v>0.5</v>
      </c>
      <c r="D222" s="114">
        <f>'Recycling - Case 3'!H31</f>
        <v>0.5</v>
      </c>
      <c r="E222">
        <v>0</v>
      </c>
      <c r="F222">
        <v>0</v>
      </c>
      <c r="G222" s="989">
        <f t="shared" si="236"/>
        <v>2.0084619031962907</v>
      </c>
      <c r="H222" s="650">
        <f t="shared" si="237"/>
        <v>10.042309515981453</v>
      </c>
      <c r="J222" s="990">
        <f t="shared" si="238"/>
        <v>0.60253857095888719</v>
      </c>
      <c r="K222" s="987">
        <f>'Recycling - Case 3'!W140*'Recycling - Case 3'!AG140*'Recycling - Case 3'!C140</f>
        <v>1391.7317999247739</v>
      </c>
      <c r="L222" s="114">
        <f>'Recycling - Case 3'!G31</f>
        <v>0.5</v>
      </c>
      <c r="M222" s="114">
        <f>'Recycling - Case 3'!H31</f>
        <v>0.5</v>
      </c>
      <c r="N222">
        <f t="shared" si="228"/>
        <v>0</v>
      </c>
      <c r="O222">
        <f t="shared" si="228"/>
        <v>0</v>
      </c>
      <c r="P222" s="178">
        <f t="shared" si="229"/>
        <v>0.55669271996990966</v>
      </c>
      <c r="Q222" s="512">
        <f t="shared" si="230"/>
        <v>2.7834635998495476</v>
      </c>
      <c r="S222" s="178">
        <f t="shared" si="231"/>
        <v>0.16700781599097286</v>
      </c>
      <c r="T222" s="585">
        <f t="shared" si="232"/>
        <v>2.5651546231662001</v>
      </c>
      <c r="U222" s="585">
        <f t="shared" si="233"/>
        <v>12.825773115831</v>
      </c>
      <c r="V222" s="585">
        <f t="shared" si="234"/>
        <v>0</v>
      </c>
      <c r="W222" s="585">
        <f t="shared" si="235"/>
        <v>0.76954638694986</v>
      </c>
    </row>
    <row r="223" spans="1:23">
      <c r="A223" s="123">
        <f>'Input data'!A121</f>
        <v>2023</v>
      </c>
      <c r="B223" s="986">
        <f>'Recycling - Case 3'!AI101*'Recycling - Case 3'!B101</f>
        <v>4838.5591386232072</v>
      </c>
      <c r="C223" s="114">
        <f>C222</f>
        <v>0.5</v>
      </c>
      <c r="D223" s="114">
        <f>D222</f>
        <v>0.5</v>
      </c>
      <c r="E223">
        <v>0</v>
      </c>
      <c r="F223">
        <v>0</v>
      </c>
      <c r="G223" s="989">
        <f t="shared" si="236"/>
        <v>1.935423655449283</v>
      </c>
      <c r="H223" s="650">
        <f t="shared" si="237"/>
        <v>9.6771182772464144</v>
      </c>
      <c r="J223" s="990">
        <f t="shared" si="238"/>
        <v>0.58062709663478485</v>
      </c>
      <c r="K223" s="987">
        <f>'Recycling - Case 3'!W141*'Recycling - Case 3'!AG141*'Recycling - Case 3'!C141</f>
        <v>1420.410375718752</v>
      </c>
      <c r="L223" s="114">
        <f>L222</f>
        <v>0.5</v>
      </c>
      <c r="M223" s="114">
        <f>M222</f>
        <v>0.5</v>
      </c>
      <c r="N223">
        <f t="shared" si="228"/>
        <v>0</v>
      </c>
      <c r="O223">
        <f t="shared" si="228"/>
        <v>0</v>
      </c>
      <c r="P223" s="178">
        <f t="shared" si="229"/>
        <v>0.56816415028750078</v>
      </c>
      <c r="Q223" s="512">
        <f t="shared" si="230"/>
        <v>2.8408207514375041</v>
      </c>
      <c r="S223" s="178">
        <f t="shared" si="231"/>
        <v>0.17044924508625026</v>
      </c>
      <c r="T223" s="585">
        <f t="shared" si="232"/>
        <v>2.5035878057367835</v>
      </c>
      <c r="U223" s="585">
        <f t="shared" si="233"/>
        <v>12.517939028683919</v>
      </c>
      <c r="V223" s="585">
        <f t="shared" si="234"/>
        <v>0</v>
      </c>
      <c r="W223" s="585">
        <f t="shared" si="235"/>
        <v>0.7510763417210351</v>
      </c>
    </row>
    <row r="224" spans="1:23">
      <c r="A224" s="123">
        <f>'Input data'!A122</f>
        <v>2024</v>
      </c>
      <c r="B224" s="986">
        <f>'Recycling - Case 3'!AI102*'Recycling - Case 3'!B102</f>
        <v>4644.4457885792062</v>
      </c>
      <c r="C224" s="114">
        <f t="shared" ref="C224:C250" si="239">C223</f>
        <v>0.5</v>
      </c>
      <c r="D224" s="114">
        <f t="shared" ref="D224:D250" si="240">D223</f>
        <v>0.5</v>
      </c>
      <c r="E224">
        <v>0</v>
      </c>
      <c r="F224">
        <v>0</v>
      </c>
      <c r="G224" s="989">
        <f t="shared" si="236"/>
        <v>1.8577783154316825</v>
      </c>
      <c r="H224" s="650">
        <f t="shared" si="237"/>
        <v>9.2888915771584131</v>
      </c>
      <c r="J224" s="990">
        <f t="shared" si="238"/>
        <v>0.55733349462950466</v>
      </c>
      <c r="K224" s="987">
        <f>'Recycling - Case 3'!W142*'Recycling - Case 3'!AG142*'Recycling - Case 3'!C142</f>
        <v>1448.0713392191417</v>
      </c>
      <c r="L224" s="114">
        <f t="shared" ref="L224:L250" si="241">L223</f>
        <v>0.5</v>
      </c>
      <c r="M224" s="114">
        <f t="shared" ref="M224:M250" si="242">M223</f>
        <v>0.5</v>
      </c>
      <c r="N224">
        <f t="shared" ref="N224:O224" si="243">N86</f>
        <v>0</v>
      </c>
      <c r="O224">
        <f t="shared" si="243"/>
        <v>0</v>
      </c>
      <c r="P224" s="178">
        <f t="shared" si="229"/>
        <v>0.57922853568765675</v>
      </c>
      <c r="Q224" s="512">
        <f t="shared" si="230"/>
        <v>2.8961426784382835</v>
      </c>
      <c r="S224" s="178">
        <f t="shared" si="231"/>
        <v>0.17376856070629698</v>
      </c>
      <c r="T224" s="585">
        <f t="shared" si="232"/>
        <v>2.4370068511193392</v>
      </c>
      <c r="U224" s="585">
        <f t="shared" si="233"/>
        <v>12.185034255596698</v>
      </c>
      <c r="V224" s="585">
        <f t="shared" si="234"/>
        <v>0</v>
      </c>
      <c r="W224" s="585">
        <f t="shared" si="235"/>
        <v>0.73110205533580164</v>
      </c>
    </row>
    <row r="225" spans="1:23">
      <c r="A225" s="123">
        <f>'Input data'!A123</f>
        <v>2025</v>
      </c>
      <c r="B225" s="986">
        <f>'Recycling - Case 3'!AI103*'Recycling - Case 3'!B103</f>
        <v>4438.2123213922823</v>
      </c>
      <c r="C225" s="114">
        <f t="shared" si="239"/>
        <v>0.5</v>
      </c>
      <c r="D225" s="114">
        <f t="shared" si="240"/>
        <v>0.5</v>
      </c>
      <c r="E225">
        <v>0</v>
      </c>
      <c r="F225">
        <v>0</v>
      </c>
      <c r="G225" s="989">
        <f t="shared" si="236"/>
        <v>1.775284928556913</v>
      </c>
      <c r="H225" s="650">
        <f t="shared" si="237"/>
        <v>8.8764246427845652</v>
      </c>
      <c r="J225" s="990">
        <f t="shared" si="238"/>
        <v>0.53258547856707394</v>
      </c>
      <c r="K225" s="987">
        <f>'Recycling - Case 3'!W143*'Recycling - Case 3'!AG143*'Recycling - Case 3'!C143</f>
        <v>1476.9127329800942</v>
      </c>
      <c r="L225" s="114">
        <f t="shared" si="241"/>
        <v>0.5</v>
      </c>
      <c r="M225" s="114">
        <f t="shared" si="242"/>
        <v>0.5</v>
      </c>
      <c r="N225">
        <f t="shared" ref="N225:O225" si="244">N87</f>
        <v>0</v>
      </c>
      <c r="O225">
        <f t="shared" si="244"/>
        <v>0</v>
      </c>
      <c r="P225" s="178">
        <f t="shared" si="229"/>
        <v>0.59076509319203774</v>
      </c>
      <c r="Q225" s="512">
        <f t="shared" si="230"/>
        <v>2.9538254659601884</v>
      </c>
      <c r="S225" s="178">
        <f t="shared" si="231"/>
        <v>0.17722952795761132</v>
      </c>
      <c r="T225" s="585">
        <f t="shared" si="232"/>
        <v>2.3660500217489506</v>
      </c>
      <c r="U225" s="585">
        <f t="shared" si="233"/>
        <v>11.830250108744753</v>
      </c>
      <c r="V225" s="585">
        <f t="shared" si="234"/>
        <v>0</v>
      </c>
      <c r="W225" s="585">
        <f t="shared" si="235"/>
        <v>0.70981500652468532</v>
      </c>
    </row>
    <row r="226" spans="1:23">
      <c r="A226" s="123">
        <f>'Input data'!A124</f>
        <v>2026</v>
      </c>
      <c r="B226" s="986">
        <f>'Recycling - Case 3'!AI104*'Recycling - Case 3'!B104</f>
        <v>4212.2487177631583</v>
      </c>
      <c r="C226" s="114">
        <f t="shared" si="239"/>
        <v>0.5</v>
      </c>
      <c r="D226" s="114">
        <f t="shared" si="240"/>
        <v>0.5</v>
      </c>
      <c r="E226">
        <v>0</v>
      </c>
      <c r="F226">
        <v>0</v>
      </c>
      <c r="G226" s="989">
        <f t="shared" si="236"/>
        <v>1.6848994871052634</v>
      </c>
      <c r="H226" s="650">
        <f t="shared" si="237"/>
        <v>8.424497435526316</v>
      </c>
      <c r="J226" s="990">
        <f t="shared" si="238"/>
        <v>0.50546984613157897</v>
      </c>
      <c r="K226" s="987">
        <f>'Recycling - Case 3'!W144*'Recycling - Case 3'!AG144*'Recycling - Case 3'!C144</f>
        <v>1511.1678241429381</v>
      </c>
      <c r="L226" s="114">
        <f t="shared" si="241"/>
        <v>0.5</v>
      </c>
      <c r="M226" s="114">
        <f t="shared" si="242"/>
        <v>0.5</v>
      </c>
      <c r="N226">
        <f t="shared" ref="N226:O226" si="245">N88</f>
        <v>0</v>
      </c>
      <c r="O226">
        <f t="shared" si="245"/>
        <v>0</v>
      </c>
      <c r="P226" s="178">
        <f t="shared" si="229"/>
        <v>0.60446712965717531</v>
      </c>
      <c r="Q226" s="512">
        <f t="shared" si="230"/>
        <v>3.0223356482858761</v>
      </c>
      <c r="S226" s="178">
        <f t="shared" si="231"/>
        <v>0.18134013889715256</v>
      </c>
      <c r="T226" s="585">
        <f t="shared" si="232"/>
        <v>2.2893666167624387</v>
      </c>
      <c r="U226" s="585">
        <f t="shared" si="233"/>
        <v>11.446833083812193</v>
      </c>
      <c r="V226" s="585">
        <f t="shared" si="234"/>
        <v>0</v>
      </c>
      <c r="W226" s="585">
        <f t="shared" si="235"/>
        <v>0.68680998502873147</v>
      </c>
    </row>
    <row r="227" spans="1:23">
      <c r="A227" s="123">
        <f>'Input data'!A125</f>
        <v>2027</v>
      </c>
      <c r="B227" s="986">
        <f>'Recycling - Case 3'!AI105*'Recycling - Case 3'!B105</f>
        <v>3973.7125528245519</v>
      </c>
      <c r="C227" s="114">
        <f t="shared" si="239"/>
        <v>0.5</v>
      </c>
      <c r="D227" s="114">
        <f t="shared" si="240"/>
        <v>0.5</v>
      </c>
      <c r="E227">
        <v>0</v>
      </c>
      <c r="F227">
        <v>0</v>
      </c>
      <c r="G227" s="989">
        <f t="shared" si="236"/>
        <v>1.5894850211298208</v>
      </c>
      <c r="H227" s="650">
        <f t="shared" si="237"/>
        <v>7.9474251056491036</v>
      </c>
      <c r="J227" s="990">
        <f t="shared" si="238"/>
        <v>0.47684550633894623</v>
      </c>
      <c r="K227" s="987">
        <f>'Recycling - Case 3'!W145*'Recycling - Case 3'!AG145*'Recycling - Case 3'!C145</f>
        <v>1545.0882339292232</v>
      </c>
      <c r="L227" s="114">
        <f t="shared" si="241"/>
        <v>0.5</v>
      </c>
      <c r="M227" s="114">
        <f t="shared" si="242"/>
        <v>0.5</v>
      </c>
      <c r="N227">
        <f t="shared" ref="N227:O227" si="246">N89</f>
        <v>0</v>
      </c>
      <c r="O227">
        <f t="shared" si="246"/>
        <v>0</v>
      </c>
      <c r="P227" s="178">
        <f t="shared" si="229"/>
        <v>0.61803529357168929</v>
      </c>
      <c r="Q227" s="512">
        <f t="shared" si="230"/>
        <v>3.0901764678584462</v>
      </c>
      <c r="S227" s="178">
        <f t="shared" si="231"/>
        <v>0.18541058807150676</v>
      </c>
      <c r="T227" s="585">
        <f t="shared" si="232"/>
        <v>2.2075203147015099</v>
      </c>
      <c r="U227" s="585">
        <f t="shared" si="233"/>
        <v>11.037601573507549</v>
      </c>
      <c r="V227" s="585">
        <f t="shared" si="234"/>
        <v>0</v>
      </c>
      <c r="W227" s="585">
        <f t="shared" si="235"/>
        <v>0.66225609441045297</v>
      </c>
    </row>
    <row r="228" spans="1:23">
      <c r="A228" s="123">
        <f>'Input data'!A126</f>
        <v>2028</v>
      </c>
      <c r="B228" s="986">
        <f>'Recycling - Case 3'!AI106*'Recycling - Case 3'!B106</f>
        <v>3721.8307341944769</v>
      </c>
      <c r="C228" s="114">
        <f t="shared" si="239"/>
        <v>0.5</v>
      </c>
      <c r="D228" s="114">
        <f t="shared" si="240"/>
        <v>0.5</v>
      </c>
      <c r="E228">
        <v>0</v>
      </c>
      <c r="F228">
        <v>0</v>
      </c>
      <c r="G228" s="989">
        <f t="shared" si="236"/>
        <v>1.4887322936777909</v>
      </c>
      <c r="H228" s="650">
        <f t="shared" si="237"/>
        <v>7.4436614683889539</v>
      </c>
      <c r="J228" s="990">
        <f t="shared" si="238"/>
        <v>0.44661968810333724</v>
      </c>
      <c r="K228" s="987">
        <f>'Recycling - Case 3'!W146*'Recycling - Case 3'!AG146*'Recycling - Case 3'!C146</f>
        <v>1580.6368233852511</v>
      </c>
      <c r="L228" s="114">
        <f t="shared" si="241"/>
        <v>0.5</v>
      </c>
      <c r="M228" s="114">
        <f t="shared" si="242"/>
        <v>0.5</v>
      </c>
      <c r="N228">
        <f t="shared" ref="N228:O228" si="247">N90</f>
        <v>0</v>
      </c>
      <c r="O228">
        <f t="shared" si="247"/>
        <v>0</v>
      </c>
      <c r="P228" s="178">
        <f t="shared" si="229"/>
        <v>0.63225472935410054</v>
      </c>
      <c r="Q228" s="512">
        <f t="shared" si="230"/>
        <v>3.161273646770502</v>
      </c>
      <c r="S228" s="178">
        <f t="shared" si="231"/>
        <v>0.18967641880623012</v>
      </c>
      <c r="T228" s="585">
        <f t="shared" si="232"/>
        <v>2.1209870230318915</v>
      </c>
      <c r="U228" s="585">
        <f t="shared" si="233"/>
        <v>10.604935115159456</v>
      </c>
      <c r="V228" s="585">
        <f t="shared" si="234"/>
        <v>0</v>
      </c>
      <c r="W228" s="585">
        <f t="shared" si="235"/>
        <v>0.63629610690956739</v>
      </c>
    </row>
    <row r="229" spans="1:23">
      <c r="A229" s="123">
        <f>'Input data'!A127</f>
        <v>2029</v>
      </c>
      <c r="B229" s="986">
        <f>'Recycling - Case 3'!AI107*'Recycling - Case 3'!B107</f>
        <v>3456.0403079453235</v>
      </c>
      <c r="C229" s="114">
        <f t="shared" si="239"/>
        <v>0.5</v>
      </c>
      <c r="D229" s="114">
        <f t="shared" si="240"/>
        <v>0.5</v>
      </c>
      <c r="E229">
        <v>0</v>
      </c>
      <c r="F229">
        <v>0</v>
      </c>
      <c r="G229" s="989">
        <f t="shared" si="236"/>
        <v>1.3824161231781296</v>
      </c>
      <c r="H229" s="650">
        <f t="shared" si="237"/>
        <v>6.9120806158906474</v>
      </c>
      <c r="J229" s="990">
        <f t="shared" si="238"/>
        <v>0.41472483695343881</v>
      </c>
      <c r="K229" s="987">
        <f>'Recycling - Case 3'!W147*'Recycling - Case 3'!AG147*'Recycling - Case 3'!C147</f>
        <v>1617.361320380536</v>
      </c>
      <c r="L229" s="114">
        <f t="shared" si="241"/>
        <v>0.5</v>
      </c>
      <c r="M229" s="114">
        <f t="shared" si="242"/>
        <v>0.5</v>
      </c>
      <c r="N229">
        <f t="shared" ref="N229:O229" si="248">N91</f>
        <v>0</v>
      </c>
      <c r="O229">
        <f t="shared" si="248"/>
        <v>0</v>
      </c>
      <c r="P229" s="178">
        <f t="shared" si="229"/>
        <v>0.64694452815221437</v>
      </c>
      <c r="Q229" s="512">
        <f t="shared" si="230"/>
        <v>3.2347226407610719</v>
      </c>
      <c r="S229" s="178">
        <f t="shared" si="231"/>
        <v>0.19408335844566432</v>
      </c>
      <c r="T229" s="585">
        <f t="shared" si="232"/>
        <v>2.0293606513303439</v>
      </c>
      <c r="U229" s="585">
        <f t="shared" si="233"/>
        <v>10.146803256651719</v>
      </c>
      <c r="V229" s="585">
        <f t="shared" si="234"/>
        <v>0</v>
      </c>
      <c r="W229" s="585">
        <f t="shared" si="235"/>
        <v>0.60880819539910314</v>
      </c>
    </row>
    <row r="230" spans="1:23">
      <c r="A230" s="123">
        <f>'Input data'!A128</f>
        <v>2030</v>
      </c>
      <c r="B230" s="986">
        <f>'Recycling - Case 3'!AI108*'Recycling - Case 3'!B108</f>
        <v>3175.5559501258704</v>
      </c>
      <c r="C230" s="114">
        <f t="shared" si="239"/>
        <v>0.5</v>
      </c>
      <c r="D230" s="114">
        <f t="shared" si="240"/>
        <v>0.5</v>
      </c>
      <c r="E230">
        <v>0</v>
      </c>
      <c r="F230">
        <v>0</v>
      </c>
      <c r="G230" s="989">
        <f t="shared" si="236"/>
        <v>1.2702223800503483</v>
      </c>
      <c r="H230" s="650">
        <f t="shared" si="237"/>
        <v>6.3511119002517411</v>
      </c>
      <c r="J230" s="990">
        <f t="shared" si="238"/>
        <v>0.38106671401510445</v>
      </c>
      <c r="K230" s="987">
        <f>'Recycling - Case 3'!W148*'Recycling - Case 3'!AG148*'Recycling - Case 3'!C148</f>
        <v>1655.370270226395</v>
      </c>
      <c r="L230" s="114">
        <f t="shared" si="241"/>
        <v>0.5</v>
      </c>
      <c r="M230" s="114">
        <f t="shared" si="242"/>
        <v>0.5</v>
      </c>
      <c r="N230">
        <f t="shared" ref="N230:O230" si="249">N92</f>
        <v>0</v>
      </c>
      <c r="O230">
        <f t="shared" si="249"/>
        <v>0</v>
      </c>
      <c r="P230" s="178">
        <f t="shared" si="229"/>
        <v>0.66214810809055802</v>
      </c>
      <c r="Q230" s="512">
        <f t="shared" si="230"/>
        <v>3.3107405404527901</v>
      </c>
      <c r="S230" s="178">
        <f t="shared" si="231"/>
        <v>0.19864443242716737</v>
      </c>
      <c r="T230" s="585">
        <f t="shared" si="232"/>
        <v>1.9323704881409063</v>
      </c>
      <c r="U230" s="585">
        <f t="shared" si="233"/>
        <v>9.6618524407045321</v>
      </c>
      <c r="V230" s="585">
        <f t="shared" si="234"/>
        <v>0</v>
      </c>
      <c r="W230" s="585">
        <f t="shared" si="235"/>
        <v>0.57971114644227184</v>
      </c>
    </row>
    <row r="231" spans="1:23">
      <c r="A231" s="123">
        <f>'Input data'!A129</f>
        <v>2031</v>
      </c>
      <c r="B231" s="986">
        <f>'Recycling - Case 3'!AI109*'Recycling - Case 3'!B109</f>
        <v>2833.1244977232623</v>
      </c>
      <c r="C231" s="114">
        <f t="shared" si="239"/>
        <v>0.5</v>
      </c>
      <c r="D231" s="114">
        <f t="shared" si="240"/>
        <v>0.5</v>
      </c>
      <c r="E231">
        <v>0</v>
      </c>
      <c r="F231">
        <v>0</v>
      </c>
      <c r="G231" s="989">
        <f t="shared" si="236"/>
        <v>1.1332497990893051</v>
      </c>
      <c r="H231" s="650">
        <f t="shared" si="237"/>
        <v>5.6662489954465247</v>
      </c>
      <c r="J231" s="990">
        <f t="shared" si="238"/>
        <v>0.33997493972679144</v>
      </c>
      <c r="K231" s="987">
        <f>'Recycling - Case 3'!W149*'Recycling - Case 3'!AG149*'Recycling - Case 3'!C149</f>
        <v>1701.0090509135164</v>
      </c>
      <c r="L231" s="114">
        <f t="shared" si="241"/>
        <v>0.5</v>
      </c>
      <c r="M231" s="114">
        <f t="shared" si="242"/>
        <v>0.5</v>
      </c>
      <c r="N231">
        <f t="shared" ref="N231:O231" si="250">N93</f>
        <v>0</v>
      </c>
      <c r="O231">
        <f t="shared" si="250"/>
        <v>0</v>
      </c>
      <c r="P231" s="178">
        <f t="shared" si="229"/>
        <v>0.68040362036540658</v>
      </c>
      <c r="Q231" s="512">
        <f t="shared" si="230"/>
        <v>3.4020181018270326</v>
      </c>
      <c r="S231" s="178">
        <f t="shared" si="231"/>
        <v>0.20412108610962196</v>
      </c>
      <c r="T231" s="585">
        <f t="shared" si="232"/>
        <v>1.8136534194547118</v>
      </c>
      <c r="U231" s="585">
        <f t="shared" si="233"/>
        <v>9.0682670972735568</v>
      </c>
      <c r="V231" s="585">
        <f t="shared" si="234"/>
        <v>0</v>
      </c>
      <c r="W231" s="585">
        <f t="shared" si="235"/>
        <v>0.54409602583641337</v>
      </c>
    </row>
    <row r="232" spans="1:23">
      <c r="A232" s="123">
        <f>'Input data'!A130</f>
        <v>2032</v>
      </c>
      <c r="B232" s="986">
        <f>'Recycling - Case 3'!AI110*'Recycling - Case 3'!B110</f>
        <v>2484.6228724288708</v>
      </c>
      <c r="C232" s="114">
        <f t="shared" si="239"/>
        <v>0.5</v>
      </c>
      <c r="D232" s="114">
        <f t="shared" si="240"/>
        <v>0.5</v>
      </c>
      <c r="E232">
        <v>0</v>
      </c>
      <c r="F232">
        <v>0</v>
      </c>
      <c r="G232" s="989">
        <f t="shared" si="236"/>
        <v>0.99384914897154841</v>
      </c>
      <c r="H232" s="650">
        <f t="shared" si="237"/>
        <v>4.9692457448577416</v>
      </c>
      <c r="J232" s="990">
        <f t="shared" si="238"/>
        <v>0.29815474469146447</v>
      </c>
      <c r="K232" s="987">
        <f>'Recycling - Case 3'!W150*'Recycling - Case 3'!AG150*'Recycling - Case 3'!C150</f>
        <v>1744.5040617021439</v>
      </c>
      <c r="L232" s="114">
        <f t="shared" si="241"/>
        <v>0.5</v>
      </c>
      <c r="M232" s="114">
        <f t="shared" si="242"/>
        <v>0.5</v>
      </c>
      <c r="N232">
        <f t="shared" ref="N232:O232" si="251">N94</f>
        <v>0</v>
      </c>
      <c r="O232">
        <f t="shared" si="251"/>
        <v>0</v>
      </c>
      <c r="P232" s="178">
        <f t="shared" si="229"/>
        <v>0.6978016246808576</v>
      </c>
      <c r="Q232" s="512">
        <f t="shared" si="230"/>
        <v>3.4890081234042878</v>
      </c>
      <c r="S232" s="178">
        <f t="shared" si="231"/>
        <v>0.20934048740425726</v>
      </c>
      <c r="T232" s="585">
        <f t="shared" si="232"/>
        <v>1.691650773652406</v>
      </c>
      <c r="U232" s="585">
        <f t="shared" si="233"/>
        <v>8.4582538682620303</v>
      </c>
      <c r="V232" s="585">
        <f t="shared" si="234"/>
        <v>0</v>
      </c>
      <c r="W232" s="585">
        <f t="shared" si="235"/>
        <v>0.50749523209572178</v>
      </c>
    </row>
    <row r="233" spans="1:23">
      <c r="A233" s="123">
        <f>'Input data'!A131</f>
        <v>2033</v>
      </c>
      <c r="B233" s="986">
        <f>'Recycling - Case 3'!AI111*'Recycling - Case 3'!B111</f>
        <v>2505.8073684270425</v>
      </c>
      <c r="C233" s="114">
        <f t="shared" si="239"/>
        <v>0.5</v>
      </c>
      <c r="D233" s="114">
        <f t="shared" si="240"/>
        <v>0.5</v>
      </c>
      <c r="E233">
        <v>0</v>
      </c>
      <c r="F233">
        <v>0</v>
      </c>
      <c r="G233" s="989">
        <f t="shared" si="236"/>
        <v>1.0023229473708171</v>
      </c>
      <c r="H233" s="650">
        <f t="shared" si="237"/>
        <v>5.0116147368540851</v>
      </c>
      <c r="J233" s="990">
        <f t="shared" si="238"/>
        <v>0.30069688421124513</v>
      </c>
      <c r="K233" s="987">
        <f>'Recycling - Case 3'!W151*'Recycling - Case 3'!AG151*'Recycling - Case 3'!C151</f>
        <v>1792.81124795912</v>
      </c>
      <c r="L233" s="114">
        <f t="shared" si="241"/>
        <v>0.5</v>
      </c>
      <c r="M233" s="114">
        <f t="shared" si="242"/>
        <v>0.5</v>
      </c>
      <c r="N233">
        <f t="shared" ref="N233:O233" si="252">N95</f>
        <v>0</v>
      </c>
      <c r="O233">
        <f t="shared" si="252"/>
        <v>0</v>
      </c>
      <c r="P233" s="178">
        <f t="shared" si="229"/>
        <v>0.71712449918364807</v>
      </c>
      <c r="Q233" s="512">
        <f t="shared" si="230"/>
        <v>3.5856224959182401</v>
      </c>
      <c r="S233" s="178">
        <f t="shared" si="231"/>
        <v>0.21513734975509438</v>
      </c>
      <c r="T233" s="585">
        <f t="shared" si="232"/>
        <v>1.7194474465544651</v>
      </c>
      <c r="U233" s="585">
        <f t="shared" si="233"/>
        <v>8.5972372327723257</v>
      </c>
      <c r="V233" s="585">
        <f t="shared" si="234"/>
        <v>0</v>
      </c>
      <c r="W233" s="585">
        <f t="shared" si="235"/>
        <v>0.51583423396633954</v>
      </c>
    </row>
    <row r="234" spans="1:23">
      <c r="A234" s="123">
        <f>'Input data'!A132</f>
        <v>2034</v>
      </c>
      <c r="B234" s="986">
        <f>'Recycling - Case 3'!AI112*'Recycling - Case 3'!B112</f>
        <v>2527.214079418201</v>
      </c>
      <c r="C234" s="114">
        <f t="shared" si="239"/>
        <v>0.5</v>
      </c>
      <c r="D234" s="114">
        <f t="shared" si="240"/>
        <v>0.5</v>
      </c>
      <c r="E234">
        <v>0</v>
      </c>
      <c r="F234">
        <v>0</v>
      </c>
      <c r="G234" s="989">
        <f t="shared" si="236"/>
        <v>1.0108856317672805</v>
      </c>
      <c r="H234" s="650">
        <f t="shared" si="237"/>
        <v>5.0544281588364024</v>
      </c>
      <c r="J234" s="990">
        <f t="shared" si="238"/>
        <v>0.30326568953018407</v>
      </c>
      <c r="K234" s="987">
        <f>'Recycling - Case 3'!W152*'Recycling - Case 3'!AG152*'Recycling - Case 3'!C152</f>
        <v>1844.4652479816755</v>
      </c>
      <c r="L234" s="114">
        <f t="shared" si="241"/>
        <v>0.5</v>
      </c>
      <c r="M234" s="114">
        <f t="shared" si="242"/>
        <v>0.5</v>
      </c>
      <c r="N234">
        <f t="shared" ref="N234:O234" si="253">N96</f>
        <v>0</v>
      </c>
      <c r="O234">
        <f t="shared" si="253"/>
        <v>0</v>
      </c>
      <c r="P234" s="178">
        <f t="shared" si="229"/>
        <v>0.73778609919267024</v>
      </c>
      <c r="Q234" s="512">
        <f t="shared" si="230"/>
        <v>3.6889304959633509</v>
      </c>
      <c r="R234" s="501"/>
      <c r="S234" s="584">
        <f t="shared" si="231"/>
        <v>0.22133582975780103</v>
      </c>
      <c r="T234" s="585">
        <f t="shared" si="232"/>
        <v>1.7486717309599507</v>
      </c>
      <c r="U234" s="585">
        <f t="shared" si="233"/>
        <v>8.7433586547997528</v>
      </c>
      <c r="V234" s="585">
        <f t="shared" si="234"/>
        <v>0</v>
      </c>
      <c r="W234" s="585">
        <f t="shared" si="235"/>
        <v>0.52460151928798515</v>
      </c>
    </row>
    <row r="235" spans="1:23">
      <c r="A235" s="123">
        <f>'Input data'!A133</f>
        <v>2035</v>
      </c>
      <c r="B235" s="986">
        <f>'Recycling - Case 3'!AI113*'Recycling - Case 3'!B113</f>
        <v>2548.7689337380189</v>
      </c>
      <c r="C235" s="114">
        <f t="shared" si="239"/>
        <v>0.5</v>
      </c>
      <c r="D235" s="114">
        <f t="shared" si="240"/>
        <v>0.5</v>
      </c>
      <c r="E235">
        <v>0</v>
      </c>
      <c r="F235">
        <v>0</v>
      </c>
      <c r="G235" s="989">
        <f t="shared" si="236"/>
        <v>1.0195075734952075</v>
      </c>
      <c r="H235" s="650">
        <f t="shared" si="237"/>
        <v>5.0975378674760377</v>
      </c>
      <c r="J235" s="990">
        <f t="shared" si="238"/>
        <v>0.30585227204856225</v>
      </c>
      <c r="K235" s="987">
        <f>'Recycling - Case 3'!W153*'Recycling - Case 3'!AG153*'Recycling - Case 3'!C153</f>
        <v>1899.674106949833</v>
      </c>
      <c r="L235" s="114">
        <f t="shared" si="241"/>
        <v>0.5</v>
      </c>
      <c r="M235" s="114">
        <f t="shared" si="242"/>
        <v>0.5</v>
      </c>
      <c r="N235">
        <f t="shared" ref="N235:O235" si="254">N97</f>
        <v>0</v>
      </c>
      <c r="O235">
        <f t="shared" si="254"/>
        <v>0</v>
      </c>
      <c r="P235" s="178">
        <f t="shared" si="229"/>
        <v>0.75986964277993319</v>
      </c>
      <c r="Q235" s="512">
        <f t="shared" si="230"/>
        <v>3.7993482138996661</v>
      </c>
      <c r="S235" s="178">
        <f t="shared" si="231"/>
        <v>0.22796089283397997</v>
      </c>
      <c r="T235" s="585">
        <f t="shared" si="232"/>
        <v>1.7793772162751407</v>
      </c>
      <c r="U235" s="585">
        <f t="shared" si="233"/>
        <v>8.8968860813757047</v>
      </c>
      <c r="V235" s="585">
        <f t="shared" si="234"/>
        <v>0</v>
      </c>
      <c r="W235" s="585">
        <f t="shared" si="235"/>
        <v>0.53381316488254216</v>
      </c>
    </row>
    <row r="236" spans="1:23">
      <c r="A236" s="123">
        <f>'Input data'!A134</f>
        <v>2036</v>
      </c>
      <c r="B236" s="986">
        <f>'Recycling - Case 3'!AI114*'Recycling - Case 3'!B114</f>
        <v>2567.4349931489946</v>
      </c>
      <c r="C236" s="114">
        <f t="shared" si="239"/>
        <v>0.5</v>
      </c>
      <c r="D236" s="114">
        <f t="shared" si="240"/>
        <v>0.5</v>
      </c>
      <c r="E236">
        <v>0</v>
      </c>
      <c r="F236">
        <v>0</v>
      </c>
      <c r="G236" s="989">
        <f t="shared" si="236"/>
        <v>1.0269739972595977</v>
      </c>
      <c r="H236" s="650">
        <f t="shared" si="237"/>
        <v>5.1348699862979892</v>
      </c>
      <c r="J236" s="990">
        <f t="shared" si="238"/>
        <v>0.30809219917787939</v>
      </c>
      <c r="K236" s="987">
        <f>'Recycling - Case 3'!W154*'Recycling - Case 3'!AG154*'Recycling - Case 3'!C154</f>
        <v>1956.5156683090383</v>
      </c>
      <c r="L236" s="114">
        <f t="shared" si="241"/>
        <v>0.5</v>
      </c>
      <c r="M236" s="114">
        <f t="shared" si="242"/>
        <v>0.5</v>
      </c>
      <c r="N236">
        <f t="shared" ref="N236:O236" si="255">N98</f>
        <v>0</v>
      </c>
      <c r="O236">
        <f t="shared" si="255"/>
        <v>0</v>
      </c>
      <c r="P236" s="178">
        <f t="shared" si="229"/>
        <v>0.78260626732361538</v>
      </c>
      <c r="Q236" s="512">
        <f t="shared" si="230"/>
        <v>3.9130313366180767</v>
      </c>
      <c r="S236" s="178">
        <f t="shared" si="231"/>
        <v>0.2347818801970846</v>
      </c>
      <c r="T236" s="585">
        <f t="shared" si="232"/>
        <v>1.8095802645832131</v>
      </c>
      <c r="U236" s="585">
        <f t="shared" si="233"/>
        <v>9.047901322916065</v>
      </c>
      <c r="V236" s="585">
        <f t="shared" si="234"/>
        <v>0</v>
      </c>
      <c r="W236" s="585">
        <f t="shared" si="235"/>
        <v>0.54287407937496401</v>
      </c>
    </row>
    <row r="237" spans="1:23">
      <c r="A237" s="123">
        <f>'Input data'!A135</f>
        <v>2037</v>
      </c>
      <c r="B237" s="986">
        <f>'Recycling - Case 3'!AI115*'Recycling - Case 3'!B115</f>
        <v>2586.2121600564647</v>
      </c>
      <c r="C237" s="114">
        <f t="shared" si="239"/>
        <v>0.5</v>
      </c>
      <c r="D237" s="114">
        <f t="shared" si="240"/>
        <v>0.5</v>
      </c>
      <c r="E237">
        <v>0</v>
      </c>
      <c r="F237">
        <v>0</v>
      </c>
      <c r="G237" s="989">
        <f t="shared" si="236"/>
        <v>1.0344848640225859</v>
      </c>
      <c r="H237" s="650">
        <f t="shared" si="237"/>
        <v>5.1724243201129294</v>
      </c>
      <c r="J237" s="990">
        <f t="shared" si="238"/>
        <v>0.31034545920677575</v>
      </c>
      <c r="K237" s="987">
        <f>'Recycling - Case 3'!W155*'Recycling - Case 3'!AG155*'Recycling - Case 3'!C155</f>
        <v>2015.7768855663328</v>
      </c>
      <c r="L237" s="114">
        <f t="shared" si="241"/>
        <v>0.5</v>
      </c>
      <c r="M237" s="114">
        <f t="shared" si="242"/>
        <v>0.5</v>
      </c>
      <c r="N237">
        <f t="shared" ref="N237:O237" si="256">N99</f>
        <v>0</v>
      </c>
      <c r="O237">
        <f t="shared" si="256"/>
        <v>0</v>
      </c>
      <c r="P237" s="178">
        <f t="shared" si="229"/>
        <v>0.8063107542265332</v>
      </c>
      <c r="Q237" s="512">
        <f t="shared" si="230"/>
        <v>4.0315537711326659</v>
      </c>
      <c r="S237" s="178">
        <f t="shared" si="231"/>
        <v>0.24189322626795992</v>
      </c>
      <c r="T237" s="585">
        <f t="shared" si="232"/>
        <v>1.840795618249119</v>
      </c>
      <c r="U237" s="585">
        <f t="shared" si="233"/>
        <v>9.2039780912455953</v>
      </c>
      <c r="V237" s="585">
        <f t="shared" si="234"/>
        <v>0</v>
      </c>
      <c r="W237" s="585">
        <f t="shared" si="235"/>
        <v>0.55223868547473565</v>
      </c>
    </row>
    <row r="238" spans="1:23">
      <c r="A238" s="123">
        <f>'Input data'!A136</f>
        <v>2038</v>
      </c>
      <c r="B238" s="986">
        <f>'Recycling - Case 3'!AI116*'Recycling - Case 3'!B116</f>
        <v>2605.174506124758</v>
      </c>
      <c r="C238" s="114">
        <f t="shared" si="239"/>
        <v>0.5</v>
      </c>
      <c r="D238" s="114">
        <f t="shared" si="240"/>
        <v>0.5</v>
      </c>
      <c r="E238">
        <v>0</v>
      </c>
      <c r="F238">
        <v>0</v>
      </c>
      <c r="G238" s="989">
        <f t="shared" si="236"/>
        <v>1.0420698024499031</v>
      </c>
      <c r="H238" s="650">
        <f t="shared" si="237"/>
        <v>5.210349012249516</v>
      </c>
      <c r="J238" s="990">
        <f t="shared" si="238"/>
        <v>0.31262094073497093</v>
      </c>
      <c r="K238" s="987">
        <f>'Recycling - Case 3'!W156*'Recycling - Case 3'!AG156*'Recycling - Case 3'!C156</f>
        <v>2075.9426470845929</v>
      </c>
      <c r="L238" s="114">
        <f t="shared" si="241"/>
        <v>0.5</v>
      </c>
      <c r="M238" s="114">
        <f t="shared" si="242"/>
        <v>0.5</v>
      </c>
      <c r="N238">
        <f t="shared" ref="N238:O238" si="257">N100</f>
        <v>0</v>
      </c>
      <c r="O238">
        <f t="shared" si="257"/>
        <v>0</v>
      </c>
      <c r="P238" s="178">
        <f t="shared" si="229"/>
        <v>0.83037705883383717</v>
      </c>
      <c r="Q238" s="512">
        <f t="shared" si="230"/>
        <v>4.1518852941691859</v>
      </c>
      <c r="S238" s="178">
        <f t="shared" si="231"/>
        <v>0.24911311765015115</v>
      </c>
      <c r="T238" s="585">
        <f t="shared" si="232"/>
        <v>1.8724468612837404</v>
      </c>
      <c r="U238" s="585">
        <f t="shared" si="233"/>
        <v>9.3622343064187028</v>
      </c>
      <c r="V238" s="585">
        <f t="shared" si="234"/>
        <v>0</v>
      </c>
      <c r="W238" s="585">
        <f t="shared" si="235"/>
        <v>0.56173405838512203</v>
      </c>
    </row>
    <row r="239" spans="1:23">
      <c r="A239" s="123">
        <f>'Input data'!A137</f>
        <v>2039</v>
      </c>
      <c r="B239" s="986">
        <f>'Recycling - Case 3'!AI117*'Recycling - Case 3'!B117</f>
        <v>2624.247959689545</v>
      </c>
      <c r="C239" s="114">
        <f t="shared" si="239"/>
        <v>0.5</v>
      </c>
      <c r="D239" s="114">
        <f t="shared" si="240"/>
        <v>0.5</v>
      </c>
      <c r="E239">
        <v>0</v>
      </c>
      <c r="F239">
        <v>0</v>
      </c>
      <c r="G239" s="989">
        <f t="shared" si="236"/>
        <v>1.0496991838758181</v>
      </c>
      <c r="H239" s="650">
        <f t="shared" si="237"/>
        <v>5.2484959193790903</v>
      </c>
      <c r="J239" s="990">
        <f t="shared" si="238"/>
        <v>0.31490975516274539</v>
      </c>
      <c r="K239" s="987">
        <f>'Recycling - Case 3'!W157*'Recycling - Case 3'!AG157*'Recycling - Case 3'!C157</f>
        <v>3135.7668720858569</v>
      </c>
      <c r="L239" s="114">
        <f t="shared" si="241"/>
        <v>0.5</v>
      </c>
      <c r="M239" s="114">
        <f t="shared" si="242"/>
        <v>0.5</v>
      </c>
      <c r="N239">
        <f t="shared" ref="N239:O239" si="258">N101</f>
        <v>0</v>
      </c>
      <c r="O239">
        <f t="shared" si="258"/>
        <v>0</v>
      </c>
      <c r="P239" s="178">
        <f t="shared" si="229"/>
        <v>1.2543067488343429</v>
      </c>
      <c r="Q239" s="512">
        <f t="shared" si="230"/>
        <v>6.2715337441717134</v>
      </c>
      <c r="S239" s="178">
        <f t="shared" si="231"/>
        <v>0.37629202465030281</v>
      </c>
      <c r="T239" s="585">
        <f t="shared" si="232"/>
        <v>2.3040059327101607</v>
      </c>
      <c r="U239" s="585">
        <f t="shared" si="233"/>
        <v>11.520029663550805</v>
      </c>
      <c r="V239" s="585">
        <f t="shared" si="234"/>
        <v>0</v>
      </c>
      <c r="W239" s="585">
        <f t="shared" si="235"/>
        <v>0.6912017798130482</v>
      </c>
    </row>
    <row r="240" spans="1:23">
      <c r="A240" s="123">
        <f>'Input data'!A138</f>
        <v>2040</v>
      </c>
      <c r="B240" s="986">
        <f>'Recycling - Case 3'!AI118*'Recycling - Case 3'!B118</f>
        <v>2643.4325207508259</v>
      </c>
      <c r="C240" s="114">
        <f t="shared" si="239"/>
        <v>0.5</v>
      </c>
      <c r="D240" s="114">
        <f t="shared" si="240"/>
        <v>0.5</v>
      </c>
      <c r="E240">
        <v>0</v>
      </c>
      <c r="F240">
        <v>0</v>
      </c>
      <c r="G240" s="989">
        <f t="shared" si="236"/>
        <v>1.0573730083003303</v>
      </c>
      <c r="H240" s="650">
        <f t="shared" si="237"/>
        <v>5.2868650415016516</v>
      </c>
      <c r="J240" s="990">
        <f t="shared" si="238"/>
        <v>0.31721190249009906</v>
      </c>
      <c r="K240" s="987">
        <f>'Recycling - Case 3'!W158*'Recycling - Case 3'!AG158*'Recycling - Case 3'!C158</f>
        <v>4223.8259497981071</v>
      </c>
      <c r="L240" s="114">
        <f t="shared" si="241"/>
        <v>0.5</v>
      </c>
      <c r="M240" s="114">
        <f t="shared" si="242"/>
        <v>0.5</v>
      </c>
      <c r="N240">
        <f t="shared" ref="N240:O240" si="259">N102</f>
        <v>0</v>
      </c>
      <c r="O240">
        <f t="shared" si="259"/>
        <v>0</v>
      </c>
      <c r="P240" s="178">
        <f t="shared" si="229"/>
        <v>1.6895303799192429</v>
      </c>
      <c r="Q240" s="512">
        <f t="shared" si="230"/>
        <v>8.4476518995962149</v>
      </c>
      <c r="S240" s="178">
        <f t="shared" si="231"/>
        <v>0.50685911397577288</v>
      </c>
      <c r="T240" s="585">
        <f t="shared" si="232"/>
        <v>2.7469033882195735</v>
      </c>
      <c r="U240" s="585">
        <f t="shared" si="233"/>
        <v>13.734516941097866</v>
      </c>
      <c r="V240" s="585">
        <f t="shared" si="234"/>
        <v>0</v>
      </c>
      <c r="W240" s="585">
        <f t="shared" si="235"/>
        <v>0.824071016465872</v>
      </c>
    </row>
    <row r="241" spans="1:23">
      <c r="A241" s="123">
        <f>'Input data'!A139</f>
        <v>2041</v>
      </c>
      <c r="B241" s="986">
        <f>'Recycling - Case 3'!AI119*'Recycling - Case 3'!B119</f>
        <v>2659.8764302319241</v>
      </c>
      <c r="C241" s="114">
        <f t="shared" si="239"/>
        <v>0.5</v>
      </c>
      <c r="D241" s="114">
        <f t="shared" si="240"/>
        <v>0.5</v>
      </c>
      <c r="E241">
        <v>0</v>
      </c>
      <c r="F241">
        <v>0</v>
      </c>
      <c r="G241" s="989">
        <f t="shared" si="236"/>
        <v>1.0639505720927698</v>
      </c>
      <c r="H241" s="650">
        <f t="shared" si="237"/>
        <v>5.319752860463848</v>
      </c>
      <c r="J241" s="990">
        <f t="shared" si="238"/>
        <v>0.31918517162783089</v>
      </c>
      <c r="K241" s="987">
        <f>'Recycling - Case 3'!W159*'Recycling - Case 3'!AG159*'Recycling - Case 3'!C159</f>
        <v>4820.4406374329919</v>
      </c>
      <c r="L241" s="114">
        <f t="shared" si="241"/>
        <v>0.5</v>
      </c>
      <c r="M241" s="114">
        <f t="shared" si="242"/>
        <v>0.5</v>
      </c>
      <c r="N241">
        <f t="shared" ref="N241:O241" si="260">N103</f>
        <v>0</v>
      </c>
      <c r="O241">
        <f t="shared" si="260"/>
        <v>0</v>
      </c>
      <c r="P241" s="178">
        <f t="shared" si="229"/>
        <v>1.9281762549731969</v>
      </c>
      <c r="Q241" s="512">
        <f t="shared" si="230"/>
        <v>9.6408812748659845</v>
      </c>
      <c r="S241" s="178">
        <f t="shared" si="231"/>
        <v>0.57845287649195909</v>
      </c>
      <c r="T241" s="585">
        <f t="shared" si="232"/>
        <v>2.9921268270659667</v>
      </c>
      <c r="U241" s="585">
        <f t="shared" si="233"/>
        <v>14.960634135329833</v>
      </c>
      <c r="V241" s="585">
        <f t="shared" si="234"/>
        <v>0</v>
      </c>
      <c r="W241" s="585">
        <f t="shared" si="235"/>
        <v>0.89763804811978998</v>
      </c>
    </row>
    <row r="242" spans="1:23">
      <c r="A242" s="123">
        <f>'Input data'!A140</f>
        <v>2042</v>
      </c>
      <c r="B242" s="986">
        <f>'Recycling - Case 3'!AI120*'Recycling - Case 3'!B120</f>
        <v>2676.3944113773509</v>
      </c>
      <c r="C242" s="114">
        <f t="shared" si="239"/>
        <v>0.5</v>
      </c>
      <c r="D242" s="114">
        <f t="shared" si="240"/>
        <v>0.5</v>
      </c>
      <c r="E242">
        <v>0</v>
      </c>
      <c r="F242">
        <v>0</v>
      </c>
      <c r="G242" s="989">
        <f t="shared" si="236"/>
        <v>1.0705577645509403</v>
      </c>
      <c r="H242" s="650">
        <f t="shared" si="237"/>
        <v>5.352788822754702</v>
      </c>
      <c r="J242" s="990">
        <f t="shared" si="238"/>
        <v>0.32116732936528214</v>
      </c>
      <c r="K242" s="987">
        <f>'Recycling - Case 3'!W160*'Recycling - Case 3'!AG160*'Recycling - Case 3'!C160</f>
        <v>5429.4284635167387</v>
      </c>
      <c r="L242" s="114">
        <f t="shared" si="241"/>
        <v>0.5</v>
      </c>
      <c r="M242" s="114">
        <f t="shared" si="242"/>
        <v>0.5</v>
      </c>
      <c r="N242">
        <f t="shared" ref="N242:O242" si="261">N104</f>
        <v>0</v>
      </c>
      <c r="O242">
        <f t="shared" si="261"/>
        <v>0</v>
      </c>
      <c r="P242" s="178">
        <f t="shared" si="229"/>
        <v>2.1717713854066956</v>
      </c>
      <c r="Q242" s="512">
        <f t="shared" si="230"/>
        <v>10.858856927033477</v>
      </c>
      <c r="S242" s="178">
        <f t="shared" si="231"/>
        <v>0.65153141562200856</v>
      </c>
      <c r="T242" s="585">
        <f t="shared" si="232"/>
        <v>3.2423291499576359</v>
      </c>
      <c r="U242" s="585">
        <f t="shared" si="233"/>
        <v>16.211645749788179</v>
      </c>
      <c r="V242" s="585">
        <f t="shared" si="234"/>
        <v>0</v>
      </c>
      <c r="W242" s="585">
        <f t="shared" si="235"/>
        <v>0.9726987449872907</v>
      </c>
    </row>
    <row r="243" spans="1:23">
      <c r="A243" s="123">
        <f>'Input data'!A141</f>
        <v>2043</v>
      </c>
      <c r="B243" s="986">
        <f>'Recycling - Case 3'!AI121*'Recycling - Case 3'!B121</f>
        <v>2693.023500019272</v>
      </c>
      <c r="C243" s="114">
        <f t="shared" si="239"/>
        <v>0.5</v>
      </c>
      <c r="D243" s="114">
        <f t="shared" si="240"/>
        <v>0.5</v>
      </c>
      <c r="E243">
        <v>0</v>
      </c>
      <c r="F243">
        <v>0</v>
      </c>
      <c r="G243" s="989">
        <f t="shared" si="236"/>
        <v>1.0772094000077088</v>
      </c>
      <c r="H243" s="650">
        <f t="shared" si="237"/>
        <v>5.3860470000385439</v>
      </c>
      <c r="J243" s="990">
        <f t="shared" si="238"/>
        <v>0.32316282000231261</v>
      </c>
      <c r="K243" s="987">
        <f>'Recycling - Case 3'!W161*'Recycling - Case 3'!AG161*'Recycling - Case 3'!C161</f>
        <v>6050.0315022637978</v>
      </c>
      <c r="L243" s="114">
        <f t="shared" si="241"/>
        <v>0.5</v>
      </c>
      <c r="M243" s="114">
        <f t="shared" si="242"/>
        <v>0.5</v>
      </c>
      <c r="N243">
        <f t="shared" ref="N243:O243" si="262">N105</f>
        <v>0</v>
      </c>
      <c r="O243">
        <f t="shared" si="262"/>
        <v>0</v>
      </c>
      <c r="P243" s="178">
        <f t="shared" si="229"/>
        <v>2.4200126009055194</v>
      </c>
      <c r="Q243" s="512">
        <f t="shared" si="230"/>
        <v>12.100063004527597</v>
      </c>
      <c r="S243" s="178">
        <f t="shared" si="231"/>
        <v>0.72600378027165569</v>
      </c>
      <c r="T243" s="585">
        <f t="shared" si="232"/>
        <v>3.4972220009132284</v>
      </c>
      <c r="U243" s="585">
        <f t="shared" si="233"/>
        <v>17.48611000456614</v>
      </c>
      <c r="V243" s="585">
        <f t="shared" si="234"/>
        <v>0</v>
      </c>
      <c r="W243" s="585">
        <f t="shared" si="235"/>
        <v>1.0491666002739684</v>
      </c>
    </row>
    <row r="244" spans="1:23">
      <c r="A244" s="123">
        <f>'Input data'!A142</f>
        <v>2044</v>
      </c>
      <c r="B244" s="986">
        <f>'Recycling - Case 3'!AI122*'Recycling - Case 3'!B122</f>
        <v>2709.726660325523</v>
      </c>
      <c r="C244" s="114">
        <f t="shared" si="239"/>
        <v>0.5</v>
      </c>
      <c r="D244" s="114">
        <f t="shared" si="240"/>
        <v>0.5</v>
      </c>
      <c r="E244">
        <v>0</v>
      </c>
      <c r="F244">
        <v>0</v>
      </c>
      <c r="G244" s="989">
        <f t="shared" si="236"/>
        <v>1.0838906641302093</v>
      </c>
      <c r="H244" s="650">
        <f t="shared" si="237"/>
        <v>5.419453320651046</v>
      </c>
      <c r="J244" s="990">
        <f t="shared" si="238"/>
        <v>0.32516719923906279</v>
      </c>
      <c r="K244" s="987">
        <f>'Recycling - Case 3'!W162*'Recycling - Case 3'!AG162*'Recycling - Case 3'!C162</f>
        <v>6683.9361385470102</v>
      </c>
      <c r="L244" s="114">
        <f t="shared" si="241"/>
        <v>0.5</v>
      </c>
      <c r="M244" s="114">
        <f t="shared" si="242"/>
        <v>0.5</v>
      </c>
      <c r="N244">
        <f t="shared" ref="N244:O244" si="263">N106</f>
        <v>0</v>
      </c>
      <c r="O244">
        <f t="shared" si="263"/>
        <v>0</v>
      </c>
      <c r="P244" s="178">
        <f t="shared" si="229"/>
        <v>2.6735744554188039</v>
      </c>
      <c r="Q244" s="512">
        <f t="shared" si="230"/>
        <v>13.367872277094021</v>
      </c>
      <c r="S244" s="178">
        <f t="shared" si="231"/>
        <v>0.80207233662564126</v>
      </c>
      <c r="T244" s="585">
        <f t="shared" si="232"/>
        <v>3.7574651195490132</v>
      </c>
      <c r="U244" s="585">
        <f t="shared" si="233"/>
        <v>18.787325597745067</v>
      </c>
      <c r="V244" s="585">
        <f t="shared" si="234"/>
        <v>0</v>
      </c>
      <c r="W244" s="585">
        <f t="shared" si="235"/>
        <v>1.127239535864704</v>
      </c>
    </row>
    <row r="245" spans="1:23">
      <c r="A245" s="123">
        <f>'Input data'!A143</f>
        <v>2045</v>
      </c>
      <c r="B245" s="986">
        <f>'Recycling - Case 3'!AI123*'Recycling - Case 3'!B123</f>
        <v>2726.5779639604316</v>
      </c>
      <c r="C245" s="114">
        <f t="shared" si="239"/>
        <v>0.5</v>
      </c>
      <c r="D245" s="114">
        <f t="shared" si="240"/>
        <v>0.5</v>
      </c>
      <c r="E245">
        <v>0</v>
      </c>
      <c r="F245">
        <v>0</v>
      </c>
      <c r="G245" s="989">
        <f t="shared" si="236"/>
        <v>1.0906311855841728</v>
      </c>
      <c r="H245" s="650">
        <f t="shared" si="237"/>
        <v>5.4531559279208635</v>
      </c>
      <c r="J245" s="990">
        <f t="shared" si="238"/>
        <v>0.32718935567525176</v>
      </c>
      <c r="K245" s="987">
        <f>'Recycling - Case 3'!W163*'Recycling - Case 3'!AG163*'Recycling - Case 3'!C163</f>
        <v>7338.1531858825419</v>
      </c>
      <c r="L245" s="114">
        <f t="shared" si="241"/>
        <v>0.5</v>
      </c>
      <c r="M245" s="114">
        <f t="shared" si="242"/>
        <v>0.5</v>
      </c>
      <c r="N245">
        <f t="shared" ref="N245:O245" si="264">N107</f>
        <v>0</v>
      </c>
      <c r="O245">
        <f t="shared" si="264"/>
        <v>0</v>
      </c>
      <c r="P245" s="178">
        <f t="shared" si="229"/>
        <v>2.9352612743530173</v>
      </c>
      <c r="Q245" s="512">
        <f t="shared" si="230"/>
        <v>14.676306371765083</v>
      </c>
      <c r="S245" s="178">
        <f t="shared" si="231"/>
        <v>0.88057838230590502</v>
      </c>
      <c r="T245" s="585">
        <f t="shared" si="232"/>
        <v>4.0258924599371904</v>
      </c>
      <c r="U245" s="585">
        <f t="shared" si="233"/>
        <v>20.129462299685947</v>
      </c>
      <c r="V245" s="585">
        <f t="shared" si="234"/>
        <v>0</v>
      </c>
      <c r="W245" s="585">
        <f t="shared" si="235"/>
        <v>1.2077677379811567</v>
      </c>
    </row>
    <row r="246" spans="1:23">
      <c r="A246" s="123">
        <f>'Input data'!A144</f>
        <v>2046</v>
      </c>
      <c r="B246" s="986">
        <f>'Recycling - Case 3'!AI124*'Recycling - Case 3'!B124</f>
        <v>2740.46640102217</v>
      </c>
      <c r="C246" s="114">
        <f t="shared" si="239"/>
        <v>0.5</v>
      </c>
      <c r="D246" s="114">
        <f t="shared" si="240"/>
        <v>0.5</v>
      </c>
      <c r="E246">
        <v>0</v>
      </c>
      <c r="F246">
        <v>0</v>
      </c>
      <c r="G246" s="989">
        <f t="shared" si="236"/>
        <v>1.0961865604088681</v>
      </c>
      <c r="H246" s="650">
        <f t="shared" si="237"/>
        <v>5.4809328020443395</v>
      </c>
      <c r="J246" s="990">
        <f t="shared" si="238"/>
        <v>0.32885596812266038</v>
      </c>
      <c r="K246" s="987">
        <f>'Recycling - Case 3'!W164*'Recycling - Case 3'!AG164*'Recycling - Case 3'!C164</f>
        <v>8009.9650687120593</v>
      </c>
      <c r="L246" s="114">
        <f t="shared" si="241"/>
        <v>0.5</v>
      </c>
      <c r="M246" s="114">
        <f t="shared" si="242"/>
        <v>0.5</v>
      </c>
      <c r="N246">
        <f t="shared" ref="N246:O246" si="265">N108</f>
        <v>0</v>
      </c>
      <c r="O246">
        <f t="shared" si="265"/>
        <v>0</v>
      </c>
      <c r="P246" s="178">
        <f t="shared" si="229"/>
        <v>3.2039860274848238</v>
      </c>
      <c r="Q246" s="512">
        <f t="shared" si="230"/>
        <v>16.019930137424119</v>
      </c>
      <c r="S246" s="178">
        <f t="shared" si="231"/>
        <v>0.96119580824544715</v>
      </c>
      <c r="T246" s="585">
        <f t="shared" si="232"/>
        <v>4.3001725878936918</v>
      </c>
      <c r="U246" s="585">
        <f t="shared" si="233"/>
        <v>21.500862939468458</v>
      </c>
      <c r="V246" s="585">
        <f t="shared" si="234"/>
        <v>0</v>
      </c>
      <c r="W246" s="585">
        <f t="shared" si="235"/>
        <v>1.2900517763681076</v>
      </c>
    </row>
    <row r="247" spans="1:23">
      <c r="A247" s="123">
        <f>'Input data'!A145</f>
        <v>2047</v>
      </c>
      <c r="B247" s="986">
        <f>'Recycling - Case 3'!AI125*'Recycling - Case 3'!B125</f>
        <v>2754.4659455804021</v>
      </c>
      <c r="C247" s="114">
        <f t="shared" si="239"/>
        <v>0.5</v>
      </c>
      <c r="D247" s="114">
        <f t="shared" si="240"/>
        <v>0.5</v>
      </c>
      <c r="E247">
        <v>0</v>
      </c>
      <c r="F247">
        <v>0</v>
      </c>
      <c r="G247" s="989">
        <f t="shared" si="236"/>
        <v>1.1017863782321609</v>
      </c>
      <c r="H247" s="650">
        <f t="shared" si="237"/>
        <v>5.5089318911608043</v>
      </c>
      <c r="J247" s="990">
        <f t="shared" si="238"/>
        <v>0.33053591346964822</v>
      </c>
      <c r="K247" s="987">
        <f>'Recycling - Case 3'!W165*'Recycling - Case 3'!AG165*'Recycling - Case 3'!C165</f>
        <v>8698.7814281572628</v>
      </c>
      <c r="L247" s="114">
        <f t="shared" si="241"/>
        <v>0.5</v>
      </c>
      <c r="M247" s="114">
        <f t="shared" si="242"/>
        <v>0.5</v>
      </c>
      <c r="N247">
        <f t="shared" ref="N247:O247" si="266">N109</f>
        <v>0</v>
      </c>
      <c r="O247">
        <f t="shared" si="266"/>
        <v>0</v>
      </c>
      <c r="P247" s="178">
        <f t="shared" si="229"/>
        <v>3.4795125712629051</v>
      </c>
      <c r="Q247" s="512">
        <f t="shared" si="230"/>
        <v>17.397562856314526</v>
      </c>
      <c r="S247" s="178">
        <f t="shared" si="231"/>
        <v>1.0438537713788714</v>
      </c>
      <c r="T247" s="585">
        <f t="shared" si="232"/>
        <v>4.581298949495066</v>
      </c>
      <c r="U247" s="585">
        <f t="shared" si="233"/>
        <v>22.906494747475328</v>
      </c>
      <c r="V247" s="585">
        <f t="shared" si="234"/>
        <v>0</v>
      </c>
      <c r="W247" s="585">
        <f t="shared" si="235"/>
        <v>1.3743896848485195</v>
      </c>
    </row>
    <row r="248" spans="1:23">
      <c r="A248" s="123">
        <f>'Input data'!A146</f>
        <v>2048</v>
      </c>
      <c r="B248" s="986">
        <f>'Recycling - Case 3'!AI126*'Recycling - Case 3'!B126</f>
        <v>2768.5395618029629</v>
      </c>
      <c r="C248" s="114">
        <f t="shared" si="239"/>
        <v>0.5</v>
      </c>
      <c r="D248" s="114">
        <f t="shared" si="240"/>
        <v>0.5</v>
      </c>
      <c r="E248">
        <v>0</v>
      </c>
      <c r="F248">
        <v>0</v>
      </c>
      <c r="G248" s="989">
        <f t="shared" si="236"/>
        <v>1.1074158247211852</v>
      </c>
      <c r="H248" s="650">
        <f t="shared" si="237"/>
        <v>5.5370791236059258</v>
      </c>
      <c r="J248" s="990">
        <f t="shared" si="238"/>
        <v>0.33222474741635549</v>
      </c>
      <c r="K248" s="987">
        <f>'Recycling - Case 3'!W166*'Recycling - Case 3'!AG166*'Recycling - Case 3'!C166</f>
        <v>9391.993757158567</v>
      </c>
      <c r="L248" s="114">
        <f t="shared" si="241"/>
        <v>0.5</v>
      </c>
      <c r="M248" s="114">
        <f t="shared" si="242"/>
        <v>0.5</v>
      </c>
      <c r="N248">
        <f t="shared" ref="N248:O248" si="267">N110</f>
        <v>0</v>
      </c>
      <c r="O248">
        <f t="shared" si="267"/>
        <v>0</v>
      </c>
      <c r="P248" s="178">
        <f t="shared" si="229"/>
        <v>3.7567975028634271</v>
      </c>
      <c r="Q248" s="512">
        <f t="shared" si="230"/>
        <v>18.783987514317133</v>
      </c>
      <c r="S248" s="178">
        <f t="shared" si="231"/>
        <v>1.1270392508590281</v>
      </c>
      <c r="T248" s="585">
        <f t="shared" si="232"/>
        <v>4.8642133275846122</v>
      </c>
      <c r="U248" s="585">
        <f t="shared" si="233"/>
        <v>24.32106663792306</v>
      </c>
      <c r="V248" s="585">
        <f t="shared" si="234"/>
        <v>0</v>
      </c>
      <c r="W248" s="585">
        <f t="shared" si="235"/>
        <v>1.4592639982753837</v>
      </c>
    </row>
    <row r="249" spans="1:23">
      <c r="A249" s="123">
        <f>'Input data'!A147</f>
        <v>2049</v>
      </c>
      <c r="B249" s="986">
        <f>'Recycling - Case 3'!AI127*'Recycling - Case 3'!B127</f>
        <v>2782.6502138576889</v>
      </c>
      <c r="C249" s="114">
        <f t="shared" si="239"/>
        <v>0.5</v>
      </c>
      <c r="D249" s="114">
        <f t="shared" si="240"/>
        <v>0.5</v>
      </c>
      <c r="E249">
        <v>0</v>
      </c>
      <c r="F249">
        <v>0</v>
      </c>
      <c r="G249" s="989">
        <f t="shared" si="236"/>
        <v>1.1130600855430755</v>
      </c>
      <c r="H249" s="650">
        <f t="shared" si="237"/>
        <v>5.5653004277153775</v>
      </c>
      <c r="J249" s="990">
        <f t="shared" si="238"/>
        <v>0.33391802566292267</v>
      </c>
      <c r="K249" s="987">
        <f>'Recycling - Case 3'!W167*'Recycling - Case 3'!AG167*'Recycling - Case 3'!C167</f>
        <v>10104.267919666074</v>
      </c>
      <c r="L249" s="114">
        <f t="shared" si="241"/>
        <v>0.5</v>
      </c>
      <c r="M249" s="114">
        <f t="shared" si="242"/>
        <v>0.5</v>
      </c>
      <c r="N249">
        <f t="shared" ref="N249:O249" si="268">N111</f>
        <v>0</v>
      </c>
      <c r="O249">
        <f t="shared" si="268"/>
        <v>0</v>
      </c>
      <c r="P249" s="178">
        <f t="shared" si="229"/>
        <v>4.0417071678664298</v>
      </c>
      <c r="Q249" s="512">
        <f t="shared" si="230"/>
        <v>20.208535839332146</v>
      </c>
      <c r="S249" s="178">
        <f t="shared" si="231"/>
        <v>1.212512150359929</v>
      </c>
      <c r="T249" s="585">
        <f t="shared" si="232"/>
        <v>5.1547672534095055</v>
      </c>
      <c r="U249" s="585">
        <f t="shared" si="233"/>
        <v>25.773836267047525</v>
      </c>
      <c r="V249" s="585">
        <f t="shared" si="234"/>
        <v>0</v>
      </c>
      <c r="W249" s="585">
        <f t="shared" si="235"/>
        <v>1.5464301760228516</v>
      </c>
    </row>
    <row r="250" spans="1:23">
      <c r="A250" s="123">
        <f>'Input data'!A148</f>
        <v>2050</v>
      </c>
      <c r="B250" s="986">
        <f>'Recycling - Case 3'!AI128*'Recycling - Case 3'!B128</f>
        <v>2796.8719734089091</v>
      </c>
      <c r="C250" s="114">
        <f t="shared" si="239"/>
        <v>0.5</v>
      </c>
      <c r="D250" s="114">
        <f t="shared" si="240"/>
        <v>0.5</v>
      </c>
      <c r="E250">
        <v>0</v>
      </c>
      <c r="F250">
        <v>0</v>
      </c>
      <c r="G250" s="989">
        <f t="shared" si="236"/>
        <v>1.1187487893635637</v>
      </c>
      <c r="H250" s="650">
        <f t="shared" si="237"/>
        <v>5.5937439468178178</v>
      </c>
      <c r="J250" s="990">
        <f t="shared" si="238"/>
        <v>0.33562463680906912</v>
      </c>
      <c r="K250" s="987">
        <f>'Recycling - Case 3'!W168*'Recycling - Case 3'!AG168*'Recycling - Case 3'!C168</f>
        <v>10836.710898943882</v>
      </c>
      <c r="L250" s="114">
        <f t="shared" si="241"/>
        <v>0.5</v>
      </c>
      <c r="M250" s="114">
        <f t="shared" si="242"/>
        <v>0.5</v>
      </c>
      <c r="N250">
        <f t="shared" ref="N250:O250" si="269">N112</f>
        <v>0</v>
      </c>
      <c r="O250">
        <f t="shared" si="269"/>
        <v>0</v>
      </c>
      <c r="P250" s="178">
        <f t="shared" si="229"/>
        <v>4.3346843595775528</v>
      </c>
      <c r="Q250" s="512">
        <f t="shared" si="230"/>
        <v>21.673421797887762</v>
      </c>
      <c r="S250" s="178">
        <f t="shared" si="231"/>
        <v>1.3004053078732658</v>
      </c>
      <c r="T250" s="585">
        <f t="shared" si="232"/>
        <v>5.4534331489411167</v>
      </c>
      <c r="U250" s="585">
        <f t="shared" si="233"/>
        <v>27.267165744705579</v>
      </c>
      <c r="V250" s="585">
        <f t="shared" si="234"/>
        <v>0</v>
      </c>
      <c r="W250" s="585">
        <f t="shared" si="235"/>
        <v>1.636029944682335</v>
      </c>
    </row>
    <row r="251" spans="1:23">
      <c r="A251" s="988" t="s">
        <v>769</v>
      </c>
    </row>
    <row r="252" spans="1:23">
      <c r="A252" s="123">
        <f>'Input data'!A116</f>
        <v>2018</v>
      </c>
      <c r="B252" s="986">
        <f>'Recycling - Case 3'!AI96*'Recycling - Case 3'!B96</f>
        <v>3621.0946455823168</v>
      </c>
      <c r="C252" s="114">
        <f>($C$256-$C$80)/($A$256-$A$80)+C80</f>
        <v>0.14000000000000001</v>
      </c>
      <c r="D252" s="114">
        <f>1-C252</f>
        <v>0.86</v>
      </c>
      <c r="E252">
        <v>0</v>
      </c>
      <c r="F252">
        <v>0</v>
      </c>
      <c r="G252" s="989">
        <f>C252*$D$5*B252/1000-E252</f>
        <v>0.40556260030521951</v>
      </c>
      <c r="H252" s="650">
        <f>D252*$D$4*B252/1000-F252</f>
        <v>12.45656558080317</v>
      </c>
      <c r="J252" s="990">
        <f>D252*$D$7*B252/1000</f>
        <v>0.74739393484819017</v>
      </c>
      <c r="K252" s="987">
        <f>'Recycling - Case 3'!Z136*'Recycling - Case 3'!C136</f>
        <v>6276.5943854712859</v>
      </c>
      <c r="L252" s="114">
        <f>($L$256-$L$80)/($A$256-$A$80)+L80</f>
        <v>0.14000000000000001</v>
      </c>
      <c r="M252" s="114">
        <f>1-L252</f>
        <v>0.86</v>
      </c>
      <c r="N252">
        <f t="shared" ref="N252:O257" si="270">N114</f>
        <v>0</v>
      </c>
      <c r="O252">
        <f t="shared" si="270"/>
        <v>0</v>
      </c>
      <c r="P252" s="178">
        <f t="shared" ref="P252:P284" si="271">L252*$D$5*K252/1000-N252</f>
        <v>0.70297857117278406</v>
      </c>
      <c r="Q252" s="512">
        <f t="shared" ref="Q252:Q284" si="272">M252*$D$4*K252/1000-O252</f>
        <v>21.591484686021225</v>
      </c>
      <c r="S252" s="178">
        <f t="shared" ref="S252:S284" si="273">M252*$D$7*K252/1000</f>
        <v>1.2954890811612734</v>
      </c>
      <c r="T252" s="585">
        <f t="shared" ref="T252:T284" si="274">G252+P252</f>
        <v>1.1085411714780036</v>
      </c>
      <c r="U252" s="585">
        <f t="shared" ref="U252:U284" si="275">H252+Q252</f>
        <v>34.048050266824397</v>
      </c>
      <c r="V252" s="585">
        <f t="shared" ref="V252:V284" si="276">I252+R252</f>
        <v>0</v>
      </c>
      <c r="W252" s="585">
        <f t="shared" ref="W252:W284" si="277">J252+S252</f>
        <v>2.0428830160094638</v>
      </c>
    </row>
    <row r="253" spans="1:23">
      <c r="A253" s="123">
        <f>'Input data'!A117</f>
        <v>2019</v>
      </c>
      <c r="B253" s="986">
        <f>'Recycling - Case 3'!AI97*'Recycling - Case 3'!B97</f>
        <v>3920.8675148070129</v>
      </c>
      <c r="C253" s="114">
        <f>($C$256-$C$80)/($A$256-$A$80)+C252</f>
        <v>0.23</v>
      </c>
      <c r="D253" s="114">
        <f t="shared" ref="D253:D284" si="278">1-C253</f>
        <v>0.77</v>
      </c>
      <c r="E253">
        <v>0</v>
      </c>
      <c r="F253">
        <v>0</v>
      </c>
      <c r="G253" s="989">
        <f t="shared" ref="G253:G284" si="279">C253*$D$5*B253/1000-E253</f>
        <v>0.72143962272449047</v>
      </c>
      <c r="H253" s="650">
        <f t="shared" ref="H253:H284" si="280">D253*$D$4*B253/1000-F253</f>
        <v>12.076271945605599</v>
      </c>
      <c r="J253" s="990">
        <f t="shared" ref="J253:J284" si="281">D253*$D$7*B253/1000</f>
        <v>0.72457631673633593</v>
      </c>
      <c r="K253" s="987">
        <f>'Recycling - Case 3'!Z137*'Recycling - Case 3'!C137</f>
        <v>6352.9575581335039</v>
      </c>
      <c r="L253" s="114">
        <f>($L$256-$L$80)/($A$256-$A$80)+L252</f>
        <v>0.23</v>
      </c>
      <c r="M253" s="114">
        <f t="shared" ref="M253:M284" si="282">1-L253</f>
        <v>0.77</v>
      </c>
      <c r="N253">
        <f t="shared" si="270"/>
        <v>0</v>
      </c>
      <c r="O253">
        <f t="shared" si="270"/>
        <v>0</v>
      </c>
      <c r="P253" s="178">
        <f t="shared" si="271"/>
        <v>1.168944190696565</v>
      </c>
      <c r="Q253" s="512">
        <f t="shared" si="272"/>
        <v>19.567109279051195</v>
      </c>
      <c r="S253" s="178">
        <f t="shared" si="273"/>
        <v>1.1740265567430714</v>
      </c>
      <c r="T253" s="585">
        <f t="shared" si="274"/>
        <v>1.8903838134210553</v>
      </c>
      <c r="U253" s="585">
        <f t="shared" si="275"/>
        <v>31.643381224656792</v>
      </c>
      <c r="V253" s="585">
        <f t="shared" si="276"/>
        <v>0</v>
      </c>
      <c r="W253" s="585">
        <f t="shared" si="277"/>
        <v>1.8986028734794074</v>
      </c>
    </row>
    <row r="254" spans="1:23">
      <c r="A254" s="123">
        <f>'Input data'!A118</f>
        <v>2020</v>
      </c>
      <c r="B254" s="986">
        <f>'Recycling - Case 3'!AI98*'Recycling - Case 3'!B98</f>
        <v>4489.6146062493435</v>
      </c>
      <c r="C254" s="114">
        <f t="shared" ref="C254:C255" si="283">($C$256-$C$80)/($A$256-$A$80)+C253</f>
        <v>0.32</v>
      </c>
      <c r="D254" s="114">
        <f t="shared" si="278"/>
        <v>0.67999999999999994</v>
      </c>
      <c r="E254">
        <v>0</v>
      </c>
      <c r="F254">
        <v>0</v>
      </c>
      <c r="G254" s="989">
        <f t="shared" si="279"/>
        <v>1.1493413391998319</v>
      </c>
      <c r="H254" s="650">
        <f t="shared" si="280"/>
        <v>12.211751728998212</v>
      </c>
      <c r="J254" s="990">
        <f t="shared" si="281"/>
        <v>0.73270510373989284</v>
      </c>
      <c r="K254" s="987">
        <f>'Recycling - Case 3'!Z138*'Recycling - Case 3'!C138</f>
        <v>5085.1995396120392</v>
      </c>
      <c r="L254" s="114">
        <f t="shared" ref="L254:L255" si="284">($L$256-$L$80)/($A$256-$A$80)+L253</f>
        <v>0.32</v>
      </c>
      <c r="M254" s="114">
        <f t="shared" si="282"/>
        <v>0.67999999999999994</v>
      </c>
      <c r="N254">
        <f t="shared" si="270"/>
        <v>0</v>
      </c>
      <c r="O254">
        <f t="shared" si="270"/>
        <v>0</v>
      </c>
      <c r="P254" s="178">
        <f t="shared" si="271"/>
        <v>1.3018110821406819</v>
      </c>
      <c r="Q254" s="512">
        <f t="shared" si="272"/>
        <v>13.831742747744745</v>
      </c>
      <c r="S254" s="178">
        <f t="shared" si="273"/>
        <v>0.82990456486468478</v>
      </c>
      <c r="T254" s="585">
        <f t="shared" si="274"/>
        <v>2.451152421340514</v>
      </c>
      <c r="U254" s="585">
        <f t="shared" si="275"/>
        <v>26.043494476742957</v>
      </c>
      <c r="V254" s="585">
        <f t="shared" si="276"/>
        <v>0</v>
      </c>
      <c r="W254" s="585">
        <f t="shared" si="277"/>
        <v>1.5626096686045776</v>
      </c>
    </row>
    <row r="255" spans="1:23">
      <c r="A255" s="123">
        <f>'Input data'!A119</f>
        <v>2021</v>
      </c>
      <c r="B255" s="986">
        <f>'Recycling - Case 3'!AI99*'Recycling - Case 3'!B99</f>
        <v>5342.7306030456248</v>
      </c>
      <c r="C255" s="114">
        <f t="shared" si="283"/>
        <v>0.41000000000000003</v>
      </c>
      <c r="D255" s="114">
        <f t="shared" si="278"/>
        <v>0.59</v>
      </c>
      <c r="E255">
        <v>0</v>
      </c>
      <c r="F255">
        <v>0</v>
      </c>
      <c r="G255" s="989">
        <f t="shared" si="279"/>
        <v>1.7524156377989653</v>
      </c>
      <c r="H255" s="650">
        <f t="shared" si="280"/>
        <v>12.608844223187674</v>
      </c>
      <c r="J255" s="990">
        <f t="shared" si="281"/>
        <v>0.75653065339126035</v>
      </c>
      <c r="K255" s="987">
        <f>'Recycling - Case 3'!Z139*'Recycling - Case 3'!C139</f>
        <v>2972.5052686726208</v>
      </c>
      <c r="L255" s="114">
        <f t="shared" si="284"/>
        <v>0.41000000000000003</v>
      </c>
      <c r="M255" s="114">
        <f t="shared" si="282"/>
        <v>0.59</v>
      </c>
      <c r="N255">
        <f t="shared" si="270"/>
        <v>0</v>
      </c>
      <c r="O255">
        <f t="shared" si="270"/>
        <v>0</v>
      </c>
      <c r="P255" s="178">
        <f t="shared" si="271"/>
        <v>0.97498172812461981</v>
      </c>
      <c r="Q255" s="512">
        <f t="shared" si="272"/>
        <v>7.0151124340673849</v>
      </c>
      <c r="S255" s="178">
        <f t="shared" si="273"/>
        <v>0.42090674604404305</v>
      </c>
      <c r="T255" s="585">
        <f t="shared" si="274"/>
        <v>2.7273973659235851</v>
      </c>
      <c r="U255" s="585">
        <f t="shared" si="275"/>
        <v>19.623956657255057</v>
      </c>
      <c r="V255" s="585">
        <f t="shared" si="276"/>
        <v>0</v>
      </c>
      <c r="W255" s="585">
        <f t="shared" si="277"/>
        <v>1.1774373994353033</v>
      </c>
    </row>
    <row r="256" spans="1:23">
      <c r="A256" s="123">
        <f>'Input data'!A120</f>
        <v>2022</v>
      </c>
      <c r="B256" s="986">
        <f>'Recycling - Case 3'!AI100*'Recycling - Case 3'!B100</f>
        <v>5021.1547579907265</v>
      </c>
      <c r="C256" s="114">
        <f>'Recycling - Case 3'!G31</f>
        <v>0.5</v>
      </c>
      <c r="D256" s="114">
        <f t="shared" si="278"/>
        <v>0.5</v>
      </c>
      <c r="E256">
        <v>0</v>
      </c>
      <c r="F256">
        <v>0</v>
      </c>
      <c r="G256" s="989">
        <f t="shared" si="279"/>
        <v>2.0084619031962907</v>
      </c>
      <c r="H256" s="650">
        <f t="shared" si="280"/>
        <v>10.042309515981453</v>
      </c>
      <c r="J256" s="990">
        <f t="shared" si="281"/>
        <v>0.60253857095888719</v>
      </c>
      <c r="K256" s="987">
        <f>'Recycling - Case 3'!Z140*'Recycling - Case 3'!C140</f>
        <v>1391.7317999247737</v>
      </c>
      <c r="L256" s="114">
        <f>'Recycling - Case 3'!G31</f>
        <v>0.5</v>
      </c>
      <c r="M256" s="114">
        <f t="shared" si="282"/>
        <v>0.5</v>
      </c>
      <c r="N256">
        <f t="shared" si="270"/>
        <v>0</v>
      </c>
      <c r="O256">
        <f t="shared" si="270"/>
        <v>0</v>
      </c>
      <c r="P256" s="178">
        <f t="shared" si="271"/>
        <v>0.55669271996990954</v>
      </c>
      <c r="Q256" s="512">
        <f t="shared" si="272"/>
        <v>2.7834635998495472</v>
      </c>
      <c r="S256" s="178">
        <f t="shared" si="273"/>
        <v>0.16700781599097284</v>
      </c>
      <c r="T256" s="585">
        <f t="shared" si="274"/>
        <v>2.5651546231662001</v>
      </c>
      <c r="U256" s="585">
        <f t="shared" si="275"/>
        <v>12.825773115831</v>
      </c>
      <c r="V256" s="585">
        <f t="shared" si="276"/>
        <v>0</v>
      </c>
      <c r="W256" s="585">
        <f t="shared" si="277"/>
        <v>0.76954638694986</v>
      </c>
    </row>
    <row r="257" spans="1:23">
      <c r="A257" s="123">
        <f>'Input data'!A121</f>
        <v>2023</v>
      </c>
      <c r="B257" s="986">
        <f>'Recycling - Case 3'!AI101*'Recycling - Case 3'!B101</f>
        <v>4838.5591386232072</v>
      </c>
      <c r="C257" s="114">
        <f>C256</f>
        <v>0.5</v>
      </c>
      <c r="D257" s="114">
        <f t="shared" si="278"/>
        <v>0.5</v>
      </c>
      <c r="E257">
        <v>0</v>
      </c>
      <c r="F257">
        <v>0</v>
      </c>
      <c r="G257" s="989">
        <f t="shared" si="279"/>
        <v>1.935423655449283</v>
      </c>
      <c r="H257" s="650">
        <f t="shared" si="280"/>
        <v>9.6771182772464144</v>
      </c>
      <c r="J257" s="990">
        <f t="shared" si="281"/>
        <v>0.58062709663478485</v>
      </c>
      <c r="K257" s="987">
        <f>'Recycling - Case 3'!Z141*'Recycling - Case 3'!C141</f>
        <v>1420.410375718752</v>
      </c>
      <c r="L257" s="114">
        <f>L256</f>
        <v>0.5</v>
      </c>
      <c r="M257" s="114">
        <f t="shared" si="282"/>
        <v>0.5</v>
      </c>
      <c r="N257">
        <f t="shared" si="270"/>
        <v>0</v>
      </c>
      <c r="O257">
        <f t="shared" si="270"/>
        <v>0</v>
      </c>
      <c r="P257" s="178">
        <f t="shared" si="271"/>
        <v>0.56816415028750078</v>
      </c>
      <c r="Q257" s="512">
        <f t="shared" si="272"/>
        <v>2.8408207514375041</v>
      </c>
      <c r="S257" s="178">
        <f t="shared" si="273"/>
        <v>0.17044924508625026</v>
      </c>
      <c r="T257" s="585">
        <f t="shared" si="274"/>
        <v>2.5035878057367835</v>
      </c>
      <c r="U257" s="585">
        <f t="shared" si="275"/>
        <v>12.517939028683919</v>
      </c>
      <c r="V257" s="585">
        <f t="shared" si="276"/>
        <v>0</v>
      </c>
      <c r="W257" s="585">
        <f t="shared" si="277"/>
        <v>0.7510763417210351</v>
      </c>
    </row>
    <row r="258" spans="1:23">
      <c r="A258" s="123">
        <f>'Input data'!A122</f>
        <v>2024</v>
      </c>
      <c r="B258" s="986">
        <f>'Recycling - Case 3'!AI102*'Recycling - Case 3'!B102</f>
        <v>4644.4457885792062</v>
      </c>
      <c r="C258" s="114">
        <f t="shared" ref="C258:C273" si="285">C257</f>
        <v>0.5</v>
      </c>
      <c r="D258" s="114">
        <f t="shared" si="278"/>
        <v>0.5</v>
      </c>
      <c r="E258">
        <v>0</v>
      </c>
      <c r="F258">
        <v>0</v>
      </c>
      <c r="G258" s="989">
        <f t="shared" si="279"/>
        <v>1.8577783154316825</v>
      </c>
      <c r="H258" s="650">
        <f t="shared" si="280"/>
        <v>9.2888915771584131</v>
      </c>
      <c r="J258" s="990">
        <f t="shared" si="281"/>
        <v>0.55733349462950466</v>
      </c>
      <c r="K258" s="987">
        <f>'Recycling - Case 3'!Z142*'Recycling - Case 3'!C142</f>
        <v>1448.0713392191417</v>
      </c>
      <c r="L258" s="114">
        <f t="shared" ref="L258:L273" si="286">L257</f>
        <v>0.5</v>
      </c>
      <c r="M258" s="114">
        <f t="shared" si="282"/>
        <v>0.5</v>
      </c>
      <c r="N258">
        <f t="shared" ref="N258:O258" si="287">N120</f>
        <v>0</v>
      </c>
      <c r="O258">
        <f t="shared" si="287"/>
        <v>0</v>
      </c>
      <c r="P258" s="178">
        <f t="shared" si="271"/>
        <v>0.57922853568765675</v>
      </c>
      <c r="Q258" s="512">
        <f t="shared" si="272"/>
        <v>2.8961426784382835</v>
      </c>
      <c r="S258" s="178">
        <f t="shared" si="273"/>
        <v>0.17376856070629698</v>
      </c>
      <c r="T258" s="585">
        <f t="shared" si="274"/>
        <v>2.4370068511193392</v>
      </c>
      <c r="U258" s="585">
        <f t="shared" si="275"/>
        <v>12.185034255596698</v>
      </c>
      <c r="V258" s="585">
        <f t="shared" si="276"/>
        <v>0</v>
      </c>
      <c r="W258" s="585">
        <f t="shared" si="277"/>
        <v>0.73110205533580164</v>
      </c>
    </row>
    <row r="259" spans="1:23">
      <c r="A259" s="123">
        <f>'Input data'!A123</f>
        <v>2025</v>
      </c>
      <c r="B259" s="986">
        <f>'Recycling - Case 3'!AI103*'Recycling - Case 3'!B103</f>
        <v>4438.2123213922823</v>
      </c>
      <c r="C259" s="114">
        <f t="shared" si="285"/>
        <v>0.5</v>
      </c>
      <c r="D259" s="114">
        <f t="shared" si="278"/>
        <v>0.5</v>
      </c>
      <c r="E259">
        <v>0</v>
      </c>
      <c r="F259">
        <v>0</v>
      </c>
      <c r="G259" s="989">
        <f t="shared" si="279"/>
        <v>1.775284928556913</v>
      </c>
      <c r="H259" s="650">
        <f t="shared" si="280"/>
        <v>8.8764246427845652</v>
      </c>
      <c r="J259" s="990">
        <f t="shared" si="281"/>
        <v>0.53258547856707394</v>
      </c>
      <c r="K259" s="987">
        <f>'Recycling - Case 3'!Z143*'Recycling - Case 3'!C143</f>
        <v>1476.9127329800942</v>
      </c>
      <c r="L259" s="114">
        <f t="shared" si="286"/>
        <v>0.5</v>
      </c>
      <c r="M259" s="114">
        <f t="shared" si="282"/>
        <v>0.5</v>
      </c>
      <c r="N259">
        <f t="shared" ref="N259:O259" si="288">N121</f>
        <v>0</v>
      </c>
      <c r="O259">
        <f t="shared" si="288"/>
        <v>0</v>
      </c>
      <c r="P259" s="178">
        <f t="shared" si="271"/>
        <v>0.59076509319203774</v>
      </c>
      <c r="Q259" s="512">
        <f t="shared" si="272"/>
        <v>2.9538254659601884</v>
      </c>
      <c r="S259" s="178">
        <f t="shared" si="273"/>
        <v>0.17722952795761132</v>
      </c>
      <c r="T259" s="585">
        <f t="shared" si="274"/>
        <v>2.3660500217489506</v>
      </c>
      <c r="U259" s="585">
        <f t="shared" si="275"/>
        <v>11.830250108744753</v>
      </c>
      <c r="V259" s="585">
        <f t="shared" si="276"/>
        <v>0</v>
      </c>
      <c r="W259" s="585">
        <f t="shared" si="277"/>
        <v>0.70981500652468532</v>
      </c>
    </row>
    <row r="260" spans="1:23">
      <c r="A260" s="123">
        <f>'Input data'!A124</f>
        <v>2026</v>
      </c>
      <c r="B260" s="986">
        <f>'Recycling - Case 3'!AI104*'Recycling - Case 3'!B104</f>
        <v>4212.2487177631583</v>
      </c>
      <c r="C260" s="114">
        <f t="shared" si="285"/>
        <v>0.5</v>
      </c>
      <c r="D260" s="114">
        <f t="shared" si="278"/>
        <v>0.5</v>
      </c>
      <c r="E260">
        <v>0</v>
      </c>
      <c r="F260">
        <v>0</v>
      </c>
      <c r="G260" s="989">
        <f t="shared" si="279"/>
        <v>1.6848994871052634</v>
      </c>
      <c r="H260" s="650">
        <f t="shared" si="280"/>
        <v>8.424497435526316</v>
      </c>
      <c r="J260" s="990">
        <f t="shared" si="281"/>
        <v>0.50546984613157897</v>
      </c>
      <c r="K260" s="987">
        <f>'Recycling - Case 3'!Z144*'Recycling - Case 3'!C144</f>
        <v>1511.1678241429379</v>
      </c>
      <c r="L260" s="114">
        <f t="shared" si="286"/>
        <v>0.5</v>
      </c>
      <c r="M260" s="114">
        <f t="shared" si="282"/>
        <v>0.5</v>
      </c>
      <c r="N260">
        <f t="shared" ref="N260:O260" si="289">N122</f>
        <v>0</v>
      </c>
      <c r="O260">
        <f t="shared" si="289"/>
        <v>0</v>
      </c>
      <c r="P260" s="178">
        <f t="shared" si="271"/>
        <v>0.6044671296571752</v>
      </c>
      <c r="Q260" s="512">
        <f t="shared" si="272"/>
        <v>3.0223356482858756</v>
      </c>
      <c r="S260" s="178">
        <f t="shared" si="273"/>
        <v>0.18134013889715253</v>
      </c>
      <c r="T260" s="585">
        <f t="shared" si="274"/>
        <v>2.2893666167624387</v>
      </c>
      <c r="U260" s="585">
        <f t="shared" si="275"/>
        <v>11.446833083812191</v>
      </c>
      <c r="V260" s="585">
        <f t="shared" si="276"/>
        <v>0</v>
      </c>
      <c r="W260" s="585">
        <f t="shared" si="277"/>
        <v>0.68680998502873147</v>
      </c>
    </row>
    <row r="261" spans="1:23">
      <c r="A261" s="123">
        <f>'Input data'!A125</f>
        <v>2027</v>
      </c>
      <c r="B261" s="986">
        <f>'Recycling - Case 3'!AI105*'Recycling - Case 3'!B105</f>
        <v>3973.7125528245519</v>
      </c>
      <c r="C261" s="114">
        <f t="shared" si="285"/>
        <v>0.5</v>
      </c>
      <c r="D261" s="114">
        <f t="shared" si="278"/>
        <v>0.5</v>
      </c>
      <c r="E261">
        <v>0</v>
      </c>
      <c r="F261">
        <v>0</v>
      </c>
      <c r="G261" s="989">
        <f t="shared" si="279"/>
        <v>1.5894850211298208</v>
      </c>
      <c r="H261" s="650">
        <f t="shared" si="280"/>
        <v>7.9474251056491036</v>
      </c>
      <c r="J261" s="990">
        <f t="shared" si="281"/>
        <v>0.47684550633894623</v>
      </c>
      <c r="K261" s="987">
        <f>'Recycling - Case 3'!Z145*'Recycling - Case 3'!C145</f>
        <v>1545.0882339292232</v>
      </c>
      <c r="L261" s="114">
        <f t="shared" si="286"/>
        <v>0.5</v>
      </c>
      <c r="M261" s="114">
        <f t="shared" si="282"/>
        <v>0.5</v>
      </c>
      <c r="N261">
        <f t="shared" ref="N261:O261" si="290">N123</f>
        <v>0</v>
      </c>
      <c r="O261">
        <f t="shared" si="290"/>
        <v>0</v>
      </c>
      <c r="P261" s="178">
        <f t="shared" si="271"/>
        <v>0.61803529357168929</v>
      </c>
      <c r="Q261" s="512">
        <f t="shared" si="272"/>
        <v>3.0901764678584462</v>
      </c>
      <c r="S261" s="178">
        <f t="shared" si="273"/>
        <v>0.18541058807150676</v>
      </c>
      <c r="T261" s="585">
        <f t="shared" si="274"/>
        <v>2.2075203147015099</v>
      </c>
      <c r="U261" s="585">
        <f t="shared" si="275"/>
        <v>11.037601573507549</v>
      </c>
      <c r="V261" s="585">
        <f t="shared" si="276"/>
        <v>0</v>
      </c>
      <c r="W261" s="585">
        <f t="shared" si="277"/>
        <v>0.66225609441045297</v>
      </c>
    </row>
    <row r="262" spans="1:23">
      <c r="A262" s="123">
        <f>'Input data'!A126</f>
        <v>2028</v>
      </c>
      <c r="B262" s="986">
        <f>'Recycling - Case 3'!AI106*'Recycling - Case 3'!B106</f>
        <v>3721.8307341944769</v>
      </c>
      <c r="C262" s="114">
        <f t="shared" si="285"/>
        <v>0.5</v>
      </c>
      <c r="D262" s="114">
        <f t="shared" si="278"/>
        <v>0.5</v>
      </c>
      <c r="E262">
        <v>0</v>
      </c>
      <c r="F262">
        <v>0</v>
      </c>
      <c r="G262" s="989">
        <f t="shared" si="279"/>
        <v>1.4887322936777909</v>
      </c>
      <c r="H262" s="650">
        <f t="shared" si="280"/>
        <v>7.4436614683889539</v>
      </c>
      <c r="J262" s="990">
        <f t="shared" si="281"/>
        <v>0.44661968810333724</v>
      </c>
      <c r="K262" s="987">
        <f>'Recycling - Case 3'!Z146*'Recycling - Case 3'!C146</f>
        <v>1580.6368233852509</v>
      </c>
      <c r="L262" s="114">
        <f t="shared" si="286"/>
        <v>0.5</v>
      </c>
      <c r="M262" s="114">
        <f t="shared" si="282"/>
        <v>0.5</v>
      </c>
      <c r="N262">
        <f t="shared" ref="N262:O262" si="291">N124</f>
        <v>0</v>
      </c>
      <c r="O262">
        <f t="shared" si="291"/>
        <v>0</v>
      </c>
      <c r="P262" s="178">
        <f t="shared" si="271"/>
        <v>0.63225472935410043</v>
      </c>
      <c r="Q262" s="512">
        <f t="shared" si="272"/>
        <v>3.1612736467705016</v>
      </c>
      <c r="S262" s="178">
        <f t="shared" si="273"/>
        <v>0.1896764188062301</v>
      </c>
      <c r="T262" s="585">
        <f t="shared" si="274"/>
        <v>2.1209870230318915</v>
      </c>
      <c r="U262" s="585">
        <f t="shared" si="275"/>
        <v>10.604935115159456</v>
      </c>
      <c r="V262" s="585">
        <f t="shared" si="276"/>
        <v>0</v>
      </c>
      <c r="W262" s="585">
        <f t="shared" si="277"/>
        <v>0.63629610690956739</v>
      </c>
    </row>
    <row r="263" spans="1:23">
      <c r="A263" s="123">
        <f>'Input data'!A127</f>
        <v>2029</v>
      </c>
      <c r="B263" s="986">
        <f>'Recycling - Case 3'!AI107*'Recycling - Case 3'!B107</f>
        <v>3456.0403079453235</v>
      </c>
      <c r="C263" s="114">
        <f t="shared" si="285"/>
        <v>0.5</v>
      </c>
      <c r="D263" s="114">
        <f t="shared" si="278"/>
        <v>0.5</v>
      </c>
      <c r="E263">
        <v>0</v>
      </c>
      <c r="F263">
        <v>0</v>
      </c>
      <c r="G263" s="989">
        <f t="shared" si="279"/>
        <v>1.3824161231781296</v>
      </c>
      <c r="H263" s="650">
        <f t="shared" si="280"/>
        <v>6.9120806158906474</v>
      </c>
      <c r="J263" s="990">
        <f t="shared" si="281"/>
        <v>0.41472483695343881</v>
      </c>
      <c r="K263" s="987">
        <f>'Recycling - Case 3'!Z147*'Recycling - Case 3'!C147</f>
        <v>1617.3613203805357</v>
      </c>
      <c r="L263" s="114">
        <f t="shared" si="286"/>
        <v>0.5</v>
      </c>
      <c r="M263" s="114">
        <f t="shared" si="282"/>
        <v>0.5</v>
      </c>
      <c r="N263">
        <f t="shared" ref="N263:O263" si="292">N125</f>
        <v>0</v>
      </c>
      <c r="O263">
        <f t="shared" si="292"/>
        <v>0</v>
      </c>
      <c r="P263" s="178">
        <f t="shared" si="271"/>
        <v>0.64694452815221437</v>
      </c>
      <c r="Q263" s="512">
        <f t="shared" si="272"/>
        <v>3.2347226407610714</v>
      </c>
      <c r="S263" s="178">
        <f t="shared" si="273"/>
        <v>0.19408335844566429</v>
      </c>
      <c r="T263" s="585">
        <f t="shared" si="274"/>
        <v>2.0293606513303439</v>
      </c>
      <c r="U263" s="585">
        <f t="shared" si="275"/>
        <v>10.146803256651719</v>
      </c>
      <c r="V263" s="585">
        <f t="shared" si="276"/>
        <v>0</v>
      </c>
      <c r="W263" s="585">
        <f t="shared" si="277"/>
        <v>0.60880819539910314</v>
      </c>
    </row>
    <row r="264" spans="1:23">
      <c r="A264" s="123">
        <f>'Input data'!A128</f>
        <v>2030</v>
      </c>
      <c r="B264" s="986">
        <f>'Recycling - Case 3'!AI108*'Recycling - Case 3'!B108</f>
        <v>3175.5559501258704</v>
      </c>
      <c r="C264" s="114">
        <f t="shared" si="285"/>
        <v>0.5</v>
      </c>
      <c r="D264" s="114">
        <f t="shared" si="278"/>
        <v>0.5</v>
      </c>
      <c r="E264">
        <v>0</v>
      </c>
      <c r="F264">
        <v>0</v>
      </c>
      <c r="G264" s="989">
        <f t="shared" si="279"/>
        <v>1.2702223800503483</v>
      </c>
      <c r="H264" s="650">
        <f t="shared" si="280"/>
        <v>6.3511119002517411</v>
      </c>
      <c r="J264" s="990">
        <f t="shared" si="281"/>
        <v>0.38106671401510445</v>
      </c>
      <c r="K264" s="987">
        <f>'Recycling - Case 3'!Z148*'Recycling - Case 3'!C148</f>
        <v>1655.370270226395</v>
      </c>
      <c r="L264" s="114">
        <f t="shared" si="286"/>
        <v>0.5</v>
      </c>
      <c r="M264" s="114">
        <f t="shared" si="282"/>
        <v>0.5</v>
      </c>
      <c r="N264">
        <f t="shared" ref="N264:O264" si="293">N126</f>
        <v>0</v>
      </c>
      <c r="O264">
        <f t="shared" si="293"/>
        <v>0</v>
      </c>
      <c r="P264" s="178">
        <f t="shared" si="271"/>
        <v>0.66214810809055802</v>
      </c>
      <c r="Q264" s="512">
        <f t="shared" si="272"/>
        <v>3.3107405404527901</v>
      </c>
      <c r="S264" s="178">
        <f t="shared" si="273"/>
        <v>0.19864443242716737</v>
      </c>
      <c r="T264" s="585">
        <f t="shared" si="274"/>
        <v>1.9323704881409063</v>
      </c>
      <c r="U264" s="585">
        <f t="shared" si="275"/>
        <v>9.6618524407045321</v>
      </c>
      <c r="V264" s="585">
        <f t="shared" si="276"/>
        <v>0</v>
      </c>
      <c r="W264" s="585">
        <f t="shared" si="277"/>
        <v>0.57971114644227184</v>
      </c>
    </row>
    <row r="265" spans="1:23">
      <c r="A265" s="123">
        <f>'Input data'!A129</f>
        <v>2031</v>
      </c>
      <c r="B265" s="986">
        <f>'Recycling - Case 3'!AI109*'Recycling - Case 3'!B109</f>
        <v>2833.1244977232623</v>
      </c>
      <c r="C265" s="114">
        <f t="shared" si="285"/>
        <v>0.5</v>
      </c>
      <c r="D265" s="114">
        <f t="shared" si="278"/>
        <v>0.5</v>
      </c>
      <c r="E265">
        <v>0</v>
      </c>
      <c r="F265">
        <v>0</v>
      </c>
      <c r="G265" s="989">
        <f t="shared" si="279"/>
        <v>1.1332497990893051</v>
      </c>
      <c r="H265" s="650">
        <f t="shared" si="280"/>
        <v>5.6662489954465247</v>
      </c>
      <c r="J265" s="990">
        <f t="shared" si="281"/>
        <v>0.33997493972679144</v>
      </c>
      <c r="K265" s="987">
        <f>'Recycling - Case 3'!Z149*'Recycling - Case 3'!C149</f>
        <v>1701.0090509135161</v>
      </c>
      <c r="L265" s="114">
        <f t="shared" si="286"/>
        <v>0.5</v>
      </c>
      <c r="M265" s="114">
        <f t="shared" si="282"/>
        <v>0.5</v>
      </c>
      <c r="N265">
        <f t="shared" ref="N265:O265" si="294">N127</f>
        <v>0</v>
      </c>
      <c r="O265">
        <f t="shared" si="294"/>
        <v>0</v>
      </c>
      <c r="P265" s="178">
        <f t="shared" si="271"/>
        <v>0.68040362036540647</v>
      </c>
      <c r="Q265" s="512">
        <f t="shared" si="272"/>
        <v>3.4020181018270321</v>
      </c>
      <c r="S265" s="178">
        <f t="shared" si="273"/>
        <v>0.20412108610962193</v>
      </c>
      <c r="T265" s="585">
        <f t="shared" si="274"/>
        <v>1.8136534194547116</v>
      </c>
      <c r="U265" s="585">
        <f t="shared" si="275"/>
        <v>9.0682670972735568</v>
      </c>
      <c r="V265" s="585">
        <f t="shared" si="276"/>
        <v>0</v>
      </c>
      <c r="W265" s="585">
        <f t="shared" si="277"/>
        <v>0.54409602583641337</v>
      </c>
    </row>
    <row r="266" spans="1:23">
      <c r="A266" s="123">
        <f>'Input data'!A130</f>
        <v>2032</v>
      </c>
      <c r="B266" s="986">
        <f>'Recycling - Case 3'!AI110*'Recycling - Case 3'!B110</f>
        <v>2484.6228724288708</v>
      </c>
      <c r="C266" s="114">
        <f t="shared" si="285"/>
        <v>0.5</v>
      </c>
      <c r="D266" s="114">
        <f t="shared" si="278"/>
        <v>0.5</v>
      </c>
      <c r="E266">
        <v>0</v>
      </c>
      <c r="F266">
        <v>0</v>
      </c>
      <c r="G266" s="989">
        <f t="shared" si="279"/>
        <v>0.99384914897154841</v>
      </c>
      <c r="H266" s="650">
        <f t="shared" si="280"/>
        <v>4.9692457448577416</v>
      </c>
      <c r="J266" s="990">
        <f t="shared" si="281"/>
        <v>0.29815474469146447</v>
      </c>
      <c r="K266" s="987">
        <f>'Recycling - Case 3'!Z150*'Recycling - Case 3'!C150</f>
        <v>1744.5040617021439</v>
      </c>
      <c r="L266" s="114">
        <f t="shared" si="286"/>
        <v>0.5</v>
      </c>
      <c r="M266" s="114">
        <f t="shared" si="282"/>
        <v>0.5</v>
      </c>
      <c r="N266">
        <f t="shared" ref="N266:O266" si="295">N128</f>
        <v>0</v>
      </c>
      <c r="O266">
        <f t="shared" si="295"/>
        <v>0</v>
      </c>
      <c r="P266" s="178">
        <f t="shared" si="271"/>
        <v>0.6978016246808576</v>
      </c>
      <c r="Q266" s="512">
        <f t="shared" si="272"/>
        <v>3.4890081234042878</v>
      </c>
      <c r="S266" s="178">
        <f t="shared" si="273"/>
        <v>0.20934048740425726</v>
      </c>
      <c r="T266" s="585">
        <f t="shared" si="274"/>
        <v>1.691650773652406</v>
      </c>
      <c r="U266" s="585">
        <f t="shared" si="275"/>
        <v>8.4582538682620303</v>
      </c>
      <c r="V266" s="585">
        <f t="shared" si="276"/>
        <v>0</v>
      </c>
      <c r="W266" s="585">
        <f t="shared" si="277"/>
        <v>0.50749523209572178</v>
      </c>
    </row>
    <row r="267" spans="1:23">
      <c r="A267" s="123">
        <f>'Input data'!A131</f>
        <v>2033</v>
      </c>
      <c r="B267" s="986">
        <f>'Recycling - Case 3'!AI111*'Recycling - Case 3'!B111</f>
        <v>2505.8073684270425</v>
      </c>
      <c r="C267" s="114">
        <f t="shared" si="285"/>
        <v>0.5</v>
      </c>
      <c r="D267" s="114">
        <f t="shared" si="278"/>
        <v>0.5</v>
      </c>
      <c r="E267">
        <v>0</v>
      </c>
      <c r="F267">
        <v>0</v>
      </c>
      <c r="G267" s="989">
        <f t="shared" si="279"/>
        <v>1.0023229473708171</v>
      </c>
      <c r="H267" s="650">
        <f t="shared" si="280"/>
        <v>5.0116147368540851</v>
      </c>
      <c r="J267" s="990">
        <f t="shared" si="281"/>
        <v>0.30069688421124513</v>
      </c>
      <c r="K267" s="987">
        <f>'Recycling - Case 3'!Z151*'Recycling - Case 3'!C151</f>
        <v>1792.8112479591196</v>
      </c>
      <c r="L267" s="114">
        <f t="shared" si="286"/>
        <v>0.5</v>
      </c>
      <c r="M267" s="114">
        <f t="shared" si="282"/>
        <v>0.5</v>
      </c>
      <c r="N267">
        <f t="shared" ref="N267:O267" si="296">N129</f>
        <v>0</v>
      </c>
      <c r="O267">
        <f t="shared" si="296"/>
        <v>0</v>
      </c>
      <c r="P267" s="178">
        <f t="shared" si="271"/>
        <v>0.71712449918364796</v>
      </c>
      <c r="Q267" s="512">
        <f t="shared" si="272"/>
        <v>3.5856224959182392</v>
      </c>
      <c r="S267" s="178">
        <f t="shared" si="273"/>
        <v>0.21513734975509433</v>
      </c>
      <c r="T267" s="585">
        <f t="shared" si="274"/>
        <v>1.7194474465544651</v>
      </c>
      <c r="U267" s="585">
        <f t="shared" si="275"/>
        <v>8.5972372327723239</v>
      </c>
      <c r="V267" s="585">
        <f t="shared" si="276"/>
        <v>0</v>
      </c>
      <c r="W267" s="585">
        <f t="shared" si="277"/>
        <v>0.51583423396633943</v>
      </c>
    </row>
    <row r="268" spans="1:23">
      <c r="A268" s="123">
        <f>'Input data'!A132</f>
        <v>2034</v>
      </c>
      <c r="B268" s="986">
        <f>'Recycling - Case 3'!AI112*'Recycling - Case 3'!B112</f>
        <v>2527.214079418201</v>
      </c>
      <c r="C268" s="114">
        <f t="shared" si="285"/>
        <v>0.5</v>
      </c>
      <c r="D268" s="114">
        <f t="shared" si="278"/>
        <v>0.5</v>
      </c>
      <c r="E268">
        <v>0</v>
      </c>
      <c r="F268">
        <v>0</v>
      </c>
      <c r="G268" s="989">
        <f t="shared" si="279"/>
        <v>1.0108856317672805</v>
      </c>
      <c r="H268" s="650">
        <f t="shared" si="280"/>
        <v>5.0544281588364024</v>
      </c>
      <c r="J268" s="990">
        <f t="shared" si="281"/>
        <v>0.30326568953018407</v>
      </c>
      <c r="K268" s="987">
        <f>'Recycling - Case 3'!Z152*'Recycling - Case 3'!C152</f>
        <v>1844.465247981675</v>
      </c>
      <c r="L268" s="114">
        <f t="shared" si="286"/>
        <v>0.5</v>
      </c>
      <c r="M268" s="114">
        <f t="shared" si="282"/>
        <v>0.5</v>
      </c>
      <c r="N268">
        <f t="shared" ref="N268:O268" si="297">N130</f>
        <v>0</v>
      </c>
      <c r="O268">
        <f t="shared" si="297"/>
        <v>0</v>
      </c>
      <c r="P268" s="178">
        <f t="shared" si="271"/>
        <v>0.73778609919267002</v>
      </c>
      <c r="Q268" s="512">
        <f t="shared" si="272"/>
        <v>3.68893049596335</v>
      </c>
      <c r="R268" s="501"/>
      <c r="S268" s="584">
        <f t="shared" si="273"/>
        <v>0.221335829757801</v>
      </c>
      <c r="T268" s="585">
        <f t="shared" si="274"/>
        <v>1.7486717309599507</v>
      </c>
      <c r="U268" s="585">
        <f t="shared" si="275"/>
        <v>8.7433586547997528</v>
      </c>
      <c r="V268" s="585">
        <f t="shared" si="276"/>
        <v>0</v>
      </c>
      <c r="W268" s="585">
        <f t="shared" si="277"/>
        <v>0.52460151928798504</v>
      </c>
    </row>
    <row r="269" spans="1:23">
      <c r="A269" s="123">
        <f>'Input data'!A133</f>
        <v>2035</v>
      </c>
      <c r="B269" s="986">
        <f>'Recycling - Case 3'!AI113*'Recycling - Case 3'!B113</f>
        <v>2548.7689337380189</v>
      </c>
      <c r="C269" s="114">
        <f t="shared" si="285"/>
        <v>0.5</v>
      </c>
      <c r="D269" s="114">
        <f t="shared" si="278"/>
        <v>0.5</v>
      </c>
      <c r="E269">
        <v>0</v>
      </c>
      <c r="F269">
        <v>0</v>
      </c>
      <c r="G269" s="989">
        <f t="shared" si="279"/>
        <v>1.0195075734952075</v>
      </c>
      <c r="H269" s="650">
        <f t="shared" si="280"/>
        <v>5.0975378674760377</v>
      </c>
      <c r="J269" s="990">
        <f t="shared" si="281"/>
        <v>0.30585227204856225</v>
      </c>
      <c r="K269" s="987">
        <f>'Recycling - Case 3'!Z153*'Recycling - Case 3'!C153</f>
        <v>1899.6741069498332</v>
      </c>
      <c r="L269" s="114">
        <f t="shared" si="286"/>
        <v>0.5</v>
      </c>
      <c r="M269" s="114">
        <f t="shared" si="282"/>
        <v>0.5</v>
      </c>
      <c r="N269">
        <f t="shared" ref="N269:O269" si="298">N131</f>
        <v>0</v>
      </c>
      <c r="O269">
        <f t="shared" si="298"/>
        <v>0</v>
      </c>
      <c r="P269" s="178">
        <f t="shared" si="271"/>
        <v>0.7598696427799333</v>
      </c>
      <c r="Q269" s="512">
        <f t="shared" si="272"/>
        <v>3.7993482138996666</v>
      </c>
      <c r="S269" s="178">
        <f t="shared" si="273"/>
        <v>0.22796089283397999</v>
      </c>
      <c r="T269" s="585">
        <f t="shared" si="274"/>
        <v>1.7793772162751407</v>
      </c>
      <c r="U269" s="585">
        <f t="shared" si="275"/>
        <v>8.8968860813757047</v>
      </c>
      <c r="V269" s="585">
        <f t="shared" si="276"/>
        <v>0</v>
      </c>
      <c r="W269" s="585">
        <f t="shared" si="277"/>
        <v>0.53381316488254227</v>
      </c>
    </row>
    <row r="270" spans="1:23">
      <c r="A270" s="123">
        <f>'Input data'!A134</f>
        <v>2036</v>
      </c>
      <c r="B270" s="986">
        <f>'Recycling - Case 3'!AI114*'Recycling - Case 3'!B114</f>
        <v>2567.4349931489946</v>
      </c>
      <c r="C270" s="114">
        <f t="shared" si="285"/>
        <v>0.5</v>
      </c>
      <c r="D270" s="114">
        <f t="shared" si="278"/>
        <v>0.5</v>
      </c>
      <c r="E270">
        <v>0</v>
      </c>
      <c r="F270">
        <v>0</v>
      </c>
      <c r="G270" s="989">
        <f t="shared" si="279"/>
        <v>1.0269739972595977</v>
      </c>
      <c r="H270" s="650">
        <f t="shared" si="280"/>
        <v>5.1348699862979892</v>
      </c>
      <c r="J270" s="990">
        <f t="shared" si="281"/>
        <v>0.30809219917787939</v>
      </c>
      <c r="K270" s="987">
        <f>'Recycling - Case 3'!Z154*'Recycling - Case 3'!C154</f>
        <v>1956.5156683090383</v>
      </c>
      <c r="L270" s="114">
        <f t="shared" si="286"/>
        <v>0.5</v>
      </c>
      <c r="M270" s="114">
        <f t="shared" si="282"/>
        <v>0.5</v>
      </c>
      <c r="N270">
        <f t="shared" ref="N270:O270" si="299">N132</f>
        <v>0</v>
      </c>
      <c r="O270">
        <f t="shared" si="299"/>
        <v>0</v>
      </c>
      <c r="P270" s="178">
        <f t="shared" si="271"/>
        <v>0.78260626732361538</v>
      </c>
      <c r="Q270" s="512">
        <f t="shared" si="272"/>
        <v>3.9130313366180767</v>
      </c>
      <c r="S270" s="178">
        <f t="shared" si="273"/>
        <v>0.2347818801970846</v>
      </c>
      <c r="T270" s="585">
        <f t="shared" si="274"/>
        <v>1.8095802645832131</v>
      </c>
      <c r="U270" s="585">
        <f t="shared" si="275"/>
        <v>9.047901322916065</v>
      </c>
      <c r="V270" s="585">
        <f t="shared" si="276"/>
        <v>0</v>
      </c>
      <c r="W270" s="585">
        <f t="shared" si="277"/>
        <v>0.54287407937496401</v>
      </c>
    </row>
    <row r="271" spans="1:23">
      <c r="A271" s="123">
        <f>'Input data'!A135</f>
        <v>2037</v>
      </c>
      <c r="B271" s="986">
        <f>'Recycling - Case 3'!AI115*'Recycling - Case 3'!B115</f>
        <v>2586.2121600564647</v>
      </c>
      <c r="C271" s="114">
        <f t="shared" si="285"/>
        <v>0.5</v>
      </c>
      <c r="D271" s="114">
        <f t="shared" si="278"/>
        <v>0.5</v>
      </c>
      <c r="E271">
        <v>0</v>
      </c>
      <c r="F271">
        <v>0</v>
      </c>
      <c r="G271" s="989">
        <f t="shared" si="279"/>
        <v>1.0344848640225859</v>
      </c>
      <c r="H271" s="650">
        <f t="shared" si="280"/>
        <v>5.1724243201129294</v>
      </c>
      <c r="J271" s="990">
        <f t="shared" si="281"/>
        <v>0.31034545920677575</v>
      </c>
      <c r="K271" s="987">
        <f>'Recycling - Case 3'!Z155*'Recycling - Case 3'!C155</f>
        <v>2015.7768855663328</v>
      </c>
      <c r="L271" s="114">
        <f t="shared" si="286"/>
        <v>0.5</v>
      </c>
      <c r="M271" s="114">
        <f t="shared" si="282"/>
        <v>0.5</v>
      </c>
      <c r="N271">
        <f t="shared" ref="N271:O271" si="300">N133</f>
        <v>0</v>
      </c>
      <c r="O271">
        <f t="shared" si="300"/>
        <v>0</v>
      </c>
      <c r="P271" s="178">
        <f t="shared" si="271"/>
        <v>0.8063107542265332</v>
      </c>
      <c r="Q271" s="512">
        <f t="shared" si="272"/>
        <v>4.0315537711326659</v>
      </c>
      <c r="S271" s="178">
        <f t="shared" si="273"/>
        <v>0.24189322626795992</v>
      </c>
      <c r="T271" s="585">
        <f t="shared" si="274"/>
        <v>1.840795618249119</v>
      </c>
      <c r="U271" s="585">
        <f t="shared" si="275"/>
        <v>9.2039780912455953</v>
      </c>
      <c r="V271" s="585">
        <f t="shared" si="276"/>
        <v>0</v>
      </c>
      <c r="W271" s="585">
        <f t="shared" si="277"/>
        <v>0.55223868547473565</v>
      </c>
    </row>
    <row r="272" spans="1:23">
      <c r="A272" s="123">
        <f>'Input data'!A136</f>
        <v>2038</v>
      </c>
      <c r="B272" s="986">
        <f>'Recycling - Case 3'!AI116*'Recycling - Case 3'!B116</f>
        <v>2605.174506124758</v>
      </c>
      <c r="C272" s="114">
        <f t="shared" si="285"/>
        <v>0.5</v>
      </c>
      <c r="D272" s="114">
        <f t="shared" si="278"/>
        <v>0.5</v>
      </c>
      <c r="E272">
        <v>0</v>
      </c>
      <c r="F272">
        <v>0</v>
      </c>
      <c r="G272" s="989">
        <f t="shared" si="279"/>
        <v>1.0420698024499031</v>
      </c>
      <c r="H272" s="650">
        <f t="shared" si="280"/>
        <v>5.210349012249516</v>
      </c>
      <c r="J272" s="990">
        <f t="shared" si="281"/>
        <v>0.31262094073497093</v>
      </c>
      <c r="K272" s="987">
        <f>'Recycling - Case 3'!Z156*'Recycling - Case 3'!C156</f>
        <v>2075.9426470845929</v>
      </c>
      <c r="L272" s="114">
        <f t="shared" si="286"/>
        <v>0.5</v>
      </c>
      <c r="M272" s="114">
        <f t="shared" si="282"/>
        <v>0.5</v>
      </c>
      <c r="N272">
        <f t="shared" ref="N272:O272" si="301">N134</f>
        <v>0</v>
      </c>
      <c r="O272">
        <f t="shared" si="301"/>
        <v>0</v>
      </c>
      <c r="P272" s="178">
        <f t="shared" si="271"/>
        <v>0.83037705883383717</v>
      </c>
      <c r="Q272" s="512">
        <f t="shared" si="272"/>
        <v>4.1518852941691859</v>
      </c>
      <c r="S272" s="178">
        <f t="shared" si="273"/>
        <v>0.24911311765015115</v>
      </c>
      <c r="T272" s="585">
        <f t="shared" si="274"/>
        <v>1.8724468612837404</v>
      </c>
      <c r="U272" s="585">
        <f t="shared" si="275"/>
        <v>9.3622343064187028</v>
      </c>
      <c r="V272" s="585">
        <f t="shared" si="276"/>
        <v>0</v>
      </c>
      <c r="W272" s="585">
        <f t="shared" si="277"/>
        <v>0.56173405838512203</v>
      </c>
    </row>
    <row r="273" spans="1:23">
      <c r="A273" s="123">
        <f>'Input data'!A137</f>
        <v>2039</v>
      </c>
      <c r="B273" s="986">
        <f>'Recycling - Case 3'!AI117*'Recycling - Case 3'!B117</f>
        <v>2624.247959689545</v>
      </c>
      <c r="C273" s="114">
        <f t="shared" si="285"/>
        <v>0.5</v>
      </c>
      <c r="D273" s="114">
        <f t="shared" si="278"/>
        <v>0.5</v>
      </c>
      <c r="E273">
        <v>0</v>
      </c>
      <c r="F273">
        <v>0</v>
      </c>
      <c r="G273" s="989">
        <f t="shared" si="279"/>
        <v>1.0496991838758181</v>
      </c>
      <c r="H273" s="650">
        <f t="shared" si="280"/>
        <v>5.2484959193790903</v>
      </c>
      <c r="J273" s="990">
        <f t="shared" si="281"/>
        <v>0.31490975516274539</v>
      </c>
      <c r="K273" s="987">
        <f>'Recycling - Case 3'!Z157*'Recycling - Case 3'!C157</f>
        <v>3135.7668720858569</v>
      </c>
      <c r="L273" s="114">
        <f t="shared" si="286"/>
        <v>0.5</v>
      </c>
      <c r="M273" s="114">
        <f t="shared" si="282"/>
        <v>0.5</v>
      </c>
      <c r="N273">
        <f t="shared" ref="N273:O273" si="302">N135</f>
        <v>0</v>
      </c>
      <c r="O273">
        <f t="shared" si="302"/>
        <v>0</v>
      </c>
      <c r="P273" s="178">
        <f t="shared" si="271"/>
        <v>1.2543067488343429</v>
      </c>
      <c r="Q273" s="512">
        <f t="shared" si="272"/>
        <v>6.2715337441717134</v>
      </c>
      <c r="S273" s="178">
        <f t="shared" si="273"/>
        <v>0.37629202465030281</v>
      </c>
      <c r="T273" s="585">
        <f t="shared" si="274"/>
        <v>2.3040059327101607</v>
      </c>
      <c r="U273" s="585">
        <f t="shared" si="275"/>
        <v>11.520029663550805</v>
      </c>
      <c r="V273" s="585">
        <f t="shared" si="276"/>
        <v>0</v>
      </c>
      <c r="W273" s="585">
        <f t="shared" si="277"/>
        <v>0.6912017798130482</v>
      </c>
    </row>
    <row r="274" spans="1:23">
      <c r="A274" s="123">
        <f>'Input data'!A138</f>
        <v>2040</v>
      </c>
      <c r="B274" s="986">
        <f>'Recycling - Case 3'!AI118*'Recycling - Case 3'!B118</f>
        <v>2643.4325207508259</v>
      </c>
      <c r="C274" s="114">
        <f t="shared" ref="C274:C284" si="303">C273</f>
        <v>0.5</v>
      </c>
      <c r="D274" s="114">
        <f t="shared" si="278"/>
        <v>0.5</v>
      </c>
      <c r="E274">
        <v>0</v>
      </c>
      <c r="F274">
        <v>0</v>
      </c>
      <c r="G274" s="989">
        <f t="shared" si="279"/>
        <v>1.0573730083003303</v>
      </c>
      <c r="H274" s="650">
        <f t="shared" si="280"/>
        <v>5.2868650415016516</v>
      </c>
      <c r="J274" s="990">
        <f t="shared" si="281"/>
        <v>0.31721190249009906</v>
      </c>
      <c r="K274" s="987">
        <f>'Recycling - Case 3'!Z158*'Recycling - Case 3'!C158</f>
        <v>4223.8259497981062</v>
      </c>
      <c r="L274" s="114">
        <f t="shared" ref="L274:L284" si="304">L273</f>
        <v>0.5</v>
      </c>
      <c r="M274" s="114">
        <f t="shared" si="282"/>
        <v>0.5</v>
      </c>
      <c r="N274">
        <f t="shared" ref="N274:O274" si="305">N136</f>
        <v>0</v>
      </c>
      <c r="O274">
        <f t="shared" si="305"/>
        <v>0</v>
      </c>
      <c r="P274" s="178">
        <f t="shared" si="271"/>
        <v>1.6895303799192425</v>
      </c>
      <c r="Q274" s="512">
        <f t="shared" si="272"/>
        <v>8.4476518995962131</v>
      </c>
      <c r="S274" s="178">
        <f t="shared" si="273"/>
        <v>0.50685911397577277</v>
      </c>
      <c r="T274" s="585">
        <f t="shared" si="274"/>
        <v>2.7469033882195726</v>
      </c>
      <c r="U274" s="585">
        <f t="shared" si="275"/>
        <v>13.734516941097866</v>
      </c>
      <c r="V274" s="585">
        <f t="shared" si="276"/>
        <v>0</v>
      </c>
      <c r="W274" s="585">
        <f t="shared" si="277"/>
        <v>0.82407101646587178</v>
      </c>
    </row>
    <row r="275" spans="1:23">
      <c r="A275" s="123">
        <f>'Input data'!A139</f>
        <v>2041</v>
      </c>
      <c r="B275" s="986">
        <f>'Recycling - Case 3'!AI119*'Recycling - Case 3'!B119</f>
        <v>2659.8764302319241</v>
      </c>
      <c r="C275" s="114">
        <f t="shared" si="303"/>
        <v>0.5</v>
      </c>
      <c r="D275" s="114">
        <f t="shared" si="278"/>
        <v>0.5</v>
      </c>
      <c r="E275">
        <v>0</v>
      </c>
      <c r="F275">
        <v>0</v>
      </c>
      <c r="G275" s="989">
        <f t="shared" si="279"/>
        <v>1.0639505720927698</v>
      </c>
      <c r="H275" s="650">
        <f t="shared" si="280"/>
        <v>5.319752860463848</v>
      </c>
      <c r="J275" s="990">
        <f t="shared" si="281"/>
        <v>0.31918517162783089</v>
      </c>
      <c r="K275" s="987">
        <f>'Recycling - Case 3'!Z159*'Recycling - Case 3'!C159</f>
        <v>4820.4406374329919</v>
      </c>
      <c r="L275" s="114">
        <f t="shared" si="304"/>
        <v>0.5</v>
      </c>
      <c r="M275" s="114">
        <f t="shared" si="282"/>
        <v>0.5</v>
      </c>
      <c r="N275">
        <f t="shared" ref="N275:O275" si="306">N137</f>
        <v>0</v>
      </c>
      <c r="O275">
        <f t="shared" si="306"/>
        <v>0</v>
      </c>
      <c r="P275" s="178">
        <f t="shared" si="271"/>
        <v>1.9281762549731969</v>
      </c>
      <c r="Q275" s="512">
        <f t="shared" si="272"/>
        <v>9.6408812748659845</v>
      </c>
      <c r="S275" s="178">
        <f t="shared" si="273"/>
        <v>0.57845287649195909</v>
      </c>
      <c r="T275" s="585">
        <f t="shared" si="274"/>
        <v>2.9921268270659667</v>
      </c>
      <c r="U275" s="585">
        <f t="shared" si="275"/>
        <v>14.960634135329833</v>
      </c>
      <c r="V275" s="585">
        <f t="shared" si="276"/>
        <v>0</v>
      </c>
      <c r="W275" s="585">
        <f t="shared" si="277"/>
        <v>0.89763804811978998</v>
      </c>
    </row>
    <row r="276" spans="1:23">
      <c r="A276" s="123">
        <f>'Input data'!A140</f>
        <v>2042</v>
      </c>
      <c r="B276" s="986">
        <f>'Recycling - Case 3'!AI120*'Recycling - Case 3'!B120</f>
        <v>2676.3944113773509</v>
      </c>
      <c r="C276" s="114">
        <f t="shared" si="303"/>
        <v>0.5</v>
      </c>
      <c r="D276" s="114">
        <f t="shared" si="278"/>
        <v>0.5</v>
      </c>
      <c r="E276">
        <v>0</v>
      </c>
      <c r="F276">
        <v>0</v>
      </c>
      <c r="G276" s="989">
        <f t="shared" si="279"/>
        <v>1.0705577645509403</v>
      </c>
      <c r="H276" s="650">
        <f t="shared" si="280"/>
        <v>5.352788822754702</v>
      </c>
      <c r="J276" s="990">
        <f t="shared" si="281"/>
        <v>0.32116732936528214</v>
      </c>
      <c r="K276" s="987">
        <f>'Recycling - Case 3'!Z160*'Recycling - Case 3'!C160</f>
        <v>5429.4284635167378</v>
      </c>
      <c r="L276" s="114">
        <f t="shared" si="304"/>
        <v>0.5</v>
      </c>
      <c r="M276" s="114">
        <f t="shared" si="282"/>
        <v>0.5</v>
      </c>
      <c r="N276">
        <f t="shared" ref="N276:O276" si="307">N138</f>
        <v>0</v>
      </c>
      <c r="O276">
        <f t="shared" si="307"/>
        <v>0</v>
      </c>
      <c r="P276" s="178">
        <f t="shared" si="271"/>
        <v>2.1717713854066951</v>
      </c>
      <c r="Q276" s="512">
        <f t="shared" si="272"/>
        <v>10.858856927033475</v>
      </c>
      <c r="S276" s="178">
        <f t="shared" si="273"/>
        <v>0.65153141562200845</v>
      </c>
      <c r="T276" s="585">
        <f t="shared" si="274"/>
        <v>3.2423291499576354</v>
      </c>
      <c r="U276" s="585">
        <f t="shared" si="275"/>
        <v>16.211645749788175</v>
      </c>
      <c r="V276" s="585">
        <f t="shared" si="276"/>
        <v>0</v>
      </c>
      <c r="W276" s="585">
        <f t="shared" si="277"/>
        <v>0.97269874498729059</v>
      </c>
    </row>
    <row r="277" spans="1:23">
      <c r="A277" s="123">
        <f>'Input data'!A141</f>
        <v>2043</v>
      </c>
      <c r="B277" s="986">
        <f>'Recycling - Case 3'!AI121*'Recycling - Case 3'!B121</f>
        <v>2693.023500019272</v>
      </c>
      <c r="C277" s="114">
        <f t="shared" si="303"/>
        <v>0.5</v>
      </c>
      <c r="D277" s="114">
        <f t="shared" si="278"/>
        <v>0.5</v>
      </c>
      <c r="E277">
        <v>0</v>
      </c>
      <c r="F277">
        <v>0</v>
      </c>
      <c r="G277" s="989">
        <f t="shared" si="279"/>
        <v>1.0772094000077088</v>
      </c>
      <c r="H277" s="650">
        <f t="shared" si="280"/>
        <v>5.3860470000385439</v>
      </c>
      <c r="J277" s="990">
        <f t="shared" si="281"/>
        <v>0.32316282000231261</v>
      </c>
      <c r="K277" s="987">
        <f>'Recycling - Case 3'!Z161*'Recycling - Case 3'!C161</f>
        <v>6050.0315022637978</v>
      </c>
      <c r="L277" s="114">
        <f t="shared" si="304"/>
        <v>0.5</v>
      </c>
      <c r="M277" s="114">
        <f t="shared" si="282"/>
        <v>0.5</v>
      </c>
      <c r="N277">
        <f t="shared" ref="N277:O277" si="308">N139</f>
        <v>0</v>
      </c>
      <c r="O277">
        <f t="shared" si="308"/>
        <v>0</v>
      </c>
      <c r="P277" s="178">
        <f t="shared" si="271"/>
        <v>2.4200126009055194</v>
      </c>
      <c r="Q277" s="512">
        <f t="shared" si="272"/>
        <v>12.100063004527597</v>
      </c>
      <c r="S277" s="178">
        <f t="shared" si="273"/>
        <v>0.72600378027165569</v>
      </c>
      <c r="T277" s="585">
        <f t="shared" si="274"/>
        <v>3.4972220009132284</v>
      </c>
      <c r="U277" s="585">
        <f t="shared" si="275"/>
        <v>17.48611000456614</v>
      </c>
      <c r="V277" s="585">
        <f t="shared" si="276"/>
        <v>0</v>
      </c>
      <c r="W277" s="585">
        <f t="shared" si="277"/>
        <v>1.0491666002739684</v>
      </c>
    </row>
    <row r="278" spans="1:23">
      <c r="A278" s="123">
        <f>'Input data'!A142</f>
        <v>2044</v>
      </c>
      <c r="B278" s="986">
        <f>'Recycling - Case 3'!AI122*'Recycling - Case 3'!B122</f>
        <v>2709.726660325523</v>
      </c>
      <c r="C278" s="114">
        <f t="shared" si="303"/>
        <v>0.5</v>
      </c>
      <c r="D278" s="114">
        <f t="shared" si="278"/>
        <v>0.5</v>
      </c>
      <c r="E278">
        <v>0</v>
      </c>
      <c r="F278">
        <v>0</v>
      </c>
      <c r="G278" s="989">
        <f t="shared" si="279"/>
        <v>1.0838906641302093</v>
      </c>
      <c r="H278" s="650">
        <f t="shared" si="280"/>
        <v>5.419453320651046</v>
      </c>
      <c r="J278" s="990">
        <f t="shared" si="281"/>
        <v>0.32516719923906279</v>
      </c>
      <c r="K278" s="987">
        <f>'Recycling - Case 3'!Z162*'Recycling - Case 3'!C162</f>
        <v>6683.9361385470093</v>
      </c>
      <c r="L278" s="114">
        <f t="shared" si="304"/>
        <v>0.5</v>
      </c>
      <c r="M278" s="114">
        <f t="shared" si="282"/>
        <v>0.5</v>
      </c>
      <c r="N278">
        <f t="shared" ref="N278:O278" si="309">N140</f>
        <v>0</v>
      </c>
      <c r="O278">
        <f t="shared" si="309"/>
        <v>0</v>
      </c>
      <c r="P278" s="178">
        <f t="shared" si="271"/>
        <v>2.6735744554188039</v>
      </c>
      <c r="Q278" s="512">
        <f t="shared" si="272"/>
        <v>13.367872277094019</v>
      </c>
      <c r="S278" s="178">
        <f t="shared" si="273"/>
        <v>0.80207233662564115</v>
      </c>
      <c r="T278" s="585">
        <f t="shared" si="274"/>
        <v>3.7574651195490132</v>
      </c>
      <c r="U278" s="585">
        <f t="shared" si="275"/>
        <v>18.787325597745067</v>
      </c>
      <c r="V278" s="585">
        <f t="shared" si="276"/>
        <v>0</v>
      </c>
      <c r="W278" s="585">
        <f t="shared" si="277"/>
        <v>1.127239535864704</v>
      </c>
    </row>
    <row r="279" spans="1:23">
      <c r="A279" s="123">
        <f>'Input data'!A143</f>
        <v>2045</v>
      </c>
      <c r="B279" s="986">
        <f>'Recycling - Case 3'!AI123*'Recycling - Case 3'!B123</f>
        <v>2726.5779639604316</v>
      </c>
      <c r="C279" s="114">
        <f t="shared" si="303"/>
        <v>0.5</v>
      </c>
      <c r="D279" s="114">
        <f t="shared" si="278"/>
        <v>0.5</v>
      </c>
      <c r="E279">
        <v>0</v>
      </c>
      <c r="F279">
        <v>0</v>
      </c>
      <c r="G279" s="989">
        <f t="shared" si="279"/>
        <v>1.0906311855841728</v>
      </c>
      <c r="H279" s="650">
        <f t="shared" si="280"/>
        <v>5.4531559279208635</v>
      </c>
      <c r="J279" s="990">
        <f t="shared" si="281"/>
        <v>0.32718935567525176</v>
      </c>
      <c r="K279" s="987">
        <f>'Recycling - Case 3'!Z163*'Recycling - Case 3'!C163</f>
        <v>7338.1531858825419</v>
      </c>
      <c r="L279" s="114">
        <f t="shared" si="304"/>
        <v>0.5</v>
      </c>
      <c r="M279" s="114">
        <f t="shared" si="282"/>
        <v>0.5</v>
      </c>
      <c r="N279">
        <f t="shared" ref="N279:O279" si="310">N141</f>
        <v>0</v>
      </c>
      <c r="O279">
        <f t="shared" si="310"/>
        <v>0</v>
      </c>
      <c r="P279" s="178">
        <f t="shared" si="271"/>
        <v>2.9352612743530173</v>
      </c>
      <c r="Q279" s="512">
        <f t="shared" si="272"/>
        <v>14.676306371765083</v>
      </c>
      <c r="S279" s="178">
        <f t="shared" si="273"/>
        <v>0.88057838230590502</v>
      </c>
      <c r="T279" s="585">
        <f t="shared" si="274"/>
        <v>4.0258924599371904</v>
      </c>
      <c r="U279" s="585">
        <f t="shared" si="275"/>
        <v>20.129462299685947</v>
      </c>
      <c r="V279" s="585">
        <f t="shared" si="276"/>
        <v>0</v>
      </c>
      <c r="W279" s="585">
        <f t="shared" si="277"/>
        <v>1.2077677379811567</v>
      </c>
    </row>
    <row r="280" spans="1:23">
      <c r="A280" s="123">
        <f>'Input data'!A144</f>
        <v>2046</v>
      </c>
      <c r="B280" s="986">
        <f>'Recycling - Case 3'!AI124*'Recycling - Case 3'!B124</f>
        <v>2740.46640102217</v>
      </c>
      <c r="C280" s="114">
        <f t="shared" si="303"/>
        <v>0.5</v>
      </c>
      <c r="D280" s="114">
        <f t="shared" si="278"/>
        <v>0.5</v>
      </c>
      <c r="E280">
        <v>0</v>
      </c>
      <c r="F280">
        <v>0</v>
      </c>
      <c r="G280" s="989">
        <f t="shared" si="279"/>
        <v>1.0961865604088681</v>
      </c>
      <c r="H280" s="650">
        <f t="shared" si="280"/>
        <v>5.4809328020443395</v>
      </c>
      <c r="J280" s="990">
        <f t="shared" si="281"/>
        <v>0.32885596812266038</v>
      </c>
      <c r="K280" s="987">
        <f>'Recycling - Case 3'!Z164*'Recycling - Case 3'!C164</f>
        <v>8009.9650687120593</v>
      </c>
      <c r="L280" s="114">
        <f t="shared" si="304"/>
        <v>0.5</v>
      </c>
      <c r="M280" s="114">
        <f t="shared" si="282"/>
        <v>0.5</v>
      </c>
      <c r="N280">
        <f t="shared" ref="N280:O280" si="311">N142</f>
        <v>0</v>
      </c>
      <c r="O280">
        <f t="shared" si="311"/>
        <v>0</v>
      </c>
      <c r="P280" s="178">
        <f t="shared" si="271"/>
        <v>3.2039860274848238</v>
      </c>
      <c r="Q280" s="512">
        <f t="shared" si="272"/>
        <v>16.019930137424119</v>
      </c>
      <c r="S280" s="178">
        <f t="shared" si="273"/>
        <v>0.96119580824544715</v>
      </c>
      <c r="T280" s="585">
        <f t="shared" si="274"/>
        <v>4.3001725878936918</v>
      </c>
      <c r="U280" s="585">
        <f t="shared" si="275"/>
        <v>21.500862939468458</v>
      </c>
      <c r="V280" s="585">
        <f t="shared" si="276"/>
        <v>0</v>
      </c>
      <c r="W280" s="585">
        <f t="shared" si="277"/>
        <v>1.2900517763681076</v>
      </c>
    </row>
    <row r="281" spans="1:23">
      <c r="A281" s="123">
        <f>'Input data'!A145</f>
        <v>2047</v>
      </c>
      <c r="B281" s="986">
        <f>'Recycling - Case 3'!AI125*'Recycling - Case 3'!B125</f>
        <v>2754.4659455804021</v>
      </c>
      <c r="C281" s="114">
        <f t="shared" si="303"/>
        <v>0.5</v>
      </c>
      <c r="D281" s="114">
        <f t="shared" si="278"/>
        <v>0.5</v>
      </c>
      <c r="E281">
        <v>0</v>
      </c>
      <c r="F281">
        <v>0</v>
      </c>
      <c r="G281" s="989">
        <f t="shared" si="279"/>
        <v>1.1017863782321609</v>
      </c>
      <c r="H281" s="650">
        <f t="shared" si="280"/>
        <v>5.5089318911608043</v>
      </c>
      <c r="J281" s="990">
        <f t="shared" si="281"/>
        <v>0.33053591346964822</v>
      </c>
      <c r="K281" s="987">
        <f>'Recycling - Case 3'!Z165*'Recycling - Case 3'!C165</f>
        <v>8698.7814281572628</v>
      </c>
      <c r="L281" s="114">
        <f t="shared" si="304"/>
        <v>0.5</v>
      </c>
      <c r="M281" s="114">
        <f t="shared" si="282"/>
        <v>0.5</v>
      </c>
      <c r="N281">
        <f t="shared" ref="N281:O281" si="312">N143</f>
        <v>0</v>
      </c>
      <c r="O281">
        <f t="shared" si="312"/>
        <v>0</v>
      </c>
      <c r="P281" s="178">
        <f t="shared" si="271"/>
        <v>3.4795125712629051</v>
      </c>
      <c r="Q281" s="512">
        <f t="shared" si="272"/>
        <v>17.397562856314526</v>
      </c>
      <c r="S281" s="178">
        <f t="shared" si="273"/>
        <v>1.0438537713788714</v>
      </c>
      <c r="T281" s="585">
        <f t="shared" si="274"/>
        <v>4.581298949495066</v>
      </c>
      <c r="U281" s="585">
        <f t="shared" si="275"/>
        <v>22.906494747475328</v>
      </c>
      <c r="V281" s="585">
        <f t="shared" si="276"/>
        <v>0</v>
      </c>
      <c r="W281" s="585">
        <f t="shared" si="277"/>
        <v>1.3743896848485195</v>
      </c>
    </row>
    <row r="282" spans="1:23">
      <c r="A282" s="123">
        <f>'Input data'!A146</f>
        <v>2048</v>
      </c>
      <c r="B282" s="986">
        <f>'Recycling - Case 3'!AI126*'Recycling - Case 3'!B126</f>
        <v>2768.5395618029629</v>
      </c>
      <c r="C282" s="114">
        <f t="shared" si="303"/>
        <v>0.5</v>
      </c>
      <c r="D282" s="114">
        <f t="shared" si="278"/>
        <v>0.5</v>
      </c>
      <c r="E282">
        <v>0</v>
      </c>
      <c r="F282">
        <v>0</v>
      </c>
      <c r="G282" s="989">
        <f t="shared" si="279"/>
        <v>1.1074158247211852</v>
      </c>
      <c r="H282" s="650">
        <f t="shared" si="280"/>
        <v>5.5370791236059258</v>
      </c>
      <c r="J282" s="990">
        <f t="shared" si="281"/>
        <v>0.33222474741635549</v>
      </c>
      <c r="K282" s="987">
        <f>'Recycling - Case 3'!Z166*'Recycling - Case 3'!C166</f>
        <v>9391.993757158567</v>
      </c>
      <c r="L282" s="114">
        <f t="shared" si="304"/>
        <v>0.5</v>
      </c>
      <c r="M282" s="114">
        <f t="shared" si="282"/>
        <v>0.5</v>
      </c>
      <c r="N282">
        <f t="shared" ref="N282:O282" si="313">N144</f>
        <v>0</v>
      </c>
      <c r="O282">
        <f t="shared" si="313"/>
        <v>0</v>
      </c>
      <c r="P282" s="178">
        <f t="shared" si="271"/>
        <v>3.7567975028634271</v>
      </c>
      <c r="Q282" s="512">
        <f t="shared" si="272"/>
        <v>18.783987514317133</v>
      </c>
      <c r="S282" s="178">
        <f t="shared" si="273"/>
        <v>1.1270392508590281</v>
      </c>
      <c r="T282" s="585">
        <f t="shared" si="274"/>
        <v>4.8642133275846122</v>
      </c>
      <c r="U282" s="585">
        <f t="shared" si="275"/>
        <v>24.32106663792306</v>
      </c>
      <c r="V282" s="585">
        <f t="shared" si="276"/>
        <v>0</v>
      </c>
      <c r="W282" s="585">
        <f t="shared" si="277"/>
        <v>1.4592639982753837</v>
      </c>
    </row>
    <row r="283" spans="1:23">
      <c r="A283" s="123">
        <f>'Input data'!A147</f>
        <v>2049</v>
      </c>
      <c r="B283" s="986">
        <f>'Recycling - Case 3'!AI127*'Recycling - Case 3'!B127</f>
        <v>2782.6502138576889</v>
      </c>
      <c r="C283" s="114">
        <f t="shared" si="303"/>
        <v>0.5</v>
      </c>
      <c r="D283" s="114">
        <f t="shared" si="278"/>
        <v>0.5</v>
      </c>
      <c r="E283">
        <v>0</v>
      </c>
      <c r="F283">
        <v>0</v>
      </c>
      <c r="G283" s="989">
        <f t="shared" si="279"/>
        <v>1.1130600855430755</v>
      </c>
      <c r="H283" s="650">
        <f t="shared" si="280"/>
        <v>5.5653004277153775</v>
      </c>
      <c r="J283" s="990">
        <f t="shared" si="281"/>
        <v>0.33391802566292267</v>
      </c>
      <c r="K283" s="987">
        <f>'Recycling - Case 3'!Z167*'Recycling - Case 3'!C167</f>
        <v>10104.267919666074</v>
      </c>
      <c r="L283" s="114">
        <f t="shared" si="304"/>
        <v>0.5</v>
      </c>
      <c r="M283" s="114">
        <f t="shared" si="282"/>
        <v>0.5</v>
      </c>
      <c r="N283">
        <f t="shared" ref="N283:O283" si="314">N145</f>
        <v>0</v>
      </c>
      <c r="O283">
        <f t="shared" si="314"/>
        <v>0</v>
      </c>
      <c r="P283" s="178">
        <f t="shared" si="271"/>
        <v>4.0417071678664298</v>
      </c>
      <c r="Q283" s="512">
        <f t="shared" si="272"/>
        <v>20.208535839332146</v>
      </c>
      <c r="S283" s="178">
        <f t="shared" si="273"/>
        <v>1.212512150359929</v>
      </c>
      <c r="T283" s="585">
        <f t="shared" si="274"/>
        <v>5.1547672534095055</v>
      </c>
      <c r="U283" s="585">
        <f t="shared" si="275"/>
        <v>25.773836267047525</v>
      </c>
      <c r="V283" s="585">
        <f t="shared" si="276"/>
        <v>0</v>
      </c>
      <c r="W283" s="585">
        <f t="shared" si="277"/>
        <v>1.5464301760228516</v>
      </c>
    </row>
    <row r="284" spans="1:23">
      <c r="A284" s="123">
        <f>'Input data'!A148</f>
        <v>2050</v>
      </c>
      <c r="B284" s="986">
        <f>'Recycling - Case 3'!AI128*'Recycling - Case 3'!B128</f>
        <v>2796.8719734089091</v>
      </c>
      <c r="C284" s="114">
        <f t="shared" si="303"/>
        <v>0.5</v>
      </c>
      <c r="D284" s="114">
        <f t="shared" si="278"/>
        <v>0.5</v>
      </c>
      <c r="E284">
        <v>0</v>
      </c>
      <c r="F284">
        <v>0</v>
      </c>
      <c r="G284" s="989">
        <f t="shared" si="279"/>
        <v>1.1187487893635637</v>
      </c>
      <c r="H284" s="650">
        <f t="shared" si="280"/>
        <v>5.5937439468178178</v>
      </c>
      <c r="J284" s="990">
        <f t="shared" si="281"/>
        <v>0.33562463680906912</v>
      </c>
      <c r="K284" s="987">
        <f>'Recycling - Case 3'!Z168*'Recycling - Case 3'!C168</f>
        <v>10836.710898943878</v>
      </c>
      <c r="L284" s="114">
        <f t="shared" si="304"/>
        <v>0.5</v>
      </c>
      <c r="M284" s="114">
        <f t="shared" si="282"/>
        <v>0.5</v>
      </c>
      <c r="N284">
        <f t="shared" ref="N284:O284" si="315">N146</f>
        <v>0</v>
      </c>
      <c r="O284">
        <f t="shared" si="315"/>
        <v>0</v>
      </c>
      <c r="P284" s="178">
        <f t="shared" si="271"/>
        <v>4.3346843595775519</v>
      </c>
      <c r="Q284" s="512">
        <f t="shared" si="272"/>
        <v>21.673421797887755</v>
      </c>
      <c r="S284" s="178">
        <f t="shared" si="273"/>
        <v>1.3004053078732654</v>
      </c>
      <c r="T284" s="585">
        <f t="shared" si="274"/>
        <v>5.4534331489411159</v>
      </c>
      <c r="U284" s="585">
        <f t="shared" si="275"/>
        <v>27.267165744705572</v>
      </c>
      <c r="V284" s="585">
        <f t="shared" si="276"/>
        <v>0</v>
      </c>
      <c r="W284" s="585">
        <f t="shared" si="277"/>
        <v>1.6360299446823345</v>
      </c>
    </row>
  </sheetData>
  <mergeCells count="15">
    <mergeCell ref="A11:A12"/>
    <mergeCell ref="F4:F8"/>
    <mergeCell ref="E11:F11"/>
    <mergeCell ref="I11:J11"/>
    <mergeCell ref="G11:H11"/>
    <mergeCell ref="T11:U11"/>
    <mergeCell ref="V11:W11"/>
    <mergeCell ref="K10:S10"/>
    <mergeCell ref="B10:J10"/>
    <mergeCell ref="T10:W10"/>
    <mergeCell ref="N11:O11"/>
    <mergeCell ref="P11:Q11"/>
    <mergeCell ref="R11:S11"/>
    <mergeCell ref="L11:M11"/>
    <mergeCell ref="C11:D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B507-12DE-471D-9136-953095DC79E7}">
  <sheetPr>
    <tabColor theme="6" tint="-0.249977111117893"/>
  </sheetPr>
  <dimension ref="A6:F7"/>
  <sheetViews>
    <sheetView workbookViewId="0">
      <selection activeCell="C7" sqref="C7"/>
    </sheetView>
  </sheetViews>
  <sheetFormatPr defaultRowHeight="15"/>
  <cols>
    <col min="2" max="2" width="15.42578125" bestFit="1" customWidth="1"/>
    <col min="3" max="3" width="17.28515625" bestFit="1" customWidth="1"/>
  </cols>
  <sheetData>
    <row r="6" spans="1:6">
      <c r="D6" t="s">
        <v>789</v>
      </c>
      <c r="E6" t="s">
        <v>790</v>
      </c>
      <c r="F6" t="s">
        <v>791</v>
      </c>
    </row>
    <row r="7" spans="1:6">
      <c r="A7" t="s">
        <v>792</v>
      </c>
      <c r="B7" t="s">
        <v>809</v>
      </c>
      <c r="C7" t="str">
        <f>"GHGSummary!"&amp;ADDRESS(ROW(GHGSummary!B15),COLUMN(GHGSummary!B15),4)</f>
        <v>GHGSummary!B15</v>
      </c>
      <c r="D7">
        <v>2</v>
      </c>
      <c r="E7">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E4E19-CFDD-4E33-AA85-582D78EE8A96}">
  <sheetPr codeName="Sheet12"/>
  <dimension ref="A1:FO209"/>
  <sheetViews>
    <sheetView zoomScale="55" zoomScaleNormal="55" workbookViewId="0">
      <pane ySplit="19" topLeftCell="A165" activePane="bottomLeft" state="frozen"/>
      <selection activeCell="B1" sqref="B1"/>
      <selection pane="bottomLeft" activeCell="AK122" sqref="AK122"/>
    </sheetView>
  </sheetViews>
  <sheetFormatPr defaultRowHeight="15"/>
  <cols>
    <col min="1" max="1" width="76.5703125" customWidth="1"/>
    <col min="2" max="2" width="43.85546875" customWidth="1"/>
    <col min="3" max="3" width="12.5703125" bestFit="1" customWidth="1"/>
    <col min="4" max="4" width="16.85546875" bestFit="1" customWidth="1"/>
    <col min="5" max="6" width="12.5703125" bestFit="1" customWidth="1"/>
    <col min="7" max="7" width="12.140625" customWidth="1"/>
    <col min="8" max="8" width="12.5703125" customWidth="1"/>
    <col min="9" max="9" width="12.7109375" customWidth="1"/>
    <col min="10" max="10" width="15.140625" style="1" bestFit="1" customWidth="1"/>
    <col min="11" max="11" width="16.140625" customWidth="1"/>
    <col min="16" max="16" width="12.140625" customWidth="1"/>
    <col min="17" max="17" width="11.5703125" customWidth="1"/>
    <col min="18" max="18" width="13.140625" style="1" customWidth="1"/>
    <col min="20" max="20" width="11.140625" customWidth="1"/>
    <col min="23" max="23" width="10.5703125" customWidth="1"/>
    <col min="24" max="24" width="10.28515625" customWidth="1"/>
    <col min="25" max="25" width="10.7109375" customWidth="1"/>
    <col min="26" max="26" width="8.85546875" style="1"/>
    <col min="28" max="28" width="21.7109375" customWidth="1"/>
    <col min="29" max="29" width="17.7109375" customWidth="1"/>
    <col min="30" max="30" width="15.7109375" customWidth="1"/>
    <col min="31" max="31" width="14.5703125" customWidth="1"/>
    <col min="32" max="32" width="11.85546875" customWidth="1"/>
    <col min="33" max="33" width="11.5703125" customWidth="1"/>
  </cols>
  <sheetData>
    <row r="1" spans="1:37">
      <c r="A1" s="2" t="s">
        <v>38</v>
      </c>
    </row>
    <row r="2" spans="1:37">
      <c r="Q2" s="4"/>
      <c r="R2" s="573"/>
      <c r="S2" s="4"/>
      <c r="T2" s="4"/>
      <c r="U2" s="4"/>
      <c r="V2" s="4"/>
      <c r="W2" s="4"/>
      <c r="X2" s="4"/>
      <c r="Y2" s="4"/>
      <c r="Z2" s="573"/>
      <c r="AA2" s="4"/>
      <c r="AB2" s="4"/>
    </row>
    <row r="3" spans="1:37" ht="15.75" thickBot="1">
      <c r="A3" s="1" t="s">
        <v>162</v>
      </c>
      <c r="Q3" s="4"/>
      <c r="R3" s="573"/>
      <c r="S3" s="4"/>
      <c r="T3" s="4"/>
      <c r="U3" s="4"/>
      <c r="V3" s="4"/>
      <c r="W3" s="4"/>
      <c r="X3" s="4"/>
      <c r="Y3" s="4"/>
      <c r="Z3" s="573"/>
      <c r="AA3" s="4"/>
      <c r="AB3" s="4"/>
    </row>
    <row r="4" spans="1:37">
      <c r="A4" s="124" t="s">
        <v>164</v>
      </c>
      <c r="B4" s="125" t="s">
        <v>25</v>
      </c>
      <c r="C4" s="126">
        <f>Parameters!D56</f>
        <v>0.09</v>
      </c>
      <c r="D4" s="632" t="s">
        <v>358</v>
      </c>
      <c r="E4" s="115"/>
      <c r="F4" s="115"/>
      <c r="G4" s="115"/>
      <c r="H4" s="115"/>
      <c r="I4" s="116"/>
      <c r="Q4" s="4"/>
      <c r="R4" s="573"/>
      <c r="S4" s="574"/>
      <c r="T4" s="4"/>
      <c r="U4" s="4"/>
      <c r="V4" s="4"/>
      <c r="W4" s="4"/>
      <c r="X4" s="4"/>
      <c r="Y4" s="4"/>
      <c r="Z4" s="573"/>
      <c r="AA4" s="4"/>
      <c r="AB4" s="4"/>
    </row>
    <row r="5" spans="1:37">
      <c r="A5" s="127" t="s">
        <v>163</v>
      </c>
      <c r="B5" s="128" t="s">
        <v>25</v>
      </c>
      <c r="C5" s="129">
        <f>Parameters!D57</f>
        <v>0.6</v>
      </c>
      <c r="D5" s="104"/>
      <c r="E5" s="104"/>
      <c r="F5" s="104"/>
      <c r="G5" s="104"/>
      <c r="H5" s="104"/>
      <c r="I5" s="130"/>
      <c r="Q5" s="4"/>
      <c r="R5" s="573"/>
      <c r="S5" s="574"/>
      <c r="T5" s="4"/>
      <c r="U5" s="4"/>
      <c r="V5" s="4"/>
      <c r="W5" s="4"/>
      <c r="X5" s="4"/>
      <c r="Y5" s="4"/>
      <c r="Z5" s="573"/>
      <c r="AA5" s="4"/>
      <c r="AB5" s="4"/>
    </row>
    <row r="6" spans="1:37">
      <c r="A6" s="127" t="s">
        <v>195</v>
      </c>
      <c r="B6" s="128" t="s">
        <v>196</v>
      </c>
      <c r="C6" s="129">
        <f>Parameters!D58</f>
        <v>3.6666666666666665</v>
      </c>
      <c r="D6" s="104"/>
      <c r="E6" s="104"/>
      <c r="F6" s="104"/>
      <c r="G6" s="104"/>
      <c r="H6" s="104"/>
      <c r="I6" s="130"/>
      <c r="Q6" s="4"/>
      <c r="R6" s="573"/>
      <c r="S6" s="574"/>
      <c r="T6" s="4"/>
      <c r="U6" s="4"/>
      <c r="V6" s="4"/>
      <c r="W6" s="4"/>
      <c r="X6" s="4"/>
      <c r="Y6" s="4"/>
      <c r="Z6" s="573"/>
      <c r="AA6" s="4"/>
      <c r="AB6" s="4"/>
    </row>
    <row r="7" spans="1:37">
      <c r="A7" s="127" t="s">
        <v>173</v>
      </c>
      <c r="B7" s="128" t="s">
        <v>25</v>
      </c>
      <c r="C7" s="129">
        <f>Parameters!D59</f>
        <v>0.57999999999999996</v>
      </c>
      <c r="D7" s="104"/>
      <c r="E7" s="104"/>
      <c r="F7" s="104"/>
      <c r="G7" s="104"/>
      <c r="H7" s="104"/>
      <c r="I7" s="130"/>
      <c r="Q7" s="4"/>
      <c r="R7" s="573"/>
      <c r="S7" s="574"/>
      <c r="T7" s="4"/>
      <c r="U7" s="4"/>
      <c r="V7" s="4"/>
      <c r="W7" s="4"/>
      <c r="X7" s="4"/>
      <c r="Y7" s="4"/>
      <c r="Z7" s="573"/>
      <c r="AA7" s="4"/>
      <c r="AB7" s="4"/>
    </row>
    <row r="8" spans="1:37">
      <c r="A8" s="127"/>
      <c r="B8" s="128"/>
      <c r="C8" s="99"/>
      <c r="D8" s="104"/>
      <c r="E8" s="104"/>
      <c r="F8" s="104"/>
      <c r="G8" s="104"/>
      <c r="H8" s="104"/>
      <c r="I8" s="130"/>
      <c r="Q8" s="4"/>
      <c r="R8" s="573"/>
      <c r="S8" s="574"/>
      <c r="T8" s="4"/>
      <c r="U8" s="4"/>
      <c r="V8" s="4"/>
      <c r="W8" s="4"/>
      <c r="X8" s="4"/>
      <c r="Y8" s="4"/>
      <c r="Z8" s="573"/>
      <c r="AA8" s="4"/>
      <c r="AB8" s="4"/>
    </row>
    <row r="9" spans="1:37">
      <c r="A9" s="127" t="s">
        <v>170</v>
      </c>
      <c r="B9" s="131" t="s">
        <v>169</v>
      </c>
      <c r="C9" s="129">
        <f>Parameters!D61</f>
        <v>6500</v>
      </c>
      <c r="D9" s="104"/>
      <c r="E9" s="104"/>
      <c r="F9" s="104"/>
      <c r="G9" s="104"/>
      <c r="H9" s="104"/>
      <c r="I9" s="130"/>
      <c r="Q9" s="4"/>
      <c r="R9" s="573"/>
      <c r="S9" s="574"/>
      <c r="T9" s="4"/>
      <c r="U9" s="4"/>
      <c r="V9" s="4"/>
      <c r="W9" s="4"/>
      <c r="X9" s="4"/>
      <c r="Y9" s="4"/>
      <c r="Z9" s="573"/>
      <c r="AA9" s="4"/>
      <c r="AB9" s="4"/>
    </row>
    <row r="10" spans="1:37">
      <c r="A10" s="127" t="s">
        <v>171</v>
      </c>
      <c r="B10" s="131" t="s">
        <v>172</v>
      </c>
      <c r="C10" s="129">
        <f>Parameters!D62</f>
        <v>150</v>
      </c>
      <c r="D10" s="104"/>
      <c r="E10" s="104"/>
      <c r="F10" s="104"/>
      <c r="G10" s="104"/>
      <c r="H10" s="104"/>
      <c r="I10" s="130"/>
      <c r="Q10" s="4"/>
      <c r="R10" s="573"/>
      <c r="S10" s="574"/>
      <c r="T10" s="4"/>
      <c r="U10" s="4"/>
      <c r="V10" s="4"/>
      <c r="W10" s="4"/>
      <c r="X10" s="4"/>
      <c r="Y10" s="4"/>
      <c r="Z10" s="573"/>
      <c r="AA10" s="4"/>
      <c r="AB10" s="4"/>
    </row>
    <row r="11" spans="1:37">
      <c r="A11" s="127" t="s">
        <v>197</v>
      </c>
      <c r="B11" s="128" t="s">
        <v>196</v>
      </c>
      <c r="C11" s="132">
        <f>Parameters!D63</f>
        <v>9.9999999999999995E-7</v>
      </c>
      <c r="D11" s="104"/>
      <c r="E11" s="104"/>
      <c r="F11" s="104"/>
      <c r="G11" s="104"/>
      <c r="H11" s="104"/>
      <c r="I11" s="130"/>
      <c r="Q11" s="4"/>
      <c r="R11" s="573"/>
      <c r="S11" s="4"/>
      <c r="T11" s="4"/>
      <c r="U11" s="4"/>
      <c r="V11" s="4"/>
      <c r="W11" s="4"/>
      <c r="X11" s="4"/>
      <c r="Y11" s="4"/>
      <c r="Z11" s="573"/>
      <c r="AA11" s="4"/>
      <c r="AB11" s="4"/>
    </row>
    <row r="12" spans="1:37">
      <c r="A12" s="127"/>
      <c r="B12" s="131"/>
      <c r="C12" s="133"/>
      <c r="D12" s="104"/>
      <c r="E12" s="104"/>
      <c r="F12" s="104"/>
      <c r="G12" s="104"/>
      <c r="H12" s="104"/>
      <c r="I12" s="130"/>
      <c r="Q12" s="4"/>
      <c r="R12" s="573"/>
      <c r="S12" s="4"/>
      <c r="T12" s="4"/>
      <c r="U12" s="4"/>
      <c r="V12" s="4"/>
      <c r="W12" s="4"/>
      <c r="X12" s="4"/>
      <c r="Y12" s="4"/>
      <c r="Z12" s="573"/>
      <c r="AA12" s="4"/>
      <c r="AB12" s="99"/>
      <c r="AC12" s="99"/>
      <c r="AD12" s="99"/>
      <c r="AE12" s="99"/>
      <c r="AF12" s="99"/>
      <c r="AG12" s="99"/>
      <c r="AH12" s="99"/>
      <c r="AI12" s="99"/>
      <c r="AJ12" s="99"/>
      <c r="AK12" s="99"/>
    </row>
    <row r="13" spans="1:37" ht="30">
      <c r="A13" s="134" t="s">
        <v>186</v>
      </c>
      <c r="B13" s="8"/>
      <c r="C13" s="571" t="s">
        <v>221</v>
      </c>
      <c r="D13" s="571" t="s">
        <v>85</v>
      </c>
      <c r="E13" s="571" t="s">
        <v>87</v>
      </c>
      <c r="F13" s="571" t="s">
        <v>222</v>
      </c>
      <c r="G13" s="571" t="s">
        <v>115</v>
      </c>
      <c r="H13" s="571" t="s">
        <v>223</v>
      </c>
      <c r="I13" s="572" t="s">
        <v>224</v>
      </c>
      <c r="Q13" s="4"/>
      <c r="R13" s="573"/>
      <c r="S13" s="4"/>
      <c r="T13" s="4"/>
      <c r="U13" s="4"/>
      <c r="V13" s="4"/>
      <c r="W13" s="4"/>
      <c r="X13" s="4"/>
      <c r="Y13" s="4"/>
      <c r="Z13" s="573"/>
      <c r="AA13" s="4"/>
      <c r="AB13" s="99"/>
      <c r="AC13" s="99"/>
      <c r="AD13" s="99"/>
      <c r="AE13" s="99"/>
      <c r="AF13" s="99"/>
      <c r="AG13" s="99"/>
      <c r="AH13" s="99"/>
      <c r="AI13" s="99"/>
      <c r="AJ13" s="99"/>
      <c r="AK13" s="99"/>
    </row>
    <row r="14" spans="1:37">
      <c r="A14" s="569" t="s">
        <v>36</v>
      </c>
      <c r="B14" s="128" t="s">
        <v>25</v>
      </c>
      <c r="C14" s="136">
        <f>Parameters!D66</f>
        <v>0</v>
      </c>
      <c r="D14" s="136">
        <f>Parameters!E66</f>
        <v>0</v>
      </c>
      <c r="E14" s="136">
        <f>Parameters!F66</f>
        <v>4.1400000000000005E-3</v>
      </c>
      <c r="F14" s="136">
        <f>Parameters!G66</f>
        <v>0</v>
      </c>
      <c r="G14" s="136">
        <f>Parameters!H66</f>
        <v>8.0000000000000016E-2</v>
      </c>
      <c r="H14" s="136">
        <f>Parameters!I66</f>
        <v>2.7999999999999997E-2</v>
      </c>
      <c r="I14" s="570">
        <f>Parameters!J66</f>
        <v>2.7E-2</v>
      </c>
      <c r="Q14" s="4"/>
      <c r="R14" s="573"/>
      <c r="S14" s="4"/>
      <c r="T14" s="4"/>
      <c r="U14" s="4"/>
      <c r="V14" s="4"/>
      <c r="W14" s="4"/>
      <c r="X14" s="4"/>
      <c r="Y14" s="4"/>
      <c r="Z14" s="573"/>
      <c r="AA14" s="4"/>
      <c r="AB14" s="99"/>
      <c r="AC14" s="99"/>
      <c r="AD14" s="99"/>
      <c r="AE14" s="99"/>
      <c r="AF14" s="99"/>
      <c r="AG14" s="99"/>
      <c r="AH14" s="99"/>
      <c r="AI14" s="99"/>
      <c r="AJ14" s="99"/>
      <c r="AK14" s="99"/>
    </row>
    <row r="15" spans="1:37" ht="15.75" thickBot="1">
      <c r="A15" s="137" t="s">
        <v>579</v>
      </c>
      <c r="B15" s="138" t="s">
        <v>25</v>
      </c>
      <c r="C15" s="139">
        <f>'MSW characteristics'!B44</f>
        <v>0.4</v>
      </c>
      <c r="D15" s="139">
        <f>'MSW characteristics'!C44</f>
        <v>0.4</v>
      </c>
      <c r="E15" s="139">
        <f>'MSW characteristics'!D44</f>
        <v>0.9</v>
      </c>
      <c r="F15" s="139">
        <f>'MSW characteristics'!E44</f>
        <v>0.85</v>
      </c>
      <c r="G15" s="139">
        <f>'MSW characteristics'!F44</f>
        <v>0.8</v>
      </c>
      <c r="H15" s="139">
        <f>'MSW characteristics'!G44</f>
        <v>0.4</v>
      </c>
      <c r="I15" s="576">
        <f>'MSW characteristics'!H44</f>
        <v>0.9</v>
      </c>
      <c r="Q15" s="4"/>
      <c r="R15" s="573"/>
      <c r="S15" s="4"/>
      <c r="T15" s="574"/>
      <c r="U15" s="574"/>
      <c r="V15" s="574"/>
      <c r="W15" s="574"/>
      <c r="X15" s="574"/>
      <c r="Y15" s="574"/>
      <c r="Z15" s="574"/>
      <c r="AA15" s="4"/>
      <c r="AB15" s="99"/>
      <c r="AC15" s="99"/>
      <c r="AD15" s="99"/>
      <c r="AE15" s="99"/>
      <c r="AF15" s="99"/>
      <c r="AG15" s="99"/>
      <c r="AH15" s="99"/>
      <c r="AI15" s="99"/>
      <c r="AJ15" s="99"/>
      <c r="AK15" s="99"/>
    </row>
    <row r="16" spans="1:37">
      <c r="AB16" s="99"/>
      <c r="AC16" s="99"/>
      <c r="AD16" s="99"/>
      <c r="AE16" s="99"/>
      <c r="AF16" s="99"/>
      <c r="AG16" s="99"/>
      <c r="AH16" s="99"/>
      <c r="AI16" s="99"/>
      <c r="AJ16" s="99"/>
      <c r="AK16" s="99"/>
    </row>
    <row r="17" spans="1:171" ht="15.75" thickBot="1">
      <c r="C17" s="1" t="s">
        <v>267</v>
      </c>
      <c r="AH17" s="1"/>
      <c r="AI17" s="99"/>
      <c r="AJ17" s="99"/>
      <c r="AK17" s="99"/>
    </row>
    <row r="18" spans="1:171">
      <c r="A18" s="1763" t="s">
        <v>217</v>
      </c>
      <c r="B18" s="1761" t="str">
        <f>A4</f>
        <v>Fraction of the population  burning waste (Pfrac)</v>
      </c>
      <c r="C18" s="934" t="s">
        <v>713</v>
      </c>
      <c r="D18" s="115"/>
      <c r="E18" s="115"/>
      <c r="F18" s="115"/>
      <c r="G18" s="115"/>
      <c r="H18" s="115"/>
      <c r="I18" s="115"/>
      <c r="J18" s="1164"/>
      <c r="K18" s="1758" t="s">
        <v>286</v>
      </c>
      <c r="L18" s="1759"/>
      <c r="M18" s="1759"/>
      <c r="N18" s="1759"/>
      <c r="O18" s="1759"/>
      <c r="P18" s="1759"/>
      <c r="Q18" s="1759"/>
      <c r="R18" s="1760"/>
      <c r="S18" s="625" t="s">
        <v>291</v>
      </c>
      <c r="T18" s="626"/>
      <c r="U18" s="626"/>
      <c r="V18" s="627" t="s">
        <v>285</v>
      </c>
      <c r="W18" s="626"/>
      <c r="X18" s="626"/>
      <c r="Y18" s="626"/>
      <c r="Z18" s="628"/>
      <c r="AA18" s="1758" t="s">
        <v>287</v>
      </c>
      <c r="AB18" s="1759"/>
      <c r="AC18" s="1759"/>
      <c r="AD18" s="1759"/>
      <c r="AE18" s="1759"/>
      <c r="AF18" s="1759"/>
      <c r="AG18" s="1759"/>
      <c r="AH18" s="1760"/>
      <c r="AI18" s="99"/>
      <c r="AJ18" s="99"/>
      <c r="AK18" s="99"/>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row>
    <row r="19" spans="1:171" s="4" customFormat="1" ht="48.6" customHeight="1" thickBot="1">
      <c r="A19" s="1764"/>
      <c r="B19" s="1762"/>
      <c r="C19" s="629" t="s">
        <v>221</v>
      </c>
      <c r="D19" s="630" t="s">
        <v>85</v>
      </c>
      <c r="E19" s="630" t="s">
        <v>87</v>
      </c>
      <c r="F19" s="630" t="s">
        <v>222</v>
      </c>
      <c r="G19" s="630" t="s">
        <v>115</v>
      </c>
      <c r="H19" s="630" t="s">
        <v>223</v>
      </c>
      <c r="I19" s="630" t="s">
        <v>224</v>
      </c>
      <c r="J19" s="631" t="s">
        <v>225</v>
      </c>
      <c r="K19" s="629" t="s">
        <v>221</v>
      </c>
      <c r="L19" s="630" t="s">
        <v>85</v>
      </c>
      <c r="M19" s="630" t="s">
        <v>87</v>
      </c>
      <c r="N19" s="630" t="s">
        <v>222</v>
      </c>
      <c r="O19" s="630" t="s">
        <v>115</v>
      </c>
      <c r="P19" s="630" t="s">
        <v>223</v>
      </c>
      <c r="Q19" s="630" t="s">
        <v>224</v>
      </c>
      <c r="R19" s="631" t="s">
        <v>225</v>
      </c>
      <c r="S19" s="629" t="s">
        <v>221</v>
      </c>
      <c r="T19" s="630" t="s">
        <v>85</v>
      </c>
      <c r="U19" s="630" t="s">
        <v>87</v>
      </c>
      <c r="V19" s="630" t="s">
        <v>222</v>
      </c>
      <c r="W19" s="630" t="s">
        <v>115</v>
      </c>
      <c r="X19" s="630" t="s">
        <v>223</v>
      </c>
      <c r="Y19" s="630" t="s">
        <v>224</v>
      </c>
      <c r="Z19" s="631" t="s">
        <v>225</v>
      </c>
      <c r="AA19" s="629" t="s">
        <v>221</v>
      </c>
      <c r="AB19" s="630" t="s">
        <v>85</v>
      </c>
      <c r="AC19" s="630" t="s">
        <v>87</v>
      </c>
      <c r="AD19" s="630" t="s">
        <v>222</v>
      </c>
      <c r="AE19" s="630" t="s">
        <v>115</v>
      </c>
      <c r="AF19" s="630" t="s">
        <v>223</v>
      </c>
      <c r="AG19" s="630" t="s">
        <v>224</v>
      </c>
      <c r="AH19" s="631" t="s">
        <v>225</v>
      </c>
      <c r="AI19" s="99"/>
      <c r="AJ19" s="99"/>
      <c r="AK19" s="99"/>
    </row>
    <row r="20" spans="1:171" ht="15" hidden="1" customHeight="1" thickBot="1">
      <c r="A20" s="575">
        <f>'Input data'!A48</f>
        <v>1950</v>
      </c>
      <c r="B20" s="122">
        <f>'Baseline data (from input)'!G6</f>
        <v>0</v>
      </c>
      <c r="C20" s="127"/>
      <c r="D20" s="104"/>
      <c r="E20" s="104"/>
      <c r="F20" s="104"/>
      <c r="G20" s="104"/>
      <c r="H20" s="104"/>
      <c r="I20" s="104"/>
      <c r="J20" s="166"/>
      <c r="K20" s="117" t="e">
        <f>'Input data'!B48*'Baseline data (from input)'!E5*'Input data'!O48*'4C2 Open-burning '!B20*'4C2 Open-burning '!$C$14*'4C2 Open-burning '!$C$5*'4C2 Open-burning '!$C$6*'4C2 Open-burning '!$C$7</f>
        <v>#VALUE!</v>
      </c>
      <c r="L20" s="118" t="e">
        <f>'Input data'!B48*'Baseline data (from input)'!E5*'Input data'!P48*'4C2 Open-burning '!B20*'4C2 Open-burning '!$C$15*'4C2 Open-burning '!$C$5*'4C2 Open-burning '!$C$6*'4C2 Open-burning '!$C$7</f>
        <v>#VALUE!</v>
      </c>
      <c r="M20" s="118" t="e">
        <f>'Input data'!B48*'Baseline data (from input)'!E5*'Input data'!Q48*'4C2 Open-burning '!B20*'4C2 Open-burning '!#REF!*'4C2 Open-burning '!$C$5*'4C2 Open-burning '!$C$6*'4C2 Open-burning '!$C$7</f>
        <v>#VALUE!</v>
      </c>
      <c r="N20" s="118" t="e">
        <f>'Input data'!B48*'Baseline data (from input)'!E5*'Input data'!R48*'4C2 Open-burning '!B20*'4C2 Open-burning '!#REF!*'4C2 Open-burning '!$C$5*'4C2 Open-burning '!$C$6*'4C2 Open-burning '!$C$7</f>
        <v>#VALUE!</v>
      </c>
      <c r="O20" s="118" t="e">
        <f>'Input data'!B48*'Baseline data (from input)'!E5*'Input data'!S48*'4C2 Open-burning '!B20*'4C2 Open-burning '!#REF!*'4C2 Open-burning '!$C$5*'4C2 Open-burning '!$C$6*'4C2 Open-burning '!$C$7</f>
        <v>#VALUE!</v>
      </c>
      <c r="P20" s="118" t="e">
        <f>'Input data'!B48*'Baseline data (from input)'!E5*'Input data'!T48*'4C2 Open-burning '!B20*'4C2 Open-burning '!#REF!*'4C2 Open-burning '!$C$5*'4C2 Open-burning '!$C$6*'4C2 Open-burning '!$C$7</f>
        <v>#VALUE!</v>
      </c>
      <c r="Q20" s="118" t="e">
        <f>'Input data'!B48*'Baseline data (from input)'!E5*'Input data'!#REF!*'4C2 Open-burning '!B20*'4C2 Open-burning '!#REF!*'4C2 Open-burning '!$C$5*'4C2 Open-burning '!$C$6*'4C2 Open-burning '!$C$7</f>
        <v>#VALUE!</v>
      </c>
      <c r="R20" s="119" t="e">
        <f>SUM(K20:Q20)</f>
        <v>#VALUE!</v>
      </c>
      <c r="S20" s="117" t="e">
        <f>B20*'Input data'!B48*'Baseline data (from input)'!E5*'Input data'!O48*'4C2 Open-burning '!$C$9*'4C2 Open-burning '!$C$11*$C$5</f>
        <v>#VALUE!</v>
      </c>
      <c r="T20" s="118" t="e">
        <f>B20*'Input data'!B48*'Baseline data (from input)'!E5*'Input data'!P48*'4C2 Open-burning '!$C$9*'4C2 Open-burning '!$C$11*$C$5</f>
        <v>#VALUE!</v>
      </c>
      <c r="U20" s="118" t="e">
        <f>B20*'Input data'!B48*'Baseline data (from input)'!E5*'Input data'!Q48*'4C2 Open-burning '!$C$9*'4C2 Open-burning '!$C$11*$C$5</f>
        <v>#VALUE!</v>
      </c>
      <c r="V20" s="118" t="e">
        <f>B20*'Input data'!B48*'Baseline data (from input)'!E5*'Input data'!R48*'4C2 Open-burning '!$C$9*'4C2 Open-burning '!$C$11*$C$5</f>
        <v>#VALUE!</v>
      </c>
      <c r="W20" s="118" t="e">
        <f>B20*'Input data'!B48*'Baseline data (from input)'!E5*'Input data'!S48*'4C2 Open-burning '!$C$9*'4C2 Open-burning '!$C$11*$C$5</f>
        <v>#VALUE!</v>
      </c>
      <c r="X20" s="118" t="e">
        <f>B20*'Input data'!B48*'Baseline data (from input)'!E5*'Input data'!T48*'4C2 Open-burning '!$C$9*'4C2 Open-burning '!$C$11*$C$5</f>
        <v>#VALUE!</v>
      </c>
      <c r="Y20" s="118" t="e">
        <f>B20*'Input data'!B48*'Baseline data (from input)'!E5*'Input data'!#REF!*'4C2 Open-burning '!$C$9*'4C2 Open-burning '!$C$11*$C$5</f>
        <v>#VALUE!</v>
      </c>
      <c r="Z20" s="119" t="e">
        <f>SUM(S20:Y20)</f>
        <v>#VALUE!</v>
      </c>
      <c r="AA20" s="117" t="e">
        <f>B20*'Input data'!B48*'Baseline data (from input)'!E5*'Input data'!O48*'4C2 Open-burning '!$C$10*'4C2 Open-burning '!$C$11*$C$5</f>
        <v>#VALUE!</v>
      </c>
      <c r="AB20" s="118" t="e">
        <f>B20*'Input data'!B48*'Baseline data (from input)'!E5*'Input data'!P48*'4C2 Open-burning '!$C$10*'4C2 Open-burning '!$C$11*$C$5</f>
        <v>#VALUE!</v>
      </c>
      <c r="AC20" s="118" t="e">
        <f>B20*'Input data'!B48*'Baseline data (from input)'!E5*'Input data'!Q48*'4C2 Open-burning '!$C$10*'4C2 Open-burning '!$C$11*$C$5</f>
        <v>#VALUE!</v>
      </c>
      <c r="AD20" s="118" t="e">
        <f>B20*'Input data'!B48*'Baseline data (from input)'!E5*'Input data'!R48*'4C2 Open-burning '!$C$10*'4C2 Open-burning '!$C$11*$C$5</f>
        <v>#VALUE!</v>
      </c>
      <c r="AE20" s="118" t="e">
        <f>B20*'Input data'!B48*'Baseline data (from input)'!E5*'Input data'!S48*'4C2 Open-burning '!$C$10*'4C2 Open-burning '!$C$11*$C$5</f>
        <v>#VALUE!</v>
      </c>
      <c r="AF20" s="118" t="e">
        <f>B20*'Input data'!B48*'Baseline data (from input)'!E5*'Input data'!T48*'4C2 Open-burning '!$C$10*'4C2 Open-burning '!$C$11*$C$5</f>
        <v>#VALUE!</v>
      </c>
      <c r="AG20" s="118" t="e">
        <f>B20*'Input data'!B48*'Baseline data (from input)'!E5*'Input data'!#REF!*'4C2 Open-burning '!$C$10*'4C2 Open-burning '!$C$11*$C$5</f>
        <v>#VALUE!</v>
      </c>
      <c r="AH20" s="119" t="e">
        <f>SUM(AA20:AG20)</f>
        <v>#VALUE!</v>
      </c>
      <c r="AI20" s="99"/>
      <c r="AJ20" s="99"/>
      <c r="AK20" s="99"/>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row>
    <row r="21" spans="1:171" ht="15" hidden="1" customHeight="1" thickBot="1">
      <c r="A21" s="575">
        <f>'Input data'!A49</f>
        <v>1951</v>
      </c>
      <c r="B21" s="122">
        <f>'Baseline data (from input)'!G7</f>
        <v>0</v>
      </c>
      <c r="C21" s="127"/>
      <c r="D21" s="104"/>
      <c r="E21" s="104"/>
      <c r="F21" s="104"/>
      <c r="G21" s="104"/>
      <c r="H21" s="104"/>
      <c r="I21" s="104"/>
      <c r="J21" s="166"/>
      <c r="K21" s="117">
        <f>'Input data'!B49*'Baseline data (from input)'!E6*'Input data'!O49*'4C2 Open-burning '!B21*'4C2 Open-burning '!$C$14*'4C2 Open-burning '!$C$5*'4C2 Open-burning '!$C$6*'4C2 Open-burning '!$C$7</f>
        <v>0</v>
      </c>
      <c r="L21" s="118">
        <f>'Input data'!B49*'Baseline data (from input)'!E6*'Input data'!P49*'4C2 Open-burning '!B21*'4C2 Open-burning '!$C$15*'4C2 Open-burning '!$C$5*'4C2 Open-burning '!$C$6*'4C2 Open-burning '!$C$7</f>
        <v>0</v>
      </c>
      <c r="M21" s="118" t="e">
        <f>'Input data'!B49*'Baseline data (from input)'!E6*'Input data'!Q49*'4C2 Open-burning '!B21*'4C2 Open-burning '!#REF!*'4C2 Open-burning '!$C$5*'4C2 Open-burning '!$C$6*'4C2 Open-burning '!$C$7</f>
        <v>#REF!</v>
      </c>
      <c r="N21" s="118" t="e">
        <f>'Input data'!B49*'Baseline data (from input)'!E6*'Input data'!R49*'4C2 Open-burning '!B21*'4C2 Open-burning '!#REF!*'4C2 Open-burning '!$C$5*'4C2 Open-burning '!$C$6*'4C2 Open-burning '!$C$7</f>
        <v>#REF!</v>
      </c>
      <c r="O21" s="118" t="e">
        <f>'Input data'!B49*'Baseline data (from input)'!E6*'Input data'!S49*'4C2 Open-burning '!B21*'4C2 Open-burning '!#REF!*'4C2 Open-burning '!$C$5*'4C2 Open-burning '!$C$6*'4C2 Open-burning '!$C$7</f>
        <v>#REF!</v>
      </c>
      <c r="P21" s="118" t="e">
        <f>'Input data'!B49*'Baseline data (from input)'!E6*'Input data'!T49*'4C2 Open-burning '!B21*'4C2 Open-burning '!#REF!*'4C2 Open-burning '!$C$5*'4C2 Open-burning '!$C$6*'4C2 Open-burning '!$C$7</f>
        <v>#REF!</v>
      </c>
      <c r="Q21" s="118" t="e">
        <f>'Input data'!B49*'Baseline data (from input)'!E6*'Input data'!#REF!*'4C2 Open-burning '!B21*'4C2 Open-burning '!#REF!*'4C2 Open-burning '!$C$5*'4C2 Open-burning '!$C$6*'4C2 Open-burning '!$C$7</f>
        <v>#REF!</v>
      </c>
      <c r="R21" s="119" t="e">
        <f t="shared" ref="R21:R84" si="0">SUM(K21:Q21)</f>
        <v>#REF!</v>
      </c>
      <c r="S21" s="117">
        <f>B21*'Input data'!B49*'Baseline data (from input)'!E6*'Input data'!O49*'4C2 Open-burning '!$C$9*'4C2 Open-burning '!$C$11*$C$5</f>
        <v>0</v>
      </c>
      <c r="T21" s="118">
        <f>B21*'Input data'!B49*'Baseline data (from input)'!E6*'Input data'!P49*'4C2 Open-burning '!$C$9*'4C2 Open-burning '!$C$11*$C$5</f>
        <v>0</v>
      </c>
      <c r="U21" s="118">
        <f>B21*'Input data'!B49*'Baseline data (from input)'!E6*'Input data'!Q49*'4C2 Open-burning '!$C$9*'4C2 Open-burning '!$C$11*$C$5</f>
        <v>0</v>
      </c>
      <c r="V21" s="118">
        <f>B21*'Input data'!B49*'Baseline data (from input)'!E6*'Input data'!R49*'4C2 Open-burning '!$C$9*'4C2 Open-burning '!$C$11*$C$5</f>
        <v>0</v>
      </c>
      <c r="W21" s="118">
        <f>B21*'Input data'!B49*'Baseline data (from input)'!E6*'Input data'!S49*'4C2 Open-burning '!$C$9*'4C2 Open-burning '!$C$11*$C$5</f>
        <v>0</v>
      </c>
      <c r="X21" s="118">
        <f>B21*'Input data'!B49*'Baseline data (from input)'!E6*'Input data'!T49*'4C2 Open-burning '!$C$9*'4C2 Open-burning '!$C$11*$C$5</f>
        <v>0</v>
      </c>
      <c r="Y21" s="118" t="e">
        <f>B21*'Input data'!B49*'Baseline data (from input)'!E6*'Input data'!#REF!*'4C2 Open-burning '!$C$9*'4C2 Open-burning '!$C$11*$C$5</f>
        <v>#REF!</v>
      </c>
      <c r="Z21" s="119" t="e">
        <f t="shared" ref="Z21:Z69" si="1">SUM(S21:Y21)</f>
        <v>#REF!</v>
      </c>
      <c r="AA21" s="117">
        <f>B21*'Input data'!B49*'Baseline data (from input)'!E6*'Input data'!O49*'4C2 Open-burning '!$C$10*'4C2 Open-burning '!$C$11*$C$5</f>
        <v>0</v>
      </c>
      <c r="AB21" s="118">
        <f>B21*'Input data'!B49*'Baseline data (from input)'!E6*'Input data'!P49*'4C2 Open-burning '!$C$10*'4C2 Open-burning '!$C$11*$C$5</f>
        <v>0</v>
      </c>
      <c r="AC21" s="118">
        <f>B21*'Input data'!B49*'Baseline data (from input)'!E6*'Input data'!Q49*'4C2 Open-burning '!$C$10*'4C2 Open-burning '!$C$11*$C$5</f>
        <v>0</v>
      </c>
      <c r="AD21" s="118">
        <f>B21*'Input data'!B49*'Baseline data (from input)'!E6*'Input data'!R49*'4C2 Open-burning '!$C$10*'4C2 Open-burning '!$C$11*$C$5</f>
        <v>0</v>
      </c>
      <c r="AE21" s="118">
        <f>B21*'Input data'!B49*'Baseline data (from input)'!E6*'Input data'!S49*'4C2 Open-burning '!$C$10*'4C2 Open-burning '!$C$11*$C$5</f>
        <v>0</v>
      </c>
      <c r="AF21" s="118">
        <f>B21*'Input data'!B49*'Baseline data (from input)'!E6*'Input data'!T49*'4C2 Open-burning '!$C$10*'4C2 Open-burning '!$C$11*$C$5</f>
        <v>0</v>
      </c>
      <c r="AG21" s="118" t="e">
        <f>B21*'Input data'!B49*'Baseline data (from input)'!E6*'Input data'!#REF!*'4C2 Open-burning '!$C$10*'4C2 Open-burning '!$C$11*$C$5</f>
        <v>#REF!</v>
      </c>
      <c r="AH21" s="119" t="e">
        <f t="shared" ref="AH21:AH84" si="2">SUM(AA21:AG21)</f>
        <v>#REF!</v>
      </c>
      <c r="AI21" s="99"/>
      <c r="AJ21" s="99"/>
      <c r="AK21" s="99"/>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row>
    <row r="22" spans="1:171" ht="15" hidden="1" customHeight="1" thickBot="1">
      <c r="A22" s="575">
        <f>'Input data'!A50</f>
        <v>1952</v>
      </c>
      <c r="B22" s="122">
        <f>'Baseline data (from input)'!G8</f>
        <v>0</v>
      </c>
      <c r="C22" s="127"/>
      <c r="D22" s="104"/>
      <c r="E22" s="104"/>
      <c r="F22" s="104"/>
      <c r="G22" s="104"/>
      <c r="H22" s="104"/>
      <c r="I22" s="104"/>
      <c r="J22" s="166"/>
      <c r="K22" s="117">
        <f>'Input data'!B50*'Baseline data (from input)'!E7*'Input data'!O50*'4C2 Open-burning '!B22*'4C2 Open-burning '!$C$14*'4C2 Open-burning '!$C$5*'4C2 Open-burning '!$C$6*'4C2 Open-burning '!$C$7</f>
        <v>0</v>
      </c>
      <c r="L22" s="118">
        <f>'Input data'!B50*'Baseline data (from input)'!E7*'Input data'!P50*'4C2 Open-burning '!B22*'4C2 Open-burning '!$C$15*'4C2 Open-burning '!$C$5*'4C2 Open-burning '!$C$6*'4C2 Open-burning '!$C$7</f>
        <v>0</v>
      </c>
      <c r="M22" s="118" t="e">
        <f>'Input data'!B50*'Baseline data (from input)'!E7*'Input data'!Q50*'4C2 Open-burning '!B22*'4C2 Open-burning '!#REF!*'4C2 Open-burning '!$C$5*'4C2 Open-burning '!$C$6*'4C2 Open-burning '!$C$7</f>
        <v>#REF!</v>
      </c>
      <c r="N22" s="118" t="e">
        <f>'Input data'!B50*'Baseline data (from input)'!E7*'Input data'!R50*'4C2 Open-burning '!B22*'4C2 Open-burning '!#REF!*'4C2 Open-burning '!$C$5*'4C2 Open-burning '!$C$6*'4C2 Open-burning '!$C$7</f>
        <v>#REF!</v>
      </c>
      <c r="O22" s="118" t="e">
        <f>'Input data'!B50*'Baseline data (from input)'!E7*'Input data'!S50*'4C2 Open-burning '!B22*'4C2 Open-burning '!#REF!*'4C2 Open-burning '!$C$5*'4C2 Open-burning '!$C$6*'4C2 Open-burning '!$C$7</f>
        <v>#REF!</v>
      </c>
      <c r="P22" s="118" t="e">
        <f>'Input data'!B50*'Baseline data (from input)'!E7*'Input data'!T50*'4C2 Open-burning '!B22*'4C2 Open-burning '!#REF!*'4C2 Open-burning '!$C$5*'4C2 Open-burning '!$C$6*'4C2 Open-burning '!$C$7</f>
        <v>#REF!</v>
      </c>
      <c r="Q22" s="118" t="e">
        <f>'Input data'!B50*'Baseline data (from input)'!E7*'Input data'!#REF!*'4C2 Open-burning '!B22*'4C2 Open-burning '!#REF!*'4C2 Open-burning '!$C$5*'4C2 Open-burning '!$C$6*'4C2 Open-burning '!$C$7</f>
        <v>#REF!</v>
      </c>
      <c r="R22" s="119" t="e">
        <f t="shared" si="0"/>
        <v>#REF!</v>
      </c>
      <c r="S22" s="117">
        <f>B22*'Input data'!B50*'Baseline data (from input)'!E7*'Input data'!O50*'4C2 Open-burning '!$C$9*'4C2 Open-burning '!$C$11*$C$5</f>
        <v>0</v>
      </c>
      <c r="T22" s="118">
        <f>B22*'Input data'!B50*'Baseline data (from input)'!E7*'Input data'!P50*'4C2 Open-burning '!$C$9*'4C2 Open-burning '!$C$11*$C$5</f>
        <v>0</v>
      </c>
      <c r="U22" s="118">
        <f>B22*'Input data'!B50*'Baseline data (from input)'!E7*'Input data'!Q50*'4C2 Open-burning '!$C$9*'4C2 Open-burning '!$C$11*$C$5</f>
        <v>0</v>
      </c>
      <c r="V22" s="118">
        <f>B22*'Input data'!B50*'Baseline data (from input)'!E7*'Input data'!R50*'4C2 Open-burning '!$C$9*'4C2 Open-burning '!$C$11*$C$5</f>
        <v>0</v>
      </c>
      <c r="W22" s="118">
        <f>B22*'Input data'!B50*'Baseline data (from input)'!E7*'Input data'!S50*'4C2 Open-burning '!$C$9*'4C2 Open-burning '!$C$11*$C$5</f>
        <v>0</v>
      </c>
      <c r="X22" s="118">
        <f>B22*'Input data'!B50*'Baseline data (from input)'!E7*'Input data'!T50*'4C2 Open-burning '!$C$9*'4C2 Open-burning '!$C$11*$C$5</f>
        <v>0</v>
      </c>
      <c r="Y22" s="118" t="e">
        <f>B22*'Input data'!B50*'Baseline data (from input)'!E7*'Input data'!#REF!*'4C2 Open-burning '!$C$9*'4C2 Open-burning '!$C$11*$C$5</f>
        <v>#REF!</v>
      </c>
      <c r="Z22" s="119" t="e">
        <f t="shared" si="1"/>
        <v>#REF!</v>
      </c>
      <c r="AA22" s="117">
        <f>B22*'Input data'!B50*'Baseline data (from input)'!E7*'Input data'!O50*'4C2 Open-burning '!$C$10*'4C2 Open-burning '!$C$11*$C$5</f>
        <v>0</v>
      </c>
      <c r="AB22" s="118">
        <f>B22*'Input data'!B50*'Baseline data (from input)'!E7*'Input data'!P50*'4C2 Open-burning '!$C$10*'4C2 Open-burning '!$C$11*$C$5</f>
        <v>0</v>
      </c>
      <c r="AC22" s="118">
        <f>B22*'Input data'!B50*'Baseline data (from input)'!E7*'Input data'!Q50*'4C2 Open-burning '!$C$10*'4C2 Open-burning '!$C$11*$C$5</f>
        <v>0</v>
      </c>
      <c r="AD22" s="118">
        <f>B22*'Input data'!B50*'Baseline data (from input)'!E7*'Input data'!R50*'4C2 Open-burning '!$C$10*'4C2 Open-burning '!$C$11*$C$5</f>
        <v>0</v>
      </c>
      <c r="AE22" s="118">
        <f>B22*'Input data'!B50*'Baseline data (from input)'!E7*'Input data'!S50*'4C2 Open-burning '!$C$10*'4C2 Open-burning '!$C$11*$C$5</f>
        <v>0</v>
      </c>
      <c r="AF22" s="118">
        <f>B22*'Input data'!B50*'Baseline data (from input)'!E7*'Input data'!T50*'4C2 Open-burning '!$C$10*'4C2 Open-burning '!$C$11*$C$5</f>
        <v>0</v>
      </c>
      <c r="AG22" s="118" t="e">
        <f>B22*'Input data'!B50*'Baseline data (from input)'!E7*'Input data'!#REF!*'4C2 Open-burning '!$C$10*'4C2 Open-burning '!$C$11*$C$5</f>
        <v>#REF!</v>
      </c>
      <c r="AH22" s="119" t="e">
        <f t="shared" si="2"/>
        <v>#REF!</v>
      </c>
      <c r="AI22" s="99"/>
      <c r="AJ22" s="99"/>
      <c r="AK22" s="99"/>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row>
    <row r="23" spans="1:171" ht="15" hidden="1" customHeight="1" thickBot="1">
      <c r="A23" s="575">
        <f>'Input data'!A51</f>
        <v>1953</v>
      </c>
      <c r="B23" s="122">
        <f>'Baseline data (from input)'!G9</f>
        <v>0</v>
      </c>
      <c r="C23" s="127"/>
      <c r="D23" s="104"/>
      <c r="E23" s="104"/>
      <c r="F23" s="104"/>
      <c r="G23" s="104"/>
      <c r="H23" s="104"/>
      <c r="I23" s="104"/>
      <c r="J23" s="1165">
        <f t="shared" ref="J23:J86" si="3">SUM(C23:I23)</f>
        <v>0</v>
      </c>
      <c r="K23" s="117">
        <f>'Input data'!B51*'Baseline data (from input)'!E8*'Input data'!O51*'4C2 Open-burning '!B23*'4C2 Open-burning '!$C$14*'4C2 Open-burning '!$C$5*'4C2 Open-burning '!$C$6*'4C2 Open-burning '!$C$7</f>
        <v>0</v>
      </c>
      <c r="L23" s="118">
        <f>'Input data'!B51*'Baseline data (from input)'!E8*'Input data'!P51*'4C2 Open-burning '!B23*'4C2 Open-burning '!$C$15*'4C2 Open-burning '!$C$5*'4C2 Open-burning '!$C$6*'4C2 Open-burning '!$C$7</f>
        <v>0</v>
      </c>
      <c r="M23" s="118" t="e">
        <f>'Input data'!B51*'Baseline data (from input)'!E8*'Input data'!Q51*'4C2 Open-burning '!B23*'4C2 Open-burning '!#REF!*'4C2 Open-burning '!$C$5*'4C2 Open-burning '!$C$6*'4C2 Open-burning '!$C$7</f>
        <v>#REF!</v>
      </c>
      <c r="N23" s="118" t="e">
        <f>'Input data'!B51*'Baseline data (from input)'!E8*'Input data'!R51*'4C2 Open-burning '!B23*'4C2 Open-burning '!#REF!*'4C2 Open-burning '!$C$5*'4C2 Open-burning '!$C$6*'4C2 Open-burning '!$C$7</f>
        <v>#REF!</v>
      </c>
      <c r="O23" s="118" t="e">
        <f>'Input data'!B51*'Baseline data (from input)'!E8*'Input data'!S51*'4C2 Open-burning '!B23*'4C2 Open-burning '!#REF!*'4C2 Open-burning '!$C$5*'4C2 Open-burning '!$C$6*'4C2 Open-burning '!$C$7</f>
        <v>#REF!</v>
      </c>
      <c r="P23" s="118" t="e">
        <f>'Input data'!B51*'Baseline data (from input)'!E8*'Input data'!T51*'4C2 Open-burning '!B23*'4C2 Open-burning '!#REF!*'4C2 Open-burning '!$C$5*'4C2 Open-burning '!$C$6*'4C2 Open-burning '!$C$7</f>
        <v>#REF!</v>
      </c>
      <c r="Q23" s="118" t="e">
        <f>'Input data'!B51*'Baseline data (from input)'!E8*'Input data'!#REF!*'4C2 Open-burning '!B23*'4C2 Open-burning '!#REF!*'4C2 Open-burning '!$C$5*'4C2 Open-burning '!$C$6*'4C2 Open-burning '!$C$7</f>
        <v>#REF!</v>
      </c>
      <c r="R23" s="119" t="e">
        <f t="shared" si="0"/>
        <v>#REF!</v>
      </c>
      <c r="S23" s="117">
        <f>B23*'Input data'!B51*'Baseline data (from input)'!E8*'Input data'!O51*'4C2 Open-burning '!$C$9*'4C2 Open-burning '!$C$11*$C$5</f>
        <v>0</v>
      </c>
      <c r="T23" s="118">
        <f>B23*'Input data'!B51*'Baseline data (from input)'!E8*'Input data'!P51*'4C2 Open-burning '!$C$9*'4C2 Open-burning '!$C$11*$C$5</f>
        <v>0</v>
      </c>
      <c r="U23" s="118">
        <f>B23*'Input data'!B51*'Baseline data (from input)'!E8*'Input data'!Q51*'4C2 Open-burning '!$C$9*'4C2 Open-burning '!$C$11*$C$5</f>
        <v>0</v>
      </c>
      <c r="V23" s="118">
        <f>B23*'Input data'!B51*'Baseline data (from input)'!E8*'Input data'!R51*'4C2 Open-burning '!$C$9*'4C2 Open-burning '!$C$11*$C$5</f>
        <v>0</v>
      </c>
      <c r="W23" s="118">
        <f>B23*'Input data'!B51*'Baseline data (from input)'!E8*'Input data'!S51*'4C2 Open-burning '!$C$9*'4C2 Open-burning '!$C$11*$C$5</f>
        <v>0</v>
      </c>
      <c r="X23" s="118">
        <f>B23*'Input data'!B51*'Baseline data (from input)'!E8*'Input data'!T51*'4C2 Open-burning '!$C$9*'4C2 Open-burning '!$C$11*$C$5</f>
        <v>0</v>
      </c>
      <c r="Y23" s="118" t="e">
        <f>B23*'Input data'!B51*'Baseline data (from input)'!E8*'Input data'!#REF!*'4C2 Open-burning '!$C$9*'4C2 Open-burning '!$C$11*$C$5</f>
        <v>#REF!</v>
      </c>
      <c r="Z23" s="119" t="e">
        <f t="shared" si="1"/>
        <v>#REF!</v>
      </c>
      <c r="AA23" s="117">
        <f>B23*'Input data'!B51*'Baseline data (from input)'!E8*'Input data'!O51*'4C2 Open-burning '!$C$10*'4C2 Open-burning '!$C$11*$C$5</f>
        <v>0</v>
      </c>
      <c r="AB23" s="118">
        <f>B23*'Input data'!B51*'Baseline data (from input)'!E8*'Input data'!P51*'4C2 Open-burning '!$C$10*'4C2 Open-burning '!$C$11*$C$5</f>
        <v>0</v>
      </c>
      <c r="AC23" s="118">
        <f>B23*'Input data'!B51*'Baseline data (from input)'!E8*'Input data'!Q51*'4C2 Open-burning '!$C$10*'4C2 Open-burning '!$C$11*$C$5</f>
        <v>0</v>
      </c>
      <c r="AD23" s="118">
        <f>B23*'Input data'!B51*'Baseline data (from input)'!E8*'Input data'!R51*'4C2 Open-burning '!$C$10*'4C2 Open-burning '!$C$11*$C$5</f>
        <v>0</v>
      </c>
      <c r="AE23" s="118">
        <f>B23*'Input data'!B51*'Baseline data (from input)'!E8*'Input data'!S51*'4C2 Open-burning '!$C$10*'4C2 Open-burning '!$C$11*$C$5</f>
        <v>0</v>
      </c>
      <c r="AF23" s="118">
        <f>B23*'Input data'!B51*'Baseline data (from input)'!E8*'Input data'!T51*'4C2 Open-burning '!$C$10*'4C2 Open-burning '!$C$11*$C$5</f>
        <v>0</v>
      </c>
      <c r="AG23" s="118" t="e">
        <f>B23*'Input data'!B51*'Baseline data (from input)'!E8*'Input data'!#REF!*'4C2 Open-burning '!$C$10*'4C2 Open-burning '!$C$11*$C$5</f>
        <v>#REF!</v>
      </c>
      <c r="AH23" s="119" t="e">
        <f t="shared" si="2"/>
        <v>#REF!</v>
      </c>
      <c r="AI23" s="99"/>
      <c r="AJ23" s="99"/>
      <c r="AK23" s="99"/>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row>
    <row r="24" spans="1:171" ht="15" hidden="1" customHeight="1" thickBot="1">
      <c r="A24" s="575">
        <f>'Input data'!A52</f>
        <v>1954</v>
      </c>
      <c r="B24" s="122">
        <f>'Baseline data (from input)'!G10</f>
        <v>0</v>
      </c>
      <c r="C24" s="127"/>
      <c r="D24" s="104"/>
      <c r="E24" s="104"/>
      <c r="F24" s="104"/>
      <c r="G24" s="104"/>
      <c r="H24" s="104"/>
      <c r="I24" s="104"/>
      <c r="J24" s="1165">
        <f t="shared" si="3"/>
        <v>0</v>
      </c>
      <c r="K24" s="117">
        <f>'Input data'!B52*'Baseline data (from input)'!E9*'Input data'!O52*'4C2 Open-burning '!B24*'4C2 Open-burning '!$C$14*'4C2 Open-burning '!$C$5*'4C2 Open-burning '!$C$6*'4C2 Open-burning '!$C$7</f>
        <v>0</v>
      </c>
      <c r="L24" s="118">
        <f>'Input data'!B52*'Baseline data (from input)'!E9*'Input data'!P52*'4C2 Open-burning '!B24*'4C2 Open-burning '!$C$15*'4C2 Open-burning '!$C$5*'4C2 Open-burning '!$C$6*'4C2 Open-burning '!$C$7</f>
        <v>0</v>
      </c>
      <c r="M24" s="118" t="e">
        <f>'Input data'!B52*'Baseline data (from input)'!E9*'Input data'!Q52*'4C2 Open-burning '!B24*'4C2 Open-burning '!#REF!*'4C2 Open-burning '!$C$5*'4C2 Open-burning '!$C$6*'4C2 Open-burning '!$C$7</f>
        <v>#REF!</v>
      </c>
      <c r="N24" s="118" t="e">
        <f>'Input data'!B52*'Baseline data (from input)'!E9*'Input data'!R52*'4C2 Open-burning '!B24*'4C2 Open-burning '!#REF!*'4C2 Open-burning '!$C$5*'4C2 Open-burning '!$C$6*'4C2 Open-burning '!$C$7</f>
        <v>#REF!</v>
      </c>
      <c r="O24" s="118" t="e">
        <f>'Input data'!B52*'Baseline data (from input)'!E9*'Input data'!S52*'4C2 Open-burning '!B24*'4C2 Open-burning '!#REF!*'4C2 Open-burning '!$C$5*'4C2 Open-burning '!$C$6*'4C2 Open-burning '!$C$7</f>
        <v>#REF!</v>
      </c>
      <c r="P24" s="118" t="e">
        <f>'Input data'!B52*'Baseline data (from input)'!E9*'Input data'!T52*'4C2 Open-burning '!B24*'4C2 Open-burning '!#REF!*'4C2 Open-burning '!$C$5*'4C2 Open-burning '!$C$6*'4C2 Open-burning '!$C$7</f>
        <v>#REF!</v>
      </c>
      <c r="Q24" s="118" t="e">
        <f>'Input data'!B52*'Baseline data (from input)'!E9*'Input data'!#REF!*'4C2 Open-burning '!B24*'4C2 Open-burning '!#REF!*'4C2 Open-burning '!$C$5*'4C2 Open-burning '!$C$6*'4C2 Open-burning '!$C$7</f>
        <v>#REF!</v>
      </c>
      <c r="R24" s="119" t="e">
        <f t="shared" si="0"/>
        <v>#REF!</v>
      </c>
      <c r="S24" s="117">
        <f>B24*'Input data'!B52*'Baseline data (from input)'!E9*'Input data'!O52*'4C2 Open-burning '!$C$9*'4C2 Open-burning '!$C$11*$C$5</f>
        <v>0</v>
      </c>
      <c r="T24" s="118">
        <f>B24*'Input data'!B52*'Baseline data (from input)'!E9*'Input data'!P52*'4C2 Open-burning '!$C$9*'4C2 Open-burning '!$C$11*$C$5</f>
        <v>0</v>
      </c>
      <c r="U24" s="118">
        <f>B24*'Input data'!B52*'Baseline data (from input)'!E9*'Input data'!Q52*'4C2 Open-burning '!$C$9*'4C2 Open-burning '!$C$11*$C$5</f>
        <v>0</v>
      </c>
      <c r="V24" s="118">
        <f>B24*'Input data'!B52*'Baseline data (from input)'!E9*'Input data'!R52*'4C2 Open-burning '!$C$9*'4C2 Open-burning '!$C$11*$C$5</f>
        <v>0</v>
      </c>
      <c r="W24" s="118">
        <f>B24*'Input data'!B52*'Baseline data (from input)'!E9*'Input data'!S52*'4C2 Open-burning '!$C$9*'4C2 Open-burning '!$C$11*$C$5</f>
        <v>0</v>
      </c>
      <c r="X24" s="118">
        <f>B24*'Input data'!B52*'Baseline data (from input)'!E9*'Input data'!T52*'4C2 Open-burning '!$C$9*'4C2 Open-burning '!$C$11*$C$5</f>
        <v>0</v>
      </c>
      <c r="Y24" s="118" t="e">
        <f>B24*'Input data'!B52*'Baseline data (from input)'!E9*'Input data'!#REF!*'4C2 Open-burning '!$C$9*'4C2 Open-burning '!$C$11*$C$5</f>
        <v>#REF!</v>
      </c>
      <c r="Z24" s="119" t="e">
        <f t="shared" si="1"/>
        <v>#REF!</v>
      </c>
      <c r="AA24" s="117">
        <f>B24*'Input data'!B52*'Baseline data (from input)'!E9*'Input data'!O52*'4C2 Open-burning '!$C$10*'4C2 Open-burning '!$C$11*$C$5</f>
        <v>0</v>
      </c>
      <c r="AB24" s="118">
        <f>B24*'Input data'!B52*'Baseline data (from input)'!E9*'Input data'!P52*'4C2 Open-burning '!$C$10*'4C2 Open-burning '!$C$11*$C$5</f>
        <v>0</v>
      </c>
      <c r="AC24" s="118">
        <f>B24*'Input data'!B52*'Baseline data (from input)'!E9*'Input data'!Q52*'4C2 Open-burning '!$C$10*'4C2 Open-burning '!$C$11*$C$5</f>
        <v>0</v>
      </c>
      <c r="AD24" s="118">
        <f>B24*'Input data'!B52*'Baseline data (from input)'!E9*'Input data'!R52*'4C2 Open-burning '!$C$10*'4C2 Open-burning '!$C$11*$C$5</f>
        <v>0</v>
      </c>
      <c r="AE24" s="118">
        <f>B24*'Input data'!B52*'Baseline data (from input)'!E9*'Input data'!S52*'4C2 Open-burning '!$C$10*'4C2 Open-burning '!$C$11*$C$5</f>
        <v>0</v>
      </c>
      <c r="AF24" s="118">
        <f>B24*'Input data'!B52*'Baseline data (from input)'!E9*'Input data'!T52*'4C2 Open-burning '!$C$10*'4C2 Open-burning '!$C$11*$C$5</f>
        <v>0</v>
      </c>
      <c r="AG24" s="118" t="e">
        <f>B24*'Input data'!B52*'Baseline data (from input)'!E9*'Input data'!#REF!*'4C2 Open-burning '!$C$10*'4C2 Open-burning '!$C$11*$C$5</f>
        <v>#REF!</v>
      </c>
      <c r="AH24" s="119" t="e">
        <f t="shared" si="2"/>
        <v>#REF!</v>
      </c>
      <c r="AI24" s="99"/>
      <c r="AJ24" s="99"/>
      <c r="AK24" s="99"/>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row>
    <row r="25" spans="1:171" ht="15" hidden="1" customHeight="1" thickBot="1">
      <c r="A25" s="575">
        <f>'Input data'!A53</f>
        <v>1955</v>
      </c>
      <c r="B25" s="122">
        <f>'Baseline data (from input)'!G11</f>
        <v>0</v>
      </c>
      <c r="C25" s="654">
        <f>'Baseline data (from input)'!C11*'Baseline data (from input)'!D11</f>
        <v>722.12143588743754</v>
      </c>
      <c r="D25" s="673">
        <f>'Baseline data (from input)'!C11*'Baseline data (from input)'!E11</f>
        <v>965.10052830093684</v>
      </c>
      <c r="E25" s="673">
        <f>'Baseline data (from input)'!C11*'Baseline data (from input)'!F11</f>
        <v>323.90885274349603</v>
      </c>
      <c r="F25" s="673">
        <f>'Baseline data (from input)'!C11*'Baseline data (from input)'!G11</f>
        <v>0</v>
      </c>
      <c r="G25" s="673">
        <f>'Baseline data (from input)'!C11*'Baseline data (from input)'!H11</f>
        <v>0</v>
      </c>
      <c r="H25" s="673">
        <f>'Baseline data (from input)'!H11*'Baseline data (from input)'!I11</f>
        <v>0</v>
      </c>
      <c r="I25" s="673">
        <f>'Baseline data (from input)'!C11*'Baseline data (from input)'!J11</f>
        <v>1618.9904245785297</v>
      </c>
      <c r="J25" s="1165">
        <f t="shared" si="3"/>
        <v>3630.1212415104001</v>
      </c>
      <c r="K25" s="117">
        <f>'Input data'!B53*'Baseline data (from input)'!E10*'Input data'!O53*'4C2 Open-burning '!B25*'4C2 Open-burning '!$C$14*'4C2 Open-burning '!$C$5*'4C2 Open-burning '!$C$6*'4C2 Open-burning '!$C$7</f>
        <v>0</v>
      </c>
      <c r="L25" s="118">
        <f>'Input data'!B53*'Baseline data (from input)'!E10*'Input data'!P53*'4C2 Open-burning '!B25*'4C2 Open-burning '!$C$15*'4C2 Open-burning '!$C$5*'4C2 Open-burning '!$C$6*'4C2 Open-burning '!$C$7</f>
        <v>0</v>
      </c>
      <c r="M25" s="118" t="e">
        <f>'Input data'!B53*'Baseline data (from input)'!E10*'Input data'!Q53*'4C2 Open-burning '!B25*'4C2 Open-burning '!#REF!*'4C2 Open-burning '!$C$5*'4C2 Open-burning '!$C$6*'4C2 Open-burning '!$C$7</f>
        <v>#REF!</v>
      </c>
      <c r="N25" s="118" t="e">
        <f>'Input data'!B53*'Baseline data (from input)'!E10*'Input data'!R53*'4C2 Open-burning '!B25*'4C2 Open-burning '!#REF!*'4C2 Open-burning '!$C$5*'4C2 Open-burning '!$C$6*'4C2 Open-burning '!$C$7</f>
        <v>#REF!</v>
      </c>
      <c r="O25" s="118" t="e">
        <f>'Input data'!B53*'Baseline data (from input)'!E10*'Input data'!S53*'4C2 Open-burning '!B25*'4C2 Open-burning '!#REF!*'4C2 Open-burning '!$C$5*'4C2 Open-burning '!$C$6*'4C2 Open-burning '!$C$7</f>
        <v>#REF!</v>
      </c>
      <c r="P25" s="118" t="e">
        <f>'Input data'!B53*'Baseline data (from input)'!E10*'Input data'!T53*'4C2 Open-burning '!B25*'4C2 Open-burning '!#REF!*'4C2 Open-burning '!$C$5*'4C2 Open-burning '!$C$6*'4C2 Open-burning '!$C$7</f>
        <v>#REF!</v>
      </c>
      <c r="Q25" s="118" t="e">
        <f>'Input data'!B53*'Baseline data (from input)'!E10*'Input data'!#REF!*'4C2 Open-burning '!B25*'4C2 Open-burning '!#REF!*'4C2 Open-burning '!$C$5*'4C2 Open-burning '!$C$6*'4C2 Open-burning '!$C$7</f>
        <v>#REF!</v>
      </c>
      <c r="R25" s="119" t="e">
        <f t="shared" si="0"/>
        <v>#REF!</v>
      </c>
      <c r="S25" s="117">
        <f>B25*'Input data'!B53*'Baseline data (from input)'!E10*'Input data'!O53*'4C2 Open-burning '!$C$9*'4C2 Open-burning '!$C$11*$C$5</f>
        <v>0</v>
      </c>
      <c r="T25" s="118">
        <f>B25*'Input data'!B53*'Baseline data (from input)'!E10*'Input data'!P53*'4C2 Open-burning '!$C$9*'4C2 Open-burning '!$C$11*$C$5</f>
        <v>0</v>
      </c>
      <c r="U25" s="118">
        <f>B25*'Input data'!B53*'Baseline data (from input)'!E10*'Input data'!Q53*'4C2 Open-burning '!$C$9*'4C2 Open-burning '!$C$11*$C$5</f>
        <v>0</v>
      </c>
      <c r="V25" s="118">
        <f>B25*'Input data'!B53*'Baseline data (from input)'!E10*'Input data'!R53*'4C2 Open-burning '!$C$9*'4C2 Open-burning '!$C$11*$C$5</f>
        <v>0</v>
      </c>
      <c r="W25" s="118">
        <f>B25*'Input data'!B53*'Baseline data (from input)'!E10*'Input data'!S53*'4C2 Open-burning '!$C$9*'4C2 Open-burning '!$C$11*$C$5</f>
        <v>0</v>
      </c>
      <c r="X25" s="118">
        <f>B25*'Input data'!B53*'Baseline data (from input)'!E10*'Input data'!T53*'4C2 Open-burning '!$C$9*'4C2 Open-burning '!$C$11*$C$5</f>
        <v>0</v>
      </c>
      <c r="Y25" s="118" t="e">
        <f>B25*'Input data'!B53*'Baseline data (from input)'!E10*'Input data'!#REF!*'4C2 Open-burning '!$C$9*'4C2 Open-burning '!$C$11*$C$5</f>
        <v>#REF!</v>
      </c>
      <c r="Z25" s="119" t="e">
        <f t="shared" si="1"/>
        <v>#REF!</v>
      </c>
      <c r="AA25" s="117">
        <f>B25*'Input data'!B53*'Baseline data (from input)'!E10*'Input data'!O53*'4C2 Open-burning '!$C$10*'4C2 Open-burning '!$C$11*$C$5</f>
        <v>0</v>
      </c>
      <c r="AB25" s="118">
        <f>B25*'Input data'!B53*'Baseline data (from input)'!E10*'Input data'!P53*'4C2 Open-burning '!$C$10*'4C2 Open-burning '!$C$11*$C$5</f>
        <v>0</v>
      </c>
      <c r="AC25" s="118">
        <f>B25*'Input data'!B53*'Baseline data (from input)'!E10*'Input data'!Q53*'4C2 Open-burning '!$C$10*'4C2 Open-burning '!$C$11*$C$5</f>
        <v>0</v>
      </c>
      <c r="AD25" s="118">
        <f>B25*'Input data'!B53*'Baseline data (from input)'!E10*'Input data'!R53*'4C2 Open-burning '!$C$10*'4C2 Open-burning '!$C$11*$C$5</f>
        <v>0</v>
      </c>
      <c r="AE25" s="118">
        <f>B25*'Input data'!B53*'Baseline data (from input)'!E10*'Input data'!S53*'4C2 Open-burning '!$C$10*'4C2 Open-burning '!$C$11*$C$5</f>
        <v>0</v>
      </c>
      <c r="AF25" s="118">
        <f>B25*'Input data'!B53*'Baseline data (from input)'!E10*'Input data'!T53*'4C2 Open-burning '!$C$10*'4C2 Open-burning '!$C$11*$C$5</f>
        <v>0</v>
      </c>
      <c r="AG25" s="118" t="e">
        <f>B25*'Input data'!B53*'Baseline data (from input)'!E10*'Input data'!#REF!*'4C2 Open-burning '!$C$10*'4C2 Open-burning '!$C$11*$C$5</f>
        <v>#REF!</v>
      </c>
      <c r="AH25" s="119" t="e">
        <f t="shared" si="2"/>
        <v>#REF!</v>
      </c>
      <c r="AI25" s="99"/>
      <c r="AJ25" s="99"/>
      <c r="AK25" s="99"/>
    </row>
    <row r="26" spans="1:171" ht="15" hidden="1" customHeight="1" thickBot="1">
      <c r="A26" s="575">
        <f>'Input data'!A54</f>
        <v>1956</v>
      </c>
      <c r="B26" s="122">
        <f>'Baseline data (from input)'!G12</f>
        <v>0</v>
      </c>
      <c r="C26" s="654">
        <f>'Baseline data (from input)'!C12*'Baseline data (from input)'!D12</f>
        <v>744.29675653160587</v>
      </c>
      <c r="D26" s="673">
        <f>'Baseline data (from input)'!C12*'Baseline data (from input)'!E12</f>
        <v>994.73739075278843</v>
      </c>
      <c r="E26" s="673">
        <f>'Baseline data (from input)'!C12*'Baseline data (from input)'!F12</f>
        <v>333.85563220759627</v>
      </c>
      <c r="F26" s="673">
        <f>'Baseline data (from input)'!C12*'Baseline data (from input)'!G12</f>
        <v>0</v>
      </c>
      <c r="G26" s="673">
        <f>'Baseline data (from input)'!C12*'Baseline data (from input)'!H12</f>
        <v>0</v>
      </c>
      <c r="H26" s="673">
        <f>'Baseline data (from input)'!H12*'Baseline data (from input)'!I12</f>
        <v>0</v>
      </c>
      <c r="I26" s="673">
        <f>'Baseline data (from input)'!C12*'Baseline data (from input)'!J12</f>
        <v>1668.7073142880097</v>
      </c>
      <c r="J26" s="1165">
        <f t="shared" si="3"/>
        <v>3741.5970937800003</v>
      </c>
      <c r="K26" s="117">
        <f>'Input data'!B54*'Baseline data (from input)'!E11*'Input data'!O54*'4C2 Open-burning '!B26*'4C2 Open-burning '!$C$14*'4C2 Open-burning '!$C$5*'4C2 Open-burning '!$C$6*'4C2 Open-burning '!$C$7</f>
        <v>0</v>
      </c>
      <c r="L26" s="118">
        <f>'Input data'!B54*'Baseline data (from input)'!E11*'Input data'!P54*'4C2 Open-burning '!B26*'4C2 Open-burning '!$C$15*'4C2 Open-burning '!$C$5*'4C2 Open-burning '!$C$6*'4C2 Open-burning '!$C$7</f>
        <v>0</v>
      </c>
      <c r="M26" s="118" t="e">
        <f>'Input data'!B54*'Baseline data (from input)'!E11*'Input data'!Q54*'4C2 Open-burning '!B26*'4C2 Open-burning '!#REF!*'4C2 Open-burning '!$C$5*'4C2 Open-burning '!$C$6*'4C2 Open-burning '!$C$7</f>
        <v>#REF!</v>
      </c>
      <c r="N26" s="118" t="e">
        <f>'Input data'!B54*'Baseline data (from input)'!E11*'Input data'!R54*'4C2 Open-burning '!B26*'4C2 Open-burning '!#REF!*'4C2 Open-burning '!$C$5*'4C2 Open-burning '!$C$6*'4C2 Open-burning '!$C$7</f>
        <v>#REF!</v>
      </c>
      <c r="O26" s="118" t="e">
        <f>'Input data'!B54*'Baseline data (from input)'!E11*'Input data'!S54*'4C2 Open-burning '!B26*'4C2 Open-burning '!#REF!*'4C2 Open-burning '!$C$5*'4C2 Open-burning '!$C$6*'4C2 Open-burning '!$C$7</f>
        <v>#REF!</v>
      </c>
      <c r="P26" s="118" t="e">
        <f>'Input data'!B54*'Baseline data (from input)'!E11*'Input data'!T54*'4C2 Open-burning '!B26*'4C2 Open-burning '!#REF!*'4C2 Open-burning '!$C$5*'4C2 Open-burning '!$C$6*'4C2 Open-burning '!$C$7</f>
        <v>#REF!</v>
      </c>
      <c r="Q26" s="118" t="e">
        <f>'Input data'!B54*'Baseline data (from input)'!E11*'Input data'!#REF!*'4C2 Open-burning '!B26*'4C2 Open-burning '!#REF!*'4C2 Open-burning '!$C$5*'4C2 Open-burning '!$C$6*'4C2 Open-burning '!$C$7</f>
        <v>#REF!</v>
      </c>
      <c r="R26" s="119" t="e">
        <f t="shared" si="0"/>
        <v>#REF!</v>
      </c>
      <c r="S26" s="117">
        <f>B26*'Input data'!B54*'Baseline data (from input)'!E11*'Input data'!O54*'4C2 Open-burning '!$C$9*'4C2 Open-burning '!$C$11*$C$5</f>
        <v>0</v>
      </c>
      <c r="T26" s="118">
        <f>B26*'Input data'!B54*'Baseline data (from input)'!E11*'Input data'!P54*'4C2 Open-burning '!$C$9*'4C2 Open-burning '!$C$11*$C$5</f>
        <v>0</v>
      </c>
      <c r="U26" s="118">
        <f>B26*'Input data'!B54*'Baseline data (from input)'!E11*'Input data'!Q54*'4C2 Open-burning '!$C$9*'4C2 Open-burning '!$C$11*$C$5</f>
        <v>0</v>
      </c>
      <c r="V26" s="118">
        <f>B26*'Input data'!B54*'Baseline data (from input)'!E11*'Input data'!R54*'4C2 Open-burning '!$C$9*'4C2 Open-burning '!$C$11*$C$5</f>
        <v>0</v>
      </c>
      <c r="W26" s="118">
        <f>B26*'Input data'!B54*'Baseline data (from input)'!E11*'Input data'!S54*'4C2 Open-burning '!$C$9*'4C2 Open-burning '!$C$11*$C$5</f>
        <v>0</v>
      </c>
      <c r="X26" s="118">
        <f>B26*'Input data'!B54*'Baseline data (from input)'!E11*'Input data'!T54*'4C2 Open-burning '!$C$9*'4C2 Open-burning '!$C$11*$C$5</f>
        <v>0</v>
      </c>
      <c r="Y26" s="118" t="e">
        <f>B26*'Input data'!B54*'Baseline data (from input)'!E11*'Input data'!#REF!*'4C2 Open-burning '!$C$9*'4C2 Open-burning '!$C$11*$C$5</f>
        <v>#REF!</v>
      </c>
      <c r="Z26" s="119" t="e">
        <f t="shared" si="1"/>
        <v>#REF!</v>
      </c>
      <c r="AA26" s="117">
        <f>B26*'Input data'!B54*'Baseline data (from input)'!E11*'Input data'!O54*'4C2 Open-burning '!$C$10*'4C2 Open-burning '!$C$11*$C$5</f>
        <v>0</v>
      </c>
      <c r="AB26" s="118">
        <f>B26*'Input data'!B54*'Baseline data (from input)'!E11*'Input data'!P54*'4C2 Open-burning '!$C$10*'4C2 Open-burning '!$C$11*$C$5</f>
        <v>0</v>
      </c>
      <c r="AC26" s="118">
        <f>B26*'Input data'!B54*'Baseline data (from input)'!E11*'Input data'!Q54*'4C2 Open-burning '!$C$10*'4C2 Open-burning '!$C$11*$C$5</f>
        <v>0</v>
      </c>
      <c r="AD26" s="118">
        <f>B26*'Input data'!B54*'Baseline data (from input)'!E11*'Input data'!R54*'4C2 Open-burning '!$C$10*'4C2 Open-burning '!$C$11*$C$5</f>
        <v>0</v>
      </c>
      <c r="AE26" s="118">
        <f>B26*'Input data'!B54*'Baseline data (from input)'!E11*'Input data'!S54*'4C2 Open-burning '!$C$10*'4C2 Open-burning '!$C$11*$C$5</f>
        <v>0</v>
      </c>
      <c r="AF26" s="118">
        <f>B26*'Input data'!B54*'Baseline data (from input)'!E11*'Input data'!T54*'4C2 Open-burning '!$C$10*'4C2 Open-burning '!$C$11*$C$5</f>
        <v>0</v>
      </c>
      <c r="AG26" s="118" t="e">
        <f>B26*'Input data'!B54*'Baseline data (from input)'!E11*'Input data'!#REF!*'4C2 Open-burning '!$C$10*'4C2 Open-burning '!$C$11*$C$5</f>
        <v>#REF!</v>
      </c>
      <c r="AH26" s="119" t="e">
        <f t="shared" si="2"/>
        <v>#REF!</v>
      </c>
      <c r="AI26" s="99"/>
      <c r="AJ26" s="99"/>
      <c r="AK26" s="99"/>
    </row>
    <row r="27" spans="1:171" ht="15" hidden="1" customHeight="1" thickBot="1">
      <c r="A27" s="575">
        <f>'Input data'!A55</f>
        <v>1957</v>
      </c>
      <c r="B27" s="122">
        <f>'Baseline data (from input)'!G13</f>
        <v>0</v>
      </c>
      <c r="C27" s="654">
        <f>'Baseline data (from input)'!C13*'Baseline data (from input)'!D13</f>
        <v>766.64053552452037</v>
      </c>
      <c r="D27" s="673">
        <f>'Baseline data (from input)'!C13*'Baseline data (from input)'!E13</f>
        <v>1024.5993943419776</v>
      </c>
      <c r="E27" s="673">
        <f>'Baseline data (from input)'!C13*'Baseline data (from input)'!F13</f>
        <v>343.8779739632526</v>
      </c>
      <c r="F27" s="673">
        <f>'Baseline data (from input)'!C13*'Baseline data (from input)'!G13</f>
        <v>0</v>
      </c>
      <c r="G27" s="673">
        <f>'Baseline data (from input)'!C13*'Baseline data (from input)'!H13</f>
        <v>0</v>
      </c>
      <c r="H27" s="673">
        <f>'Baseline data (from input)'!H13*'Baseline data (from input)'!I13</f>
        <v>0</v>
      </c>
      <c r="I27" s="673">
        <f>'Baseline data (from input)'!C13*'Baseline data (from input)'!J13</f>
        <v>1718.8018862542492</v>
      </c>
      <c r="J27" s="1165">
        <f t="shared" si="3"/>
        <v>3853.9197900839999</v>
      </c>
      <c r="K27" s="117">
        <f>'Input data'!B55*'Baseline data (from input)'!E12*'Input data'!O55*'4C2 Open-burning '!B27*'4C2 Open-burning '!$C$14*'4C2 Open-burning '!$C$5*'4C2 Open-burning '!$C$6*'4C2 Open-burning '!$C$7</f>
        <v>0</v>
      </c>
      <c r="L27" s="118">
        <f>'Input data'!B55*'Baseline data (from input)'!E12*'Input data'!P55*'4C2 Open-burning '!B27*'4C2 Open-burning '!$C$15*'4C2 Open-burning '!$C$5*'4C2 Open-burning '!$C$6*'4C2 Open-burning '!$C$7</f>
        <v>0</v>
      </c>
      <c r="M27" s="118" t="e">
        <f>'Input data'!B55*'Baseline data (from input)'!E12*'Input data'!Q55*'4C2 Open-burning '!B27*'4C2 Open-burning '!#REF!*'4C2 Open-burning '!$C$5*'4C2 Open-burning '!$C$6*'4C2 Open-burning '!$C$7</f>
        <v>#REF!</v>
      </c>
      <c r="N27" s="118" t="e">
        <f>'Input data'!B55*'Baseline data (from input)'!E12*'Input data'!R55*'4C2 Open-burning '!B27*'4C2 Open-burning '!#REF!*'4C2 Open-burning '!$C$5*'4C2 Open-burning '!$C$6*'4C2 Open-burning '!$C$7</f>
        <v>#REF!</v>
      </c>
      <c r="O27" s="118" t="e">
        <f>'Input data'!B55*'Baseline data (from input)'!E12*'Input data'!S55*'4C2 Open-burning '!B27*'4C2 Open-burning '!#REF!*'4C2 Open-burning '!$C$5*'4C2 Open-burning '!$C$6*'4C2 Open-burning '!$C$7</f>
        <v>#REF!</v>
      </c>
      <c r="P27" s="118" t="e">
        <f>'Input data'!B55*'Baseline data (from input)'!E12*'Input data'!T55*'4C2 Open-burning '!B27*'4C2 Open-burning '!#REF!*'4C2 Open-burning '!$C$5*'4C2 Open-burning '!$C$6*'4C2 Open-burning '!$C$7</f>
        <v>#REF!</v>
      </c>
      <c r="Q27" s="118" t="e">
        <f>'Input data'!B55*'Baseline data (from input)'!E12*'Input data'!#REF!*'4C2 Open-burning '!B27*'4C2 Open-burning '!#REF!*'4C2 Open-burning '!$C$5*'4C2 Open-burning '!$C$6*'4C2 Open-burning '!$C$7</f>
        <v>#REF!</v>
      </c>
      <c r="R27" s="119" t="e">
        <f t="shared" si="0"/>
        <v>#REF!</v>
      </c>
      <c r="S27" s="117">
        <f>B27*'Input data'!B55*'Baseline data (from input)'!E12*'Input data'!O55*'4C2 Open-burning '!$C$9*'4C2 Open-burning '!$C$11*$C$5</f>
        <v>0</v>
      </c>
      <c r="T27" s="118">
        <f>B27*'Input data'!B55*'Baseline data (from input)'!E12*'Input data'!P55*'4C2 Open-burning '!$C$9*'4C2 Open-burning '!$C$11*$C$5</f>
        <v>0</v>
      </c>
      <c r="U27" s="118">
        <f>B27*'Input data'!B55*'Baseline data (from input)'!E12*'Input data'!Q55*'4C2 Open-burning '!$C$9*'4C2 Open-burning '!$C$11*$C$5</f>
        <v>0</v>
      </c>
      <c r="V27" s="118">
        <f>B27*'Input data'!B55*'Baseline data (from input)'!E12*'Input data'!R55*'4C2 Open-burning '!$C$9*'4C2 Open-burning '!$C$11*$C$5</f>
        <v>0</v>
      </c>
      <c r="W27" s="118">
        <f>B27*'Input data'!B55*'Baseline data (from input)'!E12*'Input data'!S55*'4C2 Open-burning '!$C$9*'4C2 Open-burning '!$C$11*$C$5</f>
        <v>0</v>
      </c>
      <c r="X27" s="118">
        <f>B27*'Input data'!B55*'Baseline data (from input)'!E12*'Input data'!T55*'4C2 Open-burning '!$C$9*'4C2 Open-burning '!$C$11*$C$5</f>
        <v>0</v>
      </c>
      <c r="Y27" s="118" t="e">
        <f>B27*'Input data'!B55*'Baseline data (from input)'!E12*'Input data'!#REF!*'4C2 Open-burning '!$C$9*'4C2 Open-burning '!$C$11*$C$5</f>
        <v>#REF!</v>
      </c>
      <c r="Z27" s="119" t="e">
        <f t="shared" si="1"/>
        <v>#REF!</v>
      </c>
      <c r="AA27" s="117">
        <f>B27*'Input data'!B55*'Baseline data (from input)'!E12*'Input data'!O55*'4C2 Open-burning '!$C$10*'4C2 Open-burning '!$C$11*$C$5</f>
        <v>0</v>
      </c>
      <c r="AB27" s="118">
        <f>B27*'Input data'!B55*'Baseline data (from input)'!E12*'Input data'!P55*'4C2 Open-burning '!$C$10*'4C2 Open-burning '!$C$11*$C$5</f>
        <v>0</v>
      </c>
      <c r="AC27" s="118">
        <f>B27*'Input data'!B55*'Baseline data (from input)'!E12*'Input data'!Q55*'4C2 Open-burning '!$C$10*'4C2 Open-burning '!$C$11*$C$5</f>
        <v>0</v>
      </c>
      <c r="AD27" s="118">
        <f>B27*'Input data'!B55*'Baseline data (from input)'!E12*'Input data'!R55*'4C2 Open-burning '!$C$10*'4C2 Open-burning '!$C$11*$C$5</f>
        <v>0</v>
      </c>
      <c r="AE27" s="118">
        <f>B27*'Input data'!B55*'Baseline data (from input)'!E12*'Input data'!S55*'4C2 Open-burning '!$C$10*'4C2 Open-burning '!$C$11*$C$5</f>
        <v>0</v>
      </c>
      <c r="AF27" s="118">
        <f>B27*'Input data'!B55*'Baseline data (from input)'!E12*'Input data'!T55*'4C2 Open-burning '!$C$10*'4C2 Open-burning '!$C$11*$C$5</f>
        <v>0</v>
      </c>
      <c r="AG27" s="118" t="e">
        <f>B27*'Input data'!B55*'Baseline data (from input)'!E12*'Input data'!#REF!*'4C2 Open-burning '!$C$10*'4C2 Open-burning '!$C$11*$C$5</f>
        <v>#REF!</v>
      </c>
      <c r="AH27" s="119" t="e">
        <f t="shared" si="2"/>
        <v>#REF!</v>
      </c>
      <c r="AI27" s="99"/>
      <c r="AJ27" s="99"/>
      <c r="AK27" s="99"/>
    </row>
    <row r="28" spans="1:171" ht="15" hidden="1" customHeight="1" thickBot="1">
      <c r="A28" s="575">
        <f>'Input data'!A56</f>
        <v>1958</v>
      </c>
      <c r="B28" s="122">
        <f>'Baseline data (from input)'!G14</f>
        <v>0</v>
      </c>
      <c r="C28" s="654">
        <f>'Baseline data (from input)'!C14*'Baseline data (from input)'!D14</f>
        <v>790.8909948328469</v>
      </c>
      <c r="D28" s="673">
        <f>'Baseline data (from input)'!C14*'Baseline data (from input)'!E14</f>
        <v>1057.00963717218</v>
      </c>
      <c r="E28" s="673">
        <f>'Baseline data (from input)'!C14*'Baseline data (from input)'!F14</f>
        <v>354.75556056114897</v>
      </c>
      <c r="F28" s="673">
        <f>'Baseline data (from input)'!C14*'Baseline data (from input)'!G14</f>
        <v>0</v>
      </c>
      <c r="G28" s="673">
        <f>'Baseline data (from input)'!C14*'Baseline data (from input)'!H14</f>
        <v>0</v>
      </c>
      <c r="H28" s="673">
        <f>'Baseline data (from input)'!H14*'Baseline data (from input)'!I14</f>
        <v>0</v>
      </c>
      <c r="I28" s="673">
        <f>'Baseline data (from input)'!C14*'Baseline data (from input)'!J14</f>
        <v>1773.1712200818242</v>
      </c>
      <c r="J28" s="1165">
        <f t="shared" si="3"/>
        <v>3975.8274126480001</v>
      </c>
      <c r="K28" s="117">
        <f>'Input data'!B56*'Baseline data (from input)'!E13*'Input data'!O56*'4C2 Open-burning '!B28*'4C2 Open-burning '!$C$14*'4C2 Open-burning '!$C$5*'4C2 Open-burning '!$C$6*'4C2 Open-burning '!$C$7</f>
        <v>0</v>
      </c>
      <c r="L28" s="118">
        <f>'Input data'!B56*'Baseline data (from input)'!E13*'Input data'!P56*'4C2 Open-burning '!B28*'4C2 Open-burning '!$C$15*'4C2 Open-burning '!$C$5*'4C2 Open-burning '!$C$6*'4C2 Open-burning '!$C$7</f>
        <v>0</v>
      </c>
      <c r="M28" s="118" t="e">
        <f>'Input data'!B56*'Baseline data (from input)'!E13*'Input data'!Q56*'4C2 Open-burning '!B28*'4C2 Open-burning '!#REF!*'4C2 Open-burning '!$C$5*'4C2 Open-burning '!$C$6*'4C2 Open-burning '!$C$7</f>
        <v>#REF!</v>
      </c>
      <c r="N28" s="118" t="e">
        <f>'Input data'!B56*'Baseline data (from input)'!E13*'Input data'!R56*'4C2 Open-burning '!B28*'4C2 Open-burning '!#REF!*'4C2 Open-burning '!$C$5*'4C2 Open-burning '!$C$6*'4C2 Open-burning '!$C$7</f>
        <v>#REF!</v>
      </c>
      <c r="O28" s="118" t="e">
        <f>'Input data'!B56*'Baseline data (from input)'!E13*'Input data'!S56*'4C2 Open-burning '!B28*'4C2 Open-burning '!#REF!*'4C2 Open-burning '!$C$5*'4C2 Open-burning '!$C$6*'4C2 Open-burning '!$C$7</f>
        <v>#REF!</v>
      </c>
      <c r="P28" s="118" t="e">
        <f>'Input data'!B56*'Baseline data (from input)'!E13*'Input data'!T56*'4C2 Open-burning '!B28*'4C2 Open-burning '!#REF!*'4C2 Open-burning '!$C$5*'4C2 Open-burning '!$C$6*'4C2 Open-burning '!$C$7</f>
        <v>#REF!</v>
      </c>
      <c r="Q28" s="118" t="e">
        <f>'Input data'!B56*'Baseline data (from input)'!E13*'Input data'!#REF!*'4C2 Open-burning '!B28*'4C2 Open-burning '!#REF!*'4C2 Open-burning '!$C$5*'4C2 Open-burning '!$C$6*'4C2 Open-burning '!$C$7</f>
        <v>#REF!</v>
      </c>
      <c r="R28" s="119" t="e">
        <f t="shared" si="0"/>
        <v>#REF!</v>
      </c>
      <c r="S28" s="117">
        <f>B28*'Input data'!B56*'Baseline data (from input)'!E13*'Input data'!O56*'4C2 Open-burning '!$C$9*'4C2 Open-burning '!$C$11*$C$5</f>
        <v>0</v>
      </c>
      <c r="T28" s="118">
        <f>B28*'Input data'!B56*'Baseline data (from input)'!E13*'Input data'!P56*'4C2 Open-burning '!$C$9*'4C2 Open-burning '!$C$11*$C$5</f>
        <v>0</v>
      </c>
      <c r="U28" s="118">
        <f>B28*'Input data'!B56*'Baseline data (from input)'!E13*'Input data'!Q56*'4C2 Open-burning '!$C$9*'4C2 Open-burning '!$C$11*$C$5</f>
        <v>0</v>
      </c>
      <c r="V28" s="118">
        <f>B28*'Input data'!B56*'Baseline data (from input)'!E13*'Input data'!R56*'4C2 Open-burning '!$C$9*'4C2 Open-burning '!$C$11*$C$5</f>
        <v>0</v>
      </c>
      <c r="W28" s="118">
        <f>B28*'Input data'!B56*'Baseline data (from input)'!E13*'Input data'!S56*'4C2 Open-burning '!$C$9*'4C2 Open-burning '!$C$11*$C$5</f>
        <v>0</v>
      </c>
      <c r="X28" s="118">
        <f>B28*'Input data'!B56*'Baseline data (from input)'!E13*'Input data'!T56*'4C2 Open-burning '!$C$9*'4C2 Open-burning '!$C$11*$C$5</f>
        <v>0</v>
      </c>
      <c r="Y28" s="118" t="e">
        <f>B28*'Input data'!B56*'Baseline data (from input)'!E13*'Input data'!#REF!*'4C2 Open-burning '!$C$9*'4C2 Open-burning '!$C$11*$C$5</f>
        <v>#REF!</v>
      </c>
      <c r="Z28" s="119" t="e">
        <f t="shared" si="1"/>
        <v>#REF!</v>
      </c>
      <c r="AA28" s="117">
        <f>B28*'Input data'!B56*'Baseline data (from input)'!E13*'Input data'!O56*'4C2 Open-burning '!$C$10*'4C2 Open-burning '!$C$11*$C$5</f>
        <v>0</v>
      </c>
      <c r="AB28" s="118">
        <f>B28*'Input data'!B56*'Baseline data (from input)'!E13*'Input data'!P56*'4C2 Open-burning '!$C$10*'4C2 Open-burning '!$C$11*$C$5</f>
        <v>0</v>
      </c>
      <c r="AC28" s="118">
        <f>B28*'Input data'!B56*'Baseline data (from input)'!E13*'Input data'!Q56*'4C2 Open-burning '!$C$10*'4C2 Open-burning '!$C$11*$C$5</f>
        <v>0</v>
      </c>
      <c r="AD28" s="118">
        <f>B28*'Input data'!B56*'Baseline data (from input)'!E13*'Input data'!R56*'4C2 Open-burning '!$C$10*'4C2 Open-burning '!$C$11*$C$5</f>
        <v>0</v>
      </c>
      <c r="AE28" s="118">
        <f>B28*'Input data'!B56*'Baseline data (from input)'!E13*'Input data'!S56*'4C2 Open-burning '!$C$10*'4C2 Open-burning '!$C$11*$C$5</f>
        <v>0</v>
      </c>
      <c r="AF28" s="118">
        <f>B28*'Input data'!B56*'Baseline data (from input)'!E13*'Input data'!T56*'4C2 Open-burning '!$C$10*'4C2 Open-burning '!$C$11*$C$5</f>
        <v>0</v>
      </c>
      <c r="AG28" s="118" t="e">
        <f>B28*'Input data'!B56*'Baseline data (from input)'!E13*'Input data'!#REF!*'4C2 Open-burning '!$C$10*'4C2 Open-burning '!$C$11*$C$5</f>
        <v>#REF!</v>
      </c>
      <c r="AH28" s="119" t="e">
        <f t="shared" si="2"/>
        <v>#REF!</v>
      </c>
      <c r="AI28" s="99"/>
      <c r="AJ28" s="99"/>
      <c r="AK28" s="99"/>
    </row>
    <row r="29" spans="1:171" ht="15" hidden="1" customHeight="1" thickBot="1">
      <c r="A29" s="575">
        <f>'Input data'!A57</f>
        <v>1959</v>
      </c>
      <c r="B29" s="122">
        <f>'Baseline data (from input)'!G15</f>
        <v>0</v>
      </c>
      <c r="C29" s="654">
        <f>'Baseline data (from input)'!C15*'Baseline data (from input)'!D15</f>
        <v>815.39414166429276</v>
      </c>
      <c r="D29" s="673">
        <f>'Baseline data (from input)'!C15*'Baseline data (from input)'!E15</f>
        <v>1089.7575917083891</v>
      </c>
      <c r="E29" s="673">
        <f>'Baseline data (from input)'!C15*'Baseline data (from input)'!F15</f>
        <v>365.74649059637949</v>
      </c>
      <c r="F29" s="673">
        <f>'Baseline data (from input)'!C15*'Baseline data (from input)'!G15</f>
        <v>0</v>
      </c>
      <c r="G29" s="673">
        <f>'Baseline data (from input)'!C15*'Baseline data (from input)'!H15</f>
        <v>0</v>
      </c>
      <c r="H29" s="673">
        <f>'Baseline data (from input)'!H15*'Baseline data (from input)'!I15</f>
        <v>0</v>
      </c>
      <c r="I29" s="673">
        <f>'Baseline data (from input)'!C15*'Baseline data (from input)'!J15</f>
        <v>1828.1070772945386</v>
      </c>
      <c r="J29" s="1165">
        <f t="shared" si="3"/>
        <v>4099.0053012635999</v>
      </c>
      <c r="K29" s="117">
        <f>'Input data'!B57*'Baseline data (from input)'!E14*'Input data'!O57*'4C2 Open-burning '!B29*'4C2 Open-burning '!$C$14*'4C2 Open-burning '!$C$5*'4C2 Open-burning '!$C$6*'4C2 Open-burning '!$C$7</f>
        <v>0</v>
      </c>
      <c r="L29" s="118">
        <f>'Input data'!B57*'Baseline data (from input)'!E14*'Input data'!P57*'4C2 Open-burning '!B29*'4C2 Open-burning '!$C$15*'4C2 Open-burning '!$C$5*'4C2 Open-burning '!$C$6*'4C2 Open-burning '!$C$7</f>
        <v>0</v>
      </c>
      <c r="M29" s="118" t="e">
        <f>'Input data'!B57*'Baseline data (from input)'!E14*'Input data'!Q57*'4C2 Open-burning '!B29*'4C2 Open-burning '!#REF!*'4C2 Open-burning '!$C$5*'4C2 Open-burning '!$C$6*'4C2 Open-burning '!$C$7</f>
        <v>#REF!</v>
      </c>
      <c r="N29" s="118" t="e">
        <f>'Input data'!B57*'Baseline data (from input)'!E14*'Input data'!R57*'4C2 Open-burning '!B29*'4C2 Open-burning '!#REF!*'4C2 Open-burning '!$C$5*'4C2 Open-burning '!$C$6*'4C2 Open-burning '!$C$7</f>
        <v>#REF!</v>
      </c>
      <c r="O29" s="118" t="e">
        <f>'Input data'!B57*'Baseline data (from input)'!E14*'Input data'!S57*'4C2 Open-burning '!B29*'4C2 Open-burning '!#REF!*'4C2 Open-burning '!$C$5*'4C2 Open-burning '!$C$6*'4C2 Open-burning '!$C$7</f>
        <v>#REF!</v>
      </c>
      <c r="P29" s="118" t="e">
        <f>'Input data'!B57*'Baseline data (from input)'!E14*'Input data'!T57*'4C2 Open-burning '!B29*'4C2 Open-burning '!#REF!*'4C2 Open-burning '!$C$5*'4C2 Open-burning '!$C$6*'4C2 Open-burning '!$C$7</f>
        <v>#REF!</v>
      </c>
      <c r="Q29" s="118" t="e">
        <f>'Input data'!B57*'Baseline data (from input)'!E14*'Input data'!#REF!*'4C2 Open-burning '!B29*'4C2 Open-burning '!#REF!*'4C2 Open-burning '!$C$5*'4C2 Open-burning '!$C$6*'4C2 Open-burning '!$C$7</f>
        <v>#REF!</v>
      </c>
      <c r="R29" s="119" t="e">
        <f t="shared" si="0"/>
        <v>#REF!</v>
      </c>
      <c r="S29" s="117">
        <f>B29*'Input data'!B57*'Baseline data (from input)'!E14*'Input data'!O57*'4C2 Open-burning '!$C$9*'4C2 Open-burning '!$C$11*$C$5</f>
        <v>0</v>
      </c>
      <c r="T29" s="118">
        <f>B29*'Input data'!B57*'Baseline data (from input)'!E14*'Input data'!P57*'4C2 Open-burning '!$C$9*'4C2 Open-burning '!$C$11*$C$5</f>
        <v>0</v>
      </c>
      <c r="U29" s="118">
        <f>B29*'Input data'!B57*'Baseline data (from input)'!E14*'Input data'!Q57*'4C2 Open-burning '!$C$9*'4C2 Open-burning '!$C$11*$C$5</f>
        <v>0</v>
      </c>
      <c r="V29" s="118">
        <f>B29*'Input data'!B57*'Baseline data (from input)'!E14*'Input data'!R57*'4C2 Open-burning '!$C$9*'4C2 Open-burning '!$C$11*$C$5</f>
        <v>0</v>
      </c>
      <c r="W29" s="118">
        <f>B29*'Input data'!B57*'Baseline data (from input)'!E14*'Input data'!S57*'4C2 Open-burning '!$C$9*'4C2 Open-burning '!$C$11*$C$5</f>
        <v>0</v>
      </c>
      <c r="X29" s="118">
        <f>B29*'Input data'!B57*'Baseline data (from input)'!E14*'Input data'!T57*'4C2 Open-burning '!$C$9*'4C2 Open-burning '!$C$11*$C$5</f>
        <v>0</v>
      </c>
      <c r="Y29" s="118" t="e">
        <f>B29*'Input data'!B57*'Baseline data (from input)'!E14*'Input data'!#REF!*'4C2 Open-burning '!$C$9*'4C2 Open-burning '!$C$11*$C$5</f>
        <v>#REF!</v>
      </c>
      <c r="Z29" s="119" t="e">
        <f t="shared" si="1"/>
        <v>#REF!</v>
      </c>
      <c r="AA29" s="117">
        <f>B29*'Input data'!B57*'Baseline data (from input)'!E14*'Input data'!O57*'4C2 Open-burning '!$C$10*'4C2 Open-burning '!$C$11*$C$5</f>
        <v>0</v>
      </c>
      <c r="AB29" s="118">
        <f>B29*'Input data'!B57*'Baseline data (from input)'!E14*'Input data'!P57*'4C2 Open-burning '!$C$10*'4C2 Open-burning '!$C$11*$C$5</f>
        <v>0</v>
      </c>
      <c r="AC29" s="118">
        <f>B29*'Input data'!B57*'Baseline data (from input)'!E14*'Input data'!Q57*'4C2 Open-burning '!$C$10*'4C2 Open-burning '!$C$11*$C$5</f>
        <v>0</v>
      </c>
      <c r="AD29" s="118">
        <f>B29*'Input data'!B57*'Baseline data (from input)'!E14*'Input data'!R57*'4C2 Open-burning '!$C$10*'4C2 Open-burning '!$C$11*$C$5</f>
        <v>0</v>
      </c>
      <c r="AE29" s="118">
        <f>B29*'Input data'!B57*'Baseline data (from input)'!E14*'Input data'!S57*'4C2 Open-burning '!$C$10*'4C2 Open-burning '!$C$11*$C$5</f>
        <v>0</v>
      </c>
      <c r="AF29" s="118">
        <f>B29*'Input data'!B57*'Baseline data (from input)'!E14*'Input data'!T57*'4C2 Open-burning '!$C$10*'4C2 Open-burning '!$C$11*$C$5</f>
        <v>0</v>
      </c>
      <c r="AG29" s="118" t="e">
        <f>B29*'Input data'!B57*'Baseline data (from input)'!E14*'Input data'!#REF!*'4C2 Open-burning '!$C$10*'4C2 Open-burning '!$C$11*$C$5</f>
        <v>#REF!</v>
      </c>
      <c r="AH29" s="119" t="e">
        <f t="shared" si="2"/>
        <v>#REF!</v>
      </c>
      <c r="AI29" s="99"/>
      <c r="AJ29" s="99"/>
      <c r="AK29" s="99"/>
    </row>
    <row r="30" spans="1:171" ht="15" hidden="1" customHeight="1" thickBot="1">
      <c r="A30" s="575">
        <f>'Input data'!A58</f>
        <v>1960</v>
      </c>
      <c r="B30" s="122">
        <f>'Baseline data (from input)'!G16</f>
        <v>0</v>
      </c>
      <c r="C30" s="654">
        <f>'Baseline data (from input)'!C16*'Baseline data (from input)'!D16</f>
        <v>838.32752487781931</v>
      </c>
      <c r="D30" s="673">
        <f>'Baseline data (from input)'!C16*'Baseline data (from input)'!E16</f>
        <v>1120.407589278261</v>
      </c>
      <c r="E30" s="673">
        <f>'Baseline data (from input)'!C16*'Baseline data (from input)'!F16</f>
        <v>376.03330037248242</v>
      </c>
      <c r="F30" s="673">
        <f>'Baseline data (from input)'!C16*'Baseline data (from input)'!G16</f>
        <v>0</v>
      </c>
      <c r="G30" s="673">
        <f>'Baseline data (from input)'!C16*'Baseline data (from input)'!H16</f>
        <v>0</v>
      </c>
      <c r="H30" s="673">
        <f>'Baseline data (from input)'!H16*'Baseline data (from input)'!I16</f>
        <v>0</v>
      </c>
      <c r="I30" s="673">
        <f>'Baseline data (from input)'!C16*'Baseline data (from input)'!J16</f>
        <v>1879.5235371594374</v>
      </c>
      <c r="J30" s="1165">
        <f t="shared" si="3"/>
        <v>4214.2919516880002</v>
      </c>
      <c r="K30" s="117">
        <f>'Input data'!B58*'Baseline data (from input)'!E15*'Input data'!O58*'4C2 Open-burning '!B30*'4C2 Open-burning '!$C$14*'4C2 Open-burning '!$C$5*'4C2 Open-burning '!$C$6*'4C2 Open-burning '!$C$7</f>
        <v>0</v>
      </c>
      <c r="L30" s="118">
        <f>'Input data'!B58*'Baseline data (from input)'!E15*'Input data'!P58*'4C2 Open-burning '!B30*'4C2 Open-burning '!$C$15*'4C2 Open-burning '!$C$5*'4C2 Open-burning '!$C$6*'4C2 Open-burning '!$C$7</f>
        <v>0</v>
      </c>
      <c r="M30" s="118" t="e">
        <f>'Input data'!B58*'Baseline data (from input)'!E15*'Input data'!Q58*'4C2 Open-burning '!B30*'4C2 Open-burning '!#REF!*'4C2 Open-burning '!$C$5*'4C2 Open-burning '!$C$6*'4C2 Open-burning '!$C$7</f>
        <v>#REF!</v>
      </c>
      <c r="N30" s="118" t="e">
        <f>'Input data'!B58*'Baseline data (from input)'!E15*'Input data'!R58*'4C2 Open-burning '!B30*'4C2 Open-burning '!#REF!*'4C2 Open-burning '!$C$5*'4C2 Open-burning '!$C$6*'4C2 Open-burning '!$C$7</f>
        <v>#REF!</v>
      </c>
      <c r="O30" s="118" t="e">
        <f>'Input data'!B58*'Baseline data (from input)'!E15*'Input data'!S58*'4C2 Open-burning '!B30*'4C2 Open-burning '!#REF!*'4C2 Open-burning '!$C$5*'4C2 Open-burning '!$C$6*'4C2 Open-burning '!$C$7</f>
        <v>#REF!</v>
      </c>
      <c r="P30" s="118" t="e">
        <f>'Input data'!B58*'Baseline data (from input)'!E15*'Input data'!T58*'4C2 Open-burning '!B30*'4C2 Open-burning '!#REF!*'4C2 Open-burning '!$C$5*'4C2 Open-burning '!$C$6*'4C2 Open-burning '!$C$7</f>
        <v>#REF!</v>
      </c>
      <c r="Q30" s="118" t="e">
        <f>'Input data'!B58*'Baseline data (from input)'!E15*'Input data'!#REF!*'4C2 Open-burning '!B30*'4C2 Open-burning '!#REF!*'4C2 Open-burning '!$C$5*'4C2 Open-burning '!$C$6*'4C2 Open-burning '!$C$7</f>
        <v>#REF!</v>
      </c>
      <c r="R30" s="119" t="e">
        <f t="shared" si="0"/>
        <v>#REF!</v>
      </c>
      <c r="S30" s="117">
        <f>B30*'Input data'!B58*'Baseline data (from input)'!E15*'Input data'!O58*'4C2 Open-burning '!$C$9*'4C2 Open-burning '!$C$11*$C$5</f>
        <v>0</v>
      </c>
      <c r="T30" s="118">
        <f>B30*'Input data'!B58*'Baseline data (from input)'!E15*'Input data'!P58*'4C2 Open-burning '!$C$9*'4C2 Open-burning '!$C$11*$C$5</f>
        <v>0</v>
      </c>
      <c r="U30" s="118">
        <f>B30*'Input data'!B58*'Baseline data (from input)'!E15*'Input data'!Q58*'4C2 Open-burning '!$C$9*'4C2 Open-burning '!$C$11*$C$5</f>
        <v>0</v>
      </c>
      <c r="V30" s="118">
        <f>B30*'Input data'!B58*'Baseline data (from input)'!E15*'Input data'!R58*'4C2 Open-burning '!$C$9*'4C2 Open-burning '!$C$11*$C$5</f>
        <v>0</v>
      </c>
      <c r="W30" s="118">
        <f>B30*'Input data'!B58*'Baseline data (from input)'!E15*'Input data'!S58*'4C2 Open-burning '!$C$9*'4C2 Open-burning '!$C$11*$C$5</f>
        <v>0</v>
      </c>
      <c r="X30" s="118">
        <f>B30*'Input data'!B58*'Baseline data (from input)'!E15*'Input data'!T58*'4C2 Open-burning '!$C$9*'4C2 Open-burning '!$C$11*$C$5</f>
        <v>0</v>
      </c>
      <c r="Y30" s="118" t="e">
        <f>B30*'Input data'!B58*'Baseline data (from input)'!E15*'Input data'!#REF!*'4C2 Open-burning '!$C$9*'4C2 Open-burning '!$C$11*$C$5</f>
        <v>#REF!</v>
      </c>
      <c r="Z30" s="119" t="e">
        <f t="shared" si="1"/>
        <v>#REF!</v>
      </c>
      <c r="AA30" s="117">
        <f>B30*'Input data'!B58*'Baseline data (from input)'!E15*'Input data'!O58*'4C2 Open-burning '!$C$10*'4C2 Open-burning '!$C$11*$C$5</f>
        <v>0</v>
      </c>
      <c r="AB30" s="118">
        <f>B30*'Input data'!B58*'Baseline data (from input)'!E15*'Input data'!P58*'4C2 Open-burning '!$C$10*'4C2 Open-burning '!$C$11*$C$5</f>
        <v>0</v>
      </c>
      <c r="AC30" s="118">
        <f>B30*'Input data'!B58*'Baseline data (from input)'!E15*'Input data'!Q58*'4C2 Open-burning '!$C$10*'4C2 Open-burning '!$C$11*$C$5</f>
        <v>0</v>
      </c>
      <c r="AD30" s="118">
        <f>B30*'Input data'!B58*'Baseline data (from input)'!E15*'Input data'!R58*'4C2 Open-burning '!$C$10*'4C2 Open-burning '!$C$11*$C$5</f>
        <v>0</v>
      </c>
      <c r="AE30" s="118">
        <f>B30*'Input data'!B58*'Baseline data (from input)'!E15*'Input data'!S58*'4C2 Open-burning '!$C$10*'4C2 Open-burning '!$C$11*$C$5</f>
        <v>0</v>
      </c>
      <c r="AF30" s="118">
        <f>B30*'Input data'!B58*'Baseline data (from input)'!E15*'Input data'!T58*'4C2 Open-burning '!$C$10*'4C2 Open-burning '!$C$11*$C$5</f>
        <v>0</v>
      </c>
      <c r="AG30" s="118" t="e">
        <f>B30*'Input data'!B58*'Baseline data (from input)'!E15*'Input data'!#REF!*'4C2 Open-burning '!$C$10*'4C2 Open-burning '!$C$11*$C$5</f>
        <v>#REF!</v>
      </c>
      <c r="AH30" s="119" t="e">
        <f t="shared" si="2"/>
        <v>#REF!</v>
      </c>
      <c r="AI30" s="99"/>
      <c r="AJ30" s="99"/>
      <c r="AK30" s="99"/>
    </row>
    <row r="31" spans="1:171" ht="15" hidden="1" customHeight="1" thickBot="1">
      <c r="A31" s="575">
        <f>'Input data'!A59</f>
        <v>1961</v>
      </c>
      <c r="B31" s="122">
        <f>'Baseline data (from input)'!G17</f>
        <v>0</v>
      </c>
      <c r="C31" s="654">
        <f>'Baseline data (from input)'!C17*'Baseline data (from input)'!D17</f>
        <v>880.67887566399543</v>
      </c>
      <c r="D31" s="673">
        <f>'Baseline data (from input)'!C17*'Baseline data (from input)'!E17</f>
        <v>1177.0093033206733</v>
      </c>
      <c r="E31" s="673">
        <f>'Baseline data (from input)'!C17*'Baseline data (from input)'!F17</f>
        <v>395.03007399467685</v>
      </c>
      <c r="F31" s="673">
        <f>'Baseline data (from input)'!C17*'Baseline data (from input)'!G17</f>
        <v>0</v>
      </c>
      <c r="G31" s="673">
        <f>'Baseline data (from input)'!C17*'Baseline data (from input)'!H17</f>
        <v>0</v>
      </c>
      <c r="H31" s="673">
        <f>'Baseline data (from input)'!H17*'Baseline data (from input)'!I17</f>
        <v>0</v>
      </c>
      <c r="I31" s="673">
        <f>'Baseline data (from input)'!C17*'Baseline data (from input)'!J17</f>
        <v>1974.4749234266544</v>
      </c>
      <c r="J31" s="1165">
        <f t="shared" si="3"/>
        <v>4427.193176406</v>
      </c>
      <c r="K31" s="117">
        <f>'Input data'!B59*'Baseline data (from input)'!E16*'Input data'!O59*'4C2 Open-burning '!B31*'4C2 Open-burning '!$C$14*'4C2 Open-burning '!$C$5*'4C2 Open-burning '!$C$6*'4C2 Open-burning '!$C$7</f>
        <v>0</v>
      </c>
      <c r="L31" s="118">
        <f>'Input data'!B59*'Baseline data (from input)'!E16*'Input data'!P59*'4C2 Open-burning '!B31*'4C2 Open-burning '!$C$15*'4C2 Open-burning '!$C$5*'4C2 Open-burning '!$C$6*'4C2 Open-burning '!$C$7</f>
        <v>0</v>
      </c>
      <c r="M31" s="118" t="e">
        <f>'Input data'!B59*'Baseline data (from input)'!E16*'Input data'!Q59*'4C2 Open-burning '!B31*'4C2 Open-burning '!#REF!*'4C2 Open-burning '!$C$5*'4C2 Open-burning '!$C$6*'4C2 Open-burning '!$C$7</f>
        <v>#REF!</v>
      </c>
      <c r="N31" s="118" t="e">
        <f>'Input data'!B59*'Baseline data (from input)'!E16*'Input data'!R59*'4C2 Open-burning '!B31*'4C2 Open-burning '!#REF!*'4C2 Open-burning '!$C$5*'4C2 Open-burning '!$C$6*'4C2 Open-burning '!$C$7</f>
        <v>#REF!</v>
      </c>
      <c r="O31" s="118" t="e">
        <f>'Input data'!B59*'Baseline data (from input)'!E16*'Input data'!S59*'4C2 Open-burning '!B31*'4C2 Open-burning '!#REF!*'4C2 Open-burning '!$C$5*'4C2 Open-burning '!$C$6*'4C2 Open-burning '!$C$7</f>
        <v>#REF!</v>
      </c>
      <c r="P31" s="118" t="e">
        <f>'Input data'!B59*'Baseline data (from input)'!E16*'Input data'!T59*'4C2 Open-burning '!B31*'4C2 Open-burning '!#REF!*'4C2 Open-burning '!$C$5*'4C2 Open-burning '!$C$6*'4C2 Open-burning '!$C$7</f>
        <v>#REF!</v>
      </c>
      <c r="Q31" s="118" t="e">
        <f>'Input data'!B59*'Baseline data (from input)'!E16*'Input data'!#REF!*'4C2 Open-burning '!B31*'4C2 Open-burning '!#REF!*'4C2 Open-burning '!$C$5*'4C2 Open-burning '!$C$6*'4C2 Open-burning '!$C$7</f>
        <v>#REF!</v>
      </c>
      <c r="R31" s="119" t="e">
        <f t="shared" si="0"/>
        <v>#REF!</v>
      </c>
      <c r="S31" s="117">
        <f>B31*'Input data'!B59*'Baseline data (from input)'!E16*'Input data'!O59*'4C2 Open-burning '!$C$9*'4C2 Open-burning '!$C$11*$C$5</f>
        <v>0</v>
      </c>
      <c r="T31" s="118">
        <f>B31*'Input data'!B59*'Baseline data (from input)'!E16*'Input data'!P59*'4C2 Open-burning '!$C$9*'4C2 Open-burning '!$C$11*$C$5</f>
        <v>0</v>
      </c>
      <c r="U31" s="118">
        <f>B31*'Input data'!B59*'Baseline data (from input)'!E16*'Input data'!Q59*'4C2 Open-burning '!$C$9*'4C2 Open-burning '!$C$11*$C$5</f>
        <v>0</v>
      </c>
      <c r="V31" s="118">
        <f>B31*'Input data'!B59*'Baseline data (from input)'!E16*'Input data'!R59*'4C2 Open-burning '!$C$9*'4C2 Open-burning '!$C$11*$C$5</f>
        <v>0</v>
      </c>
      <c r="W31" s="118">
        <f>B31*'Input data'!B59*'Baseline data (from input)'!E16*'Input data'!S59*'4C2 Open-burning '!$C$9*'4C2 Open-burning '!$C$11*$C$5</f>
        <v>0</v>
      </c>
      <c r="X31" s="118">
        <f>B31*'Input data'!B59*'Baseline data (from input)'!E16*'Input data'!T59*'4C2 Open-burning '!$C$9*'4C2 Open-burning '!$C$11*$C$5</f>
        <v>0</v>
      </c>
      <c r="Y31" s="118" t="e">
        <f>B31*'Input data'!B59*'Baseline data (from input)'!E16*'Input data'!#REF!*'4C2 Open-burning '!$C$9*'4C2 Open-burning '!$C$11*$C$5</f>
        <v>#REF!</v>
      </c>
      <c r="Z31" s="119" t="e">
        <f t="shared" si="1"/>
        <v>#REF!</v>
      </c>
      <c r="AA31" s="117">
        <f>B31*'Input data'!B59*'Baseline data (from input)'!E16*'Input data'!O59*'4C2 Open-burning '!$C$10*'4C2 Open-burning '!$C$11*$C$5</f>
        <v>0</v>
      </c>
      <c r="AB31" s="118">
        <f>B31*'Input data'!B59*'Baseline data (from input)'!E16*'Input data'!P59*'4C2 Open-burning '!$C$10*'4C2 Open-burning '!$C$11*$C$5</f>
        <v>0</v>
      </c>
      <c r="AC31" s="118">
        <f>B31*'Input data'!B59*'Baseline data (from input)'!E16*'Input data'!Q59*'4C2 Open-burning '!$C$10*'4C2 Open-burning '!$C$11*$C$5</f>
        <v>0</v>
      </c>
      <c r="AD31" s="118">
        <f>B31*'Input data'!B59*'Baseline data (from input)'!E16*'Input data'!R59*'4C2 Open-burning '!$C$10*'4C2 Open-burning '!$C$11*$C$5</f>
        <v>0</v>
      </c>
      <c r="AE31" s="118">
        <f>B31*'Input data'!B59*'Baseline data (from input)'!E16*'Input data'!S59*'4C2 Open-burning '!$C$10*'4C2 Open-burning '!$C$11*$C$5</f>
        <v>0</v>
      </c>
      <c r="AF31" s="118">
        <f>B31*'Input data'!B59*'Baseline data (from input)'!E16*'Input data'!T59*'4C2 Open-burning '!$C$10*'4C2 Open-burning '!$C$11*$C$5</f>
        <v>0</v>
      </c>
      <c r="AG31" s="118" t="e">
        <f>B31*'Input data'!B59*'Baseline data (from input)'!E16*'Input data'!#REF!*'4C2 Open-burning '!$C$10*'4C2 Open-burning '!$C$11*$C$5</f>
        <v>#REF!</v>
      </c>
      <c r="AH31" s="119" t="e">
        <f t="shared" si="2"/>
        <v>#REF!</v>
      </c>
      <c r="AI31" s="99"/>
      <c r="AJ31" s="99"/>
      <c r="AK31" s="99"/>
    </row>
    <row r="32" spans="1:171" ht="15" hidden="1" customHeight="1" thickBot="1">
      <c r="A32" s="575">
        <f>'Input data'!A60</f>
        <v>1962</v>
      </c>
      <c r="B32" s="122">
        <f>'Baseline data (from input)'!G18</f>
        <v>0</v>
      </c>
      <c r="C32" s="654">
        <f>'Baseline data (from input)'!C18*'Baseline data (from input)'!D18</f>
        <v>904.41180745813881</v>
      </c>
      <c r="D32" s="673">
        <f>'Baseline data (from input)'!C18*'Baseline data (from input)'!E18</f>
        <v>1208.7278812140294</v>
      </c>
      <c r="E32" s="673">
        <f>'Baseline data (from input)'!C18*'Baseline data (from input)'!F18</f>
        <v>405.67552270682239</v>
      </c>
      <c r="F32" s="673">
        <f>'Baseline data (from input)'!C18*'Baseline data (from input)'!G18</f>
        <v>0</v>
      </c>
      <c r="G32" s="673">
        <f>'Baseline data (from input)'!C18*'Baseline data (from input)'!H18</f>
        <v>0</v>
      </c>
      <c r="H32" s="673">
        <f>'Baseline data (from input)'!H18*'Baseline data (from input)'!I18</f>
        <v>0</v>
      </c>
      <c r="I32" s="673">
        <f>'Baseline data (from input)'!C18*'Baseline data (from input)'!J18</f>
        <v>2027.6839647490101</v>
      </c>
      <c r="J32" s="1165">
        <f t="shared" si="3"/>
        <v>4546.4991761280007</v>
      </c>
      <c r="K32" s="117">
        <f>'Input data'!B60*'Baseline data (from input)'!E17*'Input data'!O60*'4C2 Open-burning '!B32*'4C2 Open-burning '!$C$14*'4C2 Open-burning '!$C$5*'4C2 Open-burning '!$C$6*'4C2 Open-burning '!$C$7</f>
        <v>0</v>
      </c>
      <c r="L32" s="118">
        <f>'Input data'!B60*'Baseline data (from input)'!E17*'Input data'!P60*'4C2 Open-burning '!B32*'4C2 Open-burning '!$C$15*'4C2 Open-burning '!$C$5*'4C2 Open-burning '!$C$6*'4C2 Open-burning '!$C$7</f>
        <v>0</v>
      </c>
      <c r="M32" s="118" t="e">
        <f>'Input data'!B60*'Baseline data (from input)'!E17*'Input data'!Q60*'4C2 Open-burning '!B32*'4C2 Open-burning '!#REF!*'4C2 Open-burning '!$C$5*'4C2 Open-burning '!$C$6*'4C2 Open-burning '!$C$7</f>
        <v>#REF!</v>
      </c>
      <c r="N32" s="118" t="e">
        <f>'Input data'!B60*'Baseline data (from input)'!E17*'Input data'!R60*'4C2 Open-burning '!B32*'4C2 Open-burning '!#REF!*'4C2 Open-burning '!$C$5*'4C2 Open-burning '!$C$6*'4C2 Open-burning '!$C$7</f>
        <v>#REF!</v>
      </c>
      <c r="O32" s="118" t="e">
        <f>'Input data'!B60*'Baseline data (from input)'!E17*'Input data'!S60*'4C2 Open-burning '!B32*'4C2 Open-burning '!#REF!*'4C2 Open-burning '!$C$5*'4C2 Open-burning '!$C$6*'4C2 Open-burning '!$C$7</f>
        <v>#REF!</v>
      </c>
      <c r="P32" s="118" t="e">
        <f>'Input data'!B60*'Baseline data (from input)'!E17*'Input data'!T60*'4C2 Open-burning '!B32*'4C2 Open-burning '!#REF!*'4C2 Open-burning '!$C$5*'4C2 Open-burning '!$C$6*'4C2 Open-burning '!$C$7</f>
        <v>#REF!</v>
      </c>
      <c r="Q32" s="118" t="e">
        <f>'Input data'!B60*'Baseline data (from input)'!E17*'Input data'!#REF!*'4C2 Open-burning '!B32*'4C2 Open-burning '!#REF!*'4C2 Open-burning '!$C$5*'4C2 Open-burning '!$C$6*'4C2 Open-burning '!$C$7</f>
        <v>#REF!</v>
      </c>
      <c r="R32" s="119" t="e">
        <f t="shared" si="0"/>
        <v>#REF!</v>
      </c>
      <c r="S32" s="117">
        <f>B32*'Input data'!B60*'Baseline data (from input)'!E17*'Input data'!O60*'4C2 Open-burning '!$C$9*'4C2 Open-burning '!$C$11*$C$5</f>
        <v>0</v>
      </c>
      <c r="T32" s="118">
        <f>B32*'Input data'!B60*'Baseline data (from input)'!E17*'Input data'!P60*'4C2 Open-burning '!$C$9*'4C2 Open-burning '!$C$11*$C$5</f>
        <v>0</v>
      </c>
      <c r="U32" s="118">
        <f>B32*'Input data'!B60*'Baseline data (from input)'!E17*'Input data'!Q60*'4C2 Open-burning '!$C$9*'4C2 Open-burning '!$C$11*$C$5</f>
        <v>0</v>
      </c>
      <c r="V32" s="118">
        <f>B32*'Input data'!B60*'Baseline data (from input)'!E17*'Input data'!R60*'4C2 Open-burning '!$C$9*'4C2 Open-burning '!$C$11*$C$5</f>
        <v>0</v>
      </c>
      <c r="W32" s="118">
        <f>B32*'Input data'!B60*'Baseline data (from input)'!E17*'Input data'!S60*'4C2 Open-burning '!$C$9*'4C2 Open-burning '!$C$11*$C$5</f>
        <v>0</v>
      </c>
      <c r="X32" s="118">
        <f>B32*'Input data'!B60*'Baseline data (from input)'!E17*'Input data'!T60*'4C2 Open-burning '!$C$9*'4C2 Open-burning '!$C$11*$C$5</f>
        <v>0</v>
      </c>
      <c r="Y32" s="118" t="e">
        <f>B32*'Input data'!B60*'Baseline data (from input)'!E17*'Input data'!#REF!*'4C2 Open-burning '!$C$9*'4C2 Open-burning '!$C$11*$C$5</f>
        <v>#REF!</v>
      </c>
      <c r="Z32" s="119" t="e">
        <f t="shared" si="1"/>
        <v>#REF!</v>
      </c>
      <c r="AA32" s="117">
        <f>B32*'Input data'!B60*'Baseline data (from input)'!E17*'Input data'!O60*'4C2 Open-burning '!$C$10*'4C2 Open-burning '!$C$11*$C$5</f>
        <v>0</v>
      </c>
      <c r="AB32" s="118">
        <f>B32*'Input data'!B60*'Baseline data (from input)'!E17*'Input data'!P60*'4C2 Open-burning '!$C$10*'4C2 Open-burning '!$C$11*$C$5</f>
        <v>0</v>
      </c>
      <c r="AC32" s="118">
        <f>B32*'Input data'!B60*'Baseline data (from input)'!E17*'Input data'!Q60*'4C2 Open-burning '!$C$10*'4C2 Open-burning '!$C$11*$C$5</f>
        <v>0</v>
      </c>
      <c r="AD32" s="118">
        <f>B32*'Input data'!B60*'Baseline data (from input)'!E17*'Input data'!R60*'4C2 Open-burning '!$C$10*'4C2 Open-burning '!$C$11*$C$5</f>
        <v>0</v>
      </c>
      <c r="AE32" s="118">
        <f>B32*'Input data'!B60*'Baseline data (from input)'!E17*'Input data'!S60*'4C2 Open-burning '!$C$10*'4C2 Open-burning '!$C$11*$C$5</f>
        <v>0</v>
      </c>
      <c r="AF32" s="118">
        <f>B32*'Input data'!B60*'Baseline data (from input)'!E17*'Input data'!T60*'4C2 Open-burning '!$C$10*'4C2 Open-burning '!$C$11*$C$5</f>
        <v>0</v>
      </c>
      <c r="AG32" s="118" t="e">
        <f>B32*'Input data'!B60*'Baseline data (from input)'!E17*'Input data'!#REF!*'4C2 Open-burning '!$C$10*'4C2 Open-burning '!$C$11*$C$5</f>
        <v>#REF!</v>
      </c>
      <c r="AH32" s="119" t="e">
        <f t="shared" si="2"/>
        <v>#REF!</v>
      </c>
      <c r="AI32" s="99"/>
      <c r="AJ32" s="99"/>
      <c r="AK32" s="99"/>
    </row>
    <row r="33" spans="1:37" ht="15" hidden="1" customHeight="1" thickBot="1">
      <c r="A33" s="575">
        <f>'Input data'!A61</f>
        <v>1963</v>
      </c>
      <c r="B33" s="122">
        <f>'Baseline data (from input)'!G19</f>
        <v>0</v>
      </c>
      <c r="C33" s="654">
        <f>'Baseline data (from input)'!C19*'Baseline data (from input)'!D19</f>
        <v>928.14473925228197</v>
      </c>
      <c r="D33" s="673">
        <f>'Baseline data (from input)'!C19*'Baseline data (from input)'!E19</f>
        <v>1240.4464591073852</v>
      </c>
      <c r="E33" s="673">
        <f>'Baseline data (from input)'!C19*'Baseline data (from input)'!F19</f>
        <v>416.32097141896787</v>
      </c>
      <c r="F33" s="673">
        <f>'Baseline data (from input)'!C19*'Baseline data (from input)'!G19</f>
        <v>0</v>
      </c>
      <c r="G33" s="673">
        <f>'Baseline data (from input)'!C19*'Baseline data (from input)'!H19</f>
        <v>0</v>
      </c>
      <c r="H33" s="673">
        <f>'Baseline data (from input)'!H19*'Baseline data (from input)'!I19</f>
        <v>0</v>
      </c>
      <c r="I33" s="673">
        <f>'Baseline data (from input)'!C19*'Baseline data (from input)'!J19</f>
        <v>2080.8930060713656</v>
      </c>
      <c r="J33" s="1165">
        <f t="shared" si="3"/>
        <v>4665.8051758500005</v>
      </c>
      <c r="K33" s="117">
        <f>'Input data'!B61*'Baseline data (from input)'!E18*'Input data'!O61*'4C2 Open-burning '!B33*'4C2 Open-burning '!$C$14*'4C2 Open-burning '!$C$5*'4C2 Open-burning '!$C$6*'4C2 Open-burning '!$C$7</f>
        <v>0</v>
      </c>
      <c r="L33" s="118">
        <f>'Input data'!B61*'Baseline data (from input)'!E18*'Input data'!P61*'4C2 Open-burning '!B33*'4C2 Open-burning '!$C$15*'4C2 Open-burning '!$C$5*'4C2 Open-burning '!$C$6*'4C2 Open-burning '!$C$7</f>
        <v>0</v>
      </c>
      <c r="M33" s="118" t="e">
        <f>'Input data'!B61*'Baseline data (from input)'!E18*'Input data'!Q61*'4C2 Open-burning '!B33*'4C2 Open-burning '!#REF!*'4C2 Open-burning '!$C$5*'4C2 Open-burning '!$C$6*'4C2 Open-burning '!$C$7</f>
        <v>#REF!</v>
      </c>
      <c r="N33" s="118" t="e">
        <f>'Input data'!B61*'Baseline data (from input)'!E18*'Input data'!R61*'4C2 Open-burning '!B33*'4C2 Open-burning '!#REF!*'4C2 Open-burning '!$C$5*'4C2 Open-burning '!$C$6*'4C2 Open-burning '!$C$7</f>
        <v>#REF!</v>
      </c>
      <c r="O33" s="118" t="e">
        <f>'Input data'!B61*'Baseline data (from input)'!E18*'Input data'!S61*'4C2 Open-burning '!B33*'4C2 Open-burning '!#REF!*'4C2 Open-burning '!$C$5*'4C2 Open-burning '!$C$6*'4C2 Open-burning '!$C$7</f>
        <v>#REF!</v>
      </c>
      <c r="P33" s="118" t="e">
        <f>'Input data'!B61*'Baseline data (from input)'!E18*'Input data'!T61*'4C2 Open-burning '!B33*'4C2 Open-burning '!#REF!*'4C2 Open-burning '!$C$5*'4C2 Open-burning '!$C$6*'4C2 Open-burning '!$C$7</f>
        <v>#REF!</v>
      </c>
      <c r="Q33" s="118" t="e">
        <f>'Input data'!B61*'Baseline data (from input)'!E18*'Input data'!#REF!*'4C2 Open-burning '!B33*'4C2 Open-burning '!#REF!*'4C2 Open-burning '!$C$5*'4C2 Open-burning '!$C$6*'4C2 Open-burning '!$C$7</f>
        <v>#REF!</v>
      </c>
      <c r="R33" s="119" t="e">
        <f t="shared" si="0"/>
        <v>#REF!</v>
      </c>
      <c r="S33" s="117">
        <f>B33*'Input data'!B61*'Baseline data (from input)'!E18*'Input data'!O61*'4C2 Open-burning '!$C$9*'4C2 Open-burning '!$C$11*$C$5</f>
        <v>0</v>
      </c>
      <c r="T33" s="118">
        <f>B33*'Input data'!B61*'Baseline data (from input)'!E18*'Input data'!P61*'4C2 Open-burning '!$C$9*'4C2 Open-burning '!$C$11*$C$5</f>
        <v>0</v>
      </c>
      <c r="U33" s="118">
        <f>B33*'Input data'!B61*'Baseline data (from input)'!E18*'Input data'!Q61*'4C2 Open-burning '!$C$9*'4C2 Open-burning '!$C$11*$C$5</f>
        <v>0</v>
      </c>
      <c r="V33" s="118">
        <f>B33*'Input data'!B61*'Baseline data (from input)'!E18*'Input data'!R61*'4C2 Open-burning '!$C$9*'4C2 Open-burning '!$C$11*$C$5</f>
        <v>0</v>
      </c>
      <c r="W33" s="118">
        <f>B33*'Input data'!B61*'Baseline data (from input)'!E18*'Input data'!S61*'4C2 Open-burning '!$C$9*'4C2 Open-burning '!$C$11*$C$5</f>
        <v>0</v>
      </c>
      <c r="X33" s="118">
        <f>B33*'Input data'!B61*'Baseline data (from input)'!E18*'Input data'!T61*'4C2 Open-burning '!$C$9*'4C2 Open-burning '!$C$11*$C$5</f>
        <v>0</v>
      </c>
      <c r="Y33" s="118" t="e">
        <f>B33*'Input data'!B61*'Baseline data (from input)'!E18*'Input data'!#REF!*'4C2 Open-burning '!$C$9*'4C2 Open-burning '!$C$11*$C$5</f>
        <v>#REF!</v>
      </c>
      <c r="Z33" s="119" t="e">
        <f t="shared" si="1"/>
        <v>#REF!</v>
      </c>
      <c r="AA33" s="117">
        <f>B33*'Input data'!B61*'Baseline data (from input)'!E18*'Input data'!O61*'4C2 Open-burning '!$C$10*'4C2 Open-burning '!$C$11*$C$5</f>
        <v>0</v>
      </c>
      <c r="AB33" s="118">
        <f>B33*'Input data'!B61*'Baseline data (from input)'!E18*'Input data'!P61*'4C2 Open-burning '!$C$10*'4C2 Open-burning '!$C$11*$C$5</f>
        <v>0</v>
      </c>
      <c r="AC33" s="118">
        <f>B33*'Input data'!B61*'Baseline data (from input)'!E18*'Input data'!Q61*'4C2 Open-burning '!$C$10*'4C2 Open-burning '!$C$11*$C$5</f>
        <v>0</v>
      </c>
      <c r="AD33" s="118">
        <f>B33*'Input data'!B61*'Baseline data (from input)'!E18*'Input data'!R61*'4C2 Open-burning '!$C$10*'4C2 Open-burning '!$C$11*$C$5</f>
        <v>0</v>
      </c>
      <c r="AE33" s="118">
        <f>B33*'Input data'!B61*'Baseline data (from input)'!E18*'Input data'!S61*'4C2 Open-burning '!$C$10*'4C2 Open-burning '!$C$11*$C$5</f>
        <v>0</v>
      </c>
      <c r="AF33" s="118">
        <f>B33*'Input data'!B61*'Baseline data (from input)'!E18*'Input data'!T61*'4C2 Open-burning '!$C$10*'4C2 Open-burning '!$C$11*$C$5</f>
        <v>0</v>
      </c>
      <c r="AG33" s="118" t="e">
        <f>B33*'Input data'!B61*'Baseline data (from input)'!E18*'Input data'!#REF!*'4C2 Open-burning '!$C$10*'4C2 Open-burning '!$C$11*$C$5</f>
        <v>#REF!</v>
      </c>
      <c r="AH33" s="119" t="e">
        <f t="shared" si="2"/>
        <v>#REF!</v>
      </c>
      <c r="AI33" s="99"/>
      <c r="AJ33" s="99"/>
      <c r="AK33" s="99"/>
    </row>
    <row r="34" spans="1:37" ht="15" hidden="1" customHeight="1" thickBot="1">
      <c r="A34" s="575">
        <f>'Input data'!A62</f>
        <v>1964</v>
      </c>
      <c r="B34" s="122">
        <f>'Baseline data (from input)'!G20</f>
        <v>0</v>
      </c>
      <c r="C34" s="654">
        <f>'Baseline data (from input)'!C20*'Baseline data (from input)'!D20</f>
        <v>951.87767104642512</v>
      </c>
      <c r="D34" s="673">
        <f>'Baseline data (from input)'!C20*'Baseline data (from input)'!E20</f>
        <v>1272.1650370007412</v>
      </c>
      <c r="E34" s="673">
        <f>'Baseline data (from input)'!C20*'Baseline data (from input)'!F20</f>
        <v>426.96642013111335</v>
      </c>
      <c r="F34" s="673">
        <f>'Baseline data (from input)'!C20*'Baseline data (from input)'!G20</f>
        <v>0</v>
      </c>
      <c r="G34" s="673">
        <f>'Baseline data (from input)'!C20*'Baseline data (from input)'!H20</f>
        <v>0</v>
      </c>
      <c r="H34" s="673">
        <f>'Baseline data (from input)'!H20*'Baseline data (from input)'!I20</f>
        <v>0</v>
      </c>
      <c r="I34" s="673">
        <f>'Baseline data (from input)'!C20*'Baseline data (from input)'!J20</f>
        <v>2134.1020473937206</v>
      </c>
      <c r="J34" s="1165">
        <f t="shared" si="3"/>
        <v>4785.1111755720003</v>
      </c>
      <c r="K34" s="117">
        <f>'Input data'!B62*'Baseline data (from input)'!E19*'Input data'!O62*'4C2 Open-burning '!B34*'4C2 Open-burning '!$C$14*'4C2 Open-burning '!$C$5*'4C2 Open-burning '!$C$6*'4C2 Open-burning '!$C$7</f>
        <v>0</v>
      </c>
      <c r="L34" s="118">
        <f>'Input data'!B62*'Baseline data (from input)'!E19*'Input data'!P62*'4C2 Open-burning '!B34*'4C2 Open-burning '!$C$15*'4C2 Open-burning '!$C$5*'4C2 Open-burning '!$C$6*'4C2 Open-burning '!$C$7</f>
        <v>0</v>
      </c>
      <c r="M34" s="118" t="e">
        <f>'Input data'!B62*'Baseline data (from input)'!E19*'Input data'!Q62*'4C2 Open-burning '!B34*'4C2 Open-burning '!#REF!*'4C2 Open-burning '!$C$5*'4C2 Open-burning '!$C$6*'4C2 Open-burning '!$C$7</f>
        <v>#REF!</v>
      </c>
      <c r="N34" s="118" t="e">
        <f>'Input data'!B62*'Baseline data (from input)'!E19*'Input data'!R62*'4C2 Open-burning '!B34*'4C2 Open-burning '!#REF!*'4C2 Open-burning '!$C$5*'4C2 Open-burning '!$C$6*'4C2 Open-burning '!$C$7</f>
        <v>#REF!</v>
      </c>
      <c r="O34" s="118" t="e">
        <f>'Input data'!B62*'Baseline data (from input)'!E19*'Input data'!S62*'4C2 Open-burning '!B34*'4C2 Open-burning '!#REF!*'4C2 Open-burning '!$C$5*'4C2 Open-burning '!$C$6*'4C2 Open-burning '!$C$7</f>
        <v>#REF!</v>
      </c>
      <c r="P34" s="118" t="e">
        <f>'Input data'!B62*'Baseline data (from input)'!E19*'Input data'!T62*'4C2 Open-burning '!B34*'4C2 Open-burning '!#REF!*'4C2 Open-burning '!$C$5*'4C2 Open-burning '!$C$6*'4C2 Open-burning '!$C$7</f>
        <v>#REF!</v>
      </c>
      <c r="Q34" s="118" t="e">
        <f>'Input data'!B62*'Baseline data (from input)'!E19*'Input data'!#REF!*'4C2 Open-burning '!B34*'4C2 Open-burning '!#REF!*'4C2 Open-burning '!$C$5*'4C2 Open-burning '!$C$6*'4C2 Open-burning '!$C$7</f>
        <v>#REF!</v>
      </c>
      <c r="R34" s="119" t="e">
        <f t="shared" si="0"/>
        <v>#REF!</v>
      </c>
      <c r="S34" s="117">
        <f>B34*'Input data'!B62*'Baseline data (from input)'!E19*'Input data'!O62*'4C2 Open-burning '!$C$9*'4C2 Open-burning '!$C$11*$C$5</f>
        <v>0</v>
      </c>
      <c r="T34" s="118">
        <f>B34*'Input data'!B62*'Baseline data (from input)'!E19*'Input data'!P62*'4C2 Open-burning '!$C$9*'4C2 Open-burning '!$C$11*$C$5</f>
        <v>0</v>
      </c>
      <c r="U34" s="118">
        <f>B34*'Input data'!B62*'Baseline data (from input)'!E19*'Input data'!Q62*'4C2 Open-burning '!$C$9*'4C2 Open-burning '!$C$11*$C$5</f>
        <v>0</v>
      </c>
      <c r="V34" s="118">
        <f>B34*'Input data'!B62*'Baseline data (from input)'!E19*'Input data'!R62*'4C2 Open-burning '!$C$9*'4C2 Open-burning '!$C$11*$C$5</f>
        <v>0</v>
      </c>
      <c r="W34" s="118">
        <f>B34*'Input data'!B62*'Baseline data (from input)'!E19*'Input data'!S62*'4C2 Open-burning '!$C$9*'4C2 Open-burning '!$C$11*$C$5</f>
        <v>0</v>
      </c>
      <c r="X34" s="118">
        <f>B34*'Input data'!B62*'Baseline data (from input)'!E19*'Input data'!T62*'4C2 Open-burning '!$C$9*'4C2 Open-burning '!$C$11*$C$5</f>
        <v>0</v>
      </c>
      <c r="Y34" s="118" t="e">
        <f>B34*'Input data'!B62*'Baseline data (from input)'!E19*'Input data'!#REF!*'4C2 Open-burning '!$C$9*'4C2 Open-burning '!$C$11*$C$5</f>
        <v>#REF!</v>
      </c>
      <c r="Z34" s="119" t="e">
        <f t="shared" si="1"/>
        <v>#REF!</v>
      </c>
      <c r="AA34" s="117">
        <f>B34*'Input data'!B62*'Baseline data (from input)'!E19*'Input data'!O62*'4C2 Open-burning '!$C$10*'4C2 Open-burning '!$C$11*$C$5</f>
        <v>0</v>
      </c>
      <c r="AB34" s="118">
        <f>B34*'Input data'!B62*'Baseline data (from input)'!E19*'Input data'!P62*'4C2 Open-burning '!$C$10*'4C2 Open-burning '!$C$11*$C$5</f>
        <v>0</v>
      </c>
      <c r="AC34" s="118">
        <f>B34*'Input data'!B62*'Baseline data (from input)'!E19*'Input data'!Q62*'4C2 Open-burning '!$C$10*'4C2 Open-burning '!$C$11*$C$5</f>
        <v>0</v>
      </c>
      <c r="AD34" s="118">
        <f>B34*'Input data'!B62*'Baseline data (from input)'!E19*'Input data'!R62*'4C2 Open-burning '!$C$10*'4C2 Open-burning '!$C$11*$C$5</f>
        <v>0</v>
      </c>
      <c r="AE34" s="118">
        <f>B34*'Input data'!B62*'Baseline data (from input)'!E19*'Input data'!S62*'4C2 Open-burning '!$C$10*'4C2 Open-burning '!$C$11*$C$5</f>
        <v>0</v>
      </c>
      <c r="AF34" s="118">
        <f>B34*'Input data'!B62*'Baseline data (from input)'!E19*'Input data'!T62*'4C2 Open-burning '!$C$10*'4C2 Open-burning '!$C$11*$C$5</f>
        <v>0</v>
      </c>
      <c r="AG34" s="118" t="e">
        <f>B34*'Input data'!B62*'Baseline data (from input)'!E19*'Input data'!#REF!*'4C2 Open-burning '!$C$10*'4C2 Open-burning '!$C$11*$C$5</f>
        <v>#REF!</v>
      </c>
      <c r="AH34" s="119" t="e">
        <f t="shared" si="2"/>
        <v>#REF!</v>
      </c>
      <c r="AI34" s="99"/>
      <c r="AJ34" s="99"/>
      <c r="AK34" s="99"/>
    </row>
    <row r="35" spans="1:37" ht="15" hidden="1" customHeight="1" thickBot="1">
      <c r="A35" s="575">
        <f>'Input data'!A63</f>
        <v>1965</v>
      </c>
      <c r="B35" s="122">
        <f>'Baseline data (from input)'!G21</f>
        <v>0</v>
      </c>
      <c r="C35" s="654">
        <f>'Baseline data (from input)'!C21*'Baseline data (from input)'!D21</f>
        <v>975.61060284056839</v>
      </c>
      <c r="D35" s="673">
        <f>'Baseline data (from input)'!C21*'Baseline data (from input)'!E21</f>
        <v>1303.883614894097</v>
      </c>
      <c r="E35" s="673">
        <f>'Baseline data (from input)'!C21*'Baseline data (from input)'!F21</f>
        <v>437.61186884325883</v>
      </c>
      <c r="F35" s="673">
        <f>'Baseline data (from input)'!C21*'Baseline data (from input)'!G21</f>
        <v>0</v>
      </c>
      <c r="G35" s="673">
        <f>'Baseline data (from input)'!C21*'Baseline data (from input)'!H21</f>
        <v>0</v>
      </c>
      <c r="H35" s="673">
        <f>'Baseline data (from input)'!H21*'Baseline data (from input)'!I21</f>
        <v>0</v>
      </c>
      <c r="I35" s="673">
        <f>'Baseline data (from input)'!C21*'Baseline data (from input)'!J21</f>
        <v>2187.311088716076</v>
      </c>
      <c r="J35" s="1165">
        <f t="shared" si="3"/>
        <v>4904.4171752940001</v>
      </c>
      <c r="K35" s="117">
        <f>'Input data'!B63*'Baseline data (from input)'!E20*'Input data'!O63*'4C2 Open-burning '!B35*'4C2 Open-burning '!$C$14*'4C2 Open-burning '!$C$5*'4C2 Open-burning '!$C$6*'4C2 Open-burning '!$C$7</f>
        <v>0</v>
      </c>
      <c r="L35" s="118">
        <f>'Input data'!B63*'Baseline data (from input)'!E20*'Input data'!P63*'4C2 Open-burning '!B35*'4C2 Open-burning '!$C$15*'4C2 Open-burning '!$C$5*'4C2 Open-burning '!$C$6*'4C2 Open-burning '!$C$7</f>
        <v>0</v>
      </c>
      <c r="M35" s="118" t="e">
        <f>'Input data'!B63*'Baseline data (from input)'!E20*'Input data'!Q63*'4C2 Open-burning '!B35*'4C2 Open-burning '!#REF!*'4C2 Open-burning '!$C$5*'4C2 Open-burning '!$C$6*'4C2 Open-burning '!$C$7</f>
        <v>#REF!</v>
      </c>
      <c r="N35" s="118" t="e">
        <f>'Input data'!B63*'Baseline data (from input)'!E20*'Input data'!R63*'4C2 Open-burning '!B35*'4C2 Open-burning '!#REF!*'4C2 Open-burning '!$C$5*'4C2 Open-burning '!$C$6*'4C2 Open-burning '!$C$7</f>
        <v>#REF!</v>
      </c>
      <c r="O35" s="118" t="e">
        <f>'Input data'!B63*'Baseline data (from input)'!E20*'Input data'!S63*'4C2 Open-burning '!B35*'4C2 Open-burning '!#REF!*'4C2 Open-burning '!$C$5*'4C2 Open-burning '!$C$6*'4C2 Open-burning '!$C$7</f>
        <v>#REF!</v>
      </c>
      <c r="P35" s="118" t="e">
        <f>'Input data'!B63*'Baseline data (from input)'!E20*'Input data'!T63*'4C2 Open-burning '!B35*'4C2 Open-burning '!#REF!*'4C2 Open-burning '!$C$5*'4C2 Open-burning '!$C$6*'4C2 Open-burning '!$C$7</f>
        <v>#REF!</v>
      </c>
      <c r="Q35" s="118" t="e">
        <f>'Input data'!B63*'Baseline data (from input)'!E20*'Input data'!#REF!*'4C2 Open-burning '!B35*'4C2 Open-burning '!#REF!*'4C2 Open-burning '!$C$5*'4C2 Open-burning '!$C$6*'4C2 Open-burning '!$C$7</f>
        <v>#REF!</v>
      </c>
      <c r="R35" s="119" t="e">
        <f t="shared" si="0"/>
        <v>#REF!</v>
      </c>
      <c r="S35" s="117">
        <f>B35*'Input data'!B63*'Baseline data (from input)'!E20*'Input data'!O63*'4C2 Open-burning '!$C$9*'4C2 Open-burning '!$C$11*$C$5</f>
        <v>0</v>
      </c>
      <c r="T35" s="118">
        <f>B35*'Input data'!B63*'Baseline data (from input)'!E20*'Input data'!P63*'4C2 Open-burning '!$C$9*'4C2 Open-burning '!$C$11*$C$5</f>
        <v>0</v>
      </c>
      <c r="U35" s="118">
        <f>B35*'Input data'!B63*'Baseline data (from input)'!E20*'Input data'!Q63*'4C2 Open-burning '!$C$9*'4C2 Open-burning '!$C$11*$C$5</f>
        <v>0</v>
      </c>
      <c r="V35" s="118">
        <f>B35*'Input data'!B63*'Baseline data (from input)'!E20*'Input data'!R63*'4C2 Open-burning '!$C$9*'4C2 Open-burning '!$C$11*$C$5</f>
        <v>0</v>
      </c>
      <c r="W35" s="118">
        <f>B35*'Input data'!B63*'Baseline data (from input)'!E20*'Input data'!S63*'4C2 Open-burning '!$C$9*'4C2 Open-burning '!$C$11*$C$5</f>
        <v>0</v>
      </c>
      <c r="X35" s="118">
        <f>B35*'Input data'!B63*'Baseline data (from input)'!E20*'Input data'!T63*'4C2 Open-burning '!$C$9*'4C2 Open-burning '!$C$11*$C$5</f>
        <v>0</v>
      </c>
      <c r="Y35" s="118" t="e">
        <f>B35*'Input data'!B63*'Baseline data (from input)'!E20*'Input data'!#REF!*'4C2 Open-burning '!$C$9*'4C2 Open-burning '!$C$11*$C$5</f>
        <v>#REF!</v>
      </c>
      <c r="Z35" s="119" t="e">
        <f t="shared" si="1"/>
        <v>#REF!</v>
      </c>
      <c r="AA35" s="117">
        <f>B35*'Input data'!B63*'Baseline data (from input)'!E20*'Input data'!O63*'4C2 Open-burning '!$C$10*'4C2 Open-burning '!$C$11*$C$5</f>
        <v>0</v>
      </c>
      <c r="AB35" s="118">
        <f>B35*'Input data'!B63*'Baseline data (from input)'!E20*'Input data'!P63*'4C2 Open-burning '!$C$10*'4C2 Open-burning '!$C$11*$C$5</f>
        <v>0</v>
      </c>
      <c r="AC35" s="118">
        <f>B35*'Input data'!B63*'Baseline data (from input)'!E20*'Input data'!Q63*'4C2 Open-burning '!$C$10*'4C2 Open-burning '!$C$11*$C$5</f>
        <v>0</v>
      </c>
      <c r="AD35" s="118">
        <f>B35*'Input data'!B63*'Baseline data (from input)'!E20*'Input data'!R63*'4C2 Open-burning '!$C$10*'4C2 Open-burning '!$C$11*$C$5</f>
        <v>0</v>
      </c>
      <c r="AE35" s="118">
        <f>B35*'Input data'!B63*'Baseline data (from input)'!E20*'Input data'!S63*'4C2 Open-burning '!$C$10*'4C2 Open-burning '!$C$11*$C$5</f>
        <v>0</v>
      </c>
      <c r="AF35" s="118">
        <f>B35*'Input data'!B63*'Baseline data (from input)'!E20*'Input data'!T63*'4C2 Open-burning '!$C$10*'4C2 Open-burning '!$C$11*$C$5</f>
        <v>0</v>
      </c>
      <c r="AG35" s="118" t="e">
        <f>B35*'Input data'!B63*'Baseline data (from input)'!E20*'Input data'!#REF!*'4C2 Open-burning '!$C$10*'4C2 Open-burning '!$C$11*$C$5</f>
        <v>#REF!</v>
      </c>
      <c r="AH35" s="119" t="e">
        <f t="shared" si="2"/>
        <v>#REF!</v>
      </c>
      <c r="AI35" s="99"/>
      <c r="AJ35" s="99"/>
      <c r="AK35" s="99"/>
    </row>
    <row r="36" spans="1:37" ht="15" hidden="1" customHeight="1" thickBot="1">
      <c r="A36" s="575">
        <f>'Input data'!A64</f>
        <v>1966</v>
      </c>
      <c r="B36" s="122">
        <f>'Baseline data (from input)'!G22</f>
        <v>0</v>
      </c>
      <c r="C36" s="654">
        <f>'Baseline data (from input)'!C22*'Baseline data (from input)'!D22</f>
        <v>1006.2662508568224</v>
      </c>
      <c r="D36" s="673">
        <f>'Baseline data (from input)'!C22*'Baseline data (from input)'!E22</f>
        <v>1344.8542614163616</v>
      </c>
      <c r="E36" s="673">
        <f>'Baseline data (from input)'!C22*'Baseline data (from input)'!F22</f>
        <v>451.36251421338335</v>
      </c>
      <c r="F36" s="673">
        <f>'Baseline data (from input)'!C22*'Baseline data (from input)'!G22</f>
        <v>0</v>
      </c>
      <c r="G36" s="673">
        <f>'Baseline data (from input)'!C22*'Baseline data (from input)'!H22</f>
        <v>0</v>
      </c>
      <c r="H36" s="673">
        <f>'Baseline data (from input)'!H22*'Baseline data (from input)'!I22</f>
        <v>0</v>
      </c>
      <c r="I36" s="673">
        <f>'Baseline data (from input)'!C22*'Baseline data (from input)'!J22</f>
        <v>2256.0408038734327</v>
      </c>
      <c r="J36" s="1165">
        <f t="shared" si="3"/>
        <v>5058.5238303599999</v>
      </c>
      <c r="K36" s="117">
        <f>'Input data'!B64*'Baseline data (from input)'!E21*'Input data'!O64*'4C2 Open-burning '!B36*'4C2 Open-burning '!$C$14*'4C2 Open-burning '!$C$5*'4C2 Open-burning '!$C$6*'4C2 Open-burning '!$C$7</f>
        <v>0</v>
      </c>
      <c r="L36" s="118">
        <f>'Input data'!B64*'Baseline data (from input)'!E21*'Input data'!P64*'4C2 Open-burning '!B36*'4C2 Open-burning '!$C$15*'4C2 Open-burning '!$C$5*'4C2 Open-burning '!$C$6*'4C2 Open-burning '!$C$7</f>
        <v>0</v>
      </c>
      <c r="M36" s="118" t="e">
        <f>'Input data'!B64*'Baseline data (from input)'!E21*'Input data'!Q64*'4C2 Open-burning '!B36*'4C2 Open-burning '!#REF!*'4C2 Open-burning '!$C$5*'4C2 Open-burning '!$C$6*'4C2 Open-burning '!$C$7</f>
        <v>#REF!</v>
      </c>
      <c r="N36" s="118" t="e">
        <f>'Input data'!B64*'Baseline data (from input)'!E21*'Input data'!R64*'4C2 Open-burning '!B36*'4C2 Open-burning '!#REF!*'4C2 Open-burning '!$C$5*'4C2 Open-burning '!$C$6*'4C2 Open-burning '!$C$7</f>
        <v>#REF!</v>
      </c>
      <c r="O36" s="118" t="e">
        <f>'Input data'!B64*'Baseline data (from input)'!E21*'Input data'!S64*'4C2 Open-burning '!B36*'4C2 Open-burning '!#REF!*'4C2 Open-burning '!$C$5*'4C2 Open-burning '!$C$6*'4C2 Open-burning '!$C$7</f>
        <v>#REF!</v>
      </c>
      <c r="P36" s="118" t="e">
        <f>'Input data'!B64*'Baseline data (from input)'!E21*'Input data'!T64*'4C2 Open-burning '!B36*'4C2 Open-burning '!#REF!*'4C2 Open-burning '!$C$5*'4C2 Open-burning '!$C$6*'4C2 Open-burning '!$C$7</f>
        <v>#REF!</v>
      </c>
      <c r="Q36" s="118" t="e">
        <f>'Input data'!B64*'Baseline data (from input)'!E21*'Input data'!#REF!*'4C2 Open-burning '!B36*'4C2 Open-burning '!#REF!*'4C2 Open-burning '!$C$5*'4C2 Open-burning '!$C$6*'4C2 Open-burning '!$C$7</f>
        <v>#REF!</v>
      </c>
      <c r="R36" s="119" t="e">
        <f t="shared" si="0"/>
        <v>#REF!</v>
      </c>
      <c r="S36" s="117">
        <f>B36*'Input data'!B64*'Baseline data (from input)'!E21*'Input data'!O64*'4C2 Open-burning '!$C$9*'4C2 Open-burning '!$C$11*$C$5</f>
        <v>0</v>
      </c>
      <c r="T36" s="118">
        <f>B36*'Input data'!B64*'Baseline data (from input)'!E21*'Input data'!P64*'4C2 Open-burning '!$C$9*'4C2 Open-burning '!$C$11*$C$5</f>
        <v>0</v>
      </c>
      <c r="U36" s="118">
        <f>B36*'Input data'!B64*'Baseline data (from input)'!E21*'Input data'!Q64*'4C2 Open-burning '!$C$9*'4C2 Open-burning '!$C$11*$C$5</f>
        <v>0</v>
      </c>
      <c r="V36" s="118">
        <f>B36*'Input data'!B64*'Baseline data (from input)'!E21*'Input data'!R64*'4C2 Open-burning '!$C$9*'4C2 Open-burning '!$C$11*$C$5</f>
        <v>0</v>
      </c>
      <c r="W36" s="118">
        <f>B36*'Input data'!B64*'Baseline data (from input)'!E21*'Input data'!S64*'4C2 Open-burning '!$C$9*'4C2 Open-burning '!$C$11*$C$5</f>
        <v>0</v>
      </c>
      <c r="X36" s="118">
        <f>B36*'Input data'!B64*'Baseline data (from input)'!E21*'Input data'!T64*'4C2 Open-burning '!$C$9*'4C2 Open-burning '!$C$11*$C$5</f>
        <v>0</v>
      </c>
      <c r="Y36" s="118" t="e">
        <f>B36*'Input data'!B64*'Baseline data (from input)'!E21*'Input data'!#REF!*'4C2 Open-burning '!$C$9*'4C2 Open-burning '!$C$11*$C$5</f>
        <v>#REF!</v>
      </c>
      <c r="Z36" s="119" t="e">
        <f t="shared" si="1"/>
        <v>#REF!</v>
      </c>
      <c r="AA36" s="117">
        <f>B36*'Input data'!B64*'Baseline data (from input)'!E21*'Input data'!O64*'4C2 Open-burning '!$C$10*'4C2 Open-burning '!$C$11*$C$5</f>
        <v>0</v>
      </c>
      <c r="AB36" s="118">
        <f>B36*'Input data'!B64*'Baseline data (from input)'!E21*'Input data'!P64*'4C2 Open-burning '!$C$10*'4C2 Open-burning '!$C$11*$C$5</f>
        <v>0</v>
      </c>
      <c r="AC36" s="118">
        <f>B36*'Input data'!B64*'Baseline data (from input)'!E21*'Input data'!Q64*'4C2 Open-burning '!$C$10*'4C2 Open-burning '!$C$11*$C$5</f>
        <v>0</v>
      </c>
      <c r="AD36" s="118">
        <f>B36*'Input data'!B64*'Baseline data (from input)'!E21*'Input data'!R64*'4C2 Open-burning '!$C$10*'4C2 Open-burning '!$C$11*$C$5</f>
        <v>0</v>
      </c>
      <c r="AE36" s="118">
        <f>B36*'Input data'!B64*'Baseline data (from input)'!E21*'Input data'!S64*'4C2 Open-burning '!$C$10*'4C2 Open-burning '!$C$11*$C$5</f>
        <v>0</v>
      </c>
      <c r="AF36" s="118">
        <f>B36*'Input data'!B64*'Baseline data (from input)'!E21*'Input data'!T64*'4C2 Open-burning '!$C$10*'4C2 Open-burning '!$C$11*$C$5</f>
        <v>0</v>
      </c>
      <c r="AG36" s="118" t="e">
        <f>B36*'Input data'!B64*'Baseline data (from input)'!E21*'Input data'!#REF!*'4C2 Open-burning '!$C$10*'4C2 Open-burning '!$C$11*$C$5</f>
        <v>#REF!</v>
      </c>
      <c r="AH36" s="119" t="e">
        <f t="shared" si="2"/>
        <v>#REF!</v>
      </c>
      <c r="AI36" s="99"/>
      <c r="AJ36" s="99"/>
      <c r="AK36" s="99"/>
    </row>
    <row r="37" spans="1:37" ht="15" hidden="1" customHeight="1" thickBot="1">
      <c r="A37" s="575">
        <f>'Input data'!A65</f>
        <v>1967</v>
      </c>
      <c r="B37" s="122">
        <f>'Baseline data (from input)'!G23</f>
        <v>0</v>
      </c>
      <c r="C37" s="654">
        <f>'Baseline data (from input)'!C23*'Baseline data (from input)'!D23</f>
        <v>1037.2458250013872</v>
      </c>
      <c r="D37" s="673">
        <f>'Baseline data (from input)'!C23*'Baseline data (from input)'!E23</f>
        <v>1386.2578285833081</v>
      </c>
      <c r="E37" s="673">
        <f>'Baseline data (from input)'!C23*'Baseline data (from input)'!F23</f>
        <v>465.25845722373901</v>
      </c>
      <c r="F37" s="673">
        <f>'Baseline data (from input)'!C23*'Baseline data (from input)'!G23</f>
        <v>0</v>
      </c>
      <c r="G37" s="673">
        <f>'Baseline data (from input)'!C23*'Baseline data (from input)'!H23</f>
        <v>0</v>
      </c>
      <c r="H37" s="673">
        <f>'Baseline data (from input)'!H23*'Baseline data (from input)'!I23</f>
        <v>0</v>
      </c>
      <c r="I37" s="673">
        <f>'Baseline data (from input)'!C23*'Baseline data (from input)'!J23</f>
        <v>2325.4967587931656</v>
      </c>
      <c r="J37" s="1165">
        <f t="shared" si="3"/>
        <v>5214.2588696015991</v>
      </c>
      <c r="K37" s="117">
        <f>'Input data'!B65*'Baseline data (from input)'!E22*'Input data'!O65*'4C2 Open-burning '!B37*'4C2 Open-burning '!$C$14*'4C2 Open-burning '!$C$5*'4C2 Open-burning '!$C$6*'4C2 Open-burning '!$C$7</f>
        <v>0</v>
      </c>
      <c r="L37" s="118">
        <f>'Input data'!B65*'Baseline data (from input)'!E22*'Input data'!P65*'4C2 Open-burning '!B37*'4C2 Open-burning '!$C$15*'4C2 Open-burning '!$C$5*'4C2 Open-burning '!$C$6*'4C2 Open-burning '!$C$7</f>
        <v>0</v>
      </c>
      <c r="M37" s="118" t="e">
        <f>'Input data'!B65*'Baseline data (from input)'!E22*'Input data'!Q65*'4C2 Open-burning '!B37*'4C2 Open-burning '!#REF!*'4C2 Open-burning '!$C$5*'4C2 Open-burning '!$C$6*'4C2 Open-burning '!$C$7</f>
        <v>#REF!</v>
      </c>
      <c r="N37" s="118" t="e">
        <f>'Input data'!B65*'Baseline data (from input)'!E22*'Input data'!R65*'4C2 Open-burning '!B37*'4C2 Open-burning '!#REF!*'4C2 Open-burning '!$C$5*'4C2 Open-burning '!$C$6*'4C2 Open-burning '!$C$7</f>
        <v>#REF!</v>
      </c>
      <c r="O37" s="118" t="e">
        <f>'Input data'!B65*'Baseline data (from input)'!E22*'Input data'!S65*'4C2 Open-burning '!B37*'4C2 Open-burning '!#REF!*'4C2 Open-burning '!$C$5*'4C2 Open-burning '!$C$6*'4C2 Open-burning '!$C$7</f>
        <v>#REF!</v>
      </c>
      <c r="P37" s="118" t="e">
        <f>'Input data'!B65*'Baseline data (from input)'!E22*'Input data'!T65*'4C2 Open-burning '!B37*'4C2 Open-burning '!#REF!*'4C2 Open-burning '!$C$5*'4C2 Open-burning '!$C$6*'4C2 Open-burning '!$C$7</f>
        <v>#REF!</v>
      </c>
      <c r="Q37" s="118" t="e">
        <f>'Input data'!B65*'Baseline data (from input)'!E22*'Input data'!#REF!*'4C2 Open-burning '!B37*'4C2 Open-burning '!#REF!*'4C2 Open-burning '!$C$5*'4C2 Open-burning '!$C$6*'4C2 Open-burning '!$C$7</f>
        <v>#REF!</v>
      </c>
      <c r="R37" s="119" t="e">
        <f t="shared" si="0"/>
        <v>#REF!</v>
      </c>
      <c r="S37" s="117">
        <f>B37*'Input data'!B65*'Baseline data (from input)'!E22*'Input data'!O65*'4C2 Open-burning '!$C$9*'4C2 Open-burning '!$C$11*$C$5</f>
        <v>0</v>
      </c>
      <c r="T37" s="118">
        <f>B37*'Input data'!B65*'Baseline data (from input)'!E22*'Input data'!P65*'4C2 Open-burning '!$C$9*'4C2 Open-burning '!$C$11*$C$5</f>
        <v>0</v>
      </c>
      <c r="U37" s="118">
        <f>B37*'Input data'!B65*'Baseline data (from input)'!E22*'Input data'!Q65*'4C2 Open-burning '!$C$9*'4C2 Open-burning '!$C$11*$C$5</f>
        <v>0</v>
      </c>
      <c r="V37" s="118">
        <f>B37*'Input data'!B65*'Baseline data (from input)'!E22*'Input data'!R65*'4C2 Open-burning '!$C$9*'4C2 Open-burning '!$C$11*$C$5</f>
        <v>0</v>
      </c>
      <c r="W37" s="118">
        <f>B37*'Input data'!B65*'Baseline data (from input)'!E22*'Input data'!S65*'4C2 Open-burning '!$C$9*'4C2 Open-burning '!$C$11*$C$5</f>
        <v>0</v>
      </c>
      <c r="X37" s="118">
        <f>B37*'Input data'!B65*'Baseline data (from input)'!E22*'Input data'!T65*'4C2 Open-burning '!$C$9*'4C2 Open-burning '!$C$11*$C$5</f>
        <v>0</v>
      </c>
      <c r="Y37" s="118" t="e">
        <f>B37*'Input data'!B65*'Baseline data (from input)'!E22*'Input data'!#REF!*'4C2 Open-burning '!$C$9*'4C2 Open-burning '!$C$11*$C$5</f>
        <v>#REF!</v>
      </c>
      <c r="Z37" s="119" t="e">
        <f t="shared" si="1"/>
        <v>#REF!</v>
      </c>
      <c r="AA37" s="117">
        <f>B37*'Input data'!B65*'Baseline data (from input)'!E22*'Input data'!O65*'4C2 Open-burning '!$C$10*'4C2 Open-burning '!$C$11*$C$5</f>
        <v>0</v>
      </c>
      <c r="AB37" s="118">
        <f>B37*'Input data'!B65*'Baseline data (from input)'!E22*'Input data'!P65*'4C2 Open-burning '!$C$10*'4C2 Open-burning '!$C$11*$C$5</f>
        <v>0</v>
      </c>
      <c r="AC37" s="118">
        <f>B37*'Input data'!B65*'Baseline data (from input)'!E22*'Input data'!Q65*'4C2 Open-burning '!$C$10*'4C2 Open-burning '!$C$11*$C$5</f>
        <v>0</v>
      </c>
      <c r="AD37" s="118">
        <f>B37*'Input data'!B65*'Baseline data (from input)'!E22*'Input data'!R65*'4C2 Open-burning '!$C$10*'4C2 Open-burning '!$C$11*$C$5</f>
        <v>0</v>
      </c>
      <c r="AE37" s="118">
        <f>B37*'Input data'!B65*'Baseline data (from input)'!E22*'Input data'!S65*'4C2 Open-burning '!$C$10*'4C2 Open-burning '!$C$11*$C$5</f>
        <v>0</v>
      </c>
      <c r="AF37" s="118">
        <f>B37*'Input data'!B65*'Baseline data (from input)'!E22*'Input data'!T65*'4C2 Open-burning '!$C$10*'4C2 Open-burning '!$C$11*$C$5</f>
        <v>0</v>
      </c>
      <c r="AG37" s="118" t="e">
        <f>B37*'Input data'!B65*'Baseline data (from input)'!E22*'Input data'!#REF!*'4C2 Open-burning '!$C$10*'4C2 Open-burning '!$C$11*$C$5</f>
        <v>#REF!</v>
      </c>
      <c r="AH37" s="119" t="e">
        <f t="shared" si="2"/>
        <v>#REF!</v>
      </c>
      <c r="AI37" s="99"/>
      <c r="AJ37" s="99"/>
      <c r="AK37" s="99"/>
    </row>
    <row r="38" spans="1:37" ht="15" hidden="1" customHeight="1" thickBot="1">
      <c r="A38" s="575">
        <f>'Input data'!A66</f>
        <v>1968</v>
      </c>
      <c r="B38" s="122">
        <f>'Baseline data (from input)'!G24</f>
        <v>0</v>
      </c>
      <c r="C38" s="654">
        <f>'Baseline data (from input)'!C24*'Baseline data (from input)'!D24</f>
        <v>1068.4508483788513</v>
      </c>
      <c r="D38" s="673">
        <f>'Baseline data (from input)'!C24*'Baseline data (from input)'!E24</f>
        <v>1427.962704038533</v>
      </c>
      <c r="E38" s="673">
        <f>'Baseline data (from input)'!C24*'Baseline data (from input)'!F24</f>
        <v>479.25552588796842</v>
      </c>
      <c r="F38" s="673">
        <f>'Baseline data (from input)'!C24*'Baseline data (from input)'!G24</f>
        <v>0</v>
      </c>
      <c r="G38" s="673">
        <f>'Baseline data (from input)'!C24*'Baseline data (from input)'!H24</f>
        <v>0</v>
      </c>
      <c r="H38" s="673">
        <f>'Baseline data (from input)'!H24*'Baseline data (from input)'!I24</f>
        <v>0</v>
      </c>
      <c r="I38" s="673">
        <f>'Baseline data (from input)'!C24*'Baseline data (from input)'!J24</f>
        <v>2395.4581690714485</v>
      </c>
      <c r="J38" s="1165">
        <f t="shared" si="3"/>
        <v>5371.1272473768013</v>
      </c>
      <c r="K38" s="117">
        <f>'Input data'!B66*'Baseline data (from input)'!E23*'Input data'!O66*'4C2 Open-burning '!B38*'4C2 Open-burning '!$C$14*'4C2 Open-burning '!$C$5*'4C2 Open-burning '!$C$6*'4C2 Open-burning '!$C$7</f>
        <v>0</v>
      </c>
      <c r="L38" s="118">
        <f>'Input data'!B66*'Baseline data (from input)'!E23*'Input data'!P66*'4C2 Open-burning '!B38*'4C2 Open-burning '!$C$15*'4C2 Open-burning '!$C$5*'4C2 Open-burning '!$C$6*'4C2 Open-burning '!$C$7</f>
        <v>0</v>
      </c>
      <c r="M38" s="118" t="e">
        <f>'Input data'!B66*'Baseline data (from input)'!E23*'Input data'!Q66*'4C2 Open-burning '!B38*'4C2 Open-burning '!#REF!*'4C2 Open-burning '!$C$5*'4C2 Open-burning '!$C$6*'4C2 Open-burning '!$C$7</f>
        <v>#REF!</v>
      </c>
      <c r="N38" s="118" t="e">
        <f>'Input data'!B66*'Baseline data (from input)'!E23*'Input data'!R66*'4C2 Open-burning '!B38*'4C2 Open-burning '!#REF!*'4C2 Open-burning '!$C$5*'4C2 Open-burning '!$C$6*'4C2 Open-burning '!$C$7</f>
        <v>#REF!</v>
      </c>
      <c r="O38" s="118" t="e">
        <f>'Input data'!B66*'Baseline data (from input)'!E23*'Input data'!S66*'4C2 Open-burning '!B38*'4C2 Open-burning '!#REF!*'4C2 Open-burning '!$C$5*'4C2 Open-burning '!$C$6*'4C2 Open-burning '!$C$7</f>
        <v>#REF!</v>
      </c>
      <c r="P38" s="118" t="e">
        <f>'Input data'!B66*'Baseline data (from input)'!E23*'Input data'!T66*'4C2 Open-burning '!B38*'4C2 Open-burning '!#REF!*'4C2 Open-burning '!$C$5*'4C2 Open-burning '!$C$6*'4C2 Open-burning '!$C$7</f>
        <v>#REF!</v>
      </c>
      <c r="Q38" s="118" t="e">
        <f>'Input data'!B66*'Baseline data (from input)'!E23*'Input data'!#REF!*'4C2 Open-burning '!B38*'4C2 Open-burning '!#REF!*'4C2 Open-burning '!$C$5*'4C2 Open-burning '!$C$6*'4C2 Open-burning '!$C$7</f>
        <v>#REF!</v>
      </c>
      <c r="R38" s="119" t="e">
        <f t="shared" si="0"/>
        <v>#REF!</v>
      </c>
      <c r="S38" s="117">
        <f>B38*'Input data'!B66*'Baseline data (from input)'!E23*'Input data'!O66*'4C2 Open-burning '!$C$9*'4C2 Open-burning '!$C$11*$C$5</f>
        <v>0</v>
      </c>
      <c r="T38" s="118">
        <f>B38*'Input data'!B66*'Baseline data (from input)'!E23*'Input data'!P66*'4C2 Open-burning '!$C$9*'4C2 Open-burning '!$C$11*$C$5</f>
        <v>0</v>
      </c>
      <c r="U38" s="118">
        <f>B38*'Input data'!B66*'Baseline data (from input)'!E23*'Input data'!Q66*'4C2 Open-burning '!$C$9*'4C2 Open-burning '!$C$11*$C$5</f>
        <v>0</v>
      </c>
      <c r="V38" s="118">
        <f>B38*'Input data'!B66*'Baseline data (from input)'!E23*'Input data'!R66*'4C2 Open-burning '!$C$9*'4C2 Open-burning '!$C$11*$C$5</f>
        <v>0</v>
      </c>
      <c r="W38" s="118">
        <f>B38*'Input data'!B66*'Baseline data (from input)'!E23*'Input data'!S66*'4C2 Open-burning '!$C$9*'4C2 Open-burning '!$C$11*$C$5</f>
        <v>0</v>
      </c>
      <c r="X38" s="118">
        <f>B38*'Input data'!B66*'Baseline data (from input)'!E23*'Input data'!T66*'4C2 Open-burning '!$C$9*'4C2 Open-burning '!$C$11*$C$5</f>
        <v>0</v>
      </c>
      <c r="Y38" s="118" t="e">
        <f>B38*'Input data'!B66*'Baseline data (from input)'!E23*'Input data'!#REF!*'4C2 Open-burning '!$C$9*'4C2 Open-burning '!$C$11*$C$5</f>
        <v>#REF!</v>
      </c>
      <c r="Z38" s="119" t="e">
        <f t="shared" si="1"/>
        <v>#REF!</v>
      </c>
      <c r="AA38" s="117">
        <f>B38*'Input data'!B66*'Baseline data (from input)'!E23*'Input data'!O66*'4C2 Open-burning '!$C$10*'4C2 Open-burning '!$C$11*$C$5</f>
        <v>0</v>
      </c>
      <c r="AB38" s="118">
        <f>B38*'Input data'!B66*'Baseline data (from input)'!E23*'Input data'!P66*'4C2 Open-burning '!$C$10*'4C2 Open-burning '!$C$11*$C$5</f>
        <v>0</v>
      </c>
      <c r="AC38" s="118">
        <f>B38*'Input data'!B66*'Baseline data (from input)'!E23*'Input data'!Q66*'4C2 Open-burning '!$C$10*'4C2 Open-burning '!$C$11*$C$5</f>
        <v>0</v>
      </c>
      <c r="AD38" s="118">
        <f>B38*'Input data'!B66*'Baseline data (from input)'!E23*'Input data'!R66*'4C2 Open-burning '!$C$10*'4C2 Open-burning '!$C$11*$C$5</f>
        <v>0</v>
      </c>
      <c r="AE38" s="118">
        <f>B38*'Input data'!B66*'Baseline data (from input)'!E23*'Input data'!S66*'4C2 Open-burning '!$C$10*'4C2 Open-burning '!$C$11*$C$5</f>
        <v>0</v>
      </c>
      <c r="AF38" s="118">
        <f>B38*'Input data'!B66*'Baseline data (from input)'!E23*'Input data'!T66*'4C2 Open-burning '!$C$10*'4C2 Open-burning '!$C$11*$C$5</f>
        <v>0</v>
      </c>
      <c r="AG38" s="118" t="e">
        <f>B38*'Input data'!B66*'Baseline data (from input)'!E23*'Input data'!#REF!*'4C2 Open-burning '!$C$10*'4C2 Open-burning '!$C$11*$C$5</f>
        <v>#REF!</v>
      </c>
      <c r="AH38" s="119" t="e">
        <f t="shared" si="2"/>
        <v>#REF!</v>
      </c>
      <c r="AI38" s="99"/>
      <c r="AJ38" s="99"/>
      <c r="AK38" s="99"/>
    </row>
    <row r="39" spans="1:37" ht="15" hidden="1" customHeight="1" thickBot="1">
      <c r="A39" s="575">
        <f>'Input data'!A67</f>
        <v>1969</v>
      </c>
      <c r="B39" s="122">
        <f>'Baseline data (from input)'!G25</f>
        <v>0</v>
      </c>
      <c r="C39" s="654">
        <f>'Baseline data (from input)'!C25*'Baseline data (from input)'!D25</f>
        <v>1099.8813209892141</v>
      </c>
      <c r="D39" s="673">
        <f>'Baseline data (from input)'!C25*'Baseline data (from input)'!E25</f>
        <v>1469.9688877820354</v>
      </c>
      <c r="E39" s="673">
        <f>'Baseline data (from input)'!C25*'Baseline data (from input)'!F25</f>
        <v>493.35372020607122</v>
      </c>
      <c r="F39" s="673">
        <f>'Baseline data (from input)'!C25*'Baseline data (from input)'!G25</f>
        <v>0</v>
      </c>
      <c r="G39" s="673">
        <f>'Baseline data (from input)'!C25*'Baseline data (from input)'!H25</f>
        <v>0</v>
      </c>
      <c r="H39" s="673">
        <f>'Baseline data (from input)'!H25*'Baseline data (from input)'!I25</f>
        <v>0</v>
      </c>
      <c r="I39" s="673">
        <f>'Baseline data (from input)'!C25*'Baseline data (from input)'!J25</f>
        <v>2465.9250347082793</v>
      </c>
      <c r="J39" s="1165">
        <f t="shared" si="3"/>
        <v>5529.1289636856</v>
      </c>
      <c r="K39" s="117">
        <f>'Input data'!B67*'Baseline data (from input)'!E24*'Input data'!O67*'4C2 Open-burning '!B39*'4C2 Open-burning '!$C$14*'4C2 Open-burning '!$C$5*'4C2 Open-burning '!$C$6*'4C2 Open-burning '!$C$7</f>
        <v>0</v>
      </c>
      <c r="L39" s="118">
        <f>'Input data'!B67*'Baseline data (from input)'!E24*'Input data'!P67*'4C2 Open-burning '!B39*'4C2 Open-burning '!$C$15*'4C2 Open-burning '!$C$5*'4C2 Open-burning '!$C$6*'4C2 Open-burning '!$C$7</f>
        <v>0</v>
      </c>
      <c r="M39" s="118" t="e">
        <f>'Input data'!B67*'Baseline data (from input)'!E24*'Input data'!Q67*'4C2 Open-burning '!B39*'4C2 Open-burning '!#REF!*'4C2 Open-burning '!$C$5*'4C2 Open-burning '!$C$6*'4C2 Open-burning '!$C$7</f>
        <v>#REF!</v>
      </c>
      <c r="N39" s="118" t="e">
        <f>'Input data'!B67*'Baseline data (from input)'!E24*'Input data'!R67*'4C2 Open-burning '!B39*'4C2 Open-burning '!#REF!*'4C2 Open-burning '!$C$5*'4C2 Open-burning '!$C$6*'4C2 Open-burning '!$C$7</f>
        <v>#REF!</v>
      </c>
      <c r="O39" s="118" t="e">
        <f>'Input data'!B67*'Baseline data (from input)'!E24*'Input data'!S67*'4C2 Open-burning '!B39*'4C2 Open-burning '!#REF!*'4C2 Open-burning '!$C$5*'4C2 Open-burning '!$C$6*'4C2 Open-burning '!$C$7</f>
        <v>#REF!</v>
      </c>
      <c r="P39" s="118" t="e">
        <f>'Input data'!B67*'Baseline data (from input)'!E24*'Input data'!T67*'4C2 Open-burning '!B39*'4C2 Open-burning '!#REF!*'4C2 Open-burning '!$C$5*'4C2 Open-burning '!$C$6*'4C2 Open-burning '!$C$7</f>
        <v>#REF!</v>
      </c>
      <c r="Q39" s="118" t="e">
        <f>'Input data'!B67*'Baseline data (from input)'!E24*'Input data'!#REF!*'4C2 Open-burning '!B39*'4C2 Open-burning '!#REF!*'4C2 Open-burning '!$C$5*'4C2 Open-burning '!$C$6*'4C2 Open-burning '!$C$7</f>
        <v>#REF!</v>
      </c>
      <c r="R39" s="119" t="e">
        <f t="shared" si="0"/>
        <v>#REF!</v>
      </c>
      <c r="S39" s="117">
        <f>B39*'Input data'!B67*'Baseline data (from input)'!E24*'Input data'!O67*'4C2 Open-burning '!$C$9*'4C2 Open-burning '!$C$11*$C$5</f>
        <v>0</v>
      </c>
      <c r="T39" s="118">
        <f>B39*'Input data'!B67*'Baseline data (from input)'!E24*'Input data'!P67*'4C2 Open-burning '!$C$9*'4C2 Open-burning '!$C$11*$C$5</f>
        <v>0</v>
      </c>
      <c r="U39" s="118">
        <f>B39*'Input data'!B67*'Baseline data (from input)'!E24*'Input data'!Q67*'4C2 Open-burning '!$C$9*'4C2 Open-burning '!$C$11*$C$5</f>
        <v>0</v>
      </c>
      <c r="V39" s="118">
        <f>B39*'Input data'!B67*'Baseline data (from input)'!E24*'Input data'!R67*'4C2 Open-burning '!$C$9*'4C2 Open-burning '!$C$11*$C$5</f>
        <v>0</v>
      </c>
      <c r="W39" s="118">
        <f>B39*'Input data'!B67*'Baseline data (from input)'!E24*'Input data'!S67*'4C2 Open-burning '!$C$9*'4C2 Open-burning '!$C$11*$C$5</f>
        <v>0</v>
      </c>
      <c r="X39" s="118">
        <f>B39*'Input data'!B67*'Baseline data (from input)'!E24*'Input data'!T67*'4C2 Open-burning '!$C$9*'4C2 Open-burning '!$C$11*$C$5</f>
        <v>0</v>
      </c>
      <c r="Y39" s="118" t="e">
        <f>B39*'Input data'!B67*'Baseline data (from input)'!E24*'Input data'!#REF!*'4C2 Open-burning '!$C$9*'4C2 Open-burning '!$C$11*$C$5</f>
        <v>#REF!</v>
      </c>
      <c r="Z39" s="119" t="e">
        <f t="shared" si="1"/>
        <v>#REF!</v>
      </c>
      <c r="AA39" s="117">
        <f>B39*'Input data'!B67*'Baseline data (from input)'!E24*'Input data'!O67*'4C2 Open-burning '!$C$10*'4C2 Open-burning '!$C$11*$C$5</f>
        <v>0</v>
      </c>
      <c r="AB39" s="118">
        <f>B39*'Input data'!B67*'Baseline data (from input)'!E24*'Input data'!P67*'4C2 Open-burning '!$C$10*'4C2 Open-burning '!$C$11*$C$5</f>
        <v>0</v>
      </c>
      <c r="AC39" s="118">
        <f>B39*'Input data'!B67*'Baseline data (from input)'!E24*'Input data'!Q67*'4C2 Open-burning '!$C$10*'4C2 Open-burning '!$C$11*$C$5</f>
        <v>0</v>
      </c>
      <c r="AD39" s="118">
        <f>B39*'Input data'!B67*'Baseline data (from input)'!E24*'Input data'!R67*'4C2 Open-burning '!$C$10*'4C2 Open-burning '!$C$11*$C$5</f>
        <v>0</v>
      </c>
      <c r="AE39" s="118">
        <f>B39*'Input data'!B67*'Baseline data (from input)'!E24*'Input data'!S67*'4C2 Open-burning '!$C$10*'4C2 Open-burning '!$C$11*$C$5</f>
        <v>0</v>
      </c>
      <c r="AF39" s="118">
        <f>B39*'Input data'!B67*'Baseline data (from input)'!E24*'Input data'!T67*'4C2 Open-burning '!$C$10*'4C2 Open-burning '!$C$11*$C$5</f>
        <v>0</v>
      </c>
      <c r="AG39" s="118" t="e">
        <f>B39*'Input data'!B67*'Baseline data (from input)'!E24*'Input data'!#REF!*'4C2 Open-burning '!$C$10*'4C2 Open-burning '!$C$11*$C$5</f>
        <v>#REF!</v>
      </c>
      <c r="AH39" s="119" t="e">
        <f t="shared" si="2"/>
        <v>#REF!</v>
      </c>
      <c r="AI39" s="99"/>
      <c r="AJ39" s="99"/>
      <c r="AK39" s="99"/>
    </row>
    <row r="40" spans="1:37" ht="15" hidden="1" customHeight="1" thickBot="1">
      <c r="A40" s="575">
        <f>'Input data'!A68</f>
        <v>1970</v>
      </c>
      <c r="B40" s="122">
        <f>'Baseline data (from input)'!G26</f>
        <v>0</v>
      </c>
      <c r="C40" s="654">
        <f>'Baseline data (from input)'!C26*'Baseline data (from input)'!D26</f>
        <v>1131.5372428324765</v>
      </c>
      <c r="D40" s="673">
        <f>'Baseline data (from input)'!C26*'Baseline data (from input)'!E26</f>
        <v>1512.2763798138158</v>
      </c>
      <c r="E40" s="673">
        <f>'Baseline data (from input)'!C26*'Baseline data (from input)'!F26</f>
        <v>507.55304017804781</v>
      </c>
      <c r="F40" s="673">
        <f>'Baseline data (from input)'!C26*'Baseline data (from input)'!G26</f>
        <v>0</v>
      </c>
      <c r="G40" s="673">
        <f>'Baseline data (from input)'!C26*'Baseline data (from input)'!H26</f>
        <v>0</v>
      </c>
      <c r="H40" s="673">
        <f>'Baseline data (from input)'!H26*'Baseline data (from input)'!I26</f>
        <v>0</v>
      </c>
      <c r="I40" s="673">
        <f>'Baseline data (from input)'!C26*'Baseline data (from input)'!J26</f>
        <v>2536.8973557036593</v>
      </c>
      <c r="J40" s="1165">
        <f t="shared" si="3"/>
        <v>5688.2640185279997</v>
      </c>
      <c r="K40" s="117">
        <f>'Input data'!B68*'Baseline data (from input)'!E25*'Input data'!O68*'4C2 Open-burning '!B40*'4C2 Open-burning '!$C$14*'4C2 Open-burning '!$C$5*'4C2 Open-burning '!$C$6*'4C2 Open-burning '!$C$7</f>
        <v>0</v>
      </c>
      <c r="L40" s="118">
        <f>'Input data'!B68*'Baseline data (from input)'!E25*'Input data'!P68*'4C2 Open-burning '!B40*'4C2 Open-burning '!$C$15*'4C2 Open-burning '!$C$5*'4C2 Open-burning '!$C$6*'4C2 Open-burning '!$C$7</f>
        <v>0</v>
      </c>
      <c r="M40" s="118" t="e">
        <f>'Input data'!B68*'Baseline data (from input)'!E25*'Input data'!Q68*'4C2 Open-burning '!B40*'4C2 Open-burning '!#REF!*'4C2 Open-burning '!$C$5*'4C2 Open-burning '!$C$6*'4C2 Open-burning '!$C$7</f>
        <v>#REF!</v>
      </c>
      <c r="N40" s="118" t="e">
        <f>'Input data'!B68*'Baseline data (from input)'!E25*'Input data'!R68*'4C2 Open-burning '!B40*'4C2 Open-burning '!#REF!*'4C2 Open-burning '!$C$5*'4C2 Open-burning '!$C$6*'4C2 Open-burning '!$C$7</f>
        <v>#REF!</v>
      </c>
      <c r="O40" s="118" t="e">
        <f>'Input data'!B68*'Baseline data (from input)'!E25*'Input data'!S68*'4C2 Open-burning '!B40*'4C2 Open-burning '!#REF!*'4C2 Open-burning '!$C$5*'4C2 Open-burning '!$C$6*'4C2 Open-burning '!$C$7</f>
        <v>#REF!</v>
      </c>
      <c r="P40" s="118" t="e">
        <f>'Input data'!B68*'Baseline data (from input)'!E25*'Input data'!T68*'4C2 Open-burning '!B40*'4C2 Open-burning '!#REF!*'4C2 Open-burning '!$C$5*'4C2 Open-burning '!$C$6*'4C2 Open-burning '!$C$7</f>
        <v>#REF!</v>
      </c>
      <c r="Q40" s="118" t="e">
        <f>'Input data'!B68*'Baseline data (from input)'!E25*'Input data'!#REF!*'4C2 Open-burning '!B40*'4C2 Open-burning '!#REF!*'4C2 Open-burning '!$C$5*'4C2 Open-burning '!$C$6*'4C2 Open-burning '!$C$7</f>
        <v>#REF!</v>
      </c>
      <c r="R40" s="119" t="e">
        <f t="shared" si="0"/>
        <v>#REF!</v>
      </c>
      <c r="S40" s="117">
        <f>B40*'Input data'!B68*'Baseline data (from input)'!E25*'Input data'!O68*'4C2 Open-burning '!$C$9*'4C2 Open-burning '!$C$11*$C$5</f>
        <v>0</v>
      </c>
      <c r="T40" s="118">
        <f>B40*'Input data'!B68*'Baseline data (from input)'!E25*'Input data'!P68*'4C2 Open-burning '!$C$9*'4C2 Open-burning '!$C$11*$C$5</f>
        <v>0</v>
      </c>
      <c r="U40" s="118">
        <f>B40*'Input data'!B68*'Baseline data (from input)'!E25*'Input data'!Q68*'4C2 Open-burning '!$C$9*'4C2 Open-burning '!$C$11*$C$5</f>
        <v>0</v>
      </c>
      <c r="V40" s="118">
        <f>B40*'Input data'!B68*'Baseline data (from input)'!E25*'Input data'!R68*'4C2 Open-burning '!$C$9*'4C2 Open-burning '!$C$11*$C$5</f>
        <v>0</v>
      </c>
      <c r="W40" s="118">
        <f>B40*'Input data'!B68*'Baseline data (from input)'!E25*'Input data'!S68*'4C2 Open-burning '!$C$9*'4C2 Open-burning '!$C$11*$C$5</f>
        <v>0</v>
      </c>
      <c r="X40" s="118">
        <f>B40*'Input data'!B68*'Baseline data (from input)'!E25*'Input data'!T68*'4C2 Open-burning '!$C$9*'4C2 Open-burning '!$C$11*$C$5</f>
        <v>0</v>
      </c>
      <c r="Y40" s="118" t="e">
        <f>B40*'Input data'!B68*'Baseline data (from input)'!E25*'Input data'!#REF!*'4C2 Open-burning '!$C$9*'4C2 Open-burning '!$C$11*$C$5</f>
        <v>#REF!</v>
      </c>
      <c r="Z40" s="119" t="e">
        <f t="shared" si="1"/>
        <v>#REF!</v>
      </c>
      <c r="AA40" s="117">
        <f>B40*'Input data'!B68*'Baseline data (from input)'!E25*'Input data'!O68*'4C2 Open-burning '!$C$10*'4C2 Open-burning '!$C$11*$C$5</f>
        <v>0</v>
      </c>
      <c r="AB40" s="118">
        <f>B40*'Input data'!B68*'Baseline data (from input)'!E25*'Input data'!P68*'4C2 Open-burning '!$C$10*'4C2 Open-burning '!$C$11*$C$5</f>
        <v>0</v>
      </c>
      <c r="AC40" s="118">
        <f>B40*'Input data'!B68*'Baseline data (from input)'!E25*'Input data'!Q68*'4C2 Open-burning '!$C$10*'4C2 Open-burning '!$C$11*$C$5</f>
        <v>0</v>
      </c>
      <c r="AD40" s="118">
        <f>B40*'Input data'!B68*'Baseline data (from input)'!E25*'Input data'!R68*'4C2 Open-burning '!$C$10*'4C2 Open-burning '!$C$11*$C$5</f>
        <v>0</v>
      </c>
      <c r="AE40" s="118">
        <f>B40*'Input data'!B68*'Baseline data (from input)'!E25*'Input data'!S68*'4C2 Open-burning '!$C$10*'4C2 Open-burning '!$C$11*$C$5</f>
        <v>0</v>
      </c>
      <c r="AF40" s="118">
        <f>B40*'Input data'!B68*'Baseline data (from input)'!E25*'Input data'!T68*'4C2 Open-burning '!$C$10*'4C2 Open-burning '!$C$11*$C$5</f>
        <v>0</v>
      </c>
      <c r="AG40" s="118" t="e">
        <f>B40*'Input data'!B68*'Baseline data (from input)'!E25*'Input data'!#REF!*'4C2 Open-burning '!$C$10*'4C2 Open-burning '!$C$11*$C$5</f>
        <v>#REF!</v>
      </c>
      <c r="AH40" s="119" t="e">
        <f t="shared" si="2"/>
        <v>#REF!</v>
      </c>
      <c r="AI40" s="99"/>
      <c r="AJ40" s="99"/>
      <c r="AK40" s="99"/>
    </row>
    <row r="41" spans="1:37" ht="15" hidden="1" customHeight="1" thickBot="1">
      <c r="A41" s="575">
        <f>'Input data'!A69</f>
        <v>1971</v>
      </c>
      <c r="B41" s="122">
        <f>'Baseline data (from input)'!G27</f>
        <v>0</v>
      </c>
      <c r="C41" s="654">
        <f>'Baseline data (from input)'!C27*'Baseline data (from input)'!D27</f>
        <v>2367.8455213702891</v>
      </c>
      <c r="D41" s="673">
        <f>'Baseline data (from input)'!C27*'Baseline data (from input)'!E27</f>
        <v>3164.5771057898437</v>
      </c>
      <c r="E41" s="673">
        <f>'Baseline data (from input)'!C27*'Baseline data (from input)'!F27</f>
        <v>1062.1013145224349</v>
      </c>
      <c r="F41" s="673">
        <f>'Baseline data (from input)'!C27*'Baseline data (from input)'!G27</f>
        <v>0</v>
      </c>
      <c r="G41" s="673">
        <f>'Baseline data (from input)'!C27*'Baseline data (from input)'!H27</f>
        <v>0</v>
      </c>
      <c r="H41" s="673">
        <f>'Baseline data (from input)'!H27*'Baseline data (from input)'!I27</f>
        <v>0</v>
      </c>
      <c r="I41" s="673">
        <f>'Baseline data (from input)'!C27*'Baseline data (from input)'!J27</f>
        <v>5308.6905269174331</v>
      </c>
      <c r="J41" s="1165">
        <f t="shared" si="3"/>
        <v>11903.214468600001</v>
      </c>
      <c r="K41" s="117">
        <f>'Input data'!B69*'Baseline data (from input)'!E26*'Input data'!O69*'4C2 Open-burning '!B41*'4C2 Open-burning '!$C$14*'4C2 Open-burning '!$C$5*'4C2 Open-burning '!$C$6*'4C2 Open-burning '!$C$7</f>
        <v>0</v>
      </c>
      <c r="L41" s="118">
        <f>'Input data'!B69*'Baseline data (from input)'!E26*'Input data'!P69*'4C2 Open-burning '!B41*'4C2 Open-burning '!$C$15*'4C2 Open-burning '!$C$5*'4C2 Open-burning '!$C$6*'4C2 Open-burning '!$C$7</f>
        <v>0</v>
      </c>
      <c r="M41" s="118" t="e">
        <f>'Input data'!B69*'Baseline data (from input)'!E26*'Input data'!Q69*'4C2 Open-burning '!B41*'4C2 Open-burning '!#REF!*'4C2 Open-burning '!$C$5*'4C2 Open-burning '!$C$6*'4C2 Open-burning '!$C$7</f>
        <v>#REF!</v>
      </c>
      <c r="N41" s="118" t="e">
        <f>'Input data'!B69*'Baseline data (from input)'!E26*'Input data'!R69*'4C2 Open-burning '!B41*'4C2 Open-burning '!#REF!*'4C2 Open-burning '!$C$5*'4C2 Open-burning '!$C$6*'4C2 Open-burning '!$C$7</f>
        <v>#REF!</v>
      </c>
      <c r="O41" s="118" t="e">
        <f>'Input data'!B69*'Baseline data (from input)'!E26*'Input data'!S69*'4C2 Open-burning '!B41*'4C2 Open-burning '!#REF!*'4C2 Open-burning '!$C$5*'4C2 Open-burning '!$C$6*'4C2 Open-burning '!$C$7</f>
        <v>#REF!</v>
      </c>
      <c r="P41" s="118" t="e">
        <f>'Input data'!B69*'Baseline data (from input)'!E26*'Input data'!T69*'4C2 Open-burning '!B41*'4C2 Open-burning '!#REF!*'4C2 Open-burning '!$C$5*'4C2 Open-burning '!$C$6*'4C2 Open-burning '!$C$7</f>
        <v>#REF!</v>
      </c>
      <c r="Q41" s="118" t="e">
        <f>'Input data'!B69*'Baseline data (from input)'!E26*'Input data'!#REF!*'4C2 Open-burning '!B41*'4C2 Open-burning '!#REF!*'4C2 Open-burning '!$C$5*'4C2 Open-burning '!$C$6*'4C2 Open-burning '!$C$7</f>
        <v>#REF!</v>
      </c>
      <c r="R41" s="119" t="e">
        <f t="shared" si="0"/>
        <v>#REF!</v>
      </c>
      <c r="S41" s="117">
        <f>B41*'Input data'!B69*'Baseline data (from input)'!E26*'Input data'!O69*'4C2 Open-burning '!$C$9*'4C2 Open-burning '!$C$11*$C$5</f>
        <v>0</v>
      </c>
      <c r="T41" s="118">
        <f>B41*'Input data'!B69*'Baseline data (from input)'!E26*'Input data'!P69*'4C2 Open-burning '!$C$9*'4C2 Open-burning '!$C$11*$C$5</f>
        <v>0</v>
      </c>
      <c r="U41" s="118">
        <f>B41*'Input data'!B69*'Baseline data (from input)'!E26*'Input data'!Q69*'4C2 Open-burning '!$C$9*'4C2 Open-burning '!$C$11*$C$5</f>
        <v>0</v>
      </c>
      <c r="V41" s="118">
        <f>B41*'Input data'!B69*'Baseline data (from input)'!E26*'Input data'!R69*'4C2 Open-burning '!$C$9*'4C2 Open-burning '!$C$11*$C$5</f>
        <v>0</v>
      </c>
      <c r="W41" s="118">
        <f>B41*'Input data'!B69*'Baseline data (from input)'!E26*'Input data'!S69*'4C2 Open-burning '!$C$9*'4C2 Open-burning '!$C$11*$C$5</f>
        <v>0</v>
      </c>
      <c r="X41" s="118">
        <f>B41*'Input data'!B69*'Baseline data (from input)'!E26*'Input data'!T69*'4C2 Open-burning '!$C$9*'4C2 Open-burning '!$C$11*$C$5</f>
        <v>0</v>
      </c>
      <c r="Y41" s="118" t="e">
        <f>B41*'Input data'!B69*'Baseline data (from input)'!E26*'Input data'!#REF!*'4C2 Open-burning '!$C$9*'4C2 Open-burning '!$C$11*$C$5</f>
        <v>#REF!</v>
      </c>
      <c r="Z41" s="119" t="e">
        <f t="shared" si="1"/>
        <v>#REF!</v>
      </c>
      <c r="AA41" s="117">
        <f>B41*'Input data'!B69*'Baseline data (from input)'!E26*'Input data'!O69*'4C2 Open-burning '!$C$10*'4C2 Open-burning '!$C$11*$C$5</f>
        <v>0</v>
      </c>
      <c r="AB41" s="118">
        <f>B41*'Input data'!B69*'Baseline data (from input)'!E26*'Input data'!P69*'4C2 Open-burning '!$C$10*'4C2 Open-burning '!$C$11*$C$5</f>
        <v>0</v>
      </c>
      <c r="AC41" s="118">
        <f>B41*'Input data'!B69*'Baseline data (from input)'!E26*'Input data'!Q69*'4C2 Open-burning '!$C$10*'4C2 Open-burning '!$C$11*$C$5</f>
        <v>0</v>
      </c>
      <c r="AD41" s="118">
        <f>B41*'Input data'!B69*'Baseline data (from input)'!E26*'Input data'!R69*'4C2 Open-burning '!$C$10*'4C2 Open-burning '!$C$11*$C$5</f>
        <v>0</v>
      </c>
      <c r="AE41" s="118">
        <f>B41*'Input data'!B69*'Baseline data (from input)'!E26*'Input data'!S69*'4C2 Open-burning '!$C$10*'4C2 Open-burning '!$C$11*$C$5</f>
        <v>0</v>
      </c>
      <c r="AF41" s="118">
        <f>B41*'Input data'!B69*'Baseline data (from input)'!E26*'Input data'!T69*'4C2 Open-burning '!$C$10*'4C2 Open-burning '!$C$11*$C$5</f>
        <v>0</v>
      </c>
      <c r="AG41" s="118" t="e">
        <f>B41*'Input data'!B69*'Baseline data (from input)'!E26*'Input data'!#REF!*'4C2 Open-burning '!$C$10*'4C2 Open-burning '!$C$11*$C$5</f>
        <v>#REF!</v>
      </c>
      <c r="AH41" s="119" t="e">
        <f t="shared" si="2"/>
        <v>#REF!</v>
      </c>
      <c r="AI41" s="99"/>
      <c r="AJ41" s="99"/>
      <c r="AK41" s="99"/>
    </row>
    <row r="42" spans="1:37" ht="15" hidden="1" customHeight="1" thickBot="1">
      <c r="A42" s="575">
        <f>'Input data'!A70</f>
        <v>1972</v>
      </c>
      <c r="B42" s="122">
        <f>'Baseline data (from input)'!G28</f>
        <v>0</v>
      </c>
      <c r="C42" s="654">
        <f>'Baseline data (from input)'!C28*'Baseline data (from input)'!D28</f>
        <v>2422.7411524294002</v>
      </c>
      <c r="D42" s="673">
        <f>'Baseline data (from input)'!C28*'Baseline data (from input)'!E28</f>
        <v>3237.9439938277992</v>
      </c>
      <c r="E42" s="673">
        <f>'Baseline data (from input)'!C28*'Baseline data (from input)'!F28</f>
        <v>1086.7248473429709</v>
      </c>
      <c r="F42" s="673">
        <f>'Baseline data (from input)'!C28*'Baseline data (from input)'!G28</f>
        <v>0</v>
      </c>
      <c r="G42" s="673">
        <f>'Baseline data (from input)'!C28*'Baseline data (from input)'!H28</f>
        <v>0</v>
      </c>
      <c r="H42" s="673">
        <f>'Baseline data (from input)'!H28*'Baseline data (from input)'!I28</f>
        <v>0</v>
      </c>
      <c r="I42" s="673">
        <f>'Baseline data (from input)'!C28*'Baseline data (from input)'!J28</f>
        <v>5431.7660881998299</v>
      </c>
      <c r="J42" s="1165">
        <f t="shared" si="3"/>
        <v>12179.1760818</v>
      </c>
      <c r="K42" s="117">
        <f>'Input data'!B70*'Baseline data (from input)'!E27*'Input data'!O70*'4C2 Open-burning '!B42*'4C2 Open-burning '!$C$14*'4C2 Open-burning '!$C$5*'4C2 Open-burning '!$C$6*'4C2 Open-burning '!$C$7</f>
        <v>0</v>
      </c>
      <c r="L42" s="118">
        <f>'Input data'!B70*'Baseline data (from input)'!E27*'Input data'!P70*'4C2 Open-burning '!B42*'4C2 Open-burning '!$C$15*'4C2 Open-burning '!$C$5*'4C2 Open-burning '!$C$6*'4C2 Open-burning '!$C$7</f>
        <v>0</v>
      </c>
      <c r="M42" s="118" t="e">
        <f>'Input data'!B70*'Baseline data (from input)'!E27*'Input data'!Q70*'4C2 Open-burning '!B42*'4C2 Open-burning '!#REF!*'4C2 Open-burning '!$C$5*'4C2 Open-burning '!$C$6*'4C2 Open-burning '!$C$7</f>
        <v>#REF!</v>
      </c>
      <c r="N42" s="118" t="e">
        <f>'Input data'!B70*'Baseline data (from input)'!E27*'Input data'!R70*'4C2 Open-burning '!B42*'4C2 Open-burning '!#REF!*'4C2 Open-burning '!$C$5*'4C2 Open-burning '!$C$6*'4C2 Open-burning '!$C$7</f>
        <v>#REF!</v>
      </c>
      <c r="O42" s="118" t="e">
        <f>'Input data'!B70*'Baseline data (from input)'!E27*'Input data'!S70*'4C2 Open-burning '!B42*'4C2 Open-burning '!#REF!*'4C2 Open-burning '!$C$5*'4C2 Open-burning '!$C$6*'4C2 Open-burning '!$C$7</f>
        <v>#REF!</v>
      </c>
      <c r="P42" s="118" t="e">
        <f>'Input data'!B70*'Baseline data (from input)'!E27*'Input data'!T70*'4C2 Open-burning '!B42*'4C2 Open-burning '!#REF!*'4C2 Open-burning '!$C$5*'4C2 Open-burning '!$C$6*'4C2 Open-burning '!$C$7</f>
        <v>#REF!</v>
      </c>
      <c r="Q42" s="118" t="e">
        <f>'Input data'!B70*'Baseline data (from input)'!E27*'Input data'!#REF!*'4C2 Open-burning '!B42*'4C2 Open-burning '!#REF!*'4C2 Open-burning '!$C$5*'4C2 Open-burning '!$C$6*'4C2 Open-burning '!$C$7</f>
        <v>#REF!</v>
      </c>
      <c r="R42" s="119" t="e">
        <f t="shared" si="0"/>
        <v>#REF!</v>
      </c>
      <c r="S42" s="117">
        <f>B42*'Input data'!B70*'Baseline data (from input)'!E27*'Input data'!O70*'4C2 Open-burning '!$C$9*'4C2 Open-burning '!$C$11*$C$5</f>
        <v>0</v>
      </c>
      <c r="T42" s="118">
        <f>B42*'Input data'!B70*'Baseline data (from input)'!E27*'Input data'!P70*'4C2 Open-burning '!$C$9*'4C2 Open-burning '!$C$11*$C$5</f>
        <v>0</v>
      </c>
      <c r="U42" s="118">
        <f>B42*'Input data'!B70*'Baseline data (from input)'!E27*'Input data'!Q70*'4C2 Open-burning '!$C$9*'4C2 Open-burning '!$C$11*$C$5</f>
        <v>0</v>
      </c>
      <c r="V42" s="118">
        <f>B42*'Input data'!B70*'Baseline data (from input)'!E27*'Input data'!R70*'4C2 Open-burning '!$C$9*'4C2 Open-burning '!$C$11*$C$5</f>
        <v>0</v>
      </c>
      <c r="W42" s="118">
        <f>B42*'Input data'!B70*'Baseline data (from input)'!E27*'Input data'!S70*'4C2 Open-burning '!$C$9*'4C2 Open-burning '!$C$11*$C$5</f>
        <v>0</v>
      </c>
      <c r="X42" s="118">
        <f>B42*'Input data'!B70*'Baseline data (from input)'!E27*'Input data'!T70*'4C2 Open-burning '!$C$9*'4C2 Open-burning '!$C$11*$C$5</f>
        <v>0</v>
      </c>
      <c r="Y42" s="118" t="e">
        <f>B42*'Input data'!B70*'Baseline data (from input)'!E27*'Input data'!#REF!*'4C2 Open-burning '!$C$9*'4C2 Open-burning '!$C$11*$C$5</f>
        <v>#REF!</v>
      </c>
      <c r="Z42" s="119" t="e">
        <f t="shared" si="1"/>
        <v>#REF!</v>
      </c>
      <c r="AA42" s="117">
        <f>B42*'Input data'!B70*'Baseline data (from input)'!E27*'Input data'!O70*'4C2 Open-burning '!$C$10*'4C2 Open-burning '!$C$11*$C$5</f>
        <v>0</v>
      </c>
      <c r="AB42" s="118">
        <f>B42*'Input data'!B70*'Baseline data (from input)'!E27*'Input data'!P70*'4C2 Open-burning '!$C$10*'4C2 Open-burning '!$C$11*$C$5</f>
        <v>0</v>
      </c>
      <c r="AC42" s="118">
        <f>B42*'Input data'!B70*'Baseline data (from input)'!E27*'Input data'!Q70*'4C2 Open-burning '!$C$10*'4C2 Open-burning '!$C$11*$C$5</f>
        <v>0</v>
      </c>
      <c r="AD42" s="118">
        <f>B42*'Input data'!B70*'Baseline data (from input)'!E27*'Input data'!R70*'4C2 Open-burning '!$C$10*'4C2 Open-burning '!$C$11*$C$5</f>
        <v>0</v>
      </c>
      <c r="AE42" s="118">
        <f>B42*'Input data'!B70*'Baseline data (from input)'!E27*'Input data'!S70*'4C2 Open-burning '!$C$10*'4C2 Open-burning '!$C$11*$C$5</f>
        <v>0</v>
      </c>
      <c r="AF42" s="118">
        <f>B42*'Input data'!B70*'Baseline data (from input)'!E27*'Input data'!T70*'4C2 Open-burning '!$C$10*'4C2 Open-burning '!$C$11*$C$5</f>
        <v>0</v>
      </c>
      <c r="AG42" s="118" t="e">
        <f>B42*'Input data'!B70*'Baseline data (from input)'!E27*'Input data'!#REF!*'4C2 Open-burning '!$C$10*'4C2 Open-burning '!$C$11*$C$5</f>
        <v>#REF!</v>
      </c>
      <c r="AH42" s="119" t="e">
        <f t="shared" si="2"/>
        <v>#REF!</v>
      </c>
      <c r="AI42" s="99"/>
      <c r="AJ42" s="99"/>
      <c r="AK42" s="99"/>
    </row>
    <row r="43" spans="1:37" ht="15" hidden="1" customHeight="1" thickBot="1">
      <c r="A43" s="575">
        <f>'Input data'!A71</f>
        <v>1973</v>
      </c>
      <c r="B43" s="122">
        <f>'Baseline data (from input)'!G29</f>
        <v>0</v>
      </c>
      <c r="C43" s="654">
        <f>'Baseline data (from input)'!C29*'Baseline data (from input)'!D29</f>
        <v>2478.2653594166691</v>
      </c>
      <c r="D43" s="673">
        <f>'Baseline data (from input)'!C29*'Baseline data (from input)'!E29</f>
        <v>3312.1509607364187</v>
      </c>
      <c r="E43" s="673">
        <f>'Baseline data (from input)'!C29*'Baseline data (from input)'!F29</f>
        <v>1111.630329012597</v>
      </c>
      <c r="F43" s="673">
        <f>'Baseline data (from input)'!C29*'Baseline data (from input)'!G29</f>
        <v>0</v>
      </c>
      <c r="G43" s="673">
        <f>'Baseline data (from input)'!C29*'Baseline data (from input)'!H29</f>
        <v>0</v>
      </c>
      <c r="H43" s="673">
        <f>'Baseline data (from input)'!H29*'Baseline data (from input)'!I29</f>
        <v>0</v>
      </c>
      <c r="I43" s="673">
        <f>'Baseline data (from input)'!C29*'Baseline data (from input)'!J29</f>
        <v>5556.2509116343144</v>
      </c>
      <c r="J43" s="1165">
        <f t="shared" si="3"/>
        <v>12458.2975608</v>
      </c>
      <c r="K43" s="117">
        <f>'Input data'!B71*'Baseline data (from input)'!E28*'Input data'!O71*'4C2 Open-burning '!B43*'4C2 Open-burning '!$C$14*'4C2 Open-burning '!$C$5*'4C2 Open-burning '!$C$6*'4C2 Open-burning '!$C$7</f>
        <v>0</v>
      </c>
      <c r="L43" s="118">
        <f>'Input data'!B71*'Baseline data (from input)'!E28*'Input data'!P71*'4C2 Open-burning '!B43*'4C2 Open-burning '!$C$15*'4C2 Open-burning '!$C$5*'4C2 Open-burning '!$C$6*'4C2 Open-burning '!$C$7</f>
        <v>0</v>
      </c>
      <c r="M43" s="118" t="e">
        <f>'Input data'!B71*'Baseline data (from input)'!E28*'Input data'!Q71*'4C2 Open-burning '!B43*'4C2 Open-burning '!#REF!*'4C2 Open-burning '!$C$5*'4C2 Open-burning '!$C$6*'4C2 Open-burning '!$C$7</f>
        <v>#REF!</v>
      </c>
      <c r="N43" s="118" t="e">
        <f>'Input data'!B71*'Baseline data (from input)'!E28*'Input data'!R71*'4C2 Open-burning '!B43*'4C2 Open-burning '!#REF!*'4C2 Open-burning '!$C$5*'4C2 Open-burning '!$C$6*'4C2 Open-burning '!$C$7</f>
        <v>#REF!</v>
      </c>
      <c r="O43" s="118" t="e">
        <f>'Input data'!B71*'Baseline data (from input)'!E28*'Input data'!S71*'4C2 Open-burning '!B43*'4C2 Open-burning '!#REF!*'4C2 Open-burning '!$C$5*'4C2 Open-burning '!$C$6*'4C2 Open-burning '!$C$7</f>
        <v>#REF!</v>
      </c>
      <c r="P43" s="118" t="e">
        <f>'Input data'!B71*'Baseline data (from input)'!E28*'Input data'!T71*'4C2 Open-burning '!B43*'4C2 Open-burning '!#REF!*'4C2 Open-burning '!$C$5*'4C2 Open-burning '!$C$6*'4C2 Open-burning '!$C$7</f>
        <v>#REF!</v>
      </c>
      <c r="Q43" s="118" t="e">
        <f>'Input data'!B71*'Baseline data (from input)'!E28*'Input data'!#REF!*'4C2 Open-burning '!B43*'4C2 Open-burning '!#REF!*'4C2 Open-burning '!$C$5*'4C2 Open-burning '!$C$6*'4C2 Open-burning '!$C$7</f>
        <v>#REF!</v>
      </c>
      <c r="R43" s="119" t="e">
        <f t="shared" si="0"/>
        <v>#REF!</v>
      </c>
      <c r="S43" s="117">
        <f>B43*'Input data'!B71*'Baseline data (from input)'!E28*'Input data'!O71*'4C2 Open-burning '!$C$9*'4C2 Open-burning '!$C$11*$C$5</f>
        <v>0</v>
      </c>
      <c r="T43" s="118">
        <f>B43*'Input data'!B71*'Baseline data (from input)'!E28*'Input data'!P71*'4C2 Open-burning '!$C$9*'4C2 Open-burning '!$C$11*$C$5</f>
        <v>0</v>
      </c>
      <c r="U43" s="118">
        <f>B43*'Input data'!B71*'Baseline data (from input)'!E28*'Input data'!Q71*'4C2 Open-burning '!$C$9*'4C2 Open-burning '!$C$11*$C$5</f>
        <v>0</v>
      </c>
      <c r="V43" s="118">
        <f>B43*'Input data'!B71*'Baseline data (from input)'!E28*'Input data'!R71*'4C2 Open-burning '!$C$9*'4C2 Open-burning '!$C$11*$C$5</f>
        <v>0</v>
      </c>
      <c r="W43" s="118">
        <f>B43*'Input data'!B71*'Baseline data (from input)'!E28*'Input data'!S71*'4C2 Open-burning '!$C$9*'4C2 Open-burning '!$C$11*$C$5</f>
        <v>0</v>
      </c>
      <c r="X43" s="118">
        <f>B43*'Input data'!B71*'Baseline data (from input)'!E28*'Input data'!T71*'4C2 Open-burning '!$C$9*'4C2 Open-burning '!$C$11*$C$5</f>
        <v>0</v>
      </c>
      <c r="Y43" s="118" t="e">
        <f>B43*'Input data'!B71*'Baseline data (from input)'!E28*'Input data'!#REF!*'4C2 Open-burning '!$C$9*'4C2 Open-burning '!$C$11*$C$5</f>
        <v>#REF!</v>
      </c>
      <c r="Z43" s="119" t="e">
        <f t="shared" si="1"/>
        <v>#REF!</v>
      </c>
      <c r="AA43" s="117">
        <f>B43*'Input data'!B71*'Baseline data (from input)'!E28*'Input data'!O71*'4C2 Open-burning '!$C$10*'4C2 Open-burning '!$C$11*$C$5</f>
        <v>0</v>
      </c>
      <c r="AB43" s="118">
        <f>B43*'Input data'!B71*'Baseline data (from input)'!E28*'Input data'!P71*'4C2 Open-burning '!$C$10*'4C2 Open-burning '!$C$11*$C$5</f>
        <v>0</v>
      </c>
      <c r="AC43" s="118">
        <f>B43*'Input data'!B71*'Baseline data (from input)'!E28*'Input data'!Q71*'4C2 Open-burning '!$C$10*'4C2 Open-burning '!$C$11*$C$5</f>
        <v>0</v>
      </c>
      <c r="AD43" s="118">
        <f>B43*'Input data'!B71*'Baseline data (from input)'!E28*'Input data'!R71*'4C2 Open-burning '!$C$10*'4C2 Open-burning '!$C$11*$C$5</f>
        <v>0</v>
      </c>
      <c r="AE43" s="118">
        <f>B43*'Input data'!B71*'Baseline data (from input)'!E28*'Input data'!S71*'4C2 Open-burning '!$C$10*'4C2 Open-burning '!$C$11*$C$5</f>
        <v>0</v>
      </c>
      <c r="AF43" s="118">
        <f>B43*'Input data'!B71*'Baseline data (from input)'!E28*'Input data'!T71*'4C2 Open-burning '!$C$10*'4C2 Open-burning '!$C$11*$C$5</f>
        <v>0</v>
      </c>
      <c r="AG43" s="118" t="e">
        <f>B43*'Input data'!B71*'Baseline data (from input)'!E28*'Input data'!#REF!*'4C2 Open-burning '!$C$10*'4C2 Open-burning '!$C$11*$C$5</f>
        <v>#REF!</v>
      </c>
      <c r="AH43" s="119" t="e">
        <f t="shared" si="2"/>
        <v>#REF!</v>
      </c>
      <c r="AI43" s="99"/>
      <c r="AJ43" s="99"/>
      <c r="AK43" s="99"/>
    </row>
    <row r="44" spans="1:37" ht="15" hidden="1" customHeight="1" thickBot="1">
      <c r="A44" s="575">
        <f>'Input data'!A72</f>
        <v>1974</v>
      </c>
      <c r="B44" s="122">
        <f>'Baseline data (from input)'!G30</f>
        <v>0</v>
      </c>
      <c r="C44" s="654">
        <f>'Baseline data (from input)'!C30*'Baseline data (from input)'!D30</f>
        <v>2534.2086170227103</v>
      </c>
      <c r="D44" s="673">
        <f>'Baseline data (from input)'!C30*'Baseline data (from input)'!E30</f>
        <v>3386.9179802254812</v>
      </c>
      <c r="E44" s="673">
        <f>'Baseline data (from input)'!C30*'Baseline data (from input)'!F30</f>
        <v>1136.7237765816167</v>
      </c>
      <c r="F44" s="673">
        <f>'Baseline data (from input)'!C30*'Baseline data (from input)'!G30</f>
        <v>0</v>
      </c>
      <c r="G44" s="673">
        <f>'Baseline data (from input)'!C30*'Baseline data (from input)'!H30</f>
        <v>0</v>
      </c>
      <c r="H44" s="673">
        <f>'Baseline data (from input)'!H30*'Baseline data (from input)'!I30</f>
        <v>0</v>
      </c>
      <c r="I44" s="673">
        <f>'Baseline data (from input)'!C30*'Baseline data (from input)'!J30</f>
        <v>5681.6752431701934</v>
      </c>
      <c r="J44" s="1165">
        <f t="shared" si="3"/>
        <v>12739.525617000001</v>
      </c>
      <c r="K44" s="117">
        <f>'Input data'!B72*'Baseline data (from input)'!E29*'Input data'!O72*'4C2 Open-burning '!B44*'4C2 Open-burning '!$C$14*'4C2 Open-burning '!$C$5*'4C2 Open-burning '!$C$6*'4C2 Open-burning '!$C$7</f>
        <v>0</v>
      </c>
      <c r="L44" s="118">
        <f>'Input data'!B72*'Baseline data (from input)'!E29*'Input data'!P72*'4C2 Open-burning '!B44*'4C2 Open-burning '!$C$15*'4C2 Open-burning '!$C$5*'4C2 Open-burning '!$C$6*'4C2 Open-burning '!$C$7</f>
        <v>0</v>
      </c>
      <c r="M44" s="118" t="e">
        <f>'Input data'!B72*'Baseline data (from input)'!E29*'Input data'!Q72*'4C2 Open-burning '!B44*'4C2 Open-burning '!#REF!*'4C2 Open-burning '!$C$5*'4C2 Open-burning '!$C$6*'4C2 Open-burning '!$C$7</f>
        <v>#REF!</v>
      </c>
      <c r="N44" s="118" t="e">
        <f>'Input data'!B72*'Baseline data (from input)'!E29*'Input data'!R72*'4C2 Open-burning '!B44*'4C2 Open-burning '!#REF!*'4C2 Open-burning '!$C$5*'4C2 Open-burning '!$C$6*'4C2 Open-burning '!$C$7</f>
        <v>#REF!</v>
      </c>
      <c r="O44" s="118" t="e">
        <f>'Input data'!B72*'Baseline data (from input)'!E29*'Input data'!S72*'4C2 Open-burning '!B44*'4C2 Open-burning '!#REF!*'4C2 Open-burning '!$C$5*'4C2 Open-burning '!$C$6*'4C2 Open-burning '!$C$7</f>
        <v>#REF!</v>
      </c>
      <c r="P44" s="118" t="e">
        <f>'Input data'!B72*'Baseline data (from input)'!E29*'Input data'!T72*'4C2 Open-burning '!B44*'4C2 Open-burning '!#REF!*'4C2 Open-burning '!$C$5*'4C2 Open-burning '!$C$6*'4C2 Open-burning '!$C$7</f>
        <v>#REF!</v>
      </c>
      <c r="Q44" s="118" t="e">
        <f>'Input data'!B72*'Baseline data (from input)'!E29*'Input data'!#REF!*'4C2 Open-burning '!B44*'4C2 Open-burning '!#REF!*'4C2 Open-burning '!$C$5*'4C2 Open-burning '!$C$6*'4C2 Open-burning '!$C$7</f>
        <v>#REF!</v>
      </c>
      <c r="R44" s="119" t="e">
        <f t="shared" si="0"/>
        <v>#REF!</v>
      </c>
      <c r="S44" s="117">
        <f>B44*'Input data'!B72*'Baseline data (from input)'!E29*'Input data'!O72*'4C2 Open-burning '!$C$9*'4C2 Open-burning '!$C$11*$C$5</f>
        <v>0</v>
      </c>
      <c r="T44" s="118">
        <f>B44*'Input data'!B72*'Baseline data (from input)'!E29*'Input data'!P72*'4C2 Open-burning '!$C$9*'4C2 Open-burning '!$C$11*$C$5</f>
        <v>0</v>
      </c>
      <c r="U44" s="118">
        <f>B44*'Input data'!B72*'Baseline data (from input)'!E29*'Input data'!Q72*'4C2 Open-burning '!$C$9*'4C2 Open-burning '!$C$11*$C$5</f>
        <v>0</v>
      </c>
      <c r="V44" s="118">
        <f>B44*'Input data'!B72*'Baseline data (from input)'!E29*'Input data'!R72*'4C2 Open-burning '!$C$9*'4C2 Open-burning '!$C$11*$C$5</f>
        <v>0</v>
      </c>
      <c r="W44" s="118">
        <f>B44*'Input data'!B72*'Baseline data (from input)'!E29*'Input data'!S72*'4C2 Open-burning '!$C$9*'4C2 Open-burning '!$C$11*$C$5</f>
        <v>0</v>
      </c>
      <c r="X44" s="118">
        <f>B44*'Input data'!B72*'Baseline data (from input)'!E29*'Input data'!T72*'4C2 Open-burning '!$C$9*'4C2 Open-burning '!$C$11*$C$5</f>
        <v>0</v>
      </c>
      <c r="Y44" s="118" t="e">
        <f>B44*'Input data'!B72*'Baseline data (from input)'!E29*'Input data'!#REF!*'4C2 Open-burning '!$C$9*'4C2 Open-burning '!$C$11*$C$5</f>
        <v>#REF!</v>
      </c>
      <c r="Z44" s="119" t="e">
        <f t="shared" si="1"/>
        <v>#REF!</v>
      </c>
      <c r="AA44" s="117">
        <f>B44*'Input data'!B72*'Baseline data (from input)'!E29*'Input data'!O72*'4C2 Open-burning '!$C$10*'4C2 Open-burning '!$C$11*$C$5</f>
        <v>0</v>
      </c>
      <c r="AB44" s="118">
        <f>B44*'Input data'!B72*'Baseline data (from input)'!E29*'Input data'!P72*'4C2 Open-burning '!$C$10*'4C2 Open-burning '!$C$11*$C$5</f>
        <v>0</v>
      </c>
      <c r="AC44" s="118">
        <f>B44*'Input data'!B72*'Baseline data (from input)'!E29*'Input data'!Q72*'4C2 Open-burning '!$C$10*'4C2 Open-burning '!$C$11*$C$5</f>
        <v>0</v>
      </c>
      <c r="AD44" s="118">
        <f>B44*'Input data'!B72*'Baseline data (from input)'!E29*'Input data'!R72*'4C2 Open-burning '!$C$10*'4C2 Open-burning '!$C$11*$C$5</f>
        <v>0</v>
      </c>
      <c r="AE44" s="118">
        <f>B44*'Input data'!B72*'Baseline data (from input)'!E29*'Input data'!S72*'4C2 Open-burning '!$C$10*'4C2 Open-burning '!$C$11*$C$5</f>
        <v>0</v>
      </c>
      <c r="AF44" s="118">
        <f>B44*'Input data'!B72*'Baseline data (from input)'!E29*'Input data'!T72*'4C2 Open-burning '!$C$10*'4C2 Open-burning '!$C$11*$C$5</f>
        <v>0</v>
      </c>
      <c r="AG44" s="118" t="e">
        <f>B44*'Input data'!B72*'Baseline data (from input)'!E29*'Input data'!#REF!*'4C2 Open-burning '!$C$10*'4C2 Open-burning '!$C$11*$C$5</f>
        <v>#REF!</v>
      </c>
      <c r="AH44" s="119" t="e">
        <f t="shared" si="2"/>
        <v>#REF!</v>
      </c>
      <c r="AI44" s="99"/>
      <c r="AJ44" s="99"/>
      <c r="AK44" s="99"/>
    </row>
    <row r="45" spans="1:37" ht="15" hidden="1" customHeight="1" thickBot="1">
      <c r="A45" s="575">
        <f>'Input data'!A73</f>
        <v>1975</v>
      </c>
      <c r="B45" s="122">
        <f>'Baseline data (from input)'!G31</f>
        <v>0</v>
      </c>
      <c r="C45" s="654">
        <f>'Baseline data (from input)'!C31*'Baseline data (from input)'!D31</f>
        <v>2590.5709252475226</v>
      </c>
      <c r="D45" s="673">
        <f>'Baseline data (from input)'!C31*'Baseline data (from input)'!E31</f>
        <v>3462.2450522949853</v>
      </c>
      <c r="E45" s="673">
        <f>'Baseline data (from input)'!C31*'Baseline data (from input)'!F31</f>
        <v>1162.0051900500296</v>
      </c>
      <c r="F45" s="673">
        <f>'Baseline data (from input)'!C31*'Baseline data (from input)'!G31</f>
        <v>0</v>
      </c>
      <c r="G45" s="673">
        <f>'Baseline data (from input)'!C31*'Baseline data (from input)'!H31</f>
        <v>0</v>
      </c>
      <c r="H45" s="673">
        <f>'Baseline data (from input)'!H31*'Baseline data (from input)'!I31</f>
        <v>0</v>
      </c>
      <c r="I45" s="673">
        <f>'Baseline data (from input)'!C31*'Baseline data (from input)'!J31</f>
        <v>5808.0390828074633</v>
      </c>
      <c r="J45" s="1165">
        <f t="shared" si="3"/>
        <v>13022.860250400001</v>
      </c>
      <c r="K45" s="117">
        <f>'Input data'!B73*'Baseline data (from input)'!E30*'Input data'!O73*'4C2 Open-burning '!B45*'4C2 Open-burning '!$C$14*'4C2 Open-burning '!$C$5*'4C2 Open-burning '!$C$6*'4C2 Open-burning '!$C$7</f>
        <v>0</v>
      </c>
      <c r="L45" s="118">
        <f>'Input data'!B73*'Baseline data (from input)'!E30*'Input data'!P73*'4C2 Open-burning '!B45*'4C2 Open-burning '!$C$15*'4C2 Open-burning '!$C$5*'4C2 Open-burning '!$C$6*'4C2 Open-burning '!$C$7</f>
        <v>0</v>
      </c>
      <c r="M45" s="118" t="e">
        <f>'Input data'!B73*'Baseline data (from input)'!E30*'Input data'!Q73*'4C2 Open-burning '!B45*'4C2 Open-burning '!#REF!*'4C2 Open-burning '!$C$5*'4C2 Open-burning '!$C$6*'4C2 Open-burning '!$C$7</f>
        <v>#REF!</v>
      </c>
      <c r="N45" s="118" t="e">
        <f>'Input data'!B73*'Baseline data (from input)'!E30*'Input data'!R73*'4C2 Open-burning '!B45*'4C2 Open-burning '!#REF!*'4C2 Open-burning '!$C$5*'4C2 Open-burning '!$C$6*'4C2 Open-burning '!$C$7</f>
        <v>#REF!</v>
      </c>
      <c r="O45" s="118" t="e">
        <f>'Input data'!B73*'Baseline data (from input)'!E30*'Input data'!S73*'4C2 Open-burning '!B45*'4C2 Open-burning '!#REF!*'4C2 Open-burning '!$C$5*'4C2 Open-burning '!$C$6*'4C2 Open-burning '!$C$7</f>
        <v>#REF!</v>
      </c>
      <c r="P45" s="118" t="e">
        <f>'Input data'!B73*'Baseline data (from input)'!E30*'Input data'!T73*'4C2 Open-burning '!B45*'4C2 Open-burning '!#REF!*'4C2 Open-burning '!$C$5*'4C2 Open-burning '!$C$6*'4C2 Open-burning '!$C$7</f>
        <v>#REF!</v>
      </c>
      <c r="Q45" s="118" t="e">
        <f>'Input data'!B73*'Baseline data (from input)'!E30*'Input data'!#REF!*'4C2 Open-burning '!B45*'4C2 Open-burning '!#REF!*'4C2 Open-burning '!$C$5*'4C2 Open-burning '!$C$6*'4C2 Open-burning '!$C$7</f>
        <v>#REF!</v>
      </c>
      <c r="R45" s="119" t="e">
        <f t="shared" si="0"/>
        <v>#REF!</v>
      </c>
      <c r="S45" s="117">
        <f>B45*'Input data'!B73*'Baseline data (from input)'!E30*'Input data'!O73*'4C2 Open-burning '!$C$9*'4C2 Open-burning '!$C$11*$C$5</f>
        <v>0</v>
      </c>
      <c r="T45" s="118">
        <f>B45*'Input data'!B73*'Baseline data (from input)'!E30*'Input data'!P73*'4C2 Open-burning '!$C$9*'4C2 Open-burning '!$C$11*$C$5</f>
        <v>0</v>
      </c>
      <c r="U45" s="118">
        <f>B45*'Input data'!B73*'Baseline data (from input)'!E30*'Input data'!Q73*'4C2 Open-burning '!$C$9*'4C2 Open-burning '!$C$11*$C$5</f>
        <v>0</v>
      </c>
      <c r="V45" s="118">
        <f>B45*'Input data'!B73*'Baseline data (from input)'!E30*'Input data'!R73*'4C2 Open-burning '!$C$9*'4C2 Open-burning '!$C$11*$C$5</f>
        <v>0</v>
      </c>
      <c r="W45" s="118">
        <f>B45*'Input data'!B73*'Baseline data (from input)'!E30*'Input data'!S73*'4C2 Open-burning '!$C$9*'4C2 Open-burning '!$C$11*$C$5</f>
        <v>0</v>
      </c>
      <c r="X45" s="118">
        <f>B45*'Input data'!B73*'Baseline data (from input)'!E30*'Input data'!T73*'4C2 Open-burning '!$C$9*'4C2 Open-burning '!$C$11*$C$5</f>
        <v>0</v>
      </c>
      <c r="Y45" s="118" t="e">
        <f>B45*'Input data'!B73*'Baseline data (from input)'!E30*'Input data'!#REF!*'4C2 Open-burning '!$C$9*'4C2 Open-burning '!$C$11*$C$5</f>
        <v>#REF!</v>
      </c>
      <c r="Z45" s="119" t="e">
        <f t="shared" si="1"/>
        <v>#REF!</v>
      </c>
      <c r="AA45" s="117">
        <f>B45*'Input data'!B73*'Baseline data (from input)'!E30*'Input data'!O73*'4C2 Open-burning '!$C$10*'4C2 Open-burning '!$C$11*$C$5</f>
        <v>0</v>
      </c>
      <c r="AB45" s="118">
        <f>B45*'Input data'!B73*'Baseline data (from input)'!E30*'Input data'!P73*'4C2 Open-burning '!$C$10*'4C2 Open-burning '!$C$11*$C$5</f>
        <v>0</v>
      </c>
      <c r="AC45" s="118">
        <f>B45*'Input data'!B73*'Baseline data (from input)'!E30*'Input data'!Q73*'4C2 Open-burning '!$C$10*'4C2 Open-burning '!$C$11*$C$5</f>
        <v>0</v>
      </c>
      <c r="AD45" s="118">
        <f>B45*'Input data'!B73*'Baseline data (from input)'!E30*'Input data'!R73*'4C2 Open-burning '!$C$10*'4C2 Open-burning '!$C$11*$C$5</f>
        <v>0</v>
      </c>
      <c r="AE45" s="118">
        <f>B45*'Input data'!B73*'Baseline data (from input)'!E30*'Input data'!S73*'4C2 Open-burning '!$C$10*'4C2 Open-burning '!$C$11*$C$5</f>
        <v>0</v>
      </c>
      <c r="AF45" s="118">
        <f>B45*'Input data'!B73*'Baseline data (from input)'!E30*'Input data'!T73*'4C2 Open-burning '!$C$10*'4C2 Open-burning '!$C$11*$C$5</f>
        <v>0</v>
      </c>
      <c r="AG45" s="118" t="e">
        <f>B45*'Input data'!B73*'Baseline data (from input)'!E30*'Input data'!#REF!*'4C2 Open-burning '!$C$10*'4C2 Open-burning '!$C$11*$C$5</f>
        <v>#REF!</v>
      </c>
      <c r="AH45" s="119" t="e">
        <f t="shared" si="2"/>
        <v>#REF!</v>
      </c>
      <c r="AI45" s="99"/>
      <c r="AJ45" s="99"/>
      <c r="AK45" s="99"/>
    </row>
    <row r="46" spans="1:37" ht="15" hidden="1" customHeight="1" thickBot="1">
      <c r="A46" s="575">
        <f>'Input data'!A74</f>
        <v>1976</v>
      </c>
      <c r="B46" s="122">
        <f>'Baseline data (from input)'!G32</f>
        <v>0</v>
      </c>
      <c r="C46" s="654">
        <f>'Baseline data (from input)'!C32*'Baseline data (from input)'!D32</f>
        <v>2647.1427587817211</v>
      </c>
      <c r="D46" s="673">
        <f>'Baseline data (from input)'!C32*'Baseline data (from input)'!E32</f>
        <v>3537.8521506547108</v>
      </c>
      <c r="E46" s="673">
        <f>'Baseline data (from input)'!C32*'Baseline data (from input)'!F32</f>
        <v>1187.3805864681392</v>
      </c>
      <c r="F46" s="673">
        <f>'Baseline data (from input)'!C32*'Baseline data (from input)'!G32</f>
        <v>0</v>
      </c>
      <c r="G46" s="673">
        <f>'Baseline data (from input)'!C32*'Baseline data (from input)'!H32</f>
        <v>0</v>
      </c>
      <c r="H46" s="673">
        <f>'Baseline data (from input)'!H32*'Baseline data (from input)'!I32</f>
        <v>0</v>
      </c>
      <c r="I46" s="673">
        <f>'Baseline data (from input)'!C32*'Baseline data (from input)'!J32</f>
        <v>5934.872676495429</v>
      </c>
      <c r="J46" s="1165">
        <f t="shared" si="3"/>
        <v>13307.248172399999</v>
      </c>
      <c r="K46" s="117">
        <f>'Input data'!B74*'Baseline data (from input)'!E31*'Input data'!O74*'4C2 Open-burning '!B46*'4C2 Open-burning '!$C$14*'4C2 Open-burning '!$C$5*'4C2 Open-burning '!$C$6*'4C2 Open-burning '!$C$7</f>
        <v>0</v>
      </c>
      <c r="L46" s="118">
        <f>'Input data'!B74*'Baseline data (from input)'!E31*'Input data'!P74*'4C2 Open-burning '!B46*'4C2 Open-burning '!$C$15*'4C2 Open-burning '!$C$5*'4C2 Open-burning '!$C$6*'4C2 Open-burning '!$C$7</f>
        <v>0</v>
      </c>
      <c r="M46" s="118" t="e">
        <f>'Input data'!B74*'Baseline data (from input)'!E31*'Input data'!Q74*'4C2 Open-burning '!B46*'4C2 Open-burning '!#REF!*'4C2 Open-burning '!$C$5*'4C2 Open-burning '!$C$6*'4C2 Open-burning '!$C$7</f>
        <v>#REF!</v>
      </c>
      <c r="N46" s="118" t="e">
        <f>'Input data'!B74*'Baseline data (from input)'!E31*'Input data'!R74*'4C2 Open-burning '!B46*'4C2 Open-burning '!#REF!*'4C2 Open-burning '!$C$5*'4C2 Open-burning '!$C$6*'4C2 Open-burning '!$C$7</f>
        <v>#REF!</v>
      </c>
      <c r="O46" s="118" t="e">
        <f>'Input data'!B74*'Baseline data (from input)'!E31*'Input data'!S74*'4C2 Open-burning '!B46*'4C2 Open-burning '!#REF!*'4C2 Open-burning '!$C$5*'4C2 Open-burning '!$C$6*'4C2 Open-burning '!$C$7</f>
        <v>#REF!</v>
      </c>
      <c r="P46" s="118" t="e">
        <f>'Input data'!B74*'Baseline data (from input)'!E31*'Input data'!T74*'4C2 Open-burning '!B46*'4C2 Open-burning '!#REF!*'4C2 Open-burning '!$C$5*'4C2 Open-burning '!$C$6*'4C2 Open-burning '!$C$7</f>
        <v>#REF!</v>
      </c>
      <c r="Q46" s="118" t="e">
        <f>'Input data'!B74*'Baseline data (from input)'!E31*'Input data'!#REF!*'4C2 Open-burning '!B46*'4C2 Open-burning '!#REF!*'4C2 Open-burning '!$C$5*'4C2 Open-burning '!$C$6*'4C2 Open-burning '!$C$7</f>
        <v>#REF!</v>
      </c>
      <c r="R46" s="119" t="e">
        <f t="shared" si="0"/>
        <v>#REF!</v>
      </c>
      <c r="S46" s="117">
        <f>B46*'Input data'!B74*'Baseline data (from input)'!E31*'Input data'!O74*'4C2 Open-burning '!$C$9*'4C2 Open-burning '!$C$11*$C$5</f>
        <v>0</v>
      </c>
      <c r="T46" s="118">
        <f>B46*'Input data'!B74*'Baseline data (from input)'!E31*'Input data'!P74*'4C2 Open-burning '!$C$9*'4C2 Open-burning '!$C$11*$C$5</f>
        <v>0</v>
      </c>
      <c r="U46" s="118">
        <f>B46*'Input data'!B74*'Baseline data (from input)'!E31*'Input data'!Q74*'4C2 Open-burning '!$C$9*'4C2 Open-burning '!$C$11*$C$5</f>
        <v>0</v>
      </c>
      <c r="V46" s="118">
        <f>B46*'Input data'!B74*'Baseline data (from input)'!E31*'Input data'!R74*'4C2 Open-burning '!$C$9*'4C2 Open-burning '!$C$11*$C$5</f>
        <v>0</v>
      </c>
      <c r="W46" s="118">
        <f>B46*'Input data'!B74*'Baseline data (from input)'!E31*'Input data'!S74*'4C2 Open-burning '!$C$9*'4C2 Open-burning '!$C$11*$C$5</f>
        <v>0</v>
      </c>
      <c r="X46" s="118">
        <f>B46*'Input data'!B74*'Baseline data (from input)'!E31*'Input data'!T74*'4C2 Open-burning '!$C$9*'4C2 Open-burning '!$C$11*$C$5</f>
        <v>0</v>
      </c>
      <c r="Y46" s="118" t="e">
        <f>B46*'Input data'!B74*'Baseline data (from input)'!E31*'Input data'!#REF!*'4C2 Open-burning '!$C$9*'4C2 Open-burning '!$C$11*$C$5</f>
        <v>#REF!</v>
      </c>
      <c r="Z46" s="119" t="e">
        <f t="shared" si="1"/>
        <v>#REF!</v>
      </c>
      <c r="AA46" s="117">
        <f>B46*'Input data'!B74*'Baseline data (from input)'!E31*'Input data'!O74*'4C2 Open-burning '!$C$10*'4C2 Open-burning '!$C$11*$C$5</f>
        <v>0</v>
      </c>
      <c r="AB46" s="118">
        <f>B46*'Input data'!B74*'Baseline data (from input)'!E31*'Input data'!P74*'4C2 Open-burning '!$C$10*'4C2 Open-burning '!$C$11*$C$5</f>
        <v>0</v>
      </c>
      <c r="AC46" s="118">
        <f>B46*'Input data'!B74*'Baseline data (from input)'!E31*'Input data'!Q74*'4C2 Open-burning '!$C$10*'4C2 Open-burning '!$C$11*$C$5</f>
        <v>0</v>
      </c>
      <c r="AD46" s="118">
        <f>B46*'Input data'!B74*'Baseline data (from input)'!E31*'Input data'!R74*'4C2 Open-burning '!$C$10*'4C2 Open-burning '!$C$11*$C$5</f>
        <v>0</v>
      </c>
      <c r="AE46" s="118">
        <f>B46*'Input data'!B74*'Baseline data (from input)'!E31*'Input data'!S74*'4C2 Open-burning '!$C$10*'4C2 Open-burning '!$C$11*$C$5</f>
        <v>0</v>
      </c>
      <c r="AF46" s="118">
        <f>B46*'Input data'!B74*'Baseline data (from input)'!E31*'Input data'!T74*'4C2 Open-burning '!$C$10*'4C2 Open-burning '!$C$11*$C$5</f>
        <v>0</v>
      </c>
      <c r="AG46" s="118" t="e">
        <f>B46*'Input data'!B74*'Baseline data (from input)'!E31*'Input data'!#REF!*'4C2 Open-burning '!$C$10*'4C2 Open-burning '!$C$11*$C$5</f>
        <v>#REF!</v>
      </c>
      <c r="AH46" s="119" t="e">
        <f t="shared" si="2"/>
        <v>#REF!</v>
      </c>
      <c r="AI46" s="99"/>
      <c r="AJ46" s="99"/>
      <c r="AK46" s="99"/>
    </row>
    <row r="47" spans="1:37" ht="15" hidden="1" customHeight="1" thickBot="1">
      <c r="A47" s="575">
        <f>'Input data'!A75</f>
        <v>1977</v>
      </c>
      <c r="B47" s="122">
        <f>'Baseline data (from input)'!G33</f>
        <v>0</v>
      </c>
      <c r="C47" s="654">
        <f>'Baseline data (from input)'!C33*'Baseline data (from input)'!D33</f>
        <v>2703.5050670065339</v>
      </c>
      <c r="D47" s="673">
        <f>'Baseline data (from input)'!C33*'Baseline data (from input)'!E33</f>
        <v>3613.1792227242149</v>
      </c>
      <c r="E47" s="673">
        <f>'Baseline data (from input)'!C33*'Baseline data (from input)'!F33</f>
        <v>1212.6619999365523</v>
      </c>
      <c r="F47" s="673">
        <f>'Baseline data (from input)'!C33*'Baseline data (from input)'!G33</f>
        <v>0</v>
      </c>
      <c r="G47" s="673">
        <f>'Baseline data (from input)'!C33*'Baseline data (from input)'!H33</f>
        <v>0</v>
      </c>
      <c r="H47" s="673">
        <f>'Baseline data (from input)'!H33*'Baseline data (from input)'!I33</f>
        <v>0</v>
      </c>
      <c r="I47" s="673">
        <f>'Baseline data (from input)'!C33*'Baseline data (from input)'!J33</f>
        <v>6061.2365161326998</v>
      </c>
      <c r="J47" s="1165">
        <f t="shared" si="3"/>
        <v>13590.582805800001</v>
      </c>
      <c r="K47" s="117">
        <f>'Input data'!B75*'Baseline data (from input)'!E32*'Input data'!O75*'4C2 Open-burning '!B47*'4C2 Open-burning '!$C$14*'4C2 Open-burning '!$C$5*'4C2 Open-burning '!$C$6*'4C2 Open-burning '!$C$7</f>
        <v>0</v>
      </c>
      <c r="L47" s="118">
        <f>'Input data'!B75*'Baseline data (from input)'!E32*'Input data'!P75*'4C2 Open-burning '!B47*'4C2 Open-burning '!$C$15*'4C2 Open-burning '!$C$5*'4C2 Open-burning '!$C$6*'4C2 Open-burning '!$C$7</f>
        <v>0</v>
      </c>
      <c r="M47" s="118" t="e">
        <f>'Input data'!B75*'Baseline data (from input)'!E32*'Input data'!Q75*'4C2 Open-burning '!B47*'4C2 Open-burning '!#REF!*'4C2 Open-burning '!$C$5*'4C2 Open-burning '!$C$6*'4C2 Open-burning '!$C$7</f>
        <v>#REF!</v>
      </c>
      <c r="N47" s="118" t="e">
        <f>'Input data'!B75*'Baseline data (from input)'!E32*'Input data'!R75*'4C2 Open-burning '!B47*'4C2 Open-burning '!#REF!*'4C2 Open-burning '!$C$5*'4C2 Open-burning '!$C$6*'4C2 Open-burning '!$C$7</f>
        <v>#REF!</v>
      </c>
      <c r="O47" s="118" t="e">
        <f>'Input data'!B75*'Baseline data (from input)'!E32*'Input data'!S75*'4C2 Open-burning '!B47*'4C2 Open-burning '!#REF!*'4C2 Open-burning '!$C$5*'4C2 Open-burning '!$C$6*'4C2 Open-burning '!$C$7</f>
        <v>#REF!</v>
      </c>
      <c r="P47" s="118" t="e">
        <f>'Input data'!B75*'Baseline data (from input)'!E32*'Input data'!T75*'4C2 Open-burning '!B47*'4C2 Open-burning '!#REF!*'4C2 Open-burning '!$C$5*'4C2 Open-burning '!$C$6*'4C2 Open-burning '!$C$7</f>
        <v>#REF!</v>
      </c>
      <c r="Q47" s="118" t="e">
        <f>'Input data'!B75*'Baseline data (from input)'!E32*'Input data'!#REF!*'4C2 Open-burning '!B47*'4C2 Open-burning '!#REF!*'4C2 Open-burning '!$C$5*'4C2 Open-burning '!$C$6*'4C2 Open-burning '!$C$7</f>
        <v>#REF!</v>
      </c>
      <c r="R47" s="119" t="e">
        <f t="shared" si="0"/>
        <v>#REF!</v>
      </c>
      <c r="S47" s="117">
        <f>B47*'Input data'!B75*'Baseline data (from input)'!E32*'Input data'!O75*'4C2 Open-burning '!$C$9*'4C2 Open-burning '!$C$11*$C$5</f>
        <v>0</v>
      </c>
      <c r="T47" s="118">
        <f>B47*'Input data'!B75*'Baseline data (from input)'!E32*'Input data'!P75*'4C2 Open-burning '!$C$9*'4C2 Open-burning '!$C$11*$C$5</f>
        <v>0</v>
      </c>
      <c r="U47" s="118">
        <f>B47*'Input data'!B75*'Baseline data (from input)'!E32*'Input data'!Q75*'4C2 Open-burning '!$C$9*'4C2 Open-burning '!$C$11*$C$5</f>
        <v>0</v>
      </c>
      <c r="V47" s="118">
        <f>B47*'Input data'!B75*'Baseline data (from input)'!E32*'Input data'!R75*'4C2 Open-burning '!$C$9*'4C2 Open-burning '!$C$11*$C$5</f>
        <v>0</v>
      </c>
      <c r="W47" s="118">
        <f>B47*'Input data'!B75*'Baseline data (from input)'!E32*'Input data'!S75*'4C2 Open-burning '!$C$9*'4C2 Open-burning '!$C$11*$C$5</f>
        <v>0</v>
      </c>
      <c r="X47" s="118">
        <f>B47*'Input data'!B75*'Baseline data (from input)'!E32*'Input data'!T75*'4C2 Open-burning '!$C$9*'4C2 Open-burning '!$C$11*$C$5</f>
        <v>0</v>
      </c>
      <c r="Y47" s="118" t="e">
        <f>B47*'Input data'!B75*'Baseline data (from input)'!E32*'Input data'!#REF!*'4C2 Open-burning '!$C$9*'4C2 Open-burning '!$C$11*$C$5</f>
        <v>#REF!</v>
      </c>
      <c r="Z47" s="119" t="e">
        <f t="shared" si="1"/>
        <v>#REF!</v>
      </c>
      <c r="AA47" s="117">
        <f>B47*'Input data'!B75*'Baseline data (from input)'!E32*'Input data'!O75*'4C2 Open-burning '!$C$10*'4C2 Open-burning '!$C$11*$C$5</f>
        <v>0</v>
      </c>
      <c r="AB47" s="118">
        <f>B47*'Input data'!B75*'Baseline data (from input)'!E32*'Input data'!P75*'4C2 Open-burning '!$C$10*'4C2 Open-burning '!$C$11*$C$5</f>
        <v>0</v>
      </c>
      <c r="AC47" s="118">
        <f>B47*'Input data'!B75*'Baseline data (from input)'!E32*'Input data'!Q75*'4C2 Open-burning '!$C$10*'4C2 Open-burning '!$C$11*$C$5</f>
        <v>0</v>
      </c>
      <c r="AD47" s="118">
        <f>B47*'Input data'!B75*'Baseline data (from input)'!E32*'Input data'!R75*'4C2 Open-burning '!$C$10*'4C2 Open-burning '!$C$11*$C$5</f>
        <v>0</v>
      </c>
      <c r="AE47" s="118">
        <f>B47*'Input data'!B75*'Baseline data (from input)'!E32*'Input data'!S75*'4C2 Open-burning '!$C$10*'4C2 Open-burning '!$C$11*$C$5</f>
        <v>0</v>
      </c>
      <c r="AF47" s="118">
        <f>B47*'Input data'!B75*'Baseline data (from input)'!E32*'Input data'!T75*'4C2 Open-burning '!$C$10*'4C2 Open-burning '!$C$11*$C$5</f>
        <v>0</v>
      </c>
      <c r="AG47" s="118" t="e">
        <f>B47*'Input data'!B75*'Baseline data (from input)'!E32*'Input data'!#REF!*'4C2 Open-burning '!$C$10*'4C2 Open-burning '!$C$11*$C$5</f>
        <v>#REF!</v>
      </c>
      <c r="AH47" s="119" t="e">
        <f t="shared" si="2"/>
        <v>#REF!</v>
      </c>
      <c r="AI47" s="99"/>
      <c r="AJ47" s="99"/>
      <c r="AK47" s="99"/>
    </row>
    <row r="48" spans="1:37" ht="15" hidden="1" customHeight="1" thickBot="1">
      <c r="A48" s="575">
        <f>'Input data'!A76</f>
        <v>1978</v>
      </c>
      <c r="B48" s="122">
        <f>'Baseline data (from input)'!G34</f>
        <v>0</v>
      </c>
      <c r="C48" s="654">
        <f>'Baseline data (from input)'!C34*'Baseline data (from input)'!D34</f>
        <v>2761.0197644329687</v>
      </c>
      <c r="D48" s="673">
        <f>'Baseline data (from input)'!C34*'Baseline data (from input)'!E34</f>
        <v>3690.0464393899356</v>
      </c>
      <c r="E48" s="673">
        <f>'Baseline data (from input)'!C34*'Baseline data (from input)'!F34</f>
        <v>1238.4603196282969</v>
      </c>
      <c r="F48" s="673">
        <f>'Baseline data (from input)'!C34*'Baseline data (from input)'!G34</f>
        <v>0</v>
      </c>
      <c r="G48" s="673">
        <f>'Baseline data (from input)'!C34*'Baseline data (from input)'!H34</f>
        <v>0</v>
      </c>
      <c r="H48" s="673">
        <f>'Baseline data (from input)'!H34*'Baseline data (from input)'!I34</f>
        <v>0</v>
      </c>
      <c r="I48" s="673">
        <f>'Baseline data (from input)'!C34*'Baseline data (from input)'!J34</f>
        <v>6190.1840030487974</v>
      </c>
      <c r="J48" s="1165">
        <f t="shared" si="3"/>
        <v>13879.710526499999</v>
      </c>
      <c r="K48" s="117">
        <f>'Input data'!B76*'Baseline data (from input)'!E33*'Input data'!O76*'4C2 Open-burning '!B48*'4C2 Open-burning '!$C$14*'4C2 Open-burning '!$C$5*'4C2 Open-burning '!$C$6*'4C2 Open-burning '!$C$7</f>
        <v>0</v>
      </c>
      <c r="L48" s="118">
        <f>'Input data'!B76*'Baseline data (from input)'!E33*'Input data'!P76*'4C2 Open-burning '!B48*'4C2 Open-burning '!$C$15*'4C2 Open-burning '!$C$5*'4C2 Open-burning '!$C$6*'4C2 Open-burning '!$C$7</f>
        <v>0</v>
      </c>
      <c r="M48" s="118" t="e">
        <f>'Input data'!B76*'Baseline data (from input)'!E33*'Input data'!Q76*'4C2 Open-burning '!B48*'4C2 Open-burning '!#REF!*'4C2 Open-burning '!$C$5*'4C2 Open-burning '!$C$6*'4C2 Open-burning '!$C$7</f>
        <v>#REF!</v>
      </c>
      <c r="N48" s="118" t="e">
        <f>'Input data'!B76*'Baseline data (from input)'!E33*'Input data'!R76*'4C2 Open-burning '!B48*'4C2 Open-burning '!#REF!*'4C2 Open-burning '!$C$5*'4C2 Open-burning '!$C$6*'4C2 Open-burning '!$C$7</f>
        <v>#REF!</v>
      </c>
      <c r="O48" s="118" t="e">
        <f>'Input data'!B76*'Baseline data (from input)'!E33*'Input data'!S76*'4C2 Open-burning '!B48*'4C2 Open-burning '!#REF!*'4C2 Open-burning '!$C$5*'4C2 Open-burning '!$C$6*'4C2 Open-burning '!$C$7</f>
        <v>#REF!</v>
      </c>
      <c r="P48" s="118" t="e">
        <f>'Input data'!B76*'Baseline data (from input)'!E33*'Input data'!T76*'4C2 Open-burning '!B48*'4C2 Open-burning '!#REF!*'4C2 Open-burning '!$C$5*'4C2 Open-burning '!$C$6*'4C2 Open-burning '!$C$7</f>
        <v>#REF!</v>
      </c>
      <c r="Q48" s="118" t="e">
        <f>'Input data'!B76*'Baseline data (from input)'!E33*'Input data'!#REF!*'4C2 Open-burning '!B48*'4C2 Open-burning '!#REF!*'4C2 Open-burning '!$C$5*'4C2 Open-burning '!$C$6*'4C2 Open-burning '!$C$7</f>
        <v>#REF!</v>
      </c>
      <c r="R48" s="119" t="e">
        <f t="shared" si="0"/>
        <v>#REF!</v>
      </c>
      <c r="S48" s="117">
        <f>B48*'Input data'!B76*'Baseline data (from input)'!E33*'Input data'!O76*'4C2 Open-burning '!$C$9*'4C2 Open-burning '!$C$11*$C$5</f>
        <v>0</v>
      </c>
      <c r="T48" s="118">
        <f>B48*'Input data'!B76*'Baseline data (from input)'!E33*'Input data'!P76*'4C2 Open-burning '!$C$9*'4C2 Open-burning '!$C$11*$C$5</f>
        <v>0</v>
      </c>
      <c r="U48" s="118">
        <f>B48*'Input data'!B76*'Baseline data (from input)'!E33*'Input data'!Q76*'4C2 Open-burning '!$C$9*'4C2 Open-burning '!$C$11*$C$5</f>
        <v>0</v>
      </c>
      <c r="V48" s="118">
        <f>B48*'Input data'!B76*'Baseline data (from input)'!E33*'Input data'!R76*'4C2 Open-burning '!$C$9*'4C2 Open-burning '!$C$11*$C$5</f>
        <v>0</v>
      </c>
      <c r="W48" s="118">
        <f>B48*'Input data'!B76*'Baseline data (from input)'!E33*'Input data'!S76*'4C2 Open-burning '!$C$9*'4C2 Open-burning '!$C$11*$C$5</f>
        <v>0</v>
      </c>
      <c r="X48" s="118">
        <f>B48*'Input data'!B76*'Baseline data (from input)'!E33*'Input data'!T76*'4C2 Open-burning '!$C$9*'4C2 Open-burning '!$C$11*$C$5</f>
        <v>0</v>
      </c>
      <c r="Y48" s="118" t="e">
        <f>B48*'Input data'!B76*'Baseline data (from input)'!E33*'Input data'!#REF!*'4C2 Open-burning '!$C$9*'4C2 Open-burning '!$C$11*$C$5</f>
        <v>#REF!</v>
      </c>
      <c r="Z48" s="119" t="e">
        <f t="shared" si="1"/>
        <v>#REF!</v>
      </c>
      <c r="AA48" s="117">
        <f>B48*'Input data'!B76*'Baseline data (from input)'!E33*'Input data'!O76*'4C2 Open-burning '!$C$10*'4C2 Open-burning '!$C$11*$C$5</f>
        <v>0</v>
      </c>
      <c r="AB48" s="118">
        <f>B48*'Input data'!B76*'Baseline data (from input)'!E33*'Input data'!P76*'4C2 Open-burning '!$C$10*'4C2 Open-burning '!$C$11*$C$5</f>
        <v>0</v>
      </c>
      <c r="AC48" s="118">
        <f>B48*'Input data'!B76*'Baseline data (from input)'!E33*'Input data'!Q76*'4C2 Open-burning '!$C$10*'4C2 Open-burning '!$C$11*$C$5</f>
        <v>0</v>
      </c>
      <c r="AD48" s="118">
        <f>B48*'Input data'!B76*'Baseline data (from input)'!E33*'Input data'!R76*'4C2 Open-burning '!$C$10*'4C2 Open-burning '!$C$11*$C$5</f>
        <v>0</v>
      </c>
      <c r="AE48" s="118">
        <f>B48*'Input data'!B76*'Baseline data (from input)'!E33*'Input data'!S76*'4C2 Open-burning '!$C$10*'4C2 Open-burning '!$C$11*$C$5</f>
        <v>0</v>
      </c>
      <c r="AF48" s="118">
        <f>B48*'Input data'!B76*'Baseline data (from input)'!E33*'Input data'!T76*'4C2 Open-burning '!$C$10*'4C2 Open-burning '!$C$11*$C$5</f>
        <v>0</v>
      </c>
      <c r="AG48" s="118" t="e">
        <f>B48*'Input data'!B76*'Baseline data (from input)'!E33*'Input data'!#REF!*'4C2 Open-burning '!$C$10*'4C2 Open-burning '!$C$11*$C$5</f>
        <v>#REF!</v>
      </c>
      <c r="AH48" s="119" t="e">
        <f t="shared" si="2"/>
        <v>#REF!</v>
      </c>
      <c r="AI48" s="99"/>
      <c r="AJ48" s="99"/>
      <c r="AK48" s="99"/>
    </row>
    <row r="49" spans="1:37" ht="15" hidden="1" customHeight="1" thickBot="1">
      <c r="A49" s="575">
        <f>'Input data'!A77</f>
        <v>1979</v>
      </c>
      <c r="B49" s="122">
        <f>'Baseline data (from input)'!G35</f>
        <v>0</v>
      </c>
      <c r="C49" s="654">
        <f>'Baseline data (from input)'!C35*'Baseline data (from input)'!D35</f>
        <v>2822.4106800830436</v>
      </c>
      <c r="D49" s="673">
        <f>'Baseline data (from input)'!C35*'Baseline data (from input)'!E35</f>
        <v>3772.0941424247485</v>
      </c>
      <c r="E49" s="673">
        <f>'Baseline data (from input)'!C35*'Baseline data (from input)'!F35</f>
        <v>1265.9973238894308</v>
      </c>
      <c r="F49" s="673">
        <f>'Baseline data (from input)'!C35*'Baseline data (from input)'!G35</f>
        <v>0</v>
      </c>
      <c r="G49" s="673">
        <f>'Baseline data (from input)'!C35*'Baseline data (from input)'!H35</f>
        <v>0</v>
      </c>
      <c r="H49" s="673">
        <f>'Baseline data (from input)'!H35*'Baseline data (from input)'!I35</f>
        <v>0</v>
      </c>
      <c r="I49" s="673">
        <f>'Baseline data (from input)'!C35*'Baseline data (from input)'!J35</f>
        <v>6327.8219399027757</v>
      </c>
      <c r="J49" s="1165">
        <f t="shared" si="3"/>
        <v>14188.324086299999</v>
      </c>
      <c r="K49" s="117">
        <f>'Input data'!B77*'Baseline data (from input)'!E34*'Input data'!O77*'4C2 Open-burning '!B49*'4C2 Open-burning '!$C$14*'4C2 Open-burning '!$C$5*'4C2 Open-burning '!$C$6*'4C2 Open-burning '!$C$7</f>
        <v>0</v>
      </c>
      <c r="L49" s="118">
        <f>'Input data'!B77*'Baseline data (from input)'!E34*'Input data'!P77*'4C2 Open-burning '!B49*'4C2 Open-burning '!$C$15*'4C2 Open-burning '!$C$5*'4C2 Open-burning '!$C$6*'4C2 Open-burning '!$C$7</f>
        <v>0</v>
      </c>
      <c r="M49" s="118" t="e">
        <f>'Input data'!B77*'Baseline data (from input)'!E34*'Input data'!Q77*'4C2 Open-burning '!B49*'4C2 Open-burning '!#REF!*'4C2 Open-burning '!$C$5*'4C2 Open-burning '!$C$6*'4C2 Open-burning '!$C$7</f>
        <v>#REF!</v>
      </c>
      <c r="N49" s="118" t="e">
        <f>'Input data'!B77*'Baseline data (from input)'!E34*'Input data'!R77*'4C2 Open-burning '!B49*'4C2 Open-burning '!#REF!*'4C2 Open-burning '!$C$5*'4C2 Open-burning '!$C$6*'4C2 Open-burning '!$C$7</f>
        <v>#REF!</v>
      </c>
      <c r="O49" s="118" t="e">
        <f>'Input data'!B77*'Baseline data (from input)'!E34*'Input data'!S77*'4C2 Open-burning '!B49*'4C2 Open-burning '!#REF!*'4C2 Open-burning '!$C$5*'4C2 Open-burning '!$C$6*'4C2 Open-burning '!$C$7</f>
        <v>#REF!</v>
      </c>
      <c r="P49" s="118" t="e">
        <f>'Input data'!B77*'Baseline data (from input)'!E34*'Input data'!T77*'4C2 Open-burning '!B49*'4C2 Open-burning '!#REF!*'4C2 Open-burning '!$C$5*'4C2 Open-burning '!$C$6*'4C2 Open-burning '!$C$7</f>
        <v>#REF!</v>
      </c>
      <c r="Q49" s="118" t="e">
        <f>'Input data'!B77*'Baseline data (from input)'!E34*'Input data'!#REF!*'4C2 Open-burning '!B49*'4C2 Open-burning '!#REF!*'4C2 Open-burning '!$C$5*'4C2 Open-burning '!$C$6*'4C2 Open-burning '!$C$7</f>
        <v>#REF!</v>
      </c>
      <c r="R49" s="119" t="e">
        <f t="shared" si="0"/>
        <v>#REF!</v>
      </c>
      <c r="S49" s="117">
        <f>B49*'Input data'!B77*'Baseline data (from input)'!E34*'Input data'!O77*'4C2 Open-burning '!$C$9*'4C2 Open-burning '!$C$11*$C$5</f>
        <v>0</v>
      </c>
      <c r="T49" s="118">
        <f>B49*'Input data'!B77*'Baseline data (from input)'!E34*'Input data'!P77*'4C2 Open-burning '!$C$9*'4C2 Open-burning '!$C$11*$C$5</f>
        <v>0</v>
      </c>
      <c r="U49" s="118">
        <f>B49*'Input data'!B77*'Baseline data (from input)'!E34*'Input data'!Q77*'4C2 Open-burning '!$C$9*'4C2 Open-burning '!$C$11*$C$5</f>
        <v>0</v>
      </c>
      <c r="V49" s="118">
        <f>B49*'Input data'!B77*'Baseline data (from input)'!E34*'Input data'!R77*'4C2 Open-burning '!$C$9*'4C2 Open-burning '!$C$11*$C$5</f>
        <v>0</v>
      </c>
      <c r="W49" s="118">
        <f>B49*'Input data'!B77*'Baseline data (from input)'!E34*'Input data'!S77*'4C2 Open-burning '!$C$9*'4C2 Open-burning '!$C$11*$C$5</f>
        <v>0</v>
      </c>
      <c r="X49" s="118">
        <f>B49*'Input data'!B77*'Baseline data (from input)'!E34*'Input data'!T77*'4C2 Open-burning '!$C$9*'4C2 Open-burning '!$C$11*$C$5</f>
        <v>0</v>
      </c>
      <c r="Y49" s="118" t="e">
        <f>B49*'Input data'!B77*'Baseline data (from input)'!E34*'Input data'!#REF!*'4C2 Open-burning '!$C$9*'4C2 Open-burning '!$C$11*$C$5</f>
        <v>#REF!</v>
      </c>
      <c r="Z49" s="119" t="e">
        <f t="shared" si="1"/>
        <v>#REF!</v>
      </c>
      <c r="AA49" s="117">
        <f>B49*'Input data'!B77*'Baseline data (from input)'!E34*'Input data'!O77*'4C2 Open-burning '!$C$10*'4C2 Open-burning '!$C$11*$C$5</f>
        <v>0</v>
      </c>
      <c r="AB49" s="118">
        <f>B49*'Input data'!B77*'Baseline data (from input)'!E34*'Input data'!P77*'4C2 Open-burning '!$C$10*'4C2 Open-burning '!$C$11*$C$5</f>
        <v>0</v>
      </c>
      <c r="AC49" s="118">
        <f>B49*'Input data'!B77*'Baseline data (from input)'!E34*'Input data'!Q77*'4C2 Open-burning '!$C$10*'4C2 Open-burning '!$C$11*$C$5</f>
        <v>0</v>
      </c>
      <c r="AD49" s="118">
        <f>B49*'Input data'!B77*'Baseline data (from input)'!E34*'Input data'!R77*'4C2 Open-burning '!$C$10*'4C2 Open-burning '!$C$11*$C$5</f>
        <v>0</v>
      </c>
      <c r="AE49" s="118">
        <f>B49*'Input data'!B77*'Baseline data (from input)'!E34*'Input data'!S77*'4C2 Open-burning '!$C$10*'4C2 Open-burning '!$C$11*$C$5</f>
        <v>0</v>
      </c>
      <c r="AF49" s="118">
        <f>B49*'Input data'!B77*'Baseline data (from input)'!E34*'Input data'!T77*'4C2 Open-burning '!$C$10*'4C2 Open-burning '!$C$11*$C$5</f>
        <v>0</v>
      </c>
      <c r="AG49" s="118" t="e">
        <f>B49*'Input data'!B77*'Baseline data (from input)'!E34*'Input data'!#REF!*'4C2 Open-burning '!$C$10*'4C2 Open-burning '!$C$11*$C$5</f>
        <v>#REF!</v>
      </c>
      <c r="AH49" s="119" t="e">
        <f t="shared" si="2"/>
        <v>#REF!</v>
      </c>
      <c r="AI49" s="99"/>
      <c r="AJ49" s="99"/>
      <c r="AK49" s="99"/>
    </row>
    <row r="50" spans="1:37" ht="15" hidden="1" customHeight="1" thickBot="1">
      <c r="A50" s="575">
        <f>'Input data'!A78</f>
        <v>1980</v>
      </c>
      <c r="B50" s="122">
        <f>'Baseline data (from input)'!G36</f>
        <v>0</v>
      </c>
      <c r="C50" s="654">
        <f>'Baseline data (from input)'!C36*'Baseline data (from input)'!D36</f>
        <v>2888.9349658130736</v>
      </c>
      <c r="D50" s="673">
        <f>'Baseline data (from input)'!C36*'Baseline data (from input)'!E36</f>
        <v>3861.0024895699821</v>
      </c>
      <c r="E50" s="673">
        <f>'Baseline data (from input)'!C36*'Baseline data (from input)'!F36</f>
        <v>1295.836910418134</v>
      </c>
      <c r="F50" s="673">
        <f>'Baseline data (from input)'!C36*'Baseline data (from input)'!G36</f>
        <v>0</v>
      </c>
      <c r="G50" s="673">
        <f>'Baseline data (from input)'!C36*'Baseline data (from input)'!H36</f>
        <v>0</v>
      </c>
      <c r="H50" s="673">
        <f>'Baseline data (from input)'!H36*'Baseline data (from input)'!I36</f>
        <v>0</v>
      </c>
      <c r="I50" s="673">
        <f>'Baseline data (from input)'!C36*'Baseline data (from input)'!J36</f>
        <v>6476.9688509988118</v>
      </c>
      <c r="J50" s="1165">
        <f t="shared" si="3"/>
        <v>14522.743216800001</v>
      </c>
      <c r="K50" s="117">
        <f>'Input data'!B78*'Baseline data (from input)'!E35*'Input data'!O78*'4C2 Open-burning '!B50*'4C2 Open-burning '!$C$14*'4C2 Open-burning '!$C$5*'4C2 Open-burning '!$C$6*'4C2 Open-burning '!$C$7</f>
        <v>0</v>
      </c>
      <c r="L50" s="118">
        <f>'Input data'!B78*'Baseline data (from input)'!E35*'Input data'!P78*'4C2 Open-burning '!B50*'4C2 Open-burning '!$C$15*'4C2 Open-burning '!$C$5*'4C2 Open-burning '!$C$6*'4C2 Open-burning '!$C$7</f>
        <v>0</v>
      </c>
      <c r="M50" s="118" t="e">
        <f>'Input data'!B78*'Baseline data (from input)'!E35*'Input data'!Q78*'4C2 Open-burning '!B50*'4C2 Open-burning '!#REF!*'4C2 Open-burning '!$C$5*'4C2 Open-burning '!$C$6*'4C2 Open-burning '!$C$7</f>
        <v>#REF!</v>
      </c>
      <c r="N50" s="118" t="e">
        <f>'Input data'!B78*'Baseline data (from input)'!E35*'Input data'!R78*'4C2 Open-burning '!B50*'4C2 Open-burning '!#REF!*'4C2 Open-burning '!$C$5*'4C2 Open-burning '!$C$6*'4C2 Open-burning '!$C$7</f>
        <v>#REF!</v>
      </c>
      <c r="O50" s="118" t="e">
        <f>'Input data'!B78*'Baseline data (from input)'!E35*'Input data'!S78*'4C2 Open-burning '!B50*'4C2 Open-burning '!#REF!*'4C2 Open-burning '!$C$5*'4C2 Open-burning '!$C$6*'4C2 Open-burning '!$C$7</f>
        <v>#REF!</v>
      </c>
      <c r="P50" s="118" t="e">
        <f>'Input data'!B78*'Baseline data (from input)'!E35*'Input data'!T78*'4C2 Open-burning '!B50*'4C2 Open-burning '!#REF!*'4C2 Open-burning '!$C$5*'4C2 Open-burning '!$C$6*'4C2 Open-burning '!$C$7</f>
        <v>#REF!</v>
      </c>
      <c r="Q50" s="118" t="e">
        <f>'Input data'!B78*'Baseline data (from input)'!E35*'Input data'!#REF!*'4C2 Open-burning '!B50*'4C2 Open-burning '!#REF!*'4C2 Open-burning '!$C$5*'4C2 Open-burning '!$C$6*'4C2 Open-burning '!$C$7</f>
        <v>#REF!</v>
      </c>
      <c r="R50" s="119" t="e">
        <f t="shared" si="0"/>
        <v>#REF!</v>
      </c>
      <c r="S50" s="117">
        <f>B50*'Input data'!B78*'Baseline data (from input)'!E35*'Input data'!O78*'4C2 Open-burning '!$C$9*'4C2 Open-burning '!$C$11*$C$5</f>
        <v>0</v>
      </c>
      <c r="T50" s="118">
        <f>B50*'Input data'!B78*'Baseline data (from input)'!E35*'Input data'!P78*'4C2 Open-burning '!$C$9*'4C2 Open-burning '!$C$11*$C$5</f>
        <v>0</v>
      </c>
      <c r="U50" s="118">
        <f>B50*'Input data'!B78*'Baseline data (from input)'!E35*'Input data'!Q78*'4C2 Open-burning '!$C$9*'4C2 Open-burning '!$C$11*$C$5</f>
        <v>0</v>
      </c>
      <c r="V50" s="118">
        <f>B50*'Input data'!B78*'Baseline data (from input)'!E35*'Input data'!R78*'4C2 Open-burning '!$C$9*'4C2 Open-burning '!$C$11*$C$5</f>
        <v>0</v>
      </c>
      <c r="W50" s="118">
        <f>B50*'Input data'!B78*'Baseline data (from input)'!E35*'Input data'!S78*'4C2 Open-burning '!$C$9*'4C2 Open-burning '!$C$11*$C$5</f>
        <v>0</v>
      </c>
      <c r="X50" s="118">
        <f>B50*'Input data'!B78*'Baseline data (from input)'!E35*'Input data'!T78*'4C2 Open-burning '!$C$9*'4C2 Open-burning '!$C$11*$C$5</f>
        <v>0</v>
      </c>
      <c r="Y50" s="118" t="e">
        <f>B50*'Input data'!B78*'Baseline data (from input)'!E35*'Input data'!#REF!*'4C2 Open-burning '!$C$9*'4C2 Open-burning '!$C$11*$C$5</f>
        <v>#REF!</v>
      </c>
      <c r="Z50" s="119" t="e">
        <f t="shared" si="1"/>
        <v>#REF!</v>
      </c>
      <c r="AA50" s="117">
        <f>B50*'Input data'!B78*'Baseline data (from input)'!E35*'Input data'!O78*'4C2 Open-burning '!$C$10*'4C2 Open-burning '!$C$11*$C$5</f>
        <v>0</v>
      </c>
      <c r="AB50" s="118">
        <f>B50*'Input data'!B78*'Baseline data (from input)'!E35*'Input data'!P78*'4C2 Open-burning '!$C$10*'4C2 Open-burning '!$C$11*$C$5</f>
        <v>0</v>
      </c>
      <c r="AC50" s="118">
        <f>B50*'Input data'!B78*'Baseline data (from input)'!E35*'Input data'!Q78*'4C2 Open-burning '!$C$10*'4C2 Open-burning '!$C$11*$C$5</f>
        <v>0</v>
      </c>
      <c r="AD50" s="118">
        <f>B50*'Input data'!B78*'Baseline data (from input)'!E35*'Input data'!R78*'4C2 Open-burning '!$C$10*'4C2 Open-burning '!$C$11*$C$5</f>
        <v>0</v>
      </c>
      <c r="AE50" s="118">
        <f>B50*'Input data'!B78*'Baseline data (from input)'!E35*'Input data'!S78*'4C2 Open-burning '!$C$10*'4C2 Open-burning '!$C$11*$C$5</f>
        <v>0</v>
      </c>
      <c r="AF50" s="118">
        <f>B50*'Input data'!B78*'Baseline data (from input)'!E35*'Input data'!T78*'4C2 Open-burning '!$C$10*'4C2 Open-burning '!$C$11*$C$5</f>
        <v>0</v>
      </c>
      <c r="AG50" s="118" t="e">
        <f>B50*'Input data'!B78*'Baseline data (from input)'!E35*'Input data'!#REF!*'4C2 Open-burning '!$C$10*'4C2 Open-burning '!$C$11*$C$5</f>
        <v>#REF!</v>
      </c>
      <c r="AH50" s="119" t="e">
        <f t="shared" si="2"/>
        <v>#REF!</v>
      </c>
      <c r="AI50" s="99"/>
      <c r="AJ50" s="99"/>
      <c r="AK50" s="99"/>
    </row>
    <row r="51" spans="1:37" ht="15" hidden="1" customHeight="1" thickBot="1">
      <c r="A51" s="575">
        <f>'Input data'!A79</f>
        <v>1981</v>
      </c>
      <c r="B51" s="122">
        <f>'Baseline data (from input)'!G37</f>
        <v>0</v>
      </c>
      <c r="C51" s="654">
        <f>'Baseline data (from input)'!C37*'Baseline data (from input)'!D37</f>
        <v>2960.0688083495934</v>
      </c>
      <c r="D51" s="673">
        <f>'Baseline data (from input)'!C37*'Baseline data (from input)'!E37</f>
        <v>3956.0714151000807</v>
      </c>
      <c r="E51" s="673">
        <f>'Baseline data (from input)'!C37*'Baseline data (from input)'!F37</f>
        <v>1327.7441218401643</v>
      </c>
      <c r="F51" s="673">
        <f>'Baseline data (from input)'!C37*'Baseline data (from input)'!G37</f>
        <v>0</v>
      </c>
      <c r="G51" s="673">
        <f>'Baseline data (from input)'!C37*'Baseline data (from input)'!H37</f>
        <v>0</v>
      </c>
      <c r="H51" s="673">
        <f>'Baseline data (from input)'!H37*'Baseline data (from input)'!I37</f>
        <v>0</v>
      </c>
      <c r="I51" s="673">
        <f>'Baseline data (from input)'!C37*'Baseline data (from input)'!J37</f>
        <v>6636.450351210161</v>
      </c>
      <c r="J51" s="1165">
        <f t="shared" si="3"/>
        <v>14880.334696499998</v>
      </c>
      <c r="K51" s="117">
        <f>'Input data'!B79*'Baseline data (from input)'!E36*'Input data'!O79*'4C2 Open-burning '!B51*'4C2 Open-burning '!$C$14*'4C2 Open-burning '!$C$5*'4C2 Open-burning '!$C$6*'4C2 Open-burning '!$C$7</f>
        <v>0</v>
      </c>
      <c r="L51" s="118">
        <f>'Input data'!B79*'Baseline data (from input)'!E36*'Input data'!P79*'4C2 Open-burning '!B51*'4C2 Open-burning '!$C$15*'4C2 Open-burning '!$C$5*'4C2 Open-burning '!$C$6*'4C2 Open-burning '!$C$7</f>
        <v>0</v>
      </c>
      <c r="M51" s="118" t="e">
        <f>'Input data'!B79*'Baseline data (from input)'!E36*'Input data'!Q79*'4C2 Open-burning '!B51*'4C2 Open-burning '!#REF!*'4C2 Open-burning '!$C$5*'4C2 Open-burning '!$C$6*'4C2 Open-burning '!$C$7</f>
        <v>#REF!</v>
      </c>
      <c r="N51" s="118" t="e">
        <f>'Input data'!B79*'Baseline data (from input)'!E36*'Input data'!R79*'4C2 Open-burning '!B51*'4C2 Open-burning '!#REF!*'4C2 Open-burning '!$C$5*'4C2 Open-burning '!$C$6*'4C2 Open-burning '!$C$7</f>
        <v>#REF!</v>
      </c>
      <c r="O51" s="118" t="e">
        <f>'Input data'!B79*'Baseline data (from input)'!E36*'Input data'!S79*'4C2 Open-burning '!B51*'4C2 Open-burning '!#REF!*'4C2 Open-burning '!$C$5*'4C2 Open-burning '!$C$6*'4C2 Open-burning '!$C$7</f>
        <v>#REF!</v>
      </c>
      <c r="P51" s="118" t="e">
        <f>'Input data'!B79*'Baseline data (from input)'!E36*'Input data'!T79*'4C2 Open-burning '!B51*'4C2 Open-burning '!#REF!*'4C2 Open-burning '!$C$5*'4C2 Open-burning '!$C$6*'4C2 Open-burning '!$C$7</f>
        <v>#REF!</v>
      </c>
      <c r="Q51" s="118" t="e">
        <f>'Input data'!B79*'Baseline data (from input)'!E36*'Input data'!#REF!*'4C2 Open-burning '!B51*'4C2 Open-burning '!#REF!*'4C2 Open-burning '!$C$5*'4C2 Open-burning '!$C$6*'4C2 Open-burning '!$C$7</f>
        <v>#REF!</v>
      </c>
      <c r="R51" s="119" t="e">
        <f t="shared" si="0"/>
        <v>#REF!</v>
      </c>
      <c r="S51" s="117">
        <f>B51*'Input data'!B79*'Baseline data (from input)'!E36*'Input data'!O79*'4C2 Open-burning '!$C$9*'4C2 Open-burning '!$C$11*$C$5</f>
        <v>0</v>
      </c>
      <c r="T51" s="118">
        <f>B51*'Input data'!B79*'Baseline data (from input)'!E36*'Input data'!P79*'4C2 Open-burning '!$C$9*'4C2 Open-burning '!$C$11*$C$5</f>
        <v>0</v>
      </c>
      <c r="U51" s="118">
        <f>B51*'Input data'!B79*'Baseline data (from input)'!E36*'Input data'!Q79*'4C2 Open-burning '!$C$9*'4C2 Open-burning '!$C$11*$C$5</f>
        <v>0</v>
      </c>
      <c r="V51" s="118">
        <f>B51*'Input data'!B79*'Baseline data (from input)'!E36*'Input data'!R79*'4C2 Open-burning '!$C$9*'4C2 Open-burning '!$C$11*$C$5</f>
        <v>0</v>
      </c>
      <c r="W51" s="118">
        <f>B51*'Input data'!B79*'Baseline data (from input)'!E36*'Input data'!S79*'4C2 Open-burning '!$C$9*'4C2 Open-burning '!$C$11*$C$5</f>
        <v>0</v>
      </c>
      <c r="X51" s="118">
        <f>B51*'Input data'!B79*'Baseline data (from input)'!E36*'Input data'!T79*'4C2 Open-burning '!$C$9*'4C2 Open-burning '!$C$11*$C$5</f>
        <v>0</v>
      </c>
      <c r="Y51" s="118" t="e">
        <f>B51*'Input data'!B79*'Baseline data (from input)'!E36*'Input data'!#REF!*'4C2 Open-burning '!$C$9*'4C2 Open-burning '!$C$11*$C$5</f>
        <v>#REF!</v>
      </c>
      <c r="Z51" s="119" t="e">
        <f t="shared" si="1"/>
        <v>#REF!</v>
      </c>
      <c r="AA51" s="117">
        <f>B51*'Input data'!B79*'Baseline data (from input)'!E36*'Input data'!O79*'4C2 Open-burning '!$C$10*'4C2 Open-burning '!$C$11*$C$5</f>
        <v>0</v>
      </c>
      <c r="AB51" s="118">
        <f>B51*'Input data'!B79*'Baseline data (from input)'!E36*'Input data'!P79*'4C2 Open-burning '!$C$10*'4C2 Open-burning '!$C$11*$C$5</f>
        <v>0</v>
      </c>
      <c r="AC51" s="118">
        <f>B51*'Input data'!B79*'Baseline data (from input)'!E36*'Input data'!Q79*'4C2 Open-burning '!$C$10*'4C2 Open-burning '!$C$11*$C$5</f>
        <v>0</v>
      </c>
      <c r="AD51" s="118">
        <f>B51*'Input data'!B79*'Baseline data (from input)'!E36*'Input data'!R79*'4C2 Open-burning '!$C$10*'4C2 Open-burning '!$C$11*$C$5</f>
        <v>0</v>
      </c>
      <c r="AE51" s="118">
        <f>B51*'Input data'!B79*'Baseline data (from input)'!E36*'Input data'!S79*'4C2 Open-burning '!$C$10*'4C2 Open-burning '!$C$11*$C$5</f>
        <v>0</v>
      </c>
      <c r="AF51" s="118">
        <f>B51*'Input data'!B79*'Baseline data (from input)'!E36*'Input data'!T79*'4C2 Open-burning '!$C$10*'4C2 Open-burning '!$C$11*$C$5</f>
        <v>0</v>
      </c>
      <c r="AG51" s="118" t="e">
        <f>B51*'Input data'!B79*'Baseline data (from input)'!E36*'Input data'!#REF!*'4C2 Open-burning '!$C$10*'4C2 Open-burning '!$C$11*$C$5</f>
        <v>#REF!</v>
      </c>
      <c r="AH51" s="119" t="e">
        <f t="shared" si="2"/>
        <v>#REF!</v>
      </c>
      <c r="AI51" s="99"/>
      <c r="AJ51" s="99"/>
      <c r="AK51" s="99"/>
    </row>
    <row r="52" spans="1:37" ht="15" hidden="1" customHeight="1" thickBot="1">
      <c r="A52" s="575">
        <f>'Input data'!A80</f>
        <v>1982</v>
      </c>
      <c r="B52" s="122">
        <f>'Baseline data (from input)'!G38</f>
        <v>0</v>
      </c>
      <c r="C52" s="654">
        <f>'Baseline data (from input)'!C38*'Baseline data (from input)'!D38</f>
        <v>3035.1836317644465</v>
      </c>
      <c r="D52" s="673">
        <f>'Baseline data (from input)'!C38*'Baseline data (from input)'!E38</f>
        <v>4056.4608401443838</v>
      </c>
      <c r="E52" s="673">
        <f>'Baseline data (from input)'!C38*'Baseline data (from input)'!F38</f>
        <v>1361.4370093064324</v>
      </c>
      <c r="F52" s="673">
        <f>'Baseline data (from input)'!C38*'Baseline data (from input)'!G38</f>
        <v>0</v>
      </c>
      <c r="G52" s="673">
        <f>'Baseline data (from input)'!C38*'Baseline data (from input)'!H38</f>
        <v>0</v>
      </c>
      <c r="H52" s="673">
        <f>'Baseline data (from input)'!H38*'Baseline data (from input)'!I38</f>
        <v>0</v>
      </c>
      <c r="I52" s="673">
        <f>'Baseline data (from input)'!C38*'Baseline data (from input)'!J38</f>
        <v>6804.8571783847392</v>
      </c>
      <c r="J52" s="1165">
        <f t="shared" si="3"/>
        <v>15257.9386596</v>
      </c>
      <c r="K52" s="117">
        <f>'Input data'!B80*'Baseline data (from input)'!E37*'Input data'!O80*'4C2 Open-burning '!B52*'4C2 Open-burning '!$C$14*'4C2 Open-burning '!$C$5*'4C2 Open-burning '!$C$6*'4C2 Open-burning '!$C$7</f>
        <v>0</v>
      </c>
      <c r="L52" s="118">
        <f>'Input data'!B80*'Baseline data (from input)'!E37*'Input data'!P80*'4C2 Open-burning '!B52*'4C2 Open-burning '!$C$15*'4C2 Open-burning '!$C$5*'4C2 Open-burning '!$C$6*'4C2 Open-burning '!$C$7</f>
        <v>0</v>
      </c>
      <c r="M52" s="118" t="e">
        <f>'Input data'!B80*'Baseline data (from input)'!E37*'Input data'!Q80*'4C2 Open-burning '!B52*'4C2 Open-burning '!#REF!*'4C2 Open-burning '!$C$5*'4C2 Open-burning '!$C$6*'4C2 Open-burning '!$C$7</f>
        <v>#REF!</v>
      </c>
      <c r="N52" s="118" t="e">
        <f>'Input data'!B80*'Baseline data (from input)'!E37*'Input data'!R80*'4C2 Open-burning '!B52*'4C2 Open-burning '!#REF!*'4C2 Open-burning '!$C$5*'4C2 Open-burning '!$C$6*'4C2 Open-burning '!$C$7</f>
        <v>#REF!</v>
      </c>
      <c r="O52" s="118" t="e">
        <f>'Input data'!B80*'Baseline data (from input)'!E37*'Input data'!S80*'4C2 Open-burning '!B52*'4C2 Open-burning '!#REF!*'4C2 Open-burning '!$C$5*'4C2 Open-burning '!$C$6*'4C2 Open-burning '!$C$7</f>
        <v>#REF!</v>
      </c>
      <c r="P52" s="118" t="e">
        <f>'Input data'!B80*'Baseline data (from input)'!E37*'Input data'!T80*'4C2 Open-burning '!B52*'4C2 Open-burning '!#REF!*'4C2 Open-burning '!$C$5*'4C2 Open-burning '!$C$6*'4C2 Open-burning '!$C$7</f>
        <v>#REF!</v>
      </c>
      <c r="Q52" s="118" t="e">
        <f>'Input data'!B80*'Baseline data (from input)'!E37*'Input data'!#REF!*'4C2 Open-burning '!B52*'4C2 Open-burning '!#REF!*'4C2 Open-burning '!$C$5*'4C2 Open-burning '!$C$6*'4C2 Open-burning '!$C$7</f>
        <v>#REF!</v>
      </c>
      <c r="R52" s="119" t="e">
        <f t="shared" si="0"/>
        <v>#REF!</v>
      </c>
      <c r="S52" s="117">
        <f>B52*'Input data'!B80*'Baseline data (from input)'!E37*'Input data'!O80*'4C2 Open-burning '!$C$9*'4C2 Open-burning '!$C$11*$C$5</f>
        <v>0</v>
      </c>
      <c r="T52" s="118">
        <f>B52*'Input data'!B80*'Baseline data (from input)'!E37*'Input data'!P80*'4C2 Open-burning '!$C$9*'4C2 Open-burning '!$C$11*$C$5</f>
        <v>0</v>
      </c>
      <c r="U52" s="118">
        <f>B52*'Input data'!B80*'Baseline data (from input)'!E37*'Input data'!Q80*'4C2 Open-burning '!$C$9*'4C2 Open-burning '!$C$11*$C$5</f>
        <v>0</v>
      </c>
      <c r="V52" s="118">
        <f>B52*'Input data'!B80*'Baseline data (from input)'!E37*'Input data'!R80*'4C2 Open-burning '!$C$9*'4C2 Open-burning '!$C$11*$C$5</f>
        <v>0</v>
      </c>
      <c r="W52" s="118">
        <f>B52*'Input data'!B80*'Baseline data (from input)'!E37*'Input data'!S80*'4C2 Open-burning '!$C$9*'4C2 Open-burning '!$C$11*$C$5</f>
        <v>0</v>
      </c>
      <c r="X52" s="118">
        <f>B52*'Input data'!B80*'Baseline data (from input)'!E37*'Input data'!T80*'4C2 Open-burning '!$C$9*'4C2 Open-burning '!$C$11*$C$5</f>
        <v>0</v>
      </c>
      <c r="Y52" s="118" t="e">
        <f>B52*'Input data'!B80*'Baseline data (from input)'!E37*'Input data'!#REF!*'4C2 Open-burning '!$C$9*'4C2 Open-burning '!$C$11*$C$5</f>
        <v>#REF!</v>
      </c>
      <c r="Z52" s="119" t="e">
        <f t="shared" si="1"/>
        <v>#REF!</v>
      </c>
      <c r="AA52" s="117">
        <f>B52*'Input data'!B80*'Baseline data (from input)'!E37*'Input data'!O80*'4C2 Open-burning '!$C$10*'4C2 Open-burning '!$C$11*$C$5</f>
        <v>0</v>
      </c>
      <c r="AB52" s="118">
        <f>B52*'Input data'!B80*'Baseline data (from input)'!E37*'Input data'!P80*'4C2 Open-burning '!$C$10*'4C2 Open-burning '!$C$11*$C$5</f>
        <v>0</v>
      </c>
      <c r="AC52" s="118">
        <f>B52*'Input data'!B80*'Baseline data (from input)'!E37*'Input data'!Q80*'4C2 Open-burning '!$C$10*'4C2 Open-burning '!$C$11*$C$5</f>
        <v>0</v>
      </c>
      <c r="AD52" s="118">
        <f>B52*'Input data'!B80*'Baseline data (from input)'!E37*'Input data'!R80*'4C2 Open-burning '!$C$10*'4C2 Open-burning '!$C$11*$C$5</f>
        <v>0</v>
      </c>
      <c r="AE52" s="118">
        <f>B52*'Input data'!B80*'Baseline data (from input)'!E37*'Input data'!S80*'4C2 Open-burning '!$C$10*'4C2 Open-burning '!$C$11*$C$5</f>
        <v>0</v>
      </c>
      <c r="AF52" s="118">
        <f>B52*'Input data'!B80*'Baseline data (from input)'!E37*'Input data'!T80*'4C2 Open-burning '!$C$10*'4C2 Open-burning '!$C$11*$C$5</f>
        <v>0</v>
      </c>
      <c r="AG52" s="118" t="e">
        <f>B52*'Input data'!B80*'Baseline data (from input)'!E37*'Input data'!#REF!*'4C2 Open-burning '!$C$10*'4C2 Open-burning '!$C$11*$C$5</f>
        <v>#REF!</v>
      </c>
      <c r="AH52" s="119" t="e">
        <f t="shared" si="2"/>
        <v>#REF!</v>
      </c>
      <c r="AI52" s="99"/>
      <c r="AJ52" s="99"/>
      <c r="AK52" s="99"/>
    </row>
    <row r="53" spans="1:37" ht="15" hidden="1" customHeight="1" thickBot="1">
      <c r="A53" s="575">
        <f>'Input data'!A81</f>
        <v>1983</v>
      </c>
      <c r="B53" s="122">
        <f>'Baseline data (from input)'!G39</f>
        <v>0</v>
      </c>
      <c r="C53" s="654">
        <f>'Baseline data (from input)'!C39*'Baseline data (from input)'!D39</f>
        <v>3113.9651480935522</v>
      </c>
      <c r="D53" s="673">
        <f>'Baseline data (from input)'!C39*'Baseline data (from input)'!E39</f>
        <v>4161.7507252675568</v>
      </c>
      <c r="E53" s="673">
        <f>'Baseline data (from input)'!C39*'Baseline data (from input)'!F39</f>
        <v>1396.7745983923924</v>
      </c>
      <c r="F53" s="673">
        <f>'Baseline data (from input)'!C39*'Baseline data (from input)'!G39</f>
        <v>0</v>
      </c>
      <c r="G53" s="673">
        <f>'Baseline data (from input)'!C39*'Baseline data (from input)'!H39</f>
        <v>0</v>
      </c>
      <c r="H53" s="673">
        <f>'Baseline data (from input)'!H39*'Baseline data (from input)'!I39</f>
        <v>0</v>
      </c>
      <c r="I53" s="673">
        <f>'Baseline data (from input)'!C39*'Baseline data (from input)'!J39</f>
        <v>6981.4847014464995</v>
      </c>
      <c r="J53" s="1165">
        <f t="shared" si="3"/>
        <v>15653.9751732</v>
      </c>
      <c r="K53" s="117">
        <f>'Input data'!B81*'Baseline data (from input)'!E38*'Input data'!O81*'4C2 Open-burning '!B53*'4C2 Open-burning '!$C$14*'4C2 Open-burning '!$C$5*'4C2 Open-burning '!$C$6*'4C2 Open-burning '!$C$7</f>
        <v>0</v>
      </c>
      <c r="L53" s="118">
        <f>'Input data'!B81*'Baseline data (from input)'!E38*'Input data'!P81*'4C2 Open-burning '!B53*'4C2 Open-burning '!$C$15*'4C2 Open-burning '!$C$5*'4C2 Open-burning '!$C$6*'4C2 Open-burning '!$C$7</f>
        <v>0</v>
      </c>
      <c r="M53" s="118" t="e">
        <f>'Input data'!B81*'Baseline data (from input)'!E38*'Input data'!Q81*'4C2 Open-burning '!B53*'4C2 Open-burning '!#REF!*'4C2 Open-burning '!$C$5*'4C2 Open-burning '!$C$6*'4C2 Open-burning '!$C$7</f>
        <v>#REF!</v>
      </c>
      <c r="N53" s="118" t="e">
        <f>'Input data'!B81*'Baseline data (from input)'!E38*'Input data'!R81*'4C2 Open-burning '!B53*'4C2 Open-burning '!#REF!*'4C2 Open-burning '!$C$5*'4C2 Open-burning '!$C$6*'4C2 Open-burning '!$C$7</f>
        <v>#REF!</v>
      </c>
      <c r="O53" s="118" t="e">
        <f>'Input data'!B81*'Baseline data (from input)'!E38*'Input data'!S81*'4C2 Open-burning '!B53*'4C2 Open-burning '!#REF!*'4C2 Open-burning '!$C$5*'4C2 Open-burning '!$C$6*'4C2 Open-burning '!$C$7</f>
        <v>#REF!</v>
      </c>
      <c r="P53" s="118" t="e">
        <f>'Input data'!B81*'Baseline data (from input)'!E38*'Input data'!T81*'4C2 Open-burning '!B53*'4C2 Open-burning '!#REF!*'4C2 Open-burning '!$C$5*'4C2 Open-burning '!$C$6*'4C2 Open-burning '!$C$7</f>
        <v>#REF!</v>
      </c>
      <c r="Q53" s="118" t="e">
        <f>'Input data'!B81*'Baseline data (from input)'!E38*'Input data'!#REF!*'4C2 Open-burning '!B53*'4C2 Open-burning '!#REF!*'4C2 Open-burning '!$C$5*'4C2 Open-burning '!$C$6*'4C2 Open-burning '!$C$7</f>
        <v>#REF!</v>
      </c>
      <c r="R53" s="119" t="e">
        <f t="shared" si="0"/>
        <v>#REF!</v>
      </c>
      <c r="S53" s="117">
        <f>B53*'Input data'!B81*'Baseline data (from input)'!E38*'Input data'!O81*'4C2 Open-burning '!$C$9*'4C2 Open-burning '!$C$11*$C$5</f>
        <v>0</v>
      </c>
      <c r="T53" s="118">
        <f>B53*'Input data'!B81*'Baseline data (from input)'!E38*'Input data'!P81*'4C2 Open-burning '!$C$9*'4C2 Open-burning '!$C$11*$C$5</f>
        <v>0</v>
      </c>
      <c r="U53" s="118">
        <f>B53*'Input data'!B81*'Baseline data (from input)'!E38*'Input data'!Q81*'4C2 Open-burning '!$C$9*'4C2 Open-burning '!$C$11*$C$5</f>
        <v>0</v>
      </c>
      <c r="V53" s="118">
        <f>B53*'Input data'!B81*'Baseline data (from input)'!E38*'Input data'!R81*'4C2 Open-burning '!$C$9*'4C2 Open-burning '!$C$11*$C$5</f>
        <v>0</v>
      </c>
      <c r="W53" s="118">
        <f>B53*'Input data'!B81*'Baseline data (from input)'!E38*'Input data'!S81*'4C2 Open-burning '!$C$9*'4C2 Open-burning '!$C$11*$C$5</f>
        <v>0</v>
      </c>
      <c r="X53" s="118">
        <f>B53*'Input data'!B81*'Baseline data (from input)'!E38*'Input data'!T81*'4C2 Open-burning '!$C$9*'4C2 Open-burning '!$C$11*$C$5</f>
        <v>0</v>
      </c>
      <c r="Y53" s="118" t="e">
        <f>B53*'Input data'!B81*'Baseline data (from input)'!E38*'Input data'!#REF!*'4C2 Open-burning '!$C$9*'4C2 Open-burning '!$C$11*$C$5</f>
        <v>#REF!</v>
      </c>
      <c r="Z53" s="119" t="e">
        <f t="shared" si="1"/>
        <v>#REF!</v>
      </c>
      <c r="AA53" s="117">
        <f>B53*'Input data'!B81*'Baseline data (from input)'!E38*'Input data'!O81*'4C2 Open-burning '!$C$10*'4C2 Open-burning '!$C$11*$C$5</f>
        <v>0</v>
      </c>
      <c r="AB53" s="118">
        <f>B53*'Input data'!B81*'Baseline data (from input)'!E38*'Input data'!P81*'4C2 Open-burning '!$C$10*'4C2 Open-burning '!$C$11*$C$5</f>
        <v>0</v>
      </c>
      <c r="AC53" s="118">
        <f>B53*'Input data'!B81*'Baseline data (from input)'!E38*'Input data'!Q81*'4C2 Open-burning '!$C$10*'4C2 Open-burning '!$C$11*$C$5</f>
        <v>0</v>
      </c>
      <c r="AD53" s="118">
        <f>B53*'Input data'!B81*'Baseline data (from input)'!E38*'Input data'!R81*'4C2 Open-burning '!$C$10*'4C2 Open-burning '!$C$11*$C$5</f>
        <v>0</v>
      </c>
      <c r="AE53" s="118">
        <f>B53*'Input data'!B81*'Baseline data (from input)'!E38*'Input data'!S81*'4C2 Open-burning '!$C$10*'4C2 Open-burning '!$C$11*$C$5</f>
        <v>0</v>
      </c>
      <c r="AF53" s="118">
        <f>B53*'Input data'!B81*'Baseline data (from input)'!E38*'Input data'!T81*'4C2 Open-burning '!$C$10*'4C2 Open-burning '!$C$11*$C$5</f>
        <v>0</v>
      </c>
      <c r="AG53" s="118" t="e">
        <f>B53*'Input data'!B81*'Baseline data (from input)'!E38*'Input data'!#REF!*'4C2 Open-burning '!$C$10*'4C2 Open-burning '!$C$11*$C$5</f>
        <v>#REF!</v>
      </c>
      <c r="AH53" s="119" t="e">
        <f t="shared" si="2"/>
        <v>#REF!</v>
      </c>
      <c r="AI53" s="99"/>
      <c r="AJ53" s="99"/>
      <c r="AK53" s="99"/>
    </row>
    <row r="54" spans="1:37" ht="15" hidden="1" customHeight="1" thickBot="1">
      <c r="A54" s="575">
        <f>'Input data'!A82</f>
        <v>1984</v>
      </c>
      <c r="B54" s="122">
        <f>'Baseline data (from input)'!G40</f>
        <v>0</v>
      </c>
      <c r="C54" s="654">
        <f>'Baseline data (from input)'!C40*'Baseline data (from input)'!D40</f>
        <v>3195.784781408754</v>
      </c>
      <c r="D54" s="673">
        <f>'Baseline data (from input)'!C40*'Baseline data (from input)'!E40</f>
        <v>4271.1009915989362</v>
      </c>
      <c r="E54" s="673">
        <f>'Baseline data (from input)'!C40*'Baseline data (from input)'!F40</f>
        <v>1433.4749402489545</v>
      </c>
      <c r="F54" s="673">
        <f>'Baseline data (from input)'!C40*'Baseline data (from input)'!G40</f>
        <v>0</v>
      </c>
      <c r="G54" s="673">
        <f>'Baseline data (from input)'!C40*'Baseline data (from input)'!H40</f>
        <v>0</v>
      </c>
      <c r="H54" s="673">
        <f>'Baseline data (from input)'!H40*'Baseline data (from input)'!I40</f>
        <v>0</v>
      </c>
      <c r="I54" s="673">
        <f>'Baseline data (from input)'!C40*'Baseline data (from input)'!J40</f>
        <v>7164.9236582433532</v>
      </c>
      <c r="J54" s="1165">
        <f t="shared" si="3"/>
        <v>16065.284371499998</v>
      </c>
      <c r="K54" s="117">
        <f>'Input data'!B82*'Baseline data (from input)'!E39*'Input data'!O82*'4C2 Open-burning '!B54*'4C2 Open-burning '!$C$14*'4C2 Open-burning '!$C$5*'4C2 Open-burning '!$C$6*'4C2 Open-burning '!$C$7</f>
        <v>0</v>
      </c>
      <c r="L54" s="118">
        <f>'Input data'!B82*'Baseline data (from input)'!E39*'Input data'!P82*'4C2 Open-burning '!B54*'4C2 Open-burning '!$C$15*'4C2 Open-burning '!$C$5*'4C2 Open-burning '!$C$6*'4C2 Open-burning '!$C$7</f>
        <v>0</v>
      </c>
      <c r="M54" s="118" t="e">
        <f>'Input data'!B82*'Baseline data (from input)'!E39*'Input data'!Q82*'4C2 Open-burning '!B54*'4C2 Open-burning '!#REF!*'4C2 Open-burning '!$C$5*'4C2 Open-burning '!$C$6*'4C2 Open-burning '!$C$7</f>
        <v>#REF!</v>
      </c>
      <c r="N54" s="118" t="e">
        <f>'Input data'!B82*'Baseline data (from input)'!E39*'Input data'!R82*'4C2 Open-burning '!B54*'4C2 Open-burning '!#REF!*'4C2 Open-burning '!$C$5*'4C2 Open-burning '!$C$6*'4C2 Open-burning '!$C$7</f>
        <v>#REF!</v>
      </c>
      <c r="O54" s="118" t="e">
        <f>'Input data'!B82*'Baseline data (from input)'!E39*'Input data'!S82*'4C2 Open-burning '!B54*'4C2 Open-burning '!#REF!*'4C2 Open-burning '!$C$5*'4C2 Open-burning '!$C$6*'4C2 Open-burning '!$C$7</f>
        <v>#REF!</v>
      </c>
      <c r="P54" s="118" t="e">
        <f>'Input data'!B82*'Baseline data (from input)'!E39*'Input data'!T82*'4C2 Open-burning '!B54*'4C2 Open-burning '!#REF!*'4C2 Open-burning '!$C$5*'4C2 Open-burning '!$C$6*'4C2 Open-burning '!$C$7</f>
        <v>#REF!</v>
      </c>
      <c r="Q54" s="118" t="e">
        <f>'Input data'!B82*'Baseline data (from input)'!E39*'Input data'!#REF!*'4C2 Open-burning '!B54*'4C2 Open-burning '!#REF!*'4C2 Open-burning '!$C$5*'4C2 Open-burning '!$C$6*'4C2 Open-burning '!$C$7</f>
        <v>#REF!</v>
      </c>
      <c r="R54" s="119" t="e">
        <f t="shared" si="0"/>
        <v>#REF!</v>
      </c>
      <c r="S54" s="117">
        <f>B54*'Input data'!B82*'Baseline data (from input)'!E39*'Input data'!O82*'4C2 Open-burning '!$C$9*'4C2 Open-burning '!$C$11*$C$5</f>
        <v>0</v>
      </c>
      <c r="T54" s="118">
        <f>B54*'Input data'!B82*'Baseline data (from input)'!E39*'Input data'!P82*'4C2 Open-burning '!$C$9*'4C2 Open-burning '!$C$11*$C$5</f>
        <v>0</v>
      </c>
      <c r="U54" s="118">
        <f>B54*'Input data'!B82*'Baseline data (from input)'!E39*'Input data'!Q82*'4C2 Open-burning '!$C$9*'4C2 Open-burning '!$C$11*$C$5</f>
        <v>0</v>
      </c>
      <c r="V54" s="118">
        <f>B54*'Input data'!B82*'Baseline data (from input)'!E39*'Input data'!R82*'4C2 Open-burning '!$C$9*'4C2 Open-burning '!$C$11*$C$5</f>
        <v>0</v>
      </c>
      <c r="W54" s="118">
        <f>B54*'Input data'!B82*'Baseline data (from input)'!E39*'Input data'!S82*'4C2 Open-burning '!$C$9*'4C2 Open-burning '!$C$11*$C$5</f>
        <v>0</v>
      </c>
      <c r="X54" s="118">
        <f>B54*'Input data'!B82*'Baseline data (from input)'!E39*'Input data'!T82*'4C2 Open-burning '!$C$9*'4C2 Open-burning '!$C$11*$C$5</f>
        <v>0</v>
      </c>
      <c r="Y54" s="118" t="e">
        <f>B54*'Input data'!B82*'Baseline data (from input)'!E39*'Input data'!#REF!*'4C2 Open-burning '!$C$9*'4C2 Open-burning '!$C$11*$C$5</f>
        <v>#REF!</v>
      </c>
      <c r="Z54" s="119" t="e">
        <f t="shared" si="1"/>
        <v>#REF!</v>
      </c>
      <c r="AA54" s="117">
        <f>B54*'Input data'!B82*'Baseline data (from input)'!E39*'Input data'!O82*'4C2 Open-burning '!$C$10*'4C2 Open-burning '!$C$11*$C$5</f>
        <v>0</v>
      </c>
      <c r="AB54" s="118">
        <f>B54*'Input data'!B82*'Baseline data (from input)'!E39*'Input data'!P82*'4C2 Open-burning '!$C$10*'4C2 Open-burning '!$C$11*$C$5</f>
        <v>0</v>
      </c>
      <c r="AC54" s="118">
        <f>B54*'Input data'!B82*'Baseline data (from input)'!E39*'Input data'!Q82*'4C2 Open-burning '!$C$10*'4C2 Open-burning '!$C$11*$C$5</f>
        <v>0</v>
      </c>
      <c r="AD54" s="118">
        <f>B54*'Input data'!B82*'Baseline data (from input)'!E39*'Input data'!R82*'4C2 Open-burning '!$C$10*'4C2 Open-burning '!$C$11*$C$5</f>
        <v>0</v>
      </c>
      <c r="AE54" s="118">
        <f>B54*'Input data'!B82*'Baseline data (from input)'!E39*'Input data'!S82*'4C2 Open-burning '!$C$10*'4C2 Open-burning '!$C$11*$C$5</f>
        <v>0</v>
      </c>
      <c r="AF54" s="118">
        <f>B54*'Input data'!B82*'Baseline data (from input)'!E39*'Input data'!T82*'4C2 Open-burning '!$C$10*'4C2 Open-burning '!$C$11*$C$5</f>
        <v>0</v>
      </c>
      <c r="AG54" s="118" t="e">
        <f>B54*'Input data'!B82*'Baseline data (from input)'!E39*'Input data'!#REF!*'4C2 Open-burning '!$C$10*'4C2 Open-burning '!$C$11*$C$5</f>
        <v>#REF!</v>
      </c>
      <c r="AH54" s="119" t="e">
        <f t="shared" si="2"/>
        <v>#REF!</v>
      </c>
      <c r="AI54" s="99"/>
      <c r="AJ54" s="99"/>
      <c r="AK54" s="99"/>
    </row>
    <row r="55" spans="1:37" ht="15" hidden="1" customHeight="1" thickBot="1">
      <c r="A55" s="575">
        <f>'Input data'!A83</f>
        <v>1985</v>
      </c>
      <c r="B55" s="122">
        <f>'Baseline data (from input)'!G41</f>
        <v>0</v>
      </c>
      <c r="C55" s="654">
        <f>'Baseline data (from input)'!C41*'Baseline data (from input)'!D41</f>
        <v>3279.9091931272014</v>
      </c>
      <c r="D55" s="673">
        <f>'Baseline data (from input)'!C41*'Baseline data (from input)'!E41</f>
        <v>4383.5315471227514</v>
      </c>
      <c r="E55" s="673">
        <f>'Baseline data (from input)'!C41*'Baseline data (from input)'!F41</f>
        <v>1471.2090945521807</v>
      </c>
      <c r="F55" s="673">
        <f>'Baseline data (from input)'!C41*'Baseline data (from input)'!G41</f>
        <v>0</v>
      </c>
      <c r="G55" s="673">
        <f>'Baseline data (from input)'!C41*'Baseline data (from input)'!H41</f>
        <v>0</v>
      </c>
      <c r="H55" s="673">
        <f>'Baseline data (from input)'!H41*'Baseline data (from input)'!I41</f>
        <v>0</v>
      </c>
      <c r="I55" s="673">
        <f>'Baseline data (from input)'!C41*'Baseline data (from input)'!J41</f>
        <v>7353.5299095978671</v>
      </c>
      <c r="J55" s="1165">
        <f t="shared" si="3"/>
        <v>16488.1797444</v>
      </c>
      <c r="K55" s="117">
        <f>'Input data'!B83*'Baseline data (from input)'!E40*'Input data'!O83*'4C2 Open-burning '!B55*'4C2 Open-burning '!$C$14*'4C2 Open-burning '!$C$5*'4C2 Open-burning '!$C$6*'4C2 Open-burning '!$C$7</f>
        <v>0</v>
      </c>
      <c r="L55" s="118">
        <f>'Input data'!B83*'Baseline data (from input)'!E40*'Input data'!P83*'4C2 Open-burning '!B55*'4C2 Open-burning '!$C$15*'4C2 Open-burning '!$C$5*'4C2 Open-burning '!$C$6*'4C2 Open-burning '!$C$7</f>
        <v>0</v>
      </c>
      <c r="M55" s="118" t="e">
        <f>'Input data'!B83*'Baseline data (from input)'!E40*'Input data'!Q83*'4C2 Open-burning '!B55*'4C2 Open-burning '!#REF!*'4C2 Open-burning '!$C$5*'4C2 Open-burning '!$C$6*'4C2 Open-burning '!$C$7</f>
        <v>#REF!</v>
      </c>
      <c r="N55" s="118" t="e">
        <f>'Input data'!B83*'Baseline data (from input)'!E40*'Input data'!R83*'4C2 Open-burning '!B55*'4C2 Open-burning '!#REF!*'4C2 Open-burning '!$C$5*'4C2 Open-burning '!$C$6*'4C2 Open-burning '!$C$7</f>
        <v>#REF!</v>
      </c>
      <c r="O55" s="118" t="e">
        <f>'Input data'!B83*'Baseline data (from input)'!E40*'Input data'!S83*'4C2 Open-burning '!B55*'4C2 Open-burning '!#REF!*'4C2 Open-burning '!$C$5*'4C2 Open-burning '!$C$6*'4C2 Open-burning '!$C$7</f>
        <v>#REF!</v>
      </c>
      <c r="P55" s="118" t="e">
        <f>'Input data'!B83*'Baseline data (from input)'!E40*'Input data'!T83*'4C2 Open-burning '!B55*'4C2 Open-burning '!#REF!*'4C2 Open-burning '!$C$5*'4C2 Open-burning '!$C$6*'4C2 Open-burning '!$C$7</f>
        <v>#REF!</v>
      </c>
      <c r="Q55" s="118" t="e">
        <f>'Input data'!B83*'Baseline data (from input)'!E40*'Input data'!#REF!*'4C2 Open-burning '!B55*'4C2 Open-burning '!#REF!*'4C2 Open-burning '!$C$5*'4C2 Open-burning '!$C$6*'4C2 Open-burning '!$C$7</f>
        <v>#REF!</v>
      </c>
      <c r="R55" s="119" t="e">
        <f t="shared" si="0"/>
        <v>#REF!</v>
      </c>
      <c r="S55" s="117">
        <f>B55*'Input data'!B83*'Baseline data (from input)'!E40*'Input data'!O83*'4C2 Open-burning '!$C$9*'4C2 Open-burning '!$C$11*$C$5</f>
        <v>0</v>
      </c>
      <c r="T55" s="118">
        <f>B55*'Input data'!B83*'Baseline data (from input)'!E40*'Input data'!P83*'4C2 Open-burning '!$C$9*'4C2 Open-burning '!$C$11*$C$5</f>
        <v>0</v>
      </c>
      <c r="U55" s="118">
        <f>B55*'Input data'!B83*'Baseline data (from input)'!E40*'Input data'!Q83*'4C2 Open-burning '!$C$9*'4C2 Open-burning '!$C$11*$C$5</f>
        <v>0</v>
      </c>
      <c r="V55" s="118">
        <f>B55*'Input data'!B83*'Baseline data (from input)'!E40*'Input data'!R83*'4C2 Open-burning '!$C$9*'4C2 Open-burning '!$C$11*$C$5</f>
        <v>0</v>
      </c>
      <c r="W55" s="118">
        <f>B55*'Input data'!B83*'Baseline data (from input)'!E40*'Input data'!S83*'4C2 Open-burning '!$C$9*'4C2 Open-burning '!$C$11*$C$5</f>
        <v>0</v>
      </c>
      <c r="X55" s="118">
        <f>B55*'Input data'!B83*'Baseline data (from input)'!E40*'Input data'!T83*'4C2 Open-burning '!$C$9*'4C2 Open-burning '!$C$11*$C$5</f>
        <v>0</v>
      </c>
      <c r="Y55" s="118" t="e">
        <f>B55*'Input data'!B83*'Baseline data (from input)'!E40*'Input data'!#REF!*'4C2 Open-burning '!$C$9*'4C2 Open-burning '!$C$11*$C$5</f>
        <v>#REF!</v>
      </c>
      <c r="Z55" s="119" t="e">
        <f t="shared" si="1"/>
        <v>#REF!</v>
      </c>
      <c r="AA55" s="117">
        <f>B55*'Input data'!B83*'Baseline data (from input)'!E40*'Input data'!O83*'4C2 Open-burning '!$C$10*'4C2 Open-burning '!$C$11*$C$5</f>
        <v>0</v>
      </c>
      <c r="AB55" s="118">
        <f>B55*'Input data'!B83*'Baseline data (from input)'!E40*'Input data'!P83*'4C2 Open-burning '!$C$10*'4C2 Open-burning '!$C$11*$C$5</f>
        <v>0</v>
      </c>
      <c r="AC55" s="118">
        <f>B55*'Input data'!B83*'Baseline data (from input)'!E40*'Input data'!Q83*'4C2 Open-burning '!$C$10*'4C2 Open-burning '!$C$11*$C$5</f>
        <v>0</v>
      </c>
      <c r="AD55" s="118">
        <f>B55*'Input data'!B83*'Baseline data (from input)'!E40*'Input data'!R83*'4C2 Open-burning '!$C$10*'4C2 Open-burning '!$C$11*$C$5</f>
        <v>0</v>
      </c>
      <c r="AE55" s="118">
        <f>B55*'Input data'!B83*'Baseline data (from input)'!E40*'Input data'!S83*'4C2 Open-burning '!$C$10*'4C2 Open-burning '!$C$11*$C$5</f>
        <v>0</v>
      </c>
      <c r="AF55" s="118">
        <f>B55*'Input data'!B83*'Baseline data (from input)'!E40*'Input data'!T83*'4C2 Open-burning '!$C$10*'4C2 Open-burning '!$C$11*$C$5</f>
        <v>0</v>
      </c>
      <c r="AG55" s="118" t="e">
        <f>B55*'Input data'!B83*'Baseline data (from input)'!E40*'Input data'!#REF!*'4C2 Open-burning '!$C$10*'4C2 Open-burning '!$C$11*$C$5</f>
        <v>#REF!</v>
      </c>
      <c r="AH55" s="119" t="e">
        <f t="shared" si="2"/>
        <v>#REF!</v>
      </c>
      <c r="AI55" s="99"/>
      <c r="AJ55" s="99"/>
      <c r="AK55" s="99"/>
    </row>
    <row r="56" spans="1:37" ht="15" hidden="1" customHeight="1" thickBot="1">
      <c r="A56" s="575">
        <f>'Input data'!A84</f>
        <v>1986</v>
      </c>
      <c r="B56" s="122">
        <f>'Baseline data (from input)'!G42</f>
        <v>0</v>
      </c>
      <c r="C56" s="654">
        <f>'Baseline data (from input)'!C42*'Baseline data (from input)'!D42</f>
        <v>3365.081231392579</v>
      </c>
      <c r="D56" s="673">
        <f>'Baseline data (from input)'!C42*'Baseline data (from input)'!E42</f>
        <v>4497.3622340976717</v>
      </c>
      <c r="E56" s="673">
        <f>'Baseline data (from input)'!C42*'Baseline data (from input)'!F42</f>
        <v>1509.4131636038906</v>
      </c>
      <c r="F56" s="673">
        <f>'Baseline data (from input)'!C42*'Baseline data (from input)'!G42</f>
        <v>0</v>
      </c>
      <c r="G56" s="673">
        <f>'Baseline data (from input)'!C42*'Baseline data (from input)'!H42</f>
        <v>0</v>
      </c>
      <c r="H56" s="673">
        <f>'Baseline data (from input)'!H42*'Baseline data (from input)'!I42</f>
        <v>0</v>
      </c>
      <c r="I56" s="673">
        <f>'Baseline data (from input)'!C42*'Baseline data (from input)'!J42</f>
        <v>7544.4849312058614</v>
      </c>
      <c r="J56" s="1165">
        <f t="shared" si="3"/>
        <v>16916.341560300003</v>
      </c>
      <c r="K56" s="117">
        <f>'Input data'!B84*'Baseline data (from input)'!E41*'Input data'!O84*'4C2 Open-burning '!B56*'4C2 Open-burning '!$C$14*'4C2 Open-burning '!$C$5*'4C2 Open-burning '!$C$6*'4C2 Open-burning '!$C$7</f>
        <v>0</v>
      </c>
      <c r="L56" s="118">
        <f>'Input data'!B84*'Baseline data (from input)'!E41*'Input data'!P84*'4C2 Open-burning '!B56*'4C2 Open-burning '!$C$15*'4C2 Open-burning '!$C$5*'4C2 Open-burning '!$C$6*'4C2 Open-burning '!$C$7</f>
        <v>0</v>
      </c>
      <c r="M56" s="118" t="e">
        <f>'Input data'!B84*'Baseline data (from input)'!E41*'Input data'!Q84*'4C2 Open-burning '!B56*'4C2 Open-burning '!#REF!*'4C2 Open-burning '!$C$5*'4C2 Open-burning '!$C$6*'4C2 Open-burning '!$C$7</f>
        <v>#REF!</v>
      </c>
      <c r="N56" s="118" t="e">
        <f>'Input data'!B84*'Baseline data (from input)'!E41*'Input data'!R84*'4C2 Open-burning '!B56*'4C2 Open-burning '!#REF!*'4C2 Open-burning '!$C$5*'4C2 Open-burning '!$C$6*'4C2 Open-burning '!$C$7</f>
        <v>#REF!</v>
      </c>
      <c r="O56" s="118" t="e">
        <f>'Input data'!B84*'Baseline data (from input)'!E41*'Input data'!S84*'4C2 Open-burning '!B56*'4C2 Open-burning '!#REF!*'4C2 Open-burning '!$C$5*'4C2 Open-burning '!$C$6*'4C2 Open-burning '!$C$7</f>
        <v>#REF!</v>
      </c>
      <c r="P56" s="118" t="e">
        <f>'Input data'!B84*'Baseline data (from input)'!E41*'Input data'!T84*'4C2 Open-burning '!B56*'4C2 Open-burning '!#REF!*'4C2 Open-burning '!$C$5*'4C2 Open-burning '!$C$6*'4C2 Open-burning '!$C$7</f>
        <v>#REF!</v>
      </c>
      <c r="Q56" s="118" t="e">
        <f>'Input data'!B84*'Baseline data (from input)'!E41*'Input data'!#REF!*'4C2 Open-burning '!B56*'4C2 Open-burning '!#REF!*'4C2 Open-burning '!$C$5*'4C2 Open-burning '!$C$6*'4C2 Open-burning '!$C$7</f>
        <v>#REF!</v>
      </c>
      <c r="R56" s="119" t="e">
        <f t="shared" si="0"/>
        <v>#REF!</v>
      </c>
      <c r="S56" s="117">
        <f>B56*'Input data'!B84*'Baseline data (from input)'!E41*'Input data'!O84*'4C2 Open-burning '!$C$9*'4C2 Open-burning '!$C$11*$C$5</f>
        <v>0</v>
      </c>
      <c r="T56" s="118">
        <f>B56*'Input data'!B84*'Baseline data (from input)'!E41*'Input data'!P84*'4C2 Open-burning '!$C$9*'4C2 Open-burning '!$C$11*$C$5</f>
        <v>0</v>
      </c>
      <c r="U56" s="118">
        <f>B56*'Input data'!B84*'Baseline data (from input)'!E41*'Input data'!Q84*'4C2 Open-burning '!$C$9*'4C2 Open-burning '!$C$11*$C$5</f>
        <v>0</v>
      </c>
      <c r="V56" s="118">
        <f>B56*'Input data'!B84*'Baseline data (from input)'!E41*'Input data'!R84*'4C2 Open-burning '!$C$9*'4C2 Open-burning '!$C$11*$C$5</f>
        <v>0</v>
      </c>
      <c r="W56" s="118">
        <f>B56*'Input data'!B84*'Baseline data (from input)'!E41*'Input data'!S84*'4C2 Open-burning '!$C$9*'4C2 Open-burning '!$C$11*$C$5</f>
        <v>0</v>
      </c>
      <c r="X56" s="118">
        <f>B56*'Input data'!B84*'Baseline data (from input)'!E41*'Input data'!T84*'4C2 Open-burning '!$C$9*'4C2 Open-burning '!$C$11*$C$5</f>
        <v>0</v>
      </c>
      <c r="Y56" s="118" t="e">
        <f>B56*'Input data'!B84*'Baseline data (from input)'!E41*'Input data'!#REF!*'4C2 Open-burning '!$C$9*'4C2 Open-burning '!$C$11*$C$5</f>
        <v>#REF!</v>
      </c>
      <c r="Z56" s="119" t="e">
        <f t="shared" si="1"/>
        <v>#REF!</v>
      </c>
      <c r="AA56" s="117">
        <f>B56*'Input data'!B84*'Baseline data (from input)'!E41*'Input data'!O84*'4C2 Open-burning '!$C$10*'4C2 Open-burning '!$C$11*$C$5</f>
        <v>0</v>
      </c>
      <c r="AB56" s="118">
        <f>B56*'Input data'!B84*'Baseline data (from input)'!E41*'Input data'!P84*'4C2 Open-burning '!$C$10*'4C2 Open-burning '!$C$11*$C$5</f>
        <v>0</v>
      </c>
      <c r="AC56" s="118">
        <f>B56*'Input data'!B84*'Baseline data (from input)'!E41*'Input data'!Q84*'4C2 Open-burning '!$C$10*'4C2 Open-burning '!$C$11*$C$5</f>
        <v>0</v>
      </c>
      <c r="AD56" s="118">
        <f>B56*'Input data'!B84*'Baseline data (from input)'!E41*'Input data'!R84*'4C2 Open-burning '!$C$10*'4C2 Open-burning '!$C$11*$C$5</f>
        <v>0</v>
      </c>
      <c r="AE56" s="118">
        <f>B56*'Input data'!B84*'Baseline data (from input)'!E41*'Input data'!S84*'4C2 Open-burning '!$C$10*'4C2 Open-burning '!$C$11*$C$5</f>
        <v>0</v>
      </c>
      <c r="AF56" s="118">
        <f>B56*'Input data'!B84*'Baseline data (from input)'!E41*'Input data'!T84*'4C2 Open-burning '!$C$10*'4C2 Open-burning '!$C$11*$C$5</f>
        <v>0</v>
      </c>
      <c r="AG56" s="118" t="e">
        <f>B56*'Input data'!B84*'Baseline data (from input)'!E41*'Input data'!#REF!*'4C2 Open-burning '!$C$10*'4C2 Open-burning '!$C$11*$C$5</f>
        <v>#REF!</v>
      </c>
      <c r="AH56" s="119" t="e">
        <f t="shared" si="2"/>
        <v>#REF!</v>
      </c>
      <c r="AI56" s="99"/>
      <c r="AJ56" s="99"/>
      <c r="AK56" s="99"/>
    </row>
    <row r="57" spans="1:37" ht="15" hidden="1" customHeight="1" thickBot="1">
      <c r="A57" s="575">
        <f>'Input data'!A85</f>
        <v>1987</v>
      </c>
      <c r="B57" s="122">
        <f>'Baseline data (from input)'!G43</f>
        <v>0</v>
      </c>
      <c r="C57" s="654">
        <f>'Baseline data (from input)'!C43*'Baseline data (from input)'!D43</f>
        <v>3450.1485070032622</v>
      </c>
      <c r="D57" s="673">
        <f>'Baseline data (from input)'!C43*'Baseline data (from input)'!E43</f>
        <v>4611.0529079274811</v>
      </c>
      <c r="E57" s="673">
        <f>'Baseline data (from input)'!C43*'Baseline data (from input)'!F43</f>
        <v>1547.5702411807517</v>
      </c>
      <c r="F57" s="673">
        <f>'Baseline data (from input)'!C43*'Baseline data (from input)'!G43</f>
        <v>0</v>
      </c>
      <c r="G57" s="673">
        <f>'Baseline data (from input)'!C43*'Baseline data (from input)'!H43</f>
        <v>0</v>
      </c>
      <c r="H57" s="673">
        <f>'Baseline data (from input)'!H43*'Baseline data (from input)'!I43</f>
        <v>0</v>
      </c>
      <c r="I57" s="673">
        <f>'Baseline data (from input)'!C43*'Baseline data (from input)'!J43</f>
        <v>7735.2050757885063</v>
      </c>
      <c r="J57" s="1165">
        <f t="shared" si="3"/>
        <v>17343.976731900002</v>
      </c>
      <c r="K57" s="117">
        <f>'Input data'!B85*'Baseline data (from input)'!E42*'Input data'!O85*'4C2 Open-burning '!B57*'4C2 Open-burning '!$C$14*'4C2 Open-burning '!$C$5*'4C2 Open-burning '!$C$6*'4C2 Open-burning '!$C$7</f>
        <v>0</v>
      </c>
      <c r="L57" s="118">
        <f>'Input data'!B85*'Baseline data (from input)'!E42*'Input data'!P85*'4C2 Open-burning '!B57*'4C2 Open-burning '!$C$15*'4C2 Open-burning '!$C$5*'4C2 Open-burning '!$C$6*'4C2 Open-burning '!$C$7</f>
        <v>0</v>
      </c>
      <c r="M57" s="118" t="e">
        <f>'Input data'!B85*'Baseline data (from input)'!E42*'Input data'!Q85*'4C2 Open-burning '!B57*'4C2 Open-burning '!#REF!*'4C2 Open-burning '!$C$5*'4C2 Open-burning '!$C$6*'4C2 Open-burning '!$C$7</f>
        <v>#REF!</v>
      </c>
      <c r="N57" s="118" t="e">
        <f>'Input data'!B85*'Baseline data (from input)'!E42*'Input data'!R85*'4C2 Open-burning '!B57*'4C2 Open-burning '!#REF!*'4C2 Open-burning '!$C$5*'4C2 Open-burning '!$C$6*'4C2 Open-burning '!$C$7</f>
        <v>#REF!</v>
      </c>
      <c r="O57" s="118" t="e">
        <f>'Input data'!B85*'Baseline data (from input)'!E42*'Input data'!S85*'4C2 Open-burning '!B57*'4C2 Open-burning '!#REF!*'4C2 Open-burning '!$C$5*'4C2 Open-burning '!$C$6*'4C2 Open-burning '!$C$7</f>
        <v>#REF!</v>
      </c>
      <c r="P57" s="118" t="e">
        <f>'Input data'!B85*'Baseline data (from input)'!E42*'Input data'!T85*'4C2 Open-burning '!B57*'4C2 Open-burning '!#REF!*'4C2 Open-burning '!$C$5*'4C2 Open-burning '!$C$6*'4C2 Open-burning '!$C$7</f>
        <v>#REF!</v>
      </c>
      <c r="Q57" s="118" t="e">
        <f>'Input data'!B85*'Baseline data (from input)'!E42*'Input data'!#REF!*'4C2 Open-burning '!B57*'4C2 Open-burning '!#REF!*'4C2 Open-burning '!$C$5*'4C2 Open-burning '!$C$6*'4C2 Open-burning '!$C$7</f>
        <v>#REF!</v>
      </c>
      <c r="R57" s="119" t="e">
        <f t="shared" si="0"/>
        <v>#REF!</v>
      </c>
      <c r="S57" s="117">
        <f>B57*'Input data'!B85*'Baseline data (from input)'!E42*'Input data'!O85*'4C2 Open-burning '!$C$9*'4C2 Open-burning '!$C$11*$C$5</f>
        <v>0</v>
      </c>
      <c r="T57" s="118">
        <f>B57*'Input data'!B85*'Baseline data (from input)'!E42*'Input data'!P85*'4C2 Open-burning '!$C$9*'4C2 Open-burning '!$C$11*$C$5</f>
        <v>0</v>
      </c>
      <c r="U57" s="118">
        <f>B57*'Input data'!B85*'Baseline data (from input)'!E42*'Input data'!Q85*'4C2 Open-burning '!$C$9*'4C2 Open-burning '!$C$11*$C$5</f>
        <v>0</v>
      </c>
      <c r="V57" s="118">
        <f>B57*'Input data'!B85*'Baseline data (from input)'!E42*'Input data'!R85*'4C2 Open-burning '!$C$9*'4C2 Open-burning '!$C$11*$C$5</f>
        <v>0</v>
      </c>
      <c r="W57" s="118">
        <f>B57*'Input data'!B85*'Baseline data (from input)'!E42*'Input data'!S85*'4C2 Open-burning '!$C$9*'4C2 Open-burning '!$C$11*$C$5</f>
        <v>0</v>
      </c>
      <c r="X57" s="118">
        <f>B57*'Input data'!B85*'Baseline data (from input)'!E42*'Input data'!T85*'4C2 Open-burning '!$C$9*'4C2 Open-burning '!$C$11*$C$5</f>
        <v>0</v>
      </c>
      <c r="Y57" s="118" t="e">
        <f>B57*'Input data'!B85*'Baseline data (from input)'!E42*'Input data'!#REF!*'4C2 Open-burning '!$C$9*'4C2 Open-burning '!$C$11*$C$5</f>
        <v>#REF!</v>
      </c>
      <c r="Z57" s="119" t="e">
        <f t="shared" si="1"/>
        <v>#REF!</v>
      </c>
      <c r="AA57" s="117">
        <f>B57*'Input data'!B85*'Baseline data (from input)'!E42*'Input data'!O85*'4C2 Open-burning '!$C$10*'4C2 Open-burning '!$C$11*$C$5</f>
        <v>0</v>
      </c>
      <c r="AB57" s="118">
        <f>B57*'Input data'!B85*'Baseline data (from input)'!E42*'Input data'!P85*'4C2 Open-burning '!$C$10*'4C2 Open-burning '!$C$11*$C$5</f>
        <v>0</v>
      </c>
      <c r="AC57" s="118">
        <f>B57*'Input data'!B85*'Baseline data (from input)'!E42*'Input data'!Q85*'4C2 Open-burning '!$C$10*'4C2 Open-burning '!$C$11*$C$5</f>
        <v>0</v>
      </c>
      <c r="AD57" s="118">
        <f>B57*'Input data'!B85*'Baseline data (from input)'!E42*'Input data'!R85*'4C2 Open-burning '!$C$10*'4C2 Open-burning '!$C$11*$C$5</f>
        <v>0</v>
      </c>
      <c r="AE57" s="118">
        <f>B57*'Input data'!B85*'Baseline data (from input)'!E42*'Input data'!S85*'4C2 Open-burning '!$C$10*'4C2 Open-burning '!$C$11*$C$5</f>
        <v>0</v>
      </c>
      <c r="AF57" s="118">
        <f>B57*'Input data'!B85*'Baseline data (from input)'!E42*'Input data'!T85*'4C2 Open-burning '!$C$10*'4C2 Open-burning '!$C$11*$C$5</f>
        <v>0</v>
      </c>
      <c r="AG57" s="118" t="e">
        <f>B57*'Input data'!B85*'Baseline data (from input)'!E42*'Input data'!#REF!*'4C2 Open-burning '!$C$10*'4C2 Open-burning '!$C$11*$C$5</f>
        <v>#REF!</v>
      </c>
      <c r="AH57" s="119" t="e">
        <f t="shared" si="2"/>
        <v>#REF!</v>
      </c>
      <c r="AI57" s="99"/>
      <c r="AJ57" s="99"/>
      <c r="AK57" s="99"/>
    </row>
    <row r="58" spans="1:37" ht="15" hidden="1" customHeight="1" thickBot="1">
      <c r="A58" s="575">
        <f>'Input data'!A86</f>
        <v>1988</v>
      </c>
      <c r="B58" s="122">
        <f>'Baseline data (from input)'!G44</f>
        <v>0</v>
      </c>
      <c r="C58" s="654">
        <f>'Baseline data (from input)'!C44*'Baseline data (from input)'!D44</f>
        <v>3533.4348174841662</v>
      </c>
      <c r="D58" s="673">
        <f>'Baseline data (from input)'!C44*'Baseline data (from input)'!E44</f>
        <v>4722.3633582904104</v>
      </c>
      <c r="E58" s="673">
        <f>'Baseline data (from input)'!C44*'Baseline data (from input)'!F44</f>
        <v>1584.928463685191</v>
      </c>
      <c r="F58" s="673">
        <f>'Baseline data (from input)'!C44*'Baseline data (from input)'!G44</f>
        <v>0</v>
      </c>
      <c r="G58" s="673">
        <f>'Baseline data (from input)'!C44*'Baseline data (from input)'!H44</f>
        <v>0</v>
      </c>
      <c r="H58" s="673">
        <f>'Baseline data (from input)'!H44*'Baseline data (from input)'!I44</f>
        <v>0</v>
      </c>
      <c r="I58" s="673">
        <f>'Baseline data (from input)'!C44*'Baseline data (from input)'!J44</f>
        <v>7921.9323109402358</v>
      </c>
      <c r="J58" s="1165">
        <f t="shared" si="3"/>
        <v>17762.658950400004</v>
      </c>
      <c r="K58" s="117">
        <f>'Input data'!B86*'Baseline data (from input)'!E43*'Input data'!O86*'4C2 Open-burning '!B58*'4C2 Open-burning '!$C$14*'4C2 Open-burning '!$C$5*'4C2 Open-burning '!$C$6*'4C2 Open-burning '!$C$7</f>
        <v>0</v>
      </c>
      <c r="L58" s="118">
        <f>'Input data'!B86*'Baseline data (from input)'!E43*'Input data'!P86*'4C2 Open-burning '!B58*'4C2 Open-burning '!$C$15*'4C2 Open-burning '!$C$5*'4C2 Open-burning '!$C$6*'4C2 Open-burning '!$C$7</f>
        <v>0</v>
      </c>
      <c r="M58" s="118" t="e">
        <f>'Input data'!B86*'Baseline data (from input)'!E43*'Input data'!Q86*'4C2 Open-burning '!B58*'4C2 Open-burning '!#REF!*'4C2 Open-burning '!$C$5*'4C2 Open-burning '!$C$6*'4C2 Open-burning '!$C$7</f>
        <v>#REF!</v>
      </c>
      <c r="N58" s="118" t="e">
        <f>'Input data'!B86*'Baseline data (from input)'!E43*'Input data'!R86*'4C2 Open-burning '!B58*'4C2 Open-burning '!#REF!*'4C2 Open-burning '!$C$5*'4C2 Open-burning '!$C$6*'4C2 Open-burning '!$C$7</f>
        <v>#REF!</v>
      </c>
      <c r="O58" s="118" t="e">
        <f>'Input data'!B86*'Baseline data (from input)'!E43*'Input data'!S86*'4C2 Open-burning '!B58*'4C2 Open-burning '!#REF!*'4C2 Open-burning '!$C$5*'4C2 Open-burning '!$C$6*'4C2 Open-burning '!$C$7</f>
        <v>#REF!</v>
      </c>
      <c r="P58" s="118" t="e">
        <f>'Input data'!B86*'Baseline data (from input)'!E43*'Input data'!T86*'4C2 Open-burning '!B58*'4C2 Open-burning '!#REF!*'4C2 Open-burning '!$C$5*'4C2 Open-burning '!$C$6*'4C2 Open-burning '!$C$7</f>
        <v>#REF!</v>
      </c>
      <c r="Q58" s="118" t="e">
        <f>'Input data'!B86*'Baseline data (from input)'!E43*'Input data'!#REF!*'4C2 Open-burning '!B58*'4C2 Open-burning '!#REF!*'4C2 Open-burning '!$C$5*'4C2 Open-burning '!$C$6*'4C2 Open-burning '!$C$7</f>
        <v>#REF!</v>
      </c>
      <c r="R58" s="119" t="e">
        <f t="shared" si="0"/>
        <v>#REF!</v>
      </c>
      <c r="S58" s="117">
        <f>B58*'Input data'!B86*'Baseline data (from input)'!E43*'Input data'!O86*'4C2 Open-burning '!$C$9*'4C2 Open-burning '!$C$11*$C$5</f>
        <v>0</v>
      </c>
      <c r="T58" s="118">
        <f>B58*'Input data'!B86*'Baseline data (from input)'!E43*'Input data'!P86*'4C2 Open-burning '!$C$9*'4C2 Open-burning '!$C$11*$C$5</f>
        <v>0</v>
      </c>
      <c r="U58" s="118">
        <f>B58*'Input data'!B86*'Baseline data (from input)'!E43*'Input data'!Q86*'4C2 Open-burning '!$C$9*'4C2 Open-burning '!$C$11*$C$5</f>
        <v>0</v>
      </c>
      <c r="V58" s="118">
        <f>B58*'Input data'!B86*'Baseline data (from input)'!E43*'Input data'!R86*'4C2 Open-burning '!$C$9*'4C2 Open-burning '!$C$11*$C$5</f>
        <v>0</v>
      </c>
      <c r="W58" s="118">
        <f>B58*'Input data'!B86*'Baseline data (from input)'!E43*'Input data'!S86*'4C2 Open-burning '!$C$9*'4C2 Open-burning '!$C$11*$C$5</f>
        <v>0</v>
      </c>
      <c r="X58" s="118">
        <f>B58*'Input data'!B86*'Baseline data (from input)'!E43*'Input data'!T86*'4C2 Open-burning '!$C$9*'4C2 Open-burning '!$C$11*$C$5</f>
        <v>0</v>
      </c>
      <c r="Y58" s="118" t="e">
        <f>B58*'Input data'!B86*'Baseline data (from input)'!E43*'Input data'!#REF!*'4C2 Open-burning '!$C$9*'4C2 Open-burning '!$C$11*$C$5</f>
        <v>#REF!</v>
      </c>
      <c r="Z58" s="119" t="e">
        <f t="shared" si="1"/>
        <v>#REF!</v>
      </c>
      <c r="AA58" s="117">
        <f>B58*'Input data'!B86*'Baseline data (from input)'!E43*'Input data'!O86*'4C2 Open-burning '!$C$10*'4C2 Open-burning '!$C$11*$C$5</f>
        <v>0</v>
      </c>
      <c r="AB58" s="118">
        <f>B58*'Input data'!B86*'Baseline data (from input)'!E43*'Input data'!P86*'4C2 Open-burning '!$C$10*'4C2 Open-burning '!$C$11*$C$5</f>
        <v>0</v>
      </c>
      <c r="AC58" s="118">
        <f>B58*'Input data'!B86*'Baseline data (from input)'!E43*'Input data'!Q86*'4C2 Open-burning '!$C$10*'4C2 Open-burning '!$C$11*$C$5</f>
        <v>0</v>
      </c>
      <c r="AD58" s="118">
        <f>B58*'Input data'!B86*'Baseline data (from input)'!E43*'Input data'!R86*'4C2 Open-burning '!$C$10*'4C2 Open-burning '!$C$11*$C$5</f>
        <v>0</v>
      </c>
      <c r="AE58" s="118">
        <f>B58*'Input data'!B86*'Baseline data (from input)'!E43*'Input data'!S86*'4C2 Open-burning '!$C$10*'4C2 Open-burning '!$C$11*$C$5</f>
        <v>0</v>
      </c>
      <c r="AF58" s="118">
        <f>B58*'Input data'!B86*'Baseline data (from input)'!E43*'Input data'!T86*'4C2 Open-burning '!$C$10*'4C2 Open-burning '!$C$11*$C$5</f>
        <v>0</v>
      </c>
      <c r="AG58" s="118" t="e">
        <f>B58*'Input data'!B86*'Baseline data (from input)'!E43*'Input data'!#REF!*'4C2 Open-burning '!$C$10*'4C2 Open-burning '!$C$11*$C$5</f>
        <v>#REF!</v>
      </c>
      <c r="AH58" s="119" t="e">
        <f t="shared" si="2"/>
        <v>#REF!</v>
      </c>
      <c r="AI58" s="99"/>
      <c r="AJ58" s="99"/>
      <c r="AK58" s="99"/>
    </row>
    <row r="59" spans="1:37" ht="15" hidden="1" customHeight="1" thickBot="1">
      <c r="A59" s="575">
        <f>'Input data'!A87</f>
        <v>1989</v>
      </c>
      <c r="B59" s="122">
        <f>'Baseline data (from input)'!G45</f>
        <v>0</v>
      </c>
      <c r="C59" s="654">
        <f>'Baseline data (from input)'!C45*'Baseline data (from input)'!D45</f>
        <v>3613.3687230148944</v>
      </c>
      <c r="D59" s="673">
        <f>'Baseline data (from input)'!C45*'Baseline data (from input)'!E45</f>
        <v>4829.1933880097995</v>
      </c>
      <c r="E59" s="673">
        <f>'Baseline data (from input)'!C45*'Baseline data (from input)'!F45</f>
        <v>1620.7829589944829</v>
      </c>
      <c r="F59" s="673">
        <f>'Baseline data (from input)'!C45*'Baseline data (from input)'!G45</f>
        <v>0</v>
      </c>
      <c r="G59" s="673">
        <f>'Baseline data (from input)'!C45*'Baseline data (from input)'!H45</f>
        <v>0</v>
      </c>
      <c r="H59" s="673">
        <f>'Baseline data (from input)'!H45*'Baseline data (from input)'!I45</f>
        <v>0</v>
      </c>
      <c r="I59" s="673">
        <f>'Baseline data (from input)'!C45*'Baseline data (from input)'!J45</f>
        <v>8101.1434812808238</v>
      </c>
      <c r="J59" s="1165">
        <f t="shared" si="3"/>
        <v>18164.488551300001</v>
      </c>
      <c r="K59" s="117">
        <f>'Input data'!B87*'Baseline data (from input)'!E44*'Input data'!O87*'4C2 Open-burning '!B59*'4C2 Open-burning '!$C$14*'4C2 Open-burning '!$C$5*'4C2 Open-burning '!$C$6*'4C2 Open-burning '!$C$7</f>
        <v>0</v>
      </c>
      <c r="L59" s="118">
        <f>'Input data'!B87*'Baseline data (from input)'!E44*'Input data'!P87*'4C2 Open-burning '!B59*'4C2 Open-burning '!$C$15*'4C2 Open-burning '!$C$5*'4C2 Open-burning '!$C$6*'4C2 Open-burning '!$C$7</f>
        <v>0</v>
      </c>
      <c r="M59" s="118" t="e">
        <f>'Input data'!B87*'Baseline data (from input)'!E44*'Input data'!Q87*'4C2 Open-burning '!B59*'4C2 Open-burning '!#REF!*'4C2 Open-burning '!$C$5*'4C2 Open-burning '!$C$6*'4C2 Open-burning '!$C$7</f>
        <v>#REF!</v>
      </c>
      <c r="N59" s="118" t="e">
        <f>'Input data'!B87*'Baseline data (from input)'!E44*'Input data'!R87*'4C2 Open-burning '!B59*'4C2 Open-burning '!#REF!*'4C2 Open-burning '!$C$5*'4C2 Open-burning '!$C$6*'4C2 Open-burning '!$C$7</f>
        <v>#REF!</v>
      </c>
      <c r="O59" s="118" t="e">
        <f>'Input data'!B87*'Baseline data (from input)'!E44*'Input data'!S87*'4C2 Open-burning '!B59*'4C2 Open-burning '!#REF!*'4C2 Open-burning '!$C$5*'4C2 Open-burning '!$C$6*'4C2 Open-burning '!$C$7</f>
        <v>#REF!</v>
      </c>
      <c r="P59" s="118" t="e">
        <f>'Input data'!B87*'Baseline data (from input)'!E44*'Input data'!T87*'4C2 Open-burning '!B59*'4C2 Open-burning '!#REF!*'4C2 Open-burning '!$C$5*'4C2 Open-burning '!$C$6*'4C2 Open-burning '!$C$7</f>
        <v>#REF!</v>
      </c>
      <c r="Q59" s="118" t="e">
        <f>'Input data'!B87*'Baseline data (from input)'!E44*'Input data'!#REF!*'4C2 Open-burning '!B59*'4C2 Open-burning '!#REF!*'4C2 Open-burning '!$C$5*'4C2 Open-burning '!$C$6*'4C2 Open-burning '!$C$7</f>
        <v>#REF!</v>
      </c>
      <c r="R59" s="119" t="e">
        <f t="shared" si="0"/>
        <v>#REF!</v>
      </c>
      <c r="S59" s="117">
        <f>B59*'Input data'!B87*'Baseline data (from input)'!E44*'Input data'!O87*'4C2 Open-burning '!$C$9*'4C2 Open-burning '!$C$11*$C$5</f>
        <v>0</v>
      </c>
      <c r="T59" s="118">
        <f>B59*'Input data'!B87*'Baseline data (from input)'!E44*'Input data'!P87*'4C2 Open-burning '!$C$9*'4C2 Open-burning '!$C$11*$C$5</f>
        <v>0</v>
      </c>
      <c r="U59" s="118">
        <f>B59*'Input data'!B87*'Baseline data (from input)'!E44*'Input data'!Q87*'4C2 Open-burning '!$C$9*'4C2 Open-burning '!$C$11*$C$5</f>
        <v>0</v>
      </c>
      <c r="V59" s="118">
        <f>B59*'Input data'!B87*'Baseline data (from input)'!E44*'Input data'!R87*'4C2 Open-burning '!$C$9*'4C2 Open-burning '!$C$11*$C$5</f>
        <v>0</v>
      </c>
      <c r="W59" s="118">
        <f>B59*'Input data'!B87*'Baseline data (from input)'!E44*'Input data'!S87*'4C2 Open-burning '!$C$9*'4C2 Open-burning '!$C$11*$C$5</f>
        <v>0</v>
      </c>
      <c r="X59" s="118">
        <f>B59*'Input data'!B87*'Baseline data (from input)'!E44*'Input data'!T87*'4C2 Open-burning '!$C$9*'4C2 Open-burning '!$C$11*$C$5</f>
        <v>0</v>
      </c>
      <c r="Y59" s="118" t="e">
        <f>B59*'Input data'!B87*'Baseline data (from input)'!E44*'Input data'!#REF!*'4C2 Open-burning '!$C$9*'4C2 Open-burning '!$C$11*$C$5</f>
        <v>#REF!</v>
      </c>
      <c r="Z59" s="119" t="e">
        <f t="shared" si="1"/>
        <v>#REF!</v>
      </c>
      <c r="AA59" s="117">
        <f>B59*'Input data'!B87*'Baseline data (from input)'!E44*'Input data'!O87*'4C2 Open-burning '!$C$10*'4C2 Open-burning '!$C$11*$C$5</f>
        <v>0</v>
      </c>
      <c r="AB59" s="118">
        <f>B59*'Input data'!B87*'Baseline data (from input)'!E44*'Input data'!P87*'4C2 Open-burning '!$C$10*'4C2 Open-burning '!$C$11*$C$5</f>
        <v>0</v>
      </c>
      <c r="AC59" s="118">
        <f>B59*'Input data'!B87*'Baseline data (from input)'!E44*'Input data'!Q87*'4C2 Open-burning '!$C$10*'4C2 Open-burning '!$C$11*$C$5</f>
        <v>0</v>
      </c>
      <c r="AD59" s="118">
        <f>B59*'Input data'!B87*'Baseline data (from input)'!E44*'Input data'!R87*'4C2 Open-burning '!$C$10*'4C2 Open-burning '!$C$11*$C$5</f>
        <v>0</v>
      </c>
      <c r="AE59" s="118">
        <f>B59*'Input data'!B87*'Baseline data (from input)'!E44*'Input data'!S87*'4C2 Open-burning '!$C$10*'4C2 Open-burning '!$C$11*$C$5</f>
        <v>0</v>
      </c>
      <c r="AF59" s="118">
        <f>B59*'Input data'!B87*'Baseline data (from input)'!E44*'Input data'!T87*'4C2 Open-burning '!$C$10*'4C2 Open-burning '!$C$11*$C$5</f>
        <v>0</v>
      </c>
      <c r="AG59" s="118" t="e">
        <f>B59*'Input data'!B87*'Baseline data (from input)'!E44*'Input data'!#REF!*'4C2 Open-burning '!$C$10*'4C2 Open-burning '!$C$11*$C$5</f>
        <v>#REF!</v>
      </c>
      <c r="AH59" s="119" t="e">
        <f t="shared" si="2"/>
        <v>#REF!</v>
      </c>
      <c r="AI59" s="99"/>
      <c r="AJ59" s="99"/>
      <c r="AK59" s="99"/>
    </row>
    <row r="60" spans="1:37" ht="15" hidden="1" customHeight="1" thickBot="1">
      <c r="A60" s="575">
        <f>'Input data'!A88</f>
        <v>1990</v>
      </c>
      <c r="B60" s="122">
        <f>'Baseline data (from input)'!G46</f>
        <v>0</v>
      </c>
      <c r="C60" s="654">
        <f>'Baseline data (from input)'!C46*'Baseline data (from input)'!D46</f>
        <v>3687.6454451922036</v>
      </c>
      <c r="D60" s="673">
        <f>'Baseline data (from input)'!C46*'Baseline data (from input)'!E46</f>
        <v>4928.4627078932181</v>
      </c>
      <c r="E60" s="673">
        <f>'Baseline data (from input)'!C46*'Baseline data (from input)'!F46</f>
        <v>1654.099914661964</v>
      </c>
      <c r="F60" s="673">
        <f>'Baseline data (from input)'!C46*'Baseline data (from input)'!G46</f>
        <v>0</v>
      </c>
      <c r="G60" s="673">
        <f>'Baseline data (from input)'!C46*'Baseline data (from input)'!H46</f>
        <v>0</v>
      </c>
      <c r="H60" s="673">
        <f>'Baseline data (from input)'!H46*'Baseline data (from input)'!I46</f>
        <v>0</v>
      </c>
      <c r="I60" s="673">
        <f>'Baseline data (from input)'!C46*'Baseline data (from input)'!J46</f>
        <v>8267.6712922526167</v>
      </c>
      <c r="J60" s="1165">
        <f t="shared" si="3"/>
        <v>18537.879359999999</v>
      </c>
      <c r="K60" s="117">
        <f>'Input data'!B88*'Baseline data (from input)'!E45*'Input data'!O88*'4C2 Open-burning '!B60*'4C2 Open-burning '!$C$14*'4C2 Open-burning '!$C$5*'4C2 Open-burning '!$C$6*'4C2 Open-burning '!$C$7</f>
        <v>0</v>
      </c>
      <c r="L60" s="118">
        <f>'Input data'!B88*'Baseline data (from input)'!E45*'Input data'!P88*'4C2 Open-burning '!B60*'4C2 Open-burning '!$C$15*'4C2 Open-burning '!$C$5*'4C2 Open-burning '!$C$6*'4C2 Open-burning '!$C$7</f>
        <v>0</v>
      </c>
      <c r="M60" s="118" t="e">
        <f>'Input data'!B88*'Baseline data (from input)'!E45*'Input data'!Q88*'4C2 Open-burning '!B60*'4C2 Open-burning '!#REF!*'4C2 Open-burning '!$C$5*'4C2 Open-burning '!$C$6*'4C2 Open-burning '!$C$7</f>
        <v>#REF!</v>
      </c>
      <c r="N60" s="118" t="e">
        <f>'Input data'!B88*'Baseline data (from input)'!E45*'Input data'!R88*'4C2 Open-burning '!B60*'4C2 Open-burning '!#REF!*'4C2 Open-burning '!$C$5*'4C2 Open-burning '!$C$6*'4C2 Open-burning '!$C$7</f>
        <v>#REF!</v>
      </c>
      <c r="O60" s="118" t="e">
        <f>'Input data'!B88*'Baseline data (from input)'!E45*'Input data'!S88*'4C2 Open-burning '!B60*'4C2 Open-burning '!#REF!*'4C2 Open-burning '!$C$5*'4C2 Open-burning '!$C$6*'4C2 Open-burning '!$C$7</f>
        <v>#REF!</v>
      </c>
      <c r="P60" s="118" t="e">
        <f>'Input data'!B88*'Baseline data (from input)'!E45*'Input data'!T88*'4C2 Open-burning '!B60*'4C2 Open-burning '!#REF!*'4C2 Open-burning '!$C$5*'4C2 Open-burning '!$C$6*'4C2 Open-burning '!$C$7</f>
        <v>#REF!</v>
      </c>
      <c r="Q60" s="118" t="e">
        <f>'Input data'!B88*'Baseline data (from input)'!E45*'Input data'!#REF!*'4C2 Open-burning '!B60*'4C2 Open-burning '!#REF!*'4C2 Open-burning '!$C$5*'4C2 Open-burning '!$C$6*'4C2 Open-burning '!$C$7</f>
        <v>#REF!</v>
      </c>
      <c r="R60" s="119" t="e">
        <f t="shared" si="0"/>
        <v>#REF!</v>
      </c>
      <c r="S60" s="117">
        <f>B60*'Input data'!B88*'Baseline data (from input)'!E45*'Input data'!O88*'4C2 Open-burning '!$C$9*'4C2 Open-burning '!$C$11*$C$5</f>
        <v>0</v>
      </c>
      <c r="T60" s="118">
        <f>B60*'Input data'!B88*'Baseline data (from input)'!E45*'Input data'!P88*'4C2 Open-burning '!$C$9*'4C2 Open-burning '!$C$11*$C$5</f>
        <v>0</v>
      </c>
      <c r="U60" s="118">
        <f>B60*'Input data'!B88*'Baseline data (from input)'!E45*'Input data'!Q88*'4C2 Open-burning '!$C$9*'4C2 Open-burning '!$C$11*$C$5</f>
        <v>0</v>
      </c>
      <c r="V60" s="118">
        <f>B60*'Input data'!B88*'Baseline data (from input)'!E45*'Input data'!R88*'4C2 Open-burning '!$C$9*'4C2 Open-burning '!$C$11*$C$5</f>
        <v>0</v>
      </c>
      <c r="W60" s="118">
        <f>B60*'Input data'!B88*'Baseline data (from input)'!E45*'Input data'!S88*'4C2 Open-burning '!$C$9*'4C2 Open-burning '!$C$11*$C$5</f>
        <v>0</v>
      </c>
      <c r="X60" s="118">
        <f>B60*'Input data'!B88*'Baseline data (from input)'!E45*'Input data'!T88*'4C2 Open-burning '!$C$9*'4C2 Open-burning '!$C$11*$C$5</f>
        <v>0</v>
      </c>
      <c r="Y60" s="118" t="e">
        <f>B60*'Input data'!B88*'Baseline data (from input)'!E45*'Input data'!#REF!*'4C2 Open-burning '!$C$9*'4C2 Open-burning '!$C$11*$C$5</f>
        <v>#REF!</v>
      </c>
      <c r="Z60" s="119" t="e">
        <f t="shared" si="1"/>
        <v>#REF!</v>
      </c>
      <c r="AA60" s="117">
        <f>B60*'Input data'!B88*'Baseline data (from input)'!E45*'Input data'!O88*'4C2 Open-burning '!$C$10*'4C2 Open-burning '!$C$11*$C$5</f>
        <v>0</v>
      </c>
      <c r="AB60" s="118">
        <f>B60*'Input data'!B88*'Baseline data (from input)'!E45*'Input data'!P88*'4C2 Open-burning '!$C$10*'4C2 Open-burning '!$C$11*$C$5</f>
        <v>0</v>
      </c>
      <c r="AC60" s="118">
        <f>B60*'Input data'!B88*'Baseline data (from input)'!E45*'Input data'!Q88*'4C2 Open-burning '!$C$10*'4C2 Open-burning '!$C$11*$C$5</f>
        <v>0</v>
      </c>
      <c r="AD60" s="118">
        <f>B60*'Input data'!B88*'Baseline data (from input)'!E45*'Input data'!R88*'4C2 Open-burning '!$C$10*'4C2 Open-burning '!$C$11*$C$5</f>
        <v>0</v>
      </c>
      <c r="AE60" s="118">
        <f>B60*'Input data'!B88*'Baseline data (from input)'!E45*'Input data'!S88*'4C2 Open-burning '!$C$10*'4C2 Open-burning '!$C$11*$C$5</f>
        <v>0</v>
      </c>
      <c r="AF60" s="118">
        <f>B60*'Input data'!B88*'Baseline data (from input)'!E45*'Input data'!T88*'4C2 Open-burning '!$C$10*'4C2 Open-burning '!$C$11*$C$5</f>
        <v>0</v>
      </c>
      <c r="AG60" s="118" t="e">
        <f>B60*'Input data'!B88*'Baseline data (from input)'!E45*'Input data'!#REF!*'4C2 Open-burning '!$C$10*'4C2 Open-burning '!$C$11*$C$5</f>
        <v>#REF!</v>
      </c>
      <c r="AH60" s="119" t="e">
        <f t="shared" si="2"/>
        <v>#REF!</v>
      </c>
      <c r="AI60" s="99"/>
      <c r="AJ60" s="99"/>
      <c r="AK60" s="99"/>
    </row>
    <row r="61" spans="1:37" ht="15" hidden="1" customHeight="1" thickBot="1">
      <c r="A61" s="575">
        <f>'Input data'!A89</f>
        <v>1991</v>
      </c>
      <c r="B61" s="122">
        <f>'Baseline data (from input)'!G47</f>
        <v>0</v>
      </c>
      <c r="C61" s="654">
        <f>'Baseline data (from input)'!C47*'Baseline data (from input)'!D47</f>
        <v>3764.4364710821433</v>
      </c>
      <c r="D61" s="673">
        <f>'Baseline data (from input)'!C47*'Baseline data (from input)'!E47</f>
        <v>5031.092343259289</v>
      </c>
      <c r="E61" s="673">
        <f>'Baseline data (from input)'!C47*'Baseline data (from input)'!F47</f>
        <v>1688.5446657258053</v>
      </c>
      <c r="F61" s="673">
        <f>'Baseline data (from input)'!C47*'Baseline data (from input)'!G47</f>
        <v>0</v>
      </c>
      <c r="G61" s="673">
        <f>'Baseline data (from input)'!C47*'Baseline data (from input)'!H47</f>
        <v>0</v>
      </c>
      <c r="H61" s="673">
        <f>'Baseline data (from input)'!H47*'Baseline data (from input)'!I47</f>
        <v>0</v>
      </c>
      <c r="I61" s="673">
        <f>'Baseline data (from input)'!C47*'Baseline data (from input)'!J47</f>
        <v>8439.8361518327638</v>
      </c>
      <c r="J61" s="1165">
        <f t="shared" si="3"/>
        <v>18923.909631900002</v>
      </c>
      <c r="K61" s="117">
        <f>'Input data'!B89*'Baseline data (from input)'!E46*'Input data'!O89*'4C2 Open-burning '!B61*'4C2 Open-burning '!$C$14*'4C2 Open-burning '!$C$5*'4C2 Open-burning '!$C$6*'4C2 Open-burning '!$C$7</f>
        <v>0</v>
      </c>
      <c r="L61" s="118">
        <f>'Input data'!B89*'Baseline data (from input)'!E46*'Input data'!P89*'4C2 Open-burning '!B61*'4C2 Open-burning '!$C$15*'4C2 Open-burning '!$C$5*'4C2 Open-burning '!$C$6*'4C2 Open-burning '!$C$7</f>
        <v>0</v>
      </c>
      <c r="M61" s="118" t="e">
        <f>'Input data'!B89*'Baseline data (from input)'!E46*'Input data'!Q89*'4C2 Open-burning '!B61*'4C2 Open-burning '!#REF!*'4C2 Open-burning '!$C$5*'4C2 Open-burning '!$C$6*'4C2 Open-burning '!$C$7</f>
        <v>#REF!</v>
      </c>
      <c r="N61" s="118" t="e">
        <f>'Input data'!B89*'Baseline data (from input)'!E46*'Input data'!R89*'4C2 Open-burning '!B61*'4C2 Open-burning '!#REF!*'4C2 Open-burning '!$C$5*'4C2 Open-burning '!$C$6*'4C2 Open-burning '!$C$7</f>
        <v>#REF!</v>
      </c>
      <c r="O61" s="118" t="e">
        <f>'Input data'!B89*'Baseline data (from input)'!E46*'Input data'!S89*'4C2 Open-burning '!B61*'4C2 Open-burning '!#REF!*'4C2 Open-burning '!$C$5*'4C2 Open-burning '!$C$6*'4C2 Open-burning '!$C$7</f>
        <v>#REF!</v>
      </c>
      <c r="P61" s="118" t="e">
        <f>'Input data'!B89*'Baseline data (from input)'!E46*'Input data'!T89*'4C2 Open-burning '!B61*'4C2 Open-burning '!#REF!*'4C2 Open-burning '!$C$5*'4C2 Open-burning '!$C$6*'4C2 Open-burning '!$C$7</f>
        <v>#REF!</v>
      </c>
      <c r="Q61" s="118" t="e">
        <f>'Input data'!B89*'Baseline data (from input)'!E46*'Input data'!#REF!*'4C2 Open-burning '!B61*'4C2 Open-burning '!#REF!*'4C2 Open-burning '!$C$5*'4C2 Open-burning '!$C$6*'4C2 Open-burning '!$C$7</f>
        <v>#REF!</v>
      </c>
      <c r="R61" s="119" t="e">
        <f t="shared" si="0"/>
        <v>#REF!</v>
      </c>
      <c r="S61" s="117">
        <f>B61*'Input data'!B89*'Baseline data (from input)'!E46*'Input data'!O89*'4C2 Open-burning '!$C$9*'4C2 Open-burning '!$C$11*$C$5</f>
        <v>0</v>
      </c>
      <c r="T61" s="118">
        <f>B61*'Input data'!B89*'Baseline data (from input)'!E46*'Input data'!P89*'4C2 Open-burning '!$C$9*'4C2 Open-burning '!$C$11*$C$5</f>
        <v>0</v>
      </c>
      <c r="U61" s="118">
        <f>B61*'Input data'!B89*'Baseline data (from input)'!E46*'Input data'!Q89*'4C2 Open-burning '!$C$9*'4C2 Open-burning '!$C$11*$C$5</f>
        <v>0</v>
      </c>
      <c r="V61" s="118">
        <f>B61*'Input data'!B89*'Baseline data (from input)'!E46*'Input data'!R89*'4C2 Open-burning '!$C$9*'4C2 Open-burning '!$C$11*$C$5</f>
        <v>0</v>
      </c>
      <c r="W61" s="118">
        <f>B61*'Input data'!B89*'Baseline data (from input)'!E46*'Input data'!S89*'4C2 Open-burning '!$C$9*'4C2 Open-burning '!$C$11*$C$5</f>
        <v>0</v>
      </c>
      <c r="X61" s="118">
        <f>B61*'Input data'!B89*'Baseline data (from input)'!E46*'Input data'!T89*'4C2 Open-burning '!$C$9*'4C2 Open-burning '!$C$11*$C$5</f>
        <v>0</v>
      </c>
      <c r="Y61" s="118" t="e">
        <f>B61*'Input data'!B89*'Baseline data (from input)'!E46*'Input data'!#REF!*'4C2 Open-burning '!$C$9*'4C2 Open-burning '!$C$11*$C$5</f>
        <v>#REF!</v>
      </c>
      <c r="Z61" s="119" t="e">
        <f t="shared" si="1"/>
        <v>#REF!</v>
      </c>
      <c r="AA61" s="117">
        <f>B61*'Input data'!B89*'Baseline data (from input)'!E46*'Input data'!O89*'4C2 Open-burning '!$C$10*'4C2 Open-burning '!$C$11*$C$5</f>
        <v>0</v>
      </c>
      <c r="AB61" s="118">
        <f>B61*'Input data'!B89*'Baseline data (from input)'!E46*'Input data'!P89*'4C2 Open-burning '!$C$10*'4C2 Open-burning '!$C$11*$C$5</f>
        <v>0</v>
      </c>
      <c r="AC61" s="118">
        <f>B61*'Input data'!B89*'Baseline data (from input)'!E46*'Input data'!Q89*'4C2 Open-burning '!$C$10*'4C2 Open-burning '!$C$11*$C$5</f>
        <v>0</v>
      </c>
      <c r="AD61" s="118">
        <f>B61*'Input data'!B89*'Baseline data (from input)'!E46*'Input data'!R89*'4C2 Open-burning '!$C$10*'4C2 Open-burning '!$C$11*$C$5</f>
        <v>0</v>
      </c>
      <c r="AE61" s="118">
        <f>B61*'Input data'!B89*'Baseline data (from input)'!E46*'Input data'!S89*'4C2 Open-burning '!$C$10*'4C2 Open-burning '!$C$11*$C$5</f>
        <v>0</v>
      </c>
      <c r="AF61" s="118">
        <f>B61*'Input data'!B89*'Baseline data (from input)'!E46*'Input data'!T89*'4C2 Open-burning '!$C$10*'4C2 Open-burning '!$C$11*$C$5</f>
        <v>0</v>
      </c>
      <c r="AG61" s="118" t="e">
        <f>B61*'Input data'!B89*'Baseline data (from input)'!E46*'Input data'!#REF!*'4C2 Open-burning '!$C$10*'4C2 Open-burning '!$C$11*$C$5</f>
        <v>#REF!</v>
      </c>
      <c r="AH61" s="119" t="e">
        <f t="shared" si="2"/>
        <v>#REF!</v>
      </c>
      <c r="AI61" s="99"/>
      <c r="AJ61" s="99"/>
      <c r="AK61" s="99"/>
    </row>
    <row r="62" spans="1:37" ht="15" hidden="1" customHeight="1" thickBot="1">
      <c r="A62" s="575">
        <f>'Input data'!A90</f>
        <v>1992</v>
      </c>
      <c r="B62" s="122">
        <f>'Baseline data (from input)'!G48</f>
        <v>0</v>
      </c>
      <c r="C62" s="654">
        <f>'Baseline data (from input)'!C48*'Baseline data (from input)'!D48</f>
        <v>3843.8465633394067</v>
      </c>
      <c r="D62" s="673">
        <f>'Baseline data (from input)'!C48*'Baseline data (from input)'!E48</f>
        <v>5137.2223072531251</v>
      </c>
      <c r="E62" s="673">
        <f>'Baseline data (from input)'!C48*'Baseline data (from input)'!F48</f>
        <v>1724.1642036608553</v>
      </c>
      <c r="F62" s="673">
        <f>'Baseline data (from input)'!C48*'Baseline data (from input)'!G48</f>
        <v>0</v>
      </c>
      <c r="G62" s="673">
        <f>'Baseline data (from input)'!C48*'Baseline data (from input)'!H48</f>
        <v>0</v>
      </c>
      <c r="H62" s="673">
        <f>'Baseline data (from input)'!H48*'Baseline data (from input)'!I48</f>
        <v>0</v>
      </c>
      <c r="I62" s="673">
        <f>'Baseline data (from input)'!C48*'Baseline data (from input)'!J48</f>
        <v>8617.8729370466117</v>
      </c>
      <c r="J62" s="1165">
        <f t="shared" si="3"/>
        <v>19323.106011299998</v>
      </c>
      <c r="K62" s="117">
        <f>'Input data'!B90*'Baseline data (from input)'!E47*'Input data'!O90*'4C2 Open-burning '!B62*'4C2 Open-burning '!$C$14*'4C2 Open-burning '!$C$5*'4C2 Open-burning '!$C$6*'4C2 Open-burning '!$C$7</f>
        <v>0</v>
      </c>
      <c r="L62" s="118">
        <f>'Input data'!B90*'Baseline data (from input)'!E47*'Input data'!P90*'4C2 Open-burning '!B62*'4C2 Open-burning '!$C$15*'4C2 Open-burning '!$C$5*'4C2 Open-burning '!$C$6*'4C2 Open-burning '!$C$7</f>
        <v>0</v>
      </c>
      <c r="M62" s="118" t="e">
        <f>'Input data'!B90*'Baseline data (from input)'!E47*'Input data'!Q90*'4C2 Open-burning '!B62*'4C2 Open-burning '!#REF!*'4C2 Open-burning '!$C$5*'4C2 Open-burning '!$C$6*'4C2 Open-burning '!$C$7</f>
        <v>#REF!</v>
      </c>
      <c r="N62" s="118" t="e">
        <f>'Input data'!B90*'Baseline data (from input)'!E47*'Input data'!R90*'4C2 Open-burning '!B62*'4C2 Open-burning '!#REF!*'4C2 Open-burning '!$C$5*'4C2 Open-burning '!$C$6*'4C2 Open-burning '!$C$7</f>
        <v>#REF!</v>
      </c>
      <c r="O62" s="118" t="e">
        <f>'Input data'!B90*'Baseline data (from input)'!E47*'Input data'!S90*'4C2 Open-burning '!B62*'4C2 Open-burning '!#REF!*'4C2 Open-burning '!$C$5*'4C2 Open-burning '!$C$6*'4C2 Open-burning '!$C$7</f>
        <v>#REF!</v>
      </c>
      <c r="P62" s="118" t="e">
        <f>'Input data'!B90*'Baseline data (from input)'!E47*'Input data'!T90*'4C2 Open-burning '!B62*'4C2 Open-burning '!#REF!*'4C2 Open-burning '!$C$5*'4C2 Open-burning '!$C$6*'4C2 Open-burning '!$C$7</f>
        <v>#REF!</v>
      </c>
      <c r="Q62" s="118" t="e">
        <f>'Input data'!B90*'Baseline data (from input)'!E47*'Input data'!#REF!*'4C2 Open-burning '!B62*'4C2 Open-burning '!#REF!*'4C2 Open-burning '!$C$5*'4C2 Open-burning '!$C$6*'4C2 Open-burning '!$C$7</f>
        <v>#REF!</v>
      </c>
      <c r="R62" s="119" t="e">
        <f t="shared" si="0"/>
        <v>#REF!</v>
      </c>
      <c r="S62" s="117">
        <f>B62*'Input data'!B90*'Baseline data (from input)'!E47*'Input data'!O90*'4C2 Open-burning '!$C$9*'4C2 Open-burning '!$C$11*$C$5</f>
        <v>0</v>
      </c>
      <c r="T62" s="118">
        <f>B62*'Input data'!B90*'Baseline data (from input)'!E47*'Input data'!P90*'4C2 Open-burning '!$C$9*'4C2 Open-burning '!$C$11*$C$5</f>
        <v>0</v>
      </c>
      <c r="U62" s="118">
        <f>B62*'Input data'!B90*'Baseline data (from input)'!E47*'Input data'!Q90*'4C2 Open-burning '!$C$9*'4C2 Open-burning '!$C$11*$C$5</f>
        <v>0</v>
      </c>
      <c r="V62" s="118">
        <f>B62*'Input data'!B90*'Baseline data (from input)'!E47*'Input data'!R90*'4C2 Open-burning '!$C$9*'4C2 Open-burning '!$C$11*$C$5</f>
        <v>0</v>
      </c>
      <c r="W62" s="118">
        <f>B62*'Input data'!B90*'Baseline data (from input)'!E47*'Input data'!S90*'4C2 Open-burning '!$C$9*'4C2 Open-burning '!$C$11*$C$5</f>
        <v>0</v>
      </c>
      <c r="X62" s="118">
        <f>B62*'Input data'!B90*'Baseline data (from input)'!E47*'Input data'!T90*'4C2 Open-burning '!$C$9*'4C2 Open-burning '!$C$11*$C$5</f>
        <v>0</v>
      </c>
      <c r="Y62" s="118" t="e">
        <f>B62*'Input data'!B90*'Baseline data (from input)'!E47*'Input data'!#REF!*'4C2 Open-burning '!$C$9*'4C2 Open-burning '!$C$11*$C$5</f>
        <v>#REF!</v>
      </c>
      <c r="Z62" s="119" t="e">
        <f t="shared" si="1"/>
        <v>#REF!</v>
      </c>
      <c r="AA62" s="117">
        <f>B62*'Input data'!B90*'Baseline data (from input)'!E47*'Input data'!O90*'4C2 Open-burning '!$C$10*'4C2 Open-burning '!$C$11*$C$5</f>
        <v>0</v>
      </c>
      <c r="AB62" s="118">
        <f>B62*'Input data'!B90*'Baseline data (from input)'!E47*'Input data'!P90*'4C2 Open-burning '!$C$10*'4C2 Open-burning '!$C$11*$C$5</f>
        <v>0</v>
      </c>
      <c r="AC62" s="118">
        <f>B62*'Input data'!B90*'Baseline data (from input)'!E47*'Input data'!Q90*'4C2 Open-burning '!$C$10*'4C2 Open-burning '!$C$11*$C$5</f>
        <v>0</v>
      </c>
      <c r="AD62" s="118">
        <f>B62*'Input data'!B90*'Baseline data (from input)'!E47*'Input data'!R90*'4C2 Open-burning '!$C$10*'4C2 Open-burning '!$C$11*$C$5</f>
        <v>0</v>
      </c>
      <c r="AE62" s="118">
        <f>B62*'Input data'!B90*'Baseline data (from input)'!E47*'Input data'!S90*'4C2 Open-burning '!$C$10*'4C2 Open-burning '!$C$11*$C$5</f>
        <v>0</v>
      </c>
      <c r="AF62" s="118">
        <f>B62*'Input data'!B90*'Baseline data (from input)'!E47*'Input data'!T90*'4C2 Open-burning '!$C$10*'4C2 Open-burning '!$C$11*$C$5</f>
        <v>0</v>
      </c>
      <c r="AG62" s="118" t="e">
        <f>B62*'Input data'!B90*'Baseline data (from input)'!E47*'Input data'!#REF!*'4C2 Open-burning '!$C$10*'4C2 Open-burning '!$C$11*$C$5</f>
        <v>#REF!</v>
      </c>
      <c r="AH62" s="119" t="e">
        <f t="shared" si="2"/>
        <v>#REF!</v>
      </c>
      <c r="AI62" s="99"/>
      <c r="AJ62" s="99"/>
      <c r="AK62" s="99"/>
    </row>
    <row r="63" spans="1:37" ht="15" hidden="1" customHeight="1" thickBot="1">
      <c r="A63" s="575">
        <f>'Input data'!A91</f>
        <v>1993</v>
      </c>
      <c r="B63" s="122">
        <f>'Baseline data (from input)'!G49</f>
        <v>0</v>
      </c>
      <c r="C63" s="654">
        <f>'Baseline data (from input)'!C49*'Baseline data (from input)'!D49</f>
        <v>3925.8757219639938</v>
      </c>
      <c r="D63" s="673">
        <f>'Baseline data (from input)'!C49*'Baseline data (from input)'!E49</f>
        <v>5246.8525998747264</v>
      </c>
      <c r="E63" s="673">
        <f>'Baseline data (from input)'!C49*'Baseline data (from input)'!F49</f>
        <v>1760.9585284671141</v>
      </c>
      <c r="F63" s="673">
        <f>'Baseline data (from input)'!C49*'Baseline data (from input)'!G49</f>
        <v>0</v>
      </c>
      <c r="G63" s="673">
        <f>'Baseline data (from input)'!C49*'Baseline data (from input)'!H49</f>
        <v>0</v>
      </c>
      <c r="H63" s="673">
        <f>'Baseline data (from input)'!H49*'Baseline data (from input)'!I49</f>
        <v>0</v>
      </c>
      <c r="I63" s="673">
        <f>'Baseline data (from input)'!C49*'Baseline data (from input)'!J49</f>
        <v>8801.7816478941604</v>
      </c>
      <c r="J63" s="1165">
        <f t="shared" si="3"/>
        <v>19735.468498199996</v>
      </c>
      <c r="K63" s="117">
        <f>'Input data'!B91*'Baseline data (from input)'!E48*'Input data'!O91*'4C2 Open-burning '!B63*'4C2 Open-burning '!$C$14*'4C2 Open-burning '!$C$5*'4C2 Open-burning '!$C$6*'4C2 Open-burning '!$C$7</f>
        <v>0</v>
      </c>
      <c r="L63" s="118">
        <f>'Input data'!B91*'Baseline data (from input)'!E48*'Input data'!P91*'4C2 Open-burning '!B63*'4C2 Open-burning '!$C$15*'4C2 Open-burning '!$C$5*'4C2 Open-burning '!$C$6*'4C2 Open-burning '!$C$7</f>
        <v>0</v>
      </c>
      <c r="M63" s="118" t="e">
        <f>'Input data'!B91*'Baseline data (from input)'!E48*'Input data'!Q91*'4C2 Open-burning '!B63*'4C2 Open-burning '!#REF!*'4C2 Open-burning '!$C$5*'4C2 Open-burning '!$C$6*'4C2 Open-burning '!$C$7</f>
        <v>#REF!</v>
      </c>
      <c r="N63" s="118" t="e">
        <f>'Input data'!B91*'Baseline data (from input)'!E48*'Input data'!R91*'4C2 Open-burning '!B63*'4C2 Open-burning '!#REF!*'4C2 Open-burning '!$C$5*'4C2 Open-burning '!$C$6*'4C2 Open-burning '!$C$7</f>
        <v>#REF!</v>
      </c>
      <c r="O63" s="118" t="e">
        <f>'Input data'!B91*'Baseline data (from input)'!E48*'Input data'!S91*'4C2 Open-burning '!B63*'4C2 Open-burning '!#REF!*'4C2 Open-burning '!$C$5*'4C2 Open-burning '!$C$6*'4C2 Open-burning '!$C$7</f>
        <v>#REF!</v>
      </c>
      <c r="P63" s="118" t="e">
        <f>'Input data'!B91*'Baseline data (from input)'!E48*'Input data'!T91*'4C2 Open-burning '!B63*'4C2 Open-burning '!#REF!*'4C2 Open-burning '!$C$5*'4C2 Open-burning '!$C$6*'4C2 Open-burning '!$C$7</f>
        <v>#REF!</v>
      </c>
      <c r="Q63" s="118" t="e">
        <f>'Input data'!B91*'Baseline data (from input)'!E48*'Input data'!#REF!*'4C2 Open-burning '!B63*'4C2 Open-burning '!#REF!*'4C2 Open-burning '!$C$5*'4C2 Open-burning '!$C$6*'4C2 Open-burning '!$C$7</f>
        <v>#REF!</v>
      </c>
      <c r="R63" s="119" t="e">
        <f t="shared" si="0"/>
        <v>#REF!</v>
      </c>
      <c r="S63" s="117">
        <f>B63*'Input data'!B91*'Baseline data (from input)'!E48*'Input data'!O91*'4C2 Open-burning '!$C$9*'4C2 Open-burning '!$C$11*$C$5</f>
        <v>0</v>
      </c>
      <c r="T63" s="118">
        <f>B63*'Input data'!B91*'Baseline data (from input)'!E48*'Input data'!P91*'4C2 Open-burning '!$C$9*'4C2 Open-burning '!$C$11*$C$5</f>
        <v>0</v>
      </c>
      <c r="U63" s="118">
        <f>B63*'Input data'!B91*'Baseline data (from input)'!E48*'Input data'!Q91*'4C2 Open-burning '!$C$9*'4C2 Open-burning '!$C$11*$C$5</f>
        <v>0</v>
      </c>
      <c r="V63" s="118">
        <f>B63*'Input data'!B91*'Baseline data (from input)'!E48*'Input data'!R91*'4C2 Open-burning '!$C$9*'4C2 Open-burning '!$C$11*$C$5</f>
        <v>0</v>
      </c>
      <c r="W63" s="118">
        <f>B63*'Input data'!B91*'Baseline data (from input)'!E48*'Input data'!S91*'4C2 Open-burning '!$C$9*'4C2 Open-burning '!$C$11*$C$5</f>
        <v>0</v>
      </c>
      <c r="X63" s="118">
        <f>B63*'Input data'!B91*'Baseline data (from input)'!E48*'Input data'!T91*'4C2 Open-burning '!$C$9*'4C2 Open-burning '!$C$11*$C$5</f>
        <v>0</v>
      </c>
      <c r="Y63" s="118" t="e">
        <f>B63*'Input data'!B91*'Baseline data (from input)'!E48*'Input data'!#REF!*'4C2 Open-burning '!$C$9*'4C2 Open-burning '!$C$11*$C$5</f>
        <v>#REF!</v>
      </c>
      <c r="Z63" s="119" t="e">
        <f t="shared" si="1"/>
        <v>#REF!</v>
      </c>
      <c r="AA63" s="117">
        <f>B63*'Input data'!B91*'Baseline data (from input)'!E48*'Input data'!O91*'4C2 Open-burning '!$C$10*'4C2 Open-burning '!$C$11*$C$5</f>
        <v>0</v>
      </c>
      <c r="AB63" s="118">
        <f>B63*'Input data'!B91*'Baseline data (from input)'!E48*'Input data'!P91*'4C2 Open-burning '!$C$10*'4C2 Open-burning '!$C$11*$C$5</f>
        <v>0</v>
      </c>
      <c r="AC63" s="118">
        <f>B63*'Input data'!B91*'Baseline data (from input)'!E48*'Input data'!Q91*'4C2 Open-burning '!$C$10*'4C2 Open-burning '!$C$11*$C$5</f>
        <v>0</v>
      </c>
      <c r="AD63" s="118">
        <f>B63*'Input data'!B91*'Baseline data (from input)'!E48*'Input data'!R91*'4C2 Open-burning '!$C$10*'4C2 Open-burning '!$C$11*$C$5</f>
        <v>0</v>
      </c>
      <c r="AE63" s="118">
        <f>B63*'Input data'!B91*'Baseline data (from input)'!E48*'Input data'!S91*'4C2 Open-burning '!$C$10*'4C2 Open-burning '!$C$11*$C$5</f>
        <v>0</v>
      </c>
      <c r="AF63" s="118">
        <f>B63*'Input data'!B91*'Baseline data (from input)'!E48*'Input data'!T91*'4C2 Open-burning '!$C$10*'4C2 Open-burning '!$C$11*$C$5</f>
        <v>0</v>
      </c>
      <c r="AG63" s="118" t="e">
        <f>B63*'Input data'!B91*'Baseline data (from input)'!E48*'Input data'!#REF!*'4C2 Open-burning '!$C$10*'4C2 Open-burning '!$C$11*$C$5</f>
        <v>#REF!</v>
      </c>
      <c r="AH63" s="119" t="e">
        <f t="shared" si="2"/>
        <v>#REF!</v>
      </c>
      <c r="AI63" s="99"/>
      <c r="AJ63" s="99"/>
      <c r="AK63" s="99"/>
    </row>
    <row r="64" spans="1:37" ht="15" hidden="1" customHeight="1" thickBot="1">
      <c r="A64" s="575">
        <f>'Input data'!A92</f>
        <v>1994</v>
      </c>
      <c r="B64" s="122">
        <f>'Baseline data (from input)'!G50</f>
        <v>0</v>
      </c>
      <c r="C64" s="654">
        <f>'Baseline data (from input)'!C50*'Baseline data (from input)'!D50</f>
        <v>4010.6287096106003</v>
      </c>
      <c r="D64" s="673">
        <f>'Baseline data (from input)'!C50*'Baseline data (from input)'!E50</f>
        <v>5360.1232342692056</v>
      </c>
      <c r="E64" s="673">
        <f>'Baseline data (from input)'!C50*'Baseline data (from input)'!F50</f>
        <v>1798.974631619431</v>
      </c>
      <c r="F64" s="673">
        <f>'Baseline data (from input)'!C50*'Baseline data (from input)'!G50</f>
        <v>0</v>
      </c>
      <c r="G64" s="673">
        <f>'Baseline data (from input)'!C50*'Baseline data (from input)'!H50</f>
        <v>0</v>
      </c>
      <c r="H64" s="673">
        <f>'Baseline data (from input)'!H50*'Baseline data (from input)'!I50</f>
        <v>0</v>
      </c>
      <c r="I64" s="673">
        <f>'Baseline data (from input)'!C50*'Baseline data (from input)'!J50</f>
        <v>8991.7971614007656</v>
      </c>
      <c r="J64" s="1165">
        <f t="shared" si="3"/>
        <v>20161.523736900002</v>
      </c>
      <c r="K64" s="117">
        <f>'Input data'!B92*'Baseline data (from input)'!E49*'Input data'!O92*'4C2 Open-burning '!B64*'4C2 Open-burning '!$C$14*'4C2 Open-burning '!$C$5*'4C2 Open-burning '!$C$6*'4C2 Open-burning '!$C$7</f>
        <v>0</v>
      </c>
      <c r="L64" s="118">
        <f>'Input data'!B92*'Baseline data (from input)'!E49*'Input data'!P92*'4C2 Open-burning '!B64*'4C2 Open-burning '!$C$15*'4C2 Open-burning '!$C$5*'4C2 Open-burning '!$C$6*'4C2 Open-burning '!$C$7</f>
        <v>0</v>
      </c>
      <c r="M64" s="118" t="e">
        <f>'Input data'!B92*'Baseline data (from input)'!E49*'Input data'!Q92*'4C2 Open-burning '!B64*'4C2 Open-burning '!#REF!*'4C2 Open-burning '!$C$5*'4C2 Open-burning '!$C$6*'4C2 Open-burning '!$C$7</f>
        <v>#REF!</v>
      </c>
      <c r="N64" s="118" t="e">
        <f>'Input data'!B92*'Baseline data (from input)'!E49*'Input data'!R92*'4C2 Open-burning '!B64*'4C2 Open-burning '!#REF!*'4C2 Open-burning '!$C$5*'4C2 Open-burning '!$C$6*'4C2 Open-burning '!$C$7</f>
        <v>#REF!</v>
      </c>
      <c r="O64" s="118" t="e">
        <f>'Input data'!B92*'Baseline data (from input)'!E49*'Input data'!S92*'4C2 Open-burning '!B64*'4C2 Open-burning '!#REF!*'4C2 Open-burning '!$C$5*'4C2 Open-burning '!$C$6*'4C2 Open-burning '!$C$7</f>
        <v>#REF!</v>
      </c>
      <c r="P64" s="118" t="e">
        <f>'Input data'!B92*'Baseline data (from input)'!E49*'Input data'!T92*'4C2 Open-burning '!B64*'4C2 Open-burning '!#REF!*'4C2 Open-burning '!$C$5*'4C2 Open-burning '!$C$6*'4C2 Open-burning '!$C$7</f>
        <v>#REF!</v>
      </c>
      <c r="Q64" s="118" t="e">
        <f>'Input data'!B92*'Baseline data (from input)'!E49*'Input data'!#REF!*'4C2 Open-burning '!B64*'4C2 Open-burning '!#REF!*'4C2 Open-burning '!$C$5*'4C2 Open-burning '!$C$6*'4C2 Open-burning '!$C$7</f>
        <v>#REF!</v>
      </c>
      <c r="R64" s="119" t="e">
        <f t="shared" si="0"/>
        <v>#REF!</v>
      </c>
      <c r="S64" s="117">
        <f>B64*'Input data'!B92*'Baseline data (from input)'!E49*'Input data'!O92*'4C2 Open-burning '!$C$9*'4C2 Open-burning '!$C$11*$C$5</f>
        <v>0</v>
      </c>
      <c r="T64" s="118">
        <f>B64*'Input data'!B92*'Baseline data (from input)'!E49*'Input data'!P92*'4C2 Open-burning '!$C$9*'4C2 Open-burning '!$C$11*$C$5</f>
        <v>0</v>
      </c>
      <c r="U64" s="118">
        <f>B64*'Input data'!B92*'Baseline data (from input)'!E49*'Input data'!Q92*'4C2 Open-burning '!$C$9*'4C2 Open-burning '!$C$11*$C$5</f>
        <v>0</v>
      </c>
      <c r="V64" s="118">
        <f>B64*'Input data'!B92*'Baseline data (from input)'!E49*'Input data'!R92*'4C2 Open-burning '!$C$9*'4C2 Open-burning '!$C$11*$C$5</f>
        <v>0</v>
      </c>
      <c r="W64" s="118">
        <f>B64*'Input data'!B92*'Baseline data (from input)'!E49*'Input data'!S92*'4C2 Open-burning '!$C$9*'4C2 Open-burning '!$C$11*$C$5</f>
        <v>0</v>
      </c>
      <c r="X64" s="118">
        <f>B64*'Input data'!B92*'Baseline data (from input)'!E49*'Input data'!T92*'4C2 Open-burning '!$C$9*'4C2 Open-burning '!$C$11*$C$5</f>
        <v>0</v>
      </c>
      <c r="Y64" s="118" t="e">
        <f>B64*'Input data'!B92*'Baseline data (from input)'!E49*'Input data'!#REF!*'4C2 Open-burning '!$C$9*'4C2 Open-burning '!$C$11*$C$5</f>
        <v>#REF!</v>
      </c>
      <c r="Z64" s="119" t="e">
        <f t="shared" si="1"/>
        <v>#REF!</v>
      </c>
      <c r="AA64" s="117">
        <f>B64*'Input data'!B92*'Baseline data (from input)'!E49*'Input data'!O92*'4C2 Open-burning '!$C$10*'4C2 Open-burning '!$C$11*$C$5</f>
        <v>0</v>
      </c>
      <c r="AB64" s="118">
        <f>B64*'Input data'!B92*'Baseline data (from input)'!E49*'Input data'!P92*'4C2 Open-burning '!$C$10*'4C2 Open-burning '!$C$11*$C$5</f>
        <v>0</v>
      </c>
      <c r="AC64" s="118">
        <f>B64*'Input data'!B92*'Baseline data (from input)'!E49*'Input data'!Q92*'4C2 Open-burning '!$C$10*'4C2 Open-burning '!$C$11*$C$5</f>
        <v>0</v>
      </c>
      <c r="AD64" s="118">
        <f>B64*'Input data'!B92*'Baseline data (from input)'!E49*'Input data'!R92*'4C2 Open-burning '!$C$10*'4C2 Open-burning '!$C$11*$C$5</f>
        <v>0</v>
      </c>
      <c r="AE64" s="118">
        <f>B64*'Input data'!B92*'Baseline data (from input)'!E49*'Input data'!S92*'4C2 Open-burning '!$C$10*'4C2 Open-burning '!$C$11*$C$5</f>
        <v>0</v>
      </c>
      <c r="AF64" s="118">
        <f>B64*'Input data'!B92*'Baseline data (from input)'!E49*'Input data'!T92*'4C2 Open-burning '!$C$10*'4C2 Open-burning '!$C$11*$C$5</f>
        <v>0</v>
      </c>
      <c r="AG64" s="118" t="e">
        <f>B64*'Input data'!B92*'Baseline data (from input)'!E49*'Input data'!#REF!*'4C2 Open-burning '!$C$10*'4C2 Open-burning '!$C$11*$C$5</f>
        <v>#REF!</v>
      </c>
      <c r="AH64" s="119" t="e">
        <f t="shared" si="2"/>
        <v>#REF!</v>
      </c>
      <c r="AI64" s="99"/>
      <c r="AJ64" s="99"/>
      <c r="AK64" s="99"/>
    </row>
    <row r="65" spans="1:37" ht="15" hidden="1" customHeight="1" thickBot="1">
      <c r="A65" s="575">
        <f>'Input data'!A93</f>
        <v>1995</v>
      </c>
      <c r="B65" s="122">
        <f>'Baseline data (from input)'!G51</f>
        <v>0</v>
      </c>
      <c r="C65" s="654">
        <f>'Baseline data (from input)'!C51*'Baseline data (from input)'!D51</f>
        <v>4098.3150515886073</v>
      </c>
      <c r="D65" s="673">
        <f>'Baseline data (from input)'!C51*'Baseline data (from input)'!E51</f>
        <v>5477.3142367267792</v>
      </c>
      <c r="E65" s="673">
        <f>'Baseline data (from input)'!C51*'Baseline data (from input)'!F51</f>
        <v>1838.3064960675006</v>
      </c>
      <c r="F65" s="673">
        <f>'Baseline data (from input)'!C51*'Baseline data (from input)'!G51</f>
        <v>0</v>
      </c>
      <c r="G65" s="673">
        <f>'Baseline data (from input)'!C51*'Baseline data (from input)'!H51</f>
        <v>0</v>
      </c>
      <c r="H65" s="673">
        <f>'Baseline data (from input)'!H51*'Baseline data (from input)'!I51</f>
        <v>0</v>
      </c>
      <c r="I65" s="673">
        <f>'Baseline data (from input)'!C51*'Baseline data (from input)'!J51</f>
        <v>9188.3892316171114</v>
      </c>
      <c r="J65" s="1165">
        <f t="shared" si="3"/>
        <v>20602.325015999999</v>
      </c>
      <c r="K65" s="117">
        <f>'Input data'!B93*'Baseline data (from input)'!E50*'Input data'!O93*'4C2 Open-burning '!B65*'4C2 Open-burning '!$C$14*'4C2 Open-burning '!$C$5*'4C2 Open-burning '!$C$6*'4C2 Open-burning '!$C$7</f>
        <v>0</v>
      </c>
      <c r="L65" s="118">
        <f>'Input data'!B93*'Baseline data (from input)'!E50*'Input data'!P93*'4C2 Open-burning '!B65*'4C2 Open-burning '!$C$15*'4C2 Open-burning '!$C$5*'4C2 Open-burning '!$C$6*'4C2 Open-burning '!$C$7</f>
        <v>0</v>
      </c>
      <c r="M65" s="118" t="e">
        <f>'Input data'!B93*'Baseline data (from input)'!E50*'Input data'!Q93*'4C2 Open-burning '!B65*'4C2 Open-burning '!#REF!*'4C2 Open-burning '!$C$5*'4C2 Open-burning '!$C$6*'4C2 Open-burning '!$C$7</f>
        <v>#REF!</v>
      </c>
      <c r="N65" s="118" t="e">
        <f>'Input data'!B93*'Baseline data (from input)'!E50*'Input data'!R93*'4C2 Open-burning '!B65*'4C2 Open-burning '!#REF!*'4C2 Open-burning '!$C$5*'4C2 Open-burning '!$C$6*'4C2 Open-burning '!$C$7</f>
        <v>#REF!</v>
      </c>
      <c r="O65" s="118" t="e">
        <f>'Input data'!B93*'Baseline data (from input)'!E50*'Input data'!S93*'4C2 Open-burning '!B65*'4C2 Open-burning '!#REF!*'4C2 Open-burning '!$C$5*'4C2 Open-burning '!$C$6*'4C2 Open-burning '!$C$7</f>
        <v>#REF!</v>
      </c>
      <c r="P65" s="118" t="e">
        <f>'Input data'!B93*'Baseline data (from input)'!E50*'Input data'!T93*'4C2 Open-burning '!B65*'4C2 Open-burning '!#REF!*'4C2 Open-burning '!$C$5*'4C2 Open-burning '!$C$6*'4C2 Open-burning '!$C$7</f>
        <v>#REF!</v>
      </c>
      <c r="Q65" s="118" t="e">
        <f>'Input data'!B93*'Baseline data (from input)'!E50*'Input data'!#REF!*'4C2 Open-burning '!B65*'4C2 Open-burning '!#REF!*'4C2 Open-burning '!$C$5*'4C2 Open-burning '!$C$6*'4C2 Open-burning '!$C$7</f>
        <v>#REF!</v>
      </c>
      <c r="R65" s="119" t="e">
        <f t="shared" si="0"/>
        <v>#REF!</v>
      </c>
      <c r="S65" s="117">
        <f>B65*'Input data'!B93*'Baseline data (from input)'!E50*'Input data'!O93*'4C2 Open-burning '!$C$9*'4C2 Open-burning '!$C$11*$C$5</f>
        <v>0</v>
      </c>
      <c r="T65" s="118">
        <f>B65*'Input data'!B93*'Baseline data (from input)'!E50*'Input data'!P93*'4C2 Open-burning '!$C$9*'4C2 Open-burning '!$C$11*$C$5</f>
        <v>0</v>
      </c>
      <c r="U65" s="118">
        <f>B65*'Input data'!B93*'Baseline data (from input)'!E50*'Input data'!Q93*'4C2 Open-burning '!$C$9*'4C2 Open-burning '!$C$11*$C$5</f>
        <v>0</v>
      </c>
      <c r="V65" s="118">
        <f>B65*'Input data'!B93*'Baseline data (from input)'!E50*'Input data'!R93*'4C2 Open-burning '!$C$9*'4C2 Open-burning '!$C$11*$C$5</f>
        <v>0</v>
      </c>
      <c r="W65" s="118">
        <f>B65*'Input data'!B93*'Baseline data (from input)'!E50*'Input data'!S93*'4C2 Open-burning '!$C$9*'4C2 Open-burning '!$C$11*$C$5</f>
        <v>0</v>
      </c>
      <c r="X65" s="118">
        <f>B65*'Input data'!B93*'Baseline data (from input)'!E50*'Input data'!T93*'4C2 Open-burning '!$C$9*'4C2 Open-burning '!$C$11*$C$5</f>
        <v>0</v>
      </c>
      <c r="Y65" s="118" t="e">
        <f>B65*'Input data'!B93*'Baseline data (from input)'!E50*'Input data'!#REF!*'4C2 Open-burning '!$C$9*'4C2 Open-burning '!$C$11*$C$5</f>
        <v>#REF!</v>
      </c>
      <c r="Z65" s="119" t="e">
        <f t="shared" si="1"/>
        <v>#REF!</v>
      </c>
      <c r="AA65" s="117">
        <f>B65*'Input data'!B93*'Baseline data (from input)'!E50*'Input data'!O93*'4C2 Open-burning '!$C$10*'4C2 Open-burning '!$C$11*$C$5</f>
        <v>0</v>
      </c>
      <c r="AB65" s="118">
        <f>B65*'Input data'!B93*'Baseline data (from input)'!E50*'Input data'!P93*'4C2 Open-burning '!$C$10*'4C2 Open-burning '!$C$11*$C$5</f>
        <v>0</v>
      </c>
      <c r="AC65" s="118">
        <f>B65*'Input data'!B93*'Baseline data (from input)'!E50*'Input data'!Q93*'4C2 Open-burning '!$C$10*'4C2 Open-burning '!$C$11*$C$5</f>
        <v>0</v>
      </c>
      <c r="AD65" s="118">
        <f>B65*'Input data'!B93*'Baseline data (from input)'!E50*'Input data'!R93*'4C2 Open-burning '!$C$10*'4C2 Open-burning '!$C$11*$C$5</f>
        <v>0</v>
      </c>
      <c r="AE65" s="118">
        <f>B65*'Input data'!B93*'Baseline data (from input)'!E50*'Input data'!S93*'4C2 Open-burning '!$C$10*'4C2 Open-burning '!$C$11*$C$5</f>
        <v>0</v>
      </c>
      <c r="AF65" s="118">
        <f>B65*'Input data'!B93*'Baseline data (from input)'!E50*'Input data'!T93*'4C2 Open-burning '!$C$10*'4C2 Open-burning '!$C$11*$C$5</f>
        <v>0</v>
      </c>
      <c r="AG65" s="118" t="e">
        <f>B65*'Input data'!B93*'Baseline data (from input)'!E50*'Input data'!#REF!*'4C2 Open-burning '!$C$10*'4C2 Open-burning '!$C$11*$C$5</f>
        <v>#REF!</v>
      </c>
      <c r="AH65" s="119" t="e">
        <f t="shared" si="2"/>
        <v>#REF!</v>
      </c>
      <c r="AI65" s="99"/>
      <c r="AJ65" s="99"/>
      <c r="AK65" s="99"/>
    </row>
    <row r="66" spans="1:37" ht="15" hidden="1" customHeight="1" thickBot="1">
      <c r="A66" s="575">
        <f>'Input data'!A94</f>
        <v>1996</v>
      </c>
      <c r="B66" s="122">
        <f>'Baseline data (from input)'!G52</f>
        <v>0</v>
      </c>
      <c r="C66" s="654">
        <f>'Baseline data (from input)'!C52*'Baseline data (from input)'!D52</f>
        <v>4190.5061877184125</v>
      </c>
      <c r="D66" s="673">
        <f>'Baseline data (from input)'!C52*'Baseline data (from input)'!E52</f>
        <v>5600.5258044241109</v>
      </c>
      <c r="E66" s="673">
        <f>'Baseline data (from input)'!C52*'Baseline data (from input)'!F52</f>
        <v>1879.6589939340497</v>
      </c>
      <c r="F66" s="673">
        <f>'Baseline data (from input)'!C52*'Baseline data (from input)'!G52</f>
        <v>0</v>
      </c>
      <c r="G66" s="673">
        <f>'Baseline data (from input)'!C52*'Baseline data (from input)'!H52</f>
        <v>0</v>
      </c>
      <c r="H66" s="673">
        <f>'Baseline data (from input)'!H52*'Baseline data (from input)'!I52</f>
        <v>0</v>
      </c>
      <c r="I66" s="673">
        <f>'Baseline data (from input)'!C52*'Baseline data (from input)'!J52</f>
        <v>9395.0810139234272</v>
      </c>
      <c r="J66" s="1165">
        <f t="shared" si="3"/>
        <v>21065.772000000001</v>
      </c>
      <c r="K66" s="117">
        <f>'Input data'!B94*'Baseline data (from input)'!E51*'Input data'!O94*'4C2 Open-burning '!B66*'4C2 Open-burning '!$C$14*'4C2 Open-burning '!$C$5*'4C2 Open-burning '!$C$6*'4C2 Open-burning '!$C$7</f>
        <v>0</v>
      </c>
      <c r="L66" s="118">
        <f>'Input data'!B94*'Baseline data (from input)'!E51*'Input data'!P94*'4C2 Open-burning '!B66*'4C2 Open-burning '!$C$15*'4C2 Open-burning '!$C$5*'4C2 Open-burning '!$C$6*'4C2 Open-burning '!$C$7</f>
        <v>0</v>
      </c>
      <c r="M66" s="118" t="e">
        <f>'Input data'!B94*'Baseline data (from input)'!E51*'Input data'!Q94*'4C2 Open-burning '!B66*'4C2 Open-burning '!#REF!*'4C2 Open-burning '!$C$5*'4C2 Open-burning '!$C$6*'4C2 Open-burning '!$C$7</f>
        <v>#REF!</v>
      </c>
      <c r="N66" s="118" t="e">
        <f>'Input data'!B94*'Baseline data (from input)'!E51*'Input data'!R94*'4C2 Open-burning '!B66*'4C2 Open-burning '!#REF!*'4C2 Open-burning '!$C$5*'4C2 Open-burning '!$C$6*'4C2 Open-burning '!$C$7</f>
        <v>#REF!</v>
      </c>
      <c r="O66" s="118" t="e">
        <f>'Input data'!B94*'Baseline data (from input)'!E51*'Input data'!S94*'4C2 Open-burning '!B66*'4C2 Open-burning '!#REF!*'4C2 Open-burning '!$C$5*'4C2 Open-burning '!$C$6*'4C2 Open-burning '!$C$7</f>
        <v>#REF!</v>
      </c>
      <c r="P66" s="118" t="e">
        <f>'Input data'!B94*'Baseline data (from input)'!E51*'Input data'!T94*'4C2 Open-burning '!B66*'4C2 Open-burning '!#REF!*'4C2 Open-burning '!$C$5*'4C2 Open-burning '!$C$6*'4C2 Open-burning '!$C$7</f>
        <v>#REF!</v>
      </c>
      <c r="Q66" s="118" t="e">
        <f>'Input data'!B94*'Baseline data (from input)'!E51*'Input data'!#REF!*'4C2 Open-burning '!B66*'4C2 Open-burning '!#REF!*'4C2 Open-burning '!$C$5*'4C2 Open-burning '!$C$6*'4C2 Open-burning '!$C$7</f>
        <v>#REF!</v>
      </c>
      <c r="R66" s="119" t="e">
        <f t="shared" si="0"/>
        <v>#REF!</v>
      </c>
      <c r="S66" s="117">
        <f>B66*'Input data'!B94*'Baseline data (from input)'!E51*'Input data'!O94*'4C2 Open-burning '!$C$9*'4C2 Open-burning '!$C$11*$C$5</f>
        <v>0</v>
      </c>
      <c r="T66" s="118">
        <f>B66*'Input data'!B94*'Baseline data (from input)'!E51*'Input data'!P94*'4C2 Open-burning '!$C$9*'4C2 Open-burning '!$C$11*$C$5</f>
        <v>0</v>
      </c>
      <c r="U66" s="118">
        <f>B66*'Input data'!B94*'Baseline data (from input)'!E51*'Input data'!Q94*'4C2 Open-burning '!$C$9*'4C2 Open-burning '!$C$11*$C$5</f>
        <v>0</v>
      </c>
      <c r="V66" s="118">
        <f>B66*'Input data'!B94*'Baseline data (from input)'!E51*'Input data'!R94*'4C2 Open-burning '!$C$9*'4C2 Open-burning '!$C$11*$C$5</f>
        <v>0</v>
      </c>
      <c r="W66" s="118">
        <f>B66*'Input data'!B94*'Baseline data (from input)'!E51*'Input data'!S94*'4C2 Open-burning '!$C$9*'4C2 Open-burning '!$C$11*$C$5</f>
        <v>0</v>
      </c>
      <c r="X66" s="118">
        <f>B66*'Input data'!B94*'Baseline data (from input)'!E51*'Input data'!T94*'4C2 Open-burning '!$C$9*'4C2 Open-burning '!$C$11*$C$5</f>
        <v>0</v>
      </c>
      <c r="Y66" s="118" t="e">
        <f>B66*'Input data'!B94*'Baseline data (from input)'!E51*'Input data'!#REF!*'4C2 Open-burning '!$C$9*'4C2 Open-burning '!$C$11*$C$5</f>
        <v>#REF!</v>
      </c>
      <c r="Z66" s="119" t="e">
        <f t="shared" si="1"/>
        <v>#REF!</v>
      </c>
      <c r="AA66" s="117">
        <f>B66*'Input data'!B94*'Baseline data (from input)'!E51*'Input data'!O94*'4C2 Open-burning '!$C$10*'4C2 Open-burning '!$C$11*$C$5</f>
        <v>0</v>
      </c>
      <c r="AB66" s="118">
        <f>B66*'Input data'!B94*'Baseline data (from input)'!E51*'Input data'!P94*'4C2 Open-burning '!$C$10*'4C2 Open-burning '!$C$11*$C$5</f>
        <v>0</v>
      </c>
      <c r="AC66" s="118">
        <f>B66*'Input data'!B94*'Baseline data (from input)'!E51*'Input data'!Q94*'4C2 Open-burning '!$C$10*'4C2 Open-burning '!$C$11*$C$5</f>
        <v>0</v>
      </c>
      <c r="AD66" s="118">
        <f>B66*'Input data'!B94*'Baseline data (from input)'!E51*'Input data'!R94*'4C2 Open-burning '!$C$10*'4C2 Open-burning '!$C$11*$C$5</f>
        <v>0</v>
      </c>
      <c r="AE66" s="118">
        <f>B66*'Input data'!B94*'Baseline data (from input)'!E51*'Input data'!S94*'4C2 Open-burning '!$C$10*'4C2 Open-burning '!$C$11*$C$5</f>
        <v>0</v>
      </c>
      <c r="AF66" s="118">
        <f>B66*'Input data'!B94*'Baseline data (from input)'!E51*'Input data'!T94*'4C2 Open-burning '!$C$10*'4C2 Open-burning '!$C$11*$C$5</f>
        <v>0</v>
      </c>
      <c r="AG66" s="118" t="e">
        <f>B66*'Input data'!B94*'Baseline data (from input)'!E51*'Input data'!#REF!*'4C2 Open-burning '!$C$10*'4C2 Open-burning '!$C$11*$C$5</f>
        <v>#REF!</v>
      </c>
      <c r="AH66" s="119" t="e">
        <f t="shared" si="2"/>
        <v>#REF!</v>
      </c>
      <c r="AI66" s="99"/>
      <c r="AJ66" s="99"/>
      <c r="AK66" s="99"/>
    </row>
    <row r="67" spans="1:37" ht="15" hidden="1" customHeight="1" thickBot="1">
      <c r="A67" s="575">
        <f>'Input data'!A95</f>
        <v>1997</v>
      </c>
      <c r="B67" s="122">
        <f>'Baseline data (from input)'!G53</f>
        <v>0</v>
      </c>
      <c r="C67" s="654">
        <f>'Baseline data (from input)'!C53*'Baseline data (from input)'!D53</f>
        <v>4287.5164059640938</v>
      </c>
      <c r="D67" s="673">
        <f>'Baseline data (from input)'!C53*'Baseline data (from input)'!E53</f>
        <v>5730.177976796529</v>
      </c>
      <c r="E67" s="673">
        <f>'Baseline data (from input)'!C53*'Baseline data (from input)'!F53</f>
        <v>1923.1730996436231</v>
      </c>
      <c r="F67" s="673">
        <f>'Baseline data (from input)'!C53*'Baseline data (from input)'!G53</f>
        <v>0</v>
      </c>
      <c r="G67" s="673">
        <f>'Baseline data (from input)'!C53*'Baseline data (from input)'!H53</f>
        <v>0</v>
      </c>
      <c r="H67" s="673">
        <f>'Baseline data (from input)'!H53*'Baseline data (from input)'!I53</f>
        <v>0</v>
      </c>
      <c r="I67" s="673">
        <f>'Baseline data (from input)'!C53*'Baseline data (from input)'!J53</f>
        <v>9612.5771393957548</v>
      </c>
      <c r="J67" s="1165">
        <f t="shared" si="3"/>
        <v>21553.444621800001</v>
      </c>
      <c r="K67" s="117">
        <f>'Input data'!B95*'Baseline data (from input)'!E52*'Input data'!O95*'4C2 Open-burning '!B67*'4C2 Open-burning '!$C$14*'4C2 Open-burning '!$C$5*'4C2 Open-burning '!$C$6*'4C2 Open-burning '!$C$7</f>
        <v>0</v>
      </c>
      <c r="L67" s="118">
        <f>'Input data'!B95*'Baseline data (from input)'!E52*'Input data'!P95*'4C2 Open-burning '!B67*'4C2 Open-burning '!$C$15*'4C2 Open-burning '!$C$5*'4C2 Open-burning '!$C$6*'4C2 Open-burning '!$C$7</f>
        <v>0</v>
      </c>
      <c r="M67" s="118" t="e">
        <f>'Input data'!B95*'Baseline data (from input)'!E52*'Input data'!Q95*'4C2 Open-burning '!B67*'4C2 Open-burning '!#REF!*'4C2 Open-burning '!$C$5*'4C2 Open-burning '!$C$6*'4C2 Open-burning '!$C$7</f>
        <v>#REF!</v>
      </c>
      <c r="N67" s="118" t="e">
        <f>'Input data'!B95*'Baseline data (from input)'!E52*'Input data'!R95*'4C2 Open-burning '!B67*'4C2 Open-burning '!#REF!*'4C2 Open-burning '!$C$5*'4C2 Open-burning '!$C$6*'4C2 Open-burning '!$C$7</f>
        <v>#REF!</v>
      </c>
      <c r="O67" s="118" t="e">
        <f>'Input data'!B95*'Baseline data (from input)'!E52*'Input data'!S95*'4C2 Open-burning '!B67*'4C2 Open-burning '!#REF!*'4C2 Open-burning '!$C$5*'4C2 Open-burning '!$C$6*'4C2 Open-burning '!$C$7</f>
        <v>#REF!</v>
      </c>
      <c r="P67" s="118" t="e">
        <f>'Input data'!B95*'Baseline data (from input)'!E52*'Input data'!T95*'4C2 Open-burning '!B67*'4C2 Open-burning '!#REF!*'4C2 Open-burning '!$C$5*'4C2 Open-burning '!$C$6*'4C2 Open-burning '!$C$7</f>
        <v>#REF!</v>
      </c>
      <c r="Q67" s="118" t="e">
        <f>'Input data'!B95*'Baseline data (from input)'!E52*'Input data'!#REF!*'4C2 Open-burning '!B67*'4C2 Open-burning '!#REF!*'4C2 Open-burning '!$C$5*'4C2 Open-burning '!$C$6*'4C2 Open-burning '!$C$7</f>
        <v>#REF!</v>
      </c>
      <c r="R67" s="119" t="e">
        <f t="shared" si="0"/>
        <v>#REF!</v>
      </c>
      <c r="S67" s="117">
        <f>B67*'Input data'!B95*'Baseline data (from input)'!E52*'Input data'!O95*'4C2 Open-burning '!$C$9*'4C2 Open-burning '!$C$11*$C$5</f>
        <v>0</v>
      </c>
      <c r="T67" s="118">
        <f>B67*'Input data'!B95*'Baseline data (from input)'!E52*'Input data'!P95*'4C2 Open-burning '!$C$9*'4C2 Open-burning '!$C$11*$C$5</f>
        <v>0</v>
      </c>
      <c r="U67" s="118">
        <f>B67*'Input data'!B95*'Baseline data (from input)'!E52*'Input data'!Q95*'4C2 Open-burning '!$C$9*'4C2 Open-burning '!$C$11*$C$5</f>
        <v>0</v>
      </c>
      <c r="V67" s="118">
        <f>B67*'Input data'!B95*'Baseline data (from input)'!E52*'Input data'!R95*'4C2 Open-burning '!$C$9*'4C2 Open-burning '!$C$11*$C$5</f>
        <v>0</v>
      </c>
      <c r="W67" s="118">
        <f>B67*'Input data'!B95*'Baseline data (from input)'!E52*'Input data'!S95*'4C2 Open-burning '!$C$9*'4C2 Open-burning '!$C$11*$C$5</f>
        <v>0</v>
      </c>
      <c r="X67" s="118">
        <f>B67*'Input data'!B95*'Baseline data (from input)'!E52*'Input data'!T95*'4C2 Open-burning '!$C$9*'4C2 Open-burning '!$C$11*$C$5</f>
        <v>0</v>
      </c>
      <c r="Y67" s="118" t="e">
        <f>B67*'Input data'!B95*'Baseline data (from input)'!E52*'Input data'!#REF!*'4C2 Open-burning '!$C$9*'4C2 Open-burning '!$C$11*$C$5</f>
        <v>#REF!</v>
      </c>
      <c r="Z67" s="119" t="e">
        <f t="shared" si="1"/>
        <v>#REF!</v>
      </c>
      <c r="AA67" s="117">
        <f>B67*'Input data'!B95*'Baseline data (from input)'!E52*'Input data'!O95*'4C2 Open-burning '!$C$10*'4C2 Open-burning '!$C$11*$C$5</f>
        <v>0</v>
      </c>
      <c r="AB67" s="118">
        <f>B67*'Input data'!B95*'Baseline data (from input)'!E52*'Input data'!P95*'4C2 Open-burning '!$C$10*'4C2 Open-burning '!$C$11*$C$5</f>
        <v>0</v>
      </c>
      <c r="AC67" s="118">
        <f>B67*'Input data'!B95*'Baseline data (from input)'!E52*'Input data'!Q95*'4C2 Open-burning '!$C$10*'4C2 Open-burning '!$C$11*$C$5</f>
        <v>0</v>
      </c>
      <c r="AD67" s="118">
        <f>B67*'Input data'!B95*'Baseline data (from input)'!E52*'Input data'!R95*'4C2 Open-burning '!$C$10*'4C2 Open-burning '!$C$11*$C$5</f>
        <v>0</v>
      </c>
      <c r="AE67" s="118">
        <f>B67*'Input data'!B95*'Baseline data (from input)'!E52*'Input data'!S95*'4C2 Open-burning '!$C$10*'4C2 Open-burning '!$C$11*$C$5</f>
        <v>0</v>
      </c>
      <c r="AF67" s="118">
        <f>B67*'Input data'!B95*'Baseline data (from input)'!E52*'Input data'!T95*'4C2 Open-burning '!$C$10*'4C2 Open-burning '!$C$11*$C$5</f>
        <v>0</v>
      </c>
      <c r="AG67" s="118" t="e">
        <f>B67*'Input data'!B95*'Baseline data (from input)'!E52*'Input data'!#REF!*'4C2 Open-burning '!$C$10*'4C2 Open-burning '!$C$11*$C$5</f>
        <v>#REF!</v>
      </c>
      <c r="AH67" s="119" t="e">
        <f t="shared" si="2"/>
        <v>#REF!</v>
      </c>
      <c r="AI67" s="99"/>
      <c r="AJ67" s="99"/>
      <c r="AK67" s="99"/>
    </row>
    <row r="68" spans="1:37" ht="15" hidden="1" customHeight="1" thickBot="1">
      <c r="A68" s="575">
        <f>'Input data'!A96</f>
        <v>1998</v>
      </c>
      <c r="B68" s="122">
        <f>'Baseline data (from input)'!G54</f>
        <v>0</v>
      </c>
      <c r="C68" s="654">
        <f>'Baseline data (from input)'!C54*'Baseline data (from input)'!D54</f>
        <v>4389.5552316350368</v>
      </c>
      <c r="D68" s="673">
        <f>'Baseline data (from input)'!C54*'Baseline data (from input)'!E54</f>
        <v>5866.5507801342555</v>
      </c>
      <c r="E68" s="673">
        <f>'Baseline data (from input)'!C54*'Baseline data (from input)'!F54</f>
        <v>1968.9427961459171</v>
      </c>
      <c r="F68" s="673">
        <f>'Baseline data (from input)'!C54*'Baseline data (from input)'!G54</f>
        <v>0</v>
      </c>
      <c r="G68" s="673">
        <f>'Baseline data (from input)'!C54*'Baseline data (from input)'!H54</f>
        <v>0</v>
      </c>
      <c r="H68" s="673">
        <f>'Baseline data (from input)'!H54*'Baseline data (from input)'!I54</f>
        <v>0</v>
      </c>
      <c r="I68" s="673">
        <f>'Baseline data (from input)'!C54*'Baseline data (from input)'!J54</f>
        <v>9841.3473620847908</v>
      </c>
      <c r="J68" s="1165">
        <f t="shared" si="3"/>
        <v>22066.39617</v>
      </c>
      <c r="K68" s="117">
        <f>'Input data'!B96*'Baseline data (from input)'!E53*'Input data'!O96*'4C2 Open-burning '!B68*'4C2 Open-burning '!$C$14*'4C2 Open-burning '!$C$5*'4C2 Open-burning '!$C$6*'4C2 Open-burning '!$C$7</f>
        <v>0</v>
      </c>
      <c r="L68" s="118">
        <f>'Input data'!B96*'Baseline data (from input)'!E53*'Input data'!P96*'4C2 Open-burning '!B68*'4C2 Open-burning '!$C$15*'4C2 Open-burning '!$C$5*'4C2 Open-burning '!$C$6*'4C2 Open-burning '!$C$7</f>
        <v>0</v>
      </c>
      <c r="M68" s="118" t="e">
        <f>'Input data'!B96*'Baseline data (from input)'!E53*'Input data'!Q96*'4C2 Open-burning '!B68*'4C2 Open-burning '!#REF!*'4C2 Open-burning '!$C$5*'4C2 Open-burning '!$C$6*'4C2 Open-burning '!$C$7</f>
        <v>#REF!</v>
      </c>
      <c r="N68" s="118" t="e">
        <f>'Input data'!B96*'Baseline data (from input)'!E53*'Input data'!R96*'4C2 Open-burning '!B68*'4C2 Open-burning '!#REF!*'4C2 Open-burning '!$C$5*'4C2 Open-burning '!$C$6*'4C2 Open-burning '!$C$7</f>
        <v>#REF!</v>
      </c>
      <c r="O68" s="118" t="e">
        <f>'Input data'!B96*'Baseline data (from input)'!E53*'Input data'!S96*'4C2 Open-burning '!B68*'4C2 Open-burning '!#REF!*'4C2 Open-burning '!$C$5*'4C2 Open-burning '!$C$6*'4C2 Open-burning '!$C$7</f>
        <v>#REF!</v>
      </c>
      <c r="P68" s="118" t="e">
        <f>'Input data'!B96*'Baseline data (from input)'!E53*'Input data'!T96*'4C2 Open-burning '!B68*'4C2 Open-burning '!#REF!*'4C2 Open-burning '!$C$5*'4C2 Open-burning '!$C$6*'4C2 Open-burning '!$C$7</f>
        <v>#REF!</v>
      </c>
      <c r="Q68" s="118" t="e">
        <f>'Input data'!B96*'Baseline data (from input)'!E53*'Input data'!#REF!*'4C2 Open-burning '!B68*'4C2 Open-burning '!#REF!*'4C2 Open-burning '!$C$5*'4C2 Open-burning '!$C$6*'4C2 Open-burning '!$C$7</f>
        <v>#REF!</v>
      </c>
      <c r="R68" s="119" t="e">
        <f t="shared" si="0"/>
        <v>#REF!</v>
      </c>
      <c r="S68" s="117">
        <f>B68*'Input data'!B96*'Baseline data (from input)'!E53*'Input data'!O96*'4C2 Open-burning '!$C$9*'4C2 Open-burning '!$C$11*$C$5</f>
        <v>0</v>
      </c>
      <c r="T68" s="118">
        <f>B68*'Input data'!B96*'Baseline data (from input)'!E53*'Input data'!P96*'4C2 Open-burning '!$C$9*'4C2 Open-burning '!$C$11*$C$5</f>
        <v>0</v>
      </c>
      <c r="U68" s="118">
        <f>B68*'Input data'!B96*'Baseline data (from input)'!E53*'Input data'!Q96*'4C2 Open-burning '!$C$9*'4C2 Open-burning '!$C$11*$C$5</f>
        <v>0</v>
      </c>
      <c r="V68" s="118">
        <f>B68*'Input data'!B96*'Baseline data (from input)'!E53*'Input data'!R96*'4C2 Open-burning '!$C$9*'4C2 Open-burning '!$C$11*$C$5</f>
        <v>0</v>
      </c>
      <c r="W68" s="118">
        <f>B68*'Input data'!B96*'Baseline data (from input)'!E53*'Input data'!S96*'4C2 Open-burning '!$C$9*'4C2 Open-burning '!$C$11*$C$5</f>
        <v>0</v>
      </c>
      <c r="X68" s="118">
        <f>B68*'Input data'!B96*'Baseline data (from input)'!E53*'Input data'!T96*'4C2 Open-burning '!$C$9*'4C2 Open-burning '!$C$11*$C$5</f>
        <v>0</v>
      </c>
      <c r="Y68" s="118" t="e">
        <f>B68*'Input data'!B96*'Baseline data (from input)'!E53*'Input data'!#REF!*'4C2 Open-burning '!$C$9*'4C2 Open-burning '!$C$11*$C$5</f>
        <v>#REF!</v>
      </c>
      <c r="Z68" s="119" t="e">
        <f t="shared" si="1"/>
        <v>#REF!</v>
      </c>
      <c r="AA68" s="117">
        <f>B68*'Input data'!B96*'Baseline data (from input)'!E53*'Input data'!O96*'4C2 Open-burning '!$C$10*'4C2 Open-burning '!$C$11*$C$5</f>
        <v>0</v>
      </c>
      <c r="AB68" s="118">
        <f>B68*'Input data'!B96*'Baseline data (from input)'!E53*'Input data'!P96*'4C2 Open-burning '!$C$10*'4C2 Open-burning '!$C$11*$C$5</f>
        <v>0</v>
      </c>
      <c r="AC68" s="118">
        <f>B68*'Input data'!B96*'Baseline data (from input)'!E53*'Input data'!Q96*'4C2 Open-burning '!$C$10*'4C2 Open-burning '!$C$11*$C$5</f>
        <v>0</v>
      </c>
      <c r="AD68" s="118">
        <f>B68*'Input data'!B96*'Baseline data (from input)'!E53*'Input data'!R96*'4C2 Open-burning '!$C$10*'4C2 Open-burning '!$C$11*$C$5</f>
        <v>0</v>
      </c>
      <c r="AE68" s="118">
        <f>B68*'Input data'!B96*'Baseline data (from input)'!E53*'Input data'!S96*'4C2 Open-burning '!$C$10*'4C2 Open-burning '!$C$11*$C$5</f>
        <v>0</v>
      </c>
      <c r="AF68" s="118">
        <f>B68*'Input data'!B96*'Baseline data (from input)'!E53*'Input data'!T96*'4C2 Open-burning '!$C$10*'4C2 Open-burning '!$C$11*$C$5</f>
        <v>0</v>
      </c>
      <c r="AG68" s="118" t="e">
        <f>B68*'Input data'!B96*'Baseline data (from input)'!E53*'Input data'!#REF!*'4C2 Open-burning '!$C$10*'4C2 Open-burning '!$C$11*$C$5</f>
        <v>#REF!</v>
      </c>
      <c r="AH68" s="119" t="e">
        <f t="shared" si="2"/>
        <v>#REF!</v>
      </c>
      <c r="AI68" s="99"/>
      <c r="AJ68" s="99"/>
      <c r="AK68" s="99"/>
    </row>
    <row r="69" spans="1:37" ht="15" hidden="1" customHeight="1" thickBot="1">
      <c r="A69" s="575">
        <f>'Input data'!A97</f>
        <v>1999</v>
      </c>
      <c r="B69" s="122">
        <f>'Baseline data (from input)'!G55</f>
        <v>0</v>
      </c>
      <c r="C69" s="654">
        <f>'Baseline data (from input)'!C55*'Baseline data (from input)'!D55</f>
        <v>4496.7274273859357</v>
      </c>
      <c r="D69" s="673">
        <f>'Baseline data (from input)'!C55*'Baseline data (from input)'!E55</f>
        <v>6009.7842275824023</v>
      </c>
      <c r="E69" s="673">
        <f>'Baseline data (from input)'!C55*'Baseline data (from input)'!F55</f>
        <v>2017.0150749157806</v>
      </c>
      <c r="F69" s="673">
        <f>'Baseline data (from input)'!C55*'Baseline data (from input)'!G55</f>
        <v>0</v>
      </c>
      <c r="G69" s="673">
        <f>'Baseline data (from input)'!C55*'Baseline data (from input)'!H55</f>
        <v>0</v>
      </c>
      <c r="H69" s="673">
        <f>'Baseline data (from input)'!H55*'Baseline data (from input)'!I55</f>
        <v>0</v>
      </c>
      <c r="I69" s="673">
        <f>'Baseline data (from input)'!C55*'Baseline data (from input)'!J55</f>
        <v>10081.626559015882</v>
      </c>
      <c r="J69" s="1165">
        <f t="shared" si="3"/>
        <v>22605.153288900001</v>
      </c>
      <c r="K69" s="117">
        <f>'Input data'!B97*'Baseline data (from input)'!E54*'Input data'!O97*'4C2 Open-burning '!B69*'4C2 Open-burning '!$C$14*'4C2 Open-burning '!$C$5*'4C2 Open-burning '!$C$6*'4C2 Open-burning '!$C$7</f>
        <v>0</v>
      </c>
      <c r="L69" s="118">
        <f>'Input data'!B97*'Baseline data (from input)'!E54*'Input data'!P97*'4C2 Open-burning '!B69*'4C2 Open-burning '!$C$15*'4C2 Open-burning '!$C$5*'4C2 Open-burning '!$C$6*'4C2 Open-burning '!$C$7</f>
        <v>0</v>
      </c>
      <c r="M69" s="118" t="e">
        <f>'Input data'!B97*'Baseline data (from input)'!E54*'Input data'!Q97*'4C2 Open-burning '!B69*'4C2 Open-burning '!#REF!*'4C2 Open-burning '!$C$5*'4C2 Open-burning '!$C$6*'4C2 Open-burning '!$C$7</f>
        <v>#REF!</v>
      </c>
      <c r="N69" s="118" t="e">
        <f>'Input data'!B97*'Baseline data (from input)'!E54*'Input data'!R97*'4C2 Open-burning '!B69*'4C2 Open-burning '!#REF!*'4C2 Open-burning '!$C$5*'4C2 Open-burning '!$C$6*'4C2 Open-burning '!$C$7</f>
        <v>#REF!</v>
      </c>
      <c r="O69" s="118" t="e">
        <f>'Input data'!B97*'Baseline data (from input)'!E54*'Input data'!S97*'4C2 Open-burning '!B69*'4C2 Open-burning '!#REF!*'4C2 Open-burning '!$C$5*'4C2 Open-burning '!$C$6*'4C2 Open-burning '!$C$7</f>
        <v>#REF!</v>
      </c>
      <c r="P69" s="118" t="e">
        <f>'Input data'!B97*'Baseline data (from input)'!E54*'Input data'!T97*'4C2 Open-burning '!B69*'4C2 Open-burning '!#REF!*'4C2 Open-burning '!$C$5*'4C2 Open-burning '!$C$6*'4C2 Open-burning '!$C$7</f>
        <v>#REF!</v>
      </c>
      <c r="Q69" s="118" t="e">
        <f>'Input data'!B97*'Baseline data (from input)'!E54*'Input data'!#REF!*'4C2 Open-burning '!B69*'4C2 Open-burning '!#REF!*'4C2 Open-burning '!$C$5*'4C2 Open-burning '!$C$6*'4C2 Open-burning '!$C$7</f>
        <v>#REF!</v>
      </c>
      <c r="R69" s="119" t="e">
        <f t="shared" si="0"/>
        <v>#REF!</v>
      </c>
      <c r="S69" s="117">
        <f>B69*'Input data'!B97*'Baseline data (from input)'!E54*'Input data'!O97*'4C2 Open-burning '!$C$9*'4C2 Open-burning '!$C$11*$C$5</f>
        <v>0</v>
      </c>
      <c r="T69" s="118">
        <f>B69*'Input data'!B97*'Baseline data (from input)'!E54*'Input data'!P97*'4C2 Open-burning '!$C$9*'4C2 Open-burning '!$C$11*$C$5</f>
        <v>0</v>
      </c>
      <c r="U69" s="118">
        <f>B69*'Input data'!B97*'Baseline data (from input)'!E54*'Input data'!Q97*'4C2 Open-burning '!$C$9*'4C2 Open-burning '!$C$11*$C$5</f>
        <v>0</v>
      </c>
      <c r="V69" s="118">
        <f>B69*'Input data'!B97*'Baseline data (from input)'!E54*'Input data'!R97*'4C2 Open-burning '!$C$9*'4C2 Open-burning '!$C$11*$C$5</f>
        <v>0</v>
      </c>
      <c r="W69" s="118">
        <f>B69*'Input data'!B97*'Baseline data (from input)'!E54*'Input data'!S97*'4C2 Open-burning '!$C$9*'4C2 Open-burning '!$C$11*$C$5</f>
        <v>0</v>
      </c>
      <c r="X69" s="118">
        <f>B69*'Input data'!B97*'Baseline data (from input)'!E54*'Input data'!T97*'4C2 Open-burning '!$C$9*'4C2 Open-burning '!$C$11*$C$5</f>
        <v>0</v>
      </c>
      <c r="Y69" s="118" t="e">
        <f>B69*'Input data'!B97*'Baseline data (from input)'!E54*'Input data'!#REF!*'4C2 Open-burning '!$C$9*'4C2 Open-burning '!$C$11*$C$5</f>
        <v>#REF!</v>
      </c>
      <c r="Z69" s="119" t="e">
        <f t="shared" si="1"/>
        <v>#REF!</v>
      </c>
      <c r="AA69" s="117">
        <f>B69*'Input data'!B97*'Baseline data (from input)'!E54*'Input data'!O97*'4C2 Open-burning '!$C$10*'4C2 Open-burning '!$C$11*$C$5</f>
        <v>0</v>
      </c>
      <c r="AB69" s="118">
        <f>B69*'Input data'!B97*'Baseline data (from input)'!E54*'Input data'!P97*'4C2 Open-burning '!$C$10*'4C2 Open-burning '!$C$11*$C$5</f>
        <v>0</v>
      </c>
      <c r="AC69" s="118">
        <f>B69*'Input data'!B97*'Baseline data (from input)'!E54*'Input data'!Q97*'4C2 Open-burning '!$C$10*'4C2 Open-burning '!$C$11*$C$5</f>
        <v>0</v>
      </c>
      <c r="AD69" s="118">
        <f>B69*'Input data'!B97*'Baseline data (from input)'!E54*'Input data'!R97*'4C2 Open-burning '!$C$10*'4C2 Open-burning '!$C$11*$C$5</f>
        <v>0</v>
      </c>
      <c r="AE69" s="118">
        <f>B69*'Input data'!B97*'Baseline data (from input)'!E54*'Input data'!S97*'4C2 Open-burning '!$C$10*'4C2 Open-burning '!$C$11*$C$5</f>
        <v>0</v>
      </c>
      <c r="AF69" s="118">
        <f>B69*'Input data'!B97*'Baseline data (from input)'!E54*'Input data'!T97*'4C2 Open-burning '!$C$10*'4C2 Open-burning '!$C$11*$C$5</f>
        <v>0</v>
      </c>
      <c r="AG69" s="118" t="e">
        <f>B69*'Input data'!B97*'Baseline data (from input)'!E54*'Input data'!#REF!*'4C2 Open-burning '!$C$10*'4C2 Open-burning '!$C$11*$C$5</f>
        <v>#REF!</v>
      </c>
      <c r="AH69" s="119" t="e">
        <f t="shared" si="2"/>
        <v>#REF!</v>
      </c>
      <c r="AI69" s="99"/>
      <c r="AJ69" s="99"/>
      <c r="AK69" s="99"/>
    </row>
    <row r="70" spans="1:37">
      <c r="A70" s="611">
        <f>'Input data'!A98</f>
        <v>2000</v>
      </c>
      <c r="B70" s="612">
        <f>'Baseline data (from input)'!N56</f>
        <v>0.09</v>
      </c>
      <c r="C70" s="671">
        <f>'Baseline data (from input)'!C56*'Baseline data (from input)'!D56</f>
        <v>5065.4470400991804</v>
      </c>
      <c r="D70" s="672">
        <f>'Baseline data (from input)'!C56*'Baseline data (from input)'!E56</f>
        <v>6769.8663569961782</v>
      </c>
      <c r="E70" s="672">
        <f>'Baseline data (from input)'!C56*'Baseline data (from input)'!F56</f>
        <v>2272.1152673928077</v>
      </c>
      <c r="F70" s="672">
        <f>'Baseline data (from input)'!C56*'Baseline data (from input)'!G56</f>
        <v>0</v>
      </c>
      <c r="G70" s="672">
        <f>'Baseline data (from input)'!C56*'Baseline data (from input)'!H56</f>
        <v>0</v>
      </c>
      <c r="H70" s="672">
        <f>'Baseline data (from input)'!H56*'Baseline data (from input)'!I56</f>
        <v>0</v>
      </c>
      <c r="I70" s="672">
        <f>'Baseline data (from input)'!C56*'Baseline data (from input)'!J56</f>
        <v>11356.691335511836</v>
      </c>
      <c r="J70" s="945">
        <f t="shared" si="3"/>
        <v>25464.120000000003</v>
      </c>
      <c r="K70" s="1161">
        <f>'4C2 Open-burning '!B70*'4C2 Open-burning '!$C$14*'4C2 Open-burning '!$C$5*'4C2 Open-burning '!$C$6*'4C2 Open-burning '!$C$7*C70</f>
        <v>0</v>
      </c>
      <c r="L70" s="1162">
        <f>'4C2 Open-burning '!B70*'4C2 Open-burning '!$D$14*'4C2 Open-burning '!$C$5*'4C2 Open-burning '!$C$6*'4C2 Open-burning '!$C$7*D70</f>
        <v>0</v>
      </c>
      <c r="M70" s="1162">
        <f>'4C2 Open-burning '!B70*'4C2 Open-burning '!$E$14*'4C2 Open-burning '!$C$5*'4C2 Open-burning '!$C$6*'4C2 Open-burning '!$C$7*E70</f>
        <v>1.0802490296525946</v>
      </c>
      <c r="N70" s="1162">
        <f>'4C2 Open-burning '!B70*'4C2 Open-burning '!$F$14*'4C2 Open-burning '!$C$5*'4C2 Open-burning '!$C$6*'4C2 Open-burning '!$C$7*F70</f>
        <v>0</v>
      </c>
      <c r="O70" s="1162">
        <f>'4C2 Open-burning '!B70*'4C2 Open-burning '!$G$14*'4C2 Open-burning '!$C$5*'4C2 Open-burning '!$C$6*'4C2 Open-burning '!$C$7*G70</f>
        <v>0</v>
      </c>
      <c r="P70" s="1162">
        <f>'4C2 Open-burning '!B70*'4C2 Open-burning '!$H$14*'4C2 Open-burning '!$C$5*'4C2 Open-burning '!$C$6*'4C2 Open-burning '!$C$7*H70</f>
        <v>0</v>
      </c>
      <c r="Q70" s="1162">
        <f>'4C2 Open-burning '!B70*'4C2 Open-burning '!$I$14*'4C2 Open-burning '!$C$5*'4C2 Open-burning '!$C$6*'4C2 Open-burning '!$C$7*I70</f>
        <v>35.21346569019483</v>
      </c>
      <c r="R70" s="1163">
        <f t="shared" si="0"/>
        <v>36.293714719847422</v>
      </c>
      <c r="S70" s="1161">
        <f>B70*C70*'4C2 Open-burning '!$C$9*'4C2 Open-burning '!$C$11*$C$5</f>
        <v>1.777971911074812</v>
      </c>
      <c r="T70" s="1162">
        <f>B70*D70*'4C2 Open-burning '!$C$9*'4C2 Open-burning '!$C$11*$C$5</f>
        <v>2.3762230913056586</v>
      </c>
      <c r="U70" s="1162">
        <f>B70*E70*'4C2 Open-burning '!$C$9*'4C2 Open-burning '!$C$11*$C$5</f>
        <v>0.79751245885487532</v>
      </c>
      <c r="V70" s="1162">
        <f>B70*F70*'4C2 Open-burning '!$C$9*'4C2 Open-burning '!$C$11*$C$5</f>
        <v>0</v>
      </c>
      <c r="W70" s="1162">
        <f>B70*G70*'4C2 Open-burning '!$C$9*'4C2 Open-burning '!$C$11*$C$5</f>
        <v>0</v>
      </c>
      <c r="X70" s="1162">
        <f>B70*H70*'4C2 Open-burning '!$C$9*'4C2 Open-burning '!$C$11*$C$5</f>
        <v>0</v>
      </c>
      <c r="Y70" s="1162">
        <f>B70*I70*'4C2 Open-burning '!$C$9*'4C2 Open-burning '!$C$11*$C$5</f>
        <v>3.9861986587646543</v>
      </c>
      <c r="Z70" s="1163">
        <f>SUM(S70:Y70)</f>
        <v>8.937906120000001</v>
      </c>
      <c r="AA70" s="616">
        <f>B70*C70*'4C2 Open-burning '!$C$10*'4C2 Open-burning '!$C$11*$C$5*$C$15</f>
        <v>1.6412048409921345E-2</v>
      </c>
      <c r="AB70" s="617">
        <f>B70*D70*'4C2 Open-burning '!$C$10*'4C2 Open-burning '!$C$11*$C$5*$D$15</f>
        <v>2.1934366996667617E-2</v>
      </c>
      <c r="AC70" s="617">
        <f>B70*E70*'4C2 Open-burning '!$C$10*'4C2 Open-burning '!$C$11*$C$5*$E$15</f>
        <v>1.6563720299293566E-2</v>
      </c>
      <c r="AD70" s="617">
        <f>B70*F70*'4C2 Open-burning '!$C$10*'4C2 Open-burning '!$C$11*$C$5*$F$15</f>
        <v>0</v>
      </c>
      <c r="AE70" s="617">
        <f>B70*G70*'4C2 Open-burning '!$C$10*'4C2 Open-burning '!$C$11*$C$5*$G$15</f>
        <v>0</v>
      </c>
      <c r="AF70" s="617">
        <f>B70*H70*'4C2 Open-burning '!$C$10*'4C2 Open-burning '!$C$11*$C$5*$H$15</f>
        <v>0</v>
      </c>
      <c r="AG70" s="617">
        <f>B70*I70*'4C2 Open-burning '!$C$10*'4C2 Open-burning '!$C$11*$C$5*$I$15</f>
        <v>8.2790279835881275E-2</v>
      </c>
      <c r="AH70" s="618">
        <f t="shared" si="2"/>
        <v>0.13770041554176382</v>
      </c>
      <c r="AI70" s="99"/>
      <c r="AJ70" s="99"/>
      <c r="AK70" s="99"/>
    </row>
    <row r="71" spans="1:37">
      <c r="A71" s="619">
        <f>'Input data'!A99</f>
        <v>2001</v>
      </c>
      <c r="B71" s="612">
        <f>'Baseline data (from input)'!N57</f>
        <v>0.09</v>
      </c>
      <c r="C71" s="671">
        <f>'Baseline data (from input)'!C57*'Baseline data (from input)'!D57</f>
        <v>5170.20969479214</v>
      </c>
      <c r="D71" s="672">
        <f>'Baseline data (from input)'!C57*'Baseline data (from input)'!E57</f>
        <v>6909.8795021067799</v>
      </c>
      <c r="E71" s="672">
        <f>'Baseline data (from input)'!C57*'Baseline data (from input)'!F57</f>
        <v>2319.1067422411584</v>
      </c>
      <c r="F71" s="672">
        <f>'Baseline data (from input)'!C57*'Baseline data (from input)'!G57</f>
        <v>0</v>
      </c>
      <c r="G71" s="672">
        <f>'Baseline data (from input)'!C57*'Baseline data (from input)'!H57</f>
        <v>0</v>
      </c>
      <c r="H71" s="672">
        <f>'Baseline data (from input)'!H57*'Baseline data (from input)'!I57</f>
        <v>0</v>
      </c>
      <c r="I71" s="672">
        <f>'Baseline data (from input)'!C57*'Baseline data (from input)'!J57</f>
        <v>11591.568360859921</v>
      </c>
      <c r="J71" s="945">
        <f t="shared" si="3"/>
        <v>25990.764299999999</v>
      </c>
      <c r="K71" s="613">
        <f>'4C2 Open-burning '!B71*'4C2 Open-burning '!$C$14*'4C2 Open-burning '!$C$5*'4C2 Open-burning '!$C$6*'4C2 Open-burning '!$C$7*C71</f>
        <v>0</v>
      </c>
      <c r="L71" s="614">
        <f>'4C2 Open-burning '!B71*'4C2 Open-burning '!$D$14*'4C2 Open-burning '!$C$5*'4C2 Open-burning '!$C$6*'4C2 Open-burning '!$C$7*D71</f>
        <v>0</v>
      </c>
      <c r="M71" s="614">
        <f>'4C2 Open-burning '!B71*'4C2 Open-burning '!$E$14*'4C2 Open-burning '!$C$5*'4C2 Open-burning '!$C$6*'4C2 Open-burning '!$C$7*E71</f>
        <v>1.1025905436749548</v>
      </c>
      <c r="N71" s="614">
        <f>'4C2 Open-burning '!B71*'4C2 Open-burning '!$F$14*'4C2 Open-burning '!$C$5*'4C2 Open-burning '!$C$6*'4C2 Open-burning '!$C$7*F71</f>
        <v>0</v>
      </c>
      <c r="O71" s="614">
        <f>'4C2 Open-burning '!B71*'4C2 Open-burning '!$G$14*'4C2 Open-burning '!$C$5*'4C2 Open-burning '!$C$6*'4C2 Open-burning '!$C$7*G71</f>
        <v>0</v>
      </c>
      <c r="P71" s="614">
        <f>'4C2 Open-burning '!B71*'4C2 Open-burning '!$H$14*'4C2 Open-burning '!$C$5*'4C2 Open-burning '!$C$6*'4C2 Open-burning '!$C$7*H71</f>
        <v>0</v>
      </c>
      <c r="Q71" s="614">
        <f>'4C2 Open-burning '!B71*'4C2 Open-burning '!$I$14*'4C2 Open-burning '!$C$5*'4C2 Open-burning '!$C$6*'4C2 Open-burning '!$C$7*I71</f>
        <v>35.94174418515113</v>
      </c>
      <c r="R71" s="615">
        <f t="shared" si="0"/>
        <v>37.044334728826087</v>
      </c>
      <c r="S71" s="613">
        <f>B71*C71*'4C2 Open-burning '!$C$9*'4C2 Open-burning '!$C$11*$C$5</f>
        <v>1.814743602872041</v>
      </c>
      <c r="T71" s="614">
        <f>B71*D71*'4C2 Open-burning '!$C$9*'4C2 Open-burning '!$C$11*$C$5</f>
        <v>2.4253677052394793</v>
      </c>
      <c r="U71" s="614">
        <f>B71*E71*'4C2 Open-burning '!$C$9*'4C2 Open-burning '!$C$11*$C$5</f>
        <v>0.81400646652664654</v>
      </c>
      <c r="V71" s="614">
        <f>B71*F71*'4C2 Open-burning '!$C$9*'4C2 Open-burning '!$C$11*$C$5</f>
        <v>0</v>
      </c>
      <c r="W71" s="614">
        <f>B71*G71*'4C2 Open-burning '!$C$9*'4C2 Open-burning '!$C$11*$C$5</f>
        <v>0</v>
      </c>
      <c r="X71" s="614">
        <f>B71*H71*'4C2 Open-burning '!$C$9*'4C2 Open-burning '!$C$11*$C$5</f>
        <v>0</v>
      </c>
      <c r="Y71" s="614">
        <f>B71*I71*'4C2 Open-burning '!$C$9*'4C2 Open-burning '!$C$11*$C$5</f>
        <v>4.0686404946618318</v>
      </c>
      <c r="Z71" s="615">
        <f t="shared" ref="Z71:Z87" si="4">SUM(S71:Y71)</f>
        <v>9.1227582692999984</v>
      </c>
      <c r="AA71" s="616">
        <f>B71*C71*'4C2 Open-burning '!$C$10*'4C2 Open-burning '!$C$11*$C$5*$C$15</f>
        <v>1.6751479411126532E-2</v>
      </c>
      <c r="AB71" s="617">
        <f>B71*D71*'4C2 Open-burning '!$C$10*'4C2 Open-burning '!$C$11*$C$5*$D$15</f>
        <v>2.2388009586825963E-2</v>
      </c>
      <c r="AC71" s="617">
        <f>B71*E71*'4C2 Open-burning '!$C$10*'4C2 Open-burning '!$C$11*$C$5*$E$15</f>
        <v>1.6906288150938045E-2</v>
      </c>
      <c r="AD71" s="617">
        <f>B71*F71*'4C2 Open-burning '!$C$10*'4C2 Open-burning '!$C$11*$C$5*$F$15</f>
        <v>0</v>
      </c>
      <c r="AE71" s="617">
        <f>B71*G71*'4C2 Open-burning '!$C$10*'4C2 Open-burning '!$C$11*$C$5*$G$15</f>
        <v>0</v>
      </c>
      <c r="AF71" s="617">
        <f>B71*H71*'4C2 Open-burning '!$C$10*'4C2 Open-burning '!$C$11*$C$5*$H$15</f>
        <v>0</v>
      </c>
      <c r="AG71" s="617">
        <f>B71*I71*'4C2 Open-burning '!$C$10*'4C2 Open-burning '!$C$11*$C$5*$I$15</f>
        <v>8.4502533350668832E-2</v>
      </c>
      <c r="AH71" s="618">
        <f t="shared" si="2"/>
        <v>0.14054831049955938</v>
      </c>
      <c r="AI71" s="99"/>
      <c r="AJ71" s="99"/>
      <c r="AK71" s="99"/>
    </row>
    <row r="72" spans="1:37">
      <c r="A72" s="619">
        <f>'Input data'!A100</f>
        <v>2002</v>
      </c>
      <c r="B72" s="612">
        <f>'Baseline data (from input)'!N58</f>
        <v>0.09</v>
      </c>
      <c r="C72" s="671">
        <f>'Baseline data (from input)'!C58*'Baseline data (from input)'!D58</f>
        <v>5241.9318199280906</v>
      </c>
      <c r="D72" s="672">
        <f>'Baseline data (from input)'!C58*'Baseline data (from input)'!E58</f>
        <v>7005.7346552978861</v>
      </c>
      <c r="E72" s="672">
        <f>'Baseline data (from input)'!C58*'Baseline data (from input)'!F58</f>
        <v>2351.277828868107</v>
      </c>
      <c r="F72" s="672">
        <f>'Baseline data (from input)'!C58*'Baseline data (from input)'!G58</f>
        <v>0</v>
      </c>
      <c r="G72" s="672">
        <f>'Baseline data (from input)'!C58*'Baseline data (from input)'!H58</f>
        <v>0</v>
      </c>
      <c r="H72" s="672">
        <f>'Baseline data (from input)'!H58*'Baseline data (from input)'!I58</f>
        <v>0</v>
      </c>
      <c r="I72" s="672">
        <f>'Baseline data (from input)'!C58*'Baseline data (from input)'!J58</f>
        <v>11752.368785905919</v>
      </c>
      <c r="J72" s="945">
        <f t="shared" si="3"/>
        <v>26351.313090000003</v>
      </c>
      <c r="K72" s="613">
        <f>'4C2 Open-burning '!B72*'4C2 Open-burning '!$C$14*'4C2 Open-burning '!$C$5*'4C2 Open-burning '!$C$6*'4C2 Open-burning '!$C$7*C72</f>
        <v>0</v>
      </c>
      <c r="L72" s="614">
        <f>'4C2 Open-burning '!B72*'4C2 Open-burning '!$D$14*'4C2 Open-burning '!$C$5*'4C2 Open-burning '!$C$6*'4C2 Open-burning '!$C$7*D72</f>
        <v>0</v>
      </c>
      <c r="M72" s="614">
        <f>'4C2 Open-burning '!B72*'4C2 Open-burning '!$E$14*'4C2 Open-burning '!$C$5*'4C2 Open-burning '!$C$6*'4C2 Open-burning '!$C$7*E72</f>
        <v>1.1178858878902633</v>
      </c>
      <c r="N72" s="614">
        <f>'4C2 Open-burning '!B72*'4C2 Open-burning '!$F$14*'4C2 Open-burning '!$C$5*'4C2 Open-burning '!$C$6*'4C2 Open-burning '!$C$7*F72</f>
        <v>0</v>
      </c>
      <c r="O72" s="614">
        <f>'4C2 Open-burning '!B72*'4C2 Open-burning '!$G$14*'4C2 Open-burning '!$C$5*'4C2 Open-burning '!$C$6*'4C2 Open-burning '!$C$7*G72</f>
        <v>0</v>
      </c>
      <c r="P72" s="614">
        <f>'4C2 Open-burning '!B72*'4C2 Open-burning '!$H$14*'4C2 Open-burning '!$C$5*'4C2 Open-burning '!$C$6*'4C2 Open-burning '!$C$7*H72</f>
        <v>0</v>
      </c>
      <c r="Q72" s="614">
        <f>'4C2 Open-burning '!B72*'4C2 Open-burning '!$I$14*'4C2 Open-burning '!$C$5*'4C2 Open-burning '!$C$6*'4C2 Open-burning '!$C$7*I72</f>
        <v>36.440334847082759</v>
      </c>
      <c r="R72" s="615">
        <f t="shared" si="0"/>
        <v>37.55822073497302</v>
      </c>
      <c r="S72" s="613">
        <f>B72*C72*'4C2 Open-burning '!$C$9*'4C2 Open-burning '!$C$11*$C$5</f>
        <v>1.8399180687947596</v>
      </c>
      <c r="T72" s="614">
        <f>B72*D72*'4C2 Open-burning '!$C$9*'4C2 Open-burning '!$C$11*$C$5</f>
        <v>2.4590128640095581</v>
      </c>
      <c r="U72" s="614">
        <f>B72*E72*'4C2 Open-burning '!$C$9*'4C2 Open-burning '!$C$11*$C$5</f>
        <v>0.82529851793270548</v>
      </c>
      <c r="V72" s="614">
        <f>B72*F72*'4C2 Open-burning '!$C$9*'4C2 Open-burning '!$C$11*$C$5</f>
        <v>0</v>
      </c>
      <c r="W72" s="614">
        <f>B72*G72*'4C2 Open-burning '!$C$9*'4C2 Open-burning '!$C$11*$C$5</f>
        <v>0</v>
      </c>
      <c r="X72" s="614">
        <f>B72*H72*'4C2 Open-burning '!$C$9*'4C2 Open-burning '!$C$11*$C$5</f>
        <v>0</v>
      </c>
      <c r="Y72" s="614">
        <f>B72*I72*'4C2 Open-burning '!$C$9*'4C2 Open-burning '!$C$11*$C$5</f>
        <v>4.1250814438529773</v>
      </c>
      <c r="Z72" s="615">
        <f t="shared" si="4"/>
        <v>9.2493108945899998</v>
      </c>
      <c r="AA72" s="616">
        <f>B72*C72*'4C2 Open-burning '!$C$10*'4C2 Open-burning '!$C$11*$C$5*$C$15</f>
        <v>1.6983859096567008E-2</v>
      </c>
      <c r="AB72" s="617">
        <f>B72*D72*'4C2 Open-burning '!$C$10*'4C2 Open-burning '!$C$11*$C$5*$D$15</f>
        <v>2.2698580283165147E-2</v>
      </c>
      <c r="AC72" s="617">
        <f>B72*E72*'4C2 Open-burning '!$C$10*'4C2 Open-burning '!$C$11*$C$5*$E$15</f>
        <v>1.7140815372448496E-2</v>
      </c>
      <c r="AD72" s="617">
        <f>B72*F72*'4C2 Open-burning '!$C$10*'4C2 Open-burning '!$C$11*$C$5*$F$15</f>
        <v>0</v>
      </c>
      <c r="AE72" s="617">
        <f>B72*G72*'4C2 Open-burning '!$C$10*'4C2 Open-burning '!$C$11*$C$5*$G$15</f>
        <v>0</v>
      </c>
      <c r="AF72" s="617">
        <f>B72*H72*'4C2 Open-burning '!$C$10*'4C2 Open-burning '!$C$11*$C$5*$H$15</f>
        <v>0</v>
      </c>
      <c r="AG72" s="617">
        <f>B72*I72*'4C2 Open-burning '!$C$10*'4C2 Open-burning '!$C$11*$C$5*$I$15</f>
        <v>8.5674768449254146E-2</v>
      </c>
      <c r="AH72" s="618">
        <f t="shared" si="2"/>
        <v>0.14249802320143479</v>
      </c>
      <c r="AI72" s="99"/>
      <c r="AJ72" s="99"/>
      <c r="AK72" s="99"/>
    </row>
    <row r="73" spans="1:37">
      <c r="A73" s="619">
        <f>'Input data'!A101</f>
        <v>2003</v>
      </c>
      <c r="B73" s="612">
        <f>'Baseline data (from input)'!N59</f>
        <v>0.09</v>
      </c>
      <c r="C73" s="671">
        <f>'Baseline data (from input)'!C59*'Baseline data (from input)'!D59</f>
        <v>5309.0489932094042</v>
      </c>
      <c r="D73" s="672">
        <f>'Baseline data (from input)'!C59*'Baseline data (from input)'!E59</f>
        <v>7095.4353845280848</v>
      </c>
      <c r="E73" s="672">
        <f>'Baseline data (from input)'!C59*'Baseline data (from input)'!F59</f>
        <v>2381.3833561610613</v>
      </c>
      <c r="F73" s="672">
        <f>'Baseline data (from input)'!C59*'Baseline data (from input)'!G59</f>
        <v>0</v>
      </c>
      <c r="G73" s="672">
        <f>'Baseline data (from input)'!C59*'Baseline data (from input)'!H59</f>
        <v>0</v>
      </c>
      <c r="H73" s="672">
        <f>'Baseline data (from input)'!H59*'Baseline data (from input)'!I59</f>
        <v>0</v>
      </c>
      <c r="I73" s="672">
        <f>'Baseline data (from input)'!C59*'Baseline data (from input)'!J59</f>
        <v>11902.84494610145</v>
      </c>
      <c r="J73" s="945">
        <f t="shared" si="3"/>
        <v>26688.712679999997</v>
      </c>
      <c r="K73" s="613">
        <f>'4C2 Open-burning '!B73*'4C2 Open-burning '!$C$14*'4C2 Open-burning '!$C$5*'4C2 Open-burning '!$C$6*'4C2 Open-burning '!$C$7*C73</f>
        <v>0</v>
      </c>
      <c r="L73" s="614">
        <f>'4C2 Open-burning '!B73*'4C2 Open-burning '!$D$14*'4C2 Open-burning '!$C$5*'4C2 Open-burning '!$C$6*'4C2 Open-burning '!$C$7*D73</f>
        <v>0</v>
      </c>
      <c r="M73" s="614">
        <f>'4C2 Open-burning '!B73*'4C2 Open-burning '!$E$14*'4C2 Open-burning '!$C$5*'4C2 Open-burning '!$C$6*'4C2 Open-burning '!$C$7*E73</f>
        <v>1.1321991875331601</v>
      </c>
      <c r="N73" s="614">
        <f>'4C2 Open-burning '!B73*'4C2 Open-burning '!$F$14*'4C2 Open-burning '!$C$5*'4C2 Open-burning '!$C$6*'4C2 Open-burning '!$C$7*F73</f>
        <v>0</v>
      </c>
      <c r="O73" s="614">
        <f>'4C2 Open-burning '!B73*'4C2 Open-burning '!$G$14*'4C2 Open-burning '!$C$5*'4C2 Open-burning '!$C$6*'4C2 Open-burning '!$C$7*G73</f>
        <v>0</v>
      </c>
      <c r="P73" s="614">
        <f>'4C2 Open-burning '!B73*'4C2 Open-burning '!$H$14*'4C2 Open-burning '!$C$5*'4C2 Open-burning '!$C$6*'4C2 Open-burning '!$C$7*H73</f>
        <v>0</v>
      </c>
      <c r="Q73" s="614">
        <f>'4C2 Open-burning '!B73*'4C2 Open-burning '!$I$14*'4C2 Open-burning '!$C$5*'4C2 Open-burning '!$C$6*'4C2 Open-burning '!$C$7*I73</f>
        <v>36.906913267477833</v>
      </c>
      <c r="R73" s="615">
        <f t="shared" si="0"/>
        <v>38.039112455010994</v>
      </c>
      <c r="S73" s="613">
        <f>B73*C73*'4C2 Open-burning '!$C$9*'4C2 Open-burning '!$C$11*$C$5</f>
        <v>1.8634761966165005</v>
      </c>
      <c r="T73" s="614">
        <f>B73*D73*'4C2 Open-burning '!$C$9*'4C2 Open-burning '!$C$11*$C$5</f>
        <v>2.4904978199693577</v>
      </c>
      <c r="U73" s="614">
        <f>B73*E73*'4C2 Open-burning '!$C$9*'4C2 Open-burning '!$C$11*$C$5</f>
        <v>0.83586555801253248</v>
      </c>
      <c r="V73" s="614">
        <f>B73*F73*'4C2 Open-burning '!$C$9*'4C2 Open-burning '!$C$11*$C$5</f>
        <v>0</v>
      </c>
      <c r="W73" s="614">
        <f>B73*G73*'4C2 Open-burning '!$C$9*'4C2 Open-burning '!$C$11*$C$5</f>
        <v>0</v>
      </c>
      <c r="X73" s="614">
        <f>B73*H73*'4C2 Open-burning '!$C$9*'4C2 Open-burning '!$C$11*$C$5</f>
        <v>0</v>
      </c>
      <c r="Y73" s="614">
        <f>B73*I73*'4C2 Open-burning '!$C$9*'4C2 Open-burning '!$C$11*$C$5</f>
        <v>4.1778985760816081</v>
      </c>
      <c r="Z73" s="615">
        <f t="shared" si="4"/>
        <v>9.3677381506799975</v>
      </c>
      <c r="AA73" s="616">
        <f>B73*C73*'4C2 Open-burning '!$C$10*'4C2 Open-burning '!$C$11*$C$5*$C$15</f>
        <v>1.7201318737998472E-2</v>
      </c>
      <c r="AB73" s="617">
        <f>B73*D73*'4C2 Open-burning '!$C$10*'4C2 Open-burning '!$C$11*$C$5*$D$15</f>
        <v>2.2989210645870992E-2</v>
      </c>
      <c r="AC73" s="617">
        <f>B73*E73*'4C2 Open-burning '!$C$10*'4C2 Open-burning '!$C$11*$C$5*$E$15</f>
        <v>1.7360284666414136E-2</v>
      </c>
      <c r="AD73" s="617">
        <f>B73*F73*'4C2 Open-burning '!$C$10*'4C2 Open-burning '!$C$11*$C$5*$F$15</f>
        <v>0</v>
      </c>
      <c r="AE73" s="617">
        <f>B73*G73*'4C2 Open-burning '!$C$10*'4C2 Open-burning '!$C$11*$C$5*$G$15</f>
        <v>0</v>
      </c>
      <c r="AF73" s="617">
        <f>B73*H73*'4C2 Open-burning '!$C$10*'4C2 Open-burning '!$C$11*$C$5*$H$15</f>
        <v>0</v>
      </c>
      <c r="AG73" s="617">
        <f>B73*I73*'4C2 Open-burning '!$C$10*'4C2 Open-burning '!$C$11*$C$5*$I$15</f>
        <v>8.6771739657079544E-2</v>
      </c>
      <c r="AH73" s="618">
        <f t="shared" si="2"/>
        <v>0.14432255370736313</v>
      </c>
      <c r="AI73" s="99"/>
      <c r="AJ73" s="99"/>
      <c r="AK73" s="99"/>
    </row>
    <row r="74" spans="1:37">
      <c r="A74" s="619">
        <f>'Input data'!A102</f>
        <v>2004</v>
      </c>
      <c r="B74" s="612">
        <f>'Baseline data (from input)'!N60</f>
        <v>0.09</v>
      </c>
      <c r="C74" s="671">
        <f>'Baseline data (from input)'!C60*'Baseline data (from input)'!D60</f>
        <v>5372.251957414278</v>
      </c>
      <c r="D74" s="672">
        <f>'Baseline data (from input)'!C60*'Baseline data (from input)'!E60</f>
        <v>7179.9048533915138</v>
      </c>
      <c r="E74" s="672">
        <f>'Baseline data (from input)'!C60*'Baseline data (from input)'!F60</f>
        <v>2409.7331580201217</v>
      </c>
      <c r="F74" s="672">
        <f>'Baseline data (from input)'!C60*'Baseline data (from input)'!G60</f>
        <v>0</v>
      </c>
      <c r="G74" s="672">
        <f>'Baseline data (from input)'!C60*'Baseline data (from input)'!H60</f>
        <v>0</v>
      </c>
      <c r="H74" s="672">
        <f>'Baseline data (from input)'!H60*'Baseline data (from input)'!I60</f>
        <v>0</v>
      </c>
      <c r="I74" s="672">
        <f>'Baseline data (from input)'!C60*'Baseline data (from input)'!J60</f>
        <v>12044.545481174087</v>
      </c>
      <c r="J74" s="945">
        <f t="shared" si="3"/>
        <v>27006.435449999997</v>
      </c>
      <c r="K74" s="613">
        <f>'4C2 Open-burning '!B74*'4C2 Open-burning '!$C$14*'4C2 Open-burning '!$C$5*'4C2 Open-burning '!$C$6*'4C2 Open-burning '!$C$7*C74</f>
        <v>0</v>
      </c>
      <c r="L74" s="614">
        <f>'4C2 Open-burning '!B74*'4C2 Open-burning '!$D$14*'4C2 Open-burning '!$C$5*'4C2 Open-burning '!$C$6*'4C2 Open-burning '!$C$7*D74</f>
        <v>0</v>
      </c>
      <c r="M74" s="614">
        <f>'4C2 Open-burning '!B74*'4C2 Open-burning '!$E$14*'4C2 Open-burning '!$C$5*'4C2 Open-burning '!$C$6*'4C2 Open-burning '!$C$7*E74</f>
        <v>1.1456777492895072</v>
      </c>
      <c r="N74" s="614">
        <f>'4C2 Open-burning '!B74*'4C2 Open-burning '!$F$14*'4C2 Open-burning '!$C$5*'4C2 Open-burning '!$C$6*'4C2 Open-burning '!$C$7*F74</f>
        <v>0</v>
      </c>
      <c r="O74" s="614">
        <f>'4C2 Open-burning '!B74*'4C2 Open-burning '!$G$14*'4C2 Open-burning '!$C$5*'4C2 Open-burning '!$C$6*'4C2 Open-burning '!$C$7*G74</f>
        <v>0</v>
      </c>
      <c r="P74" s="614">
        <f>'4C2 Open-burning '!B74*'4C2 Open-burning '!$H$14*'4C2 Open-burning '!$C$5*'4C2 Open-burning '!$C$6*'4C2 Open-burning '!$C$7*H74</f>
        <v>0</v>
      </c>
      <c r="Q74" s="614">
        <f>'4C2 Open-burning '!B74*'4C2 Open-burning '!$I$14*'4C2 Open-burning '!$C$5*'4C2 Open-burning '!$C$6*'4C2 Open-burning '!$C$7*I74</f>
        <v>37.346281282566864</v>
      </c>
      <c r="R74" s="615">
        <f t="shared" si="0"/>
        <v>38.491959031856368</v>
      </c>
      <c r="S74" s="613">
        <f>B74*C74*'4C2 Open-burning '!$C$9*'4C2 Open-burning '!$C$11*$C$5</f>
        <v>1.8856604370524113</v>
      </c>
      <c r="T74" s="614">
        <f>B74*D74*'4C2 Open-burning '!$C$9*'4C2 Open-burning '!$C$11*$C$5</f>
        <v>2.5201466035404212</v>
      </c>
      <c r="U74" s="614">
        <f>B74*E74*'4C2 Open-burning '!$C$9*'4C2 Open-burning '!$C$11*$C$5</f>
        <v>0.84581633846506254</v>
      </c>
      <c r="V74" s="614">
        <f>B74*F74*'4C2 Open-burning '!$C$9*'4C2 Open-burning '!$C$11*$C$5</f>
        <v>0</v>
      </c>
      <c r="W74" s="614">
        <f>B74*G74*'4C2 Open-burning '!$C$9*'4C2 Open-burning '!$C$11*$C$5</f>
        <v>0</v>
      </c>
      <c r="X74" s="614">
        <f>B74*H74*'4C2 Open-burning '!$C$9*'4C2 Open-burning '!$C$11*$C$5</f>
        <v>0</v>
      </c>
      <c r="Y74" s="614">
        <f>B74*I74*'4C2 Open-burning '!$C$9*'4C2 Open-burning '!$C$11*$C$5</f>
        <v>4.2276354638921045</v>
      </c>
      <c r="Z74" s="615">
        <f t="shared" si="4"/>
        <v>9.4792588429499993</v>
      </c>
      <c r="AA74" s="616">
        <f>B74*C74*'4C2 Open-burning '!$C$10*'4C2 Open-burning '!$C$11*$C$5*$C$15</f>
        <v>1.7406096342022264E-2</v>
      </c>
      <c r="AB74" s="617">
        <f>B74*D74*'4C2 Open-burning '!$C$10*'4C2 Open-burning '!$C$11*$C$5*$D$15</f>
        <v>2.3262891724988504E-2</v>
      </c>
      <c r="AC74" s="617">
        <f>B74*E74*'4C2 Open-burning '!$C$10*'4C2 Open-burning '!$C$11*$C$5*$E$15</f>
        <v>1.7566954721966687E-2</v>
      </c>
      <c r="AD74" s="617">
        <f>B74*F74*'4C2 Open-burning '!$C$10*'4C2 Open-burning '!$C$11*$C$5*$F$15</f>
        <v>0</v>
      </c>
      <c r="AE74" s="617">
        <f>B74*G74*'4C2 Open-burning '!$C$10*'4C2 Open-burning '!$C$11*$C$5*$G$15</f>
        <v>0</v>
      </c>
      <c r="AF74" s="617">
        <f>B74*H74*'4C2 Open-burning '!$C$10*'4C2 Open-burning '!$C$11*$C$5*$H$15</f>
        <v>0</v>
      </c>
      <c r="AG74" s="617">
        <f>B74*I74*'4C2 Open-burning '!$C$10*'4C2 Open-burning '!$C$11*$C$5*$I$15</f>
        <v>8.7804736557759097E-2</v>
      </c>
      <c r="AH74" s="618">
        <f t="shared" si="2"/>
        <v>0.14604067934673653</v>
      </c>
      <c r="AI74" s="99"/>
      <c r="AJ74" s="99"/>
      <c r="AK74" s="99"/>
    </row>
    <row r="75" spans="1:37">
      <c r="A75" s="619">
        <f>'Input data'!A103</f>
        <v>2005</v>
      </c>
      <c r="B75" s="612">
        <f>'Baseline data (from input)'!N61</f>
        <v>0.09</v>
      </c>
      <c r="C75" s="671">
        <f>'Baseline data (from input)'!C61*'Baseline data (from input)'!D61</f>
        <v>5433.6129408772977</v>
      </c>
      <c r="D75" s="672">
        <f>'Baseline data (from input)'!C61*'Baseline data (from input)'!E61</f>
        <v>7261.912552670582</v>
      </c>
      <c r="E75" s="672">
        <f>'Baseline data (from input)'!C61*'Baseline data (from input)'!F61</f>
        <v>2437.2567361455849</v>
      </c>
      <c r="F75" s="672">
        <f>'Baseline data (from input)'!C61*'Baseline data (from input)'!G61</f>
        <v>0</v>
      </c>
      <c r="G75" s="672">
        <f>'Baseline data (from input)'!C61*'Baseline data (from input)'!H61</f>
        <v>0</v>
      </c>
      <c r="H75" s="672">
        <f>'Baseline data (from input)'!H61*'Baseline data (from input)'!I61</f>
        <v>0</v>
      </c>
      <c r="I75" s="672">
        <f>'Baseline data (from input)'!C61*'Baseline data (from input)'!J61</f>
        <v>12182.116310306537</v>
      </c>
      <c r="J75" s="945">
        <f t="shared" si="3"/>
        <v>27314.898540000002</v>
      </c>
      <c r="K75" s="613">
        <f>'4C2 Open-burning '!B75*'4C2 Open-burning '!$C$14*'4C2 Open-burning '!$C$5*'4C2 Open-burning '!$C$6*'4C2 Open-burning '!$C$7*C75</f>
        <v>0</v>
      </c>
      <c r="L75" s="614">
        <f>'4C2 Open-burning '!B75*'4C2 Open-burning '!$D$14*'4C2 Open-burning '!$C$5*'4C2 Open-burning '!$C$6*'4C2 Open-burning '!$C$7*D75</f>
        <v>0</v>
      </c>
      <c r="M75" s="614">
        <f>'4C2 Open-burning '!B75*'4C2 Open-burning '!$E$14*'4C2 Open-burning '!$C$5*'4C2 Open-burning '!$C$6*'4C2 Open-burning '!$C$7*E75</f>
        <v>1.15876349321689</v>
      </c>
      <c r="N75" s="614">
        <f>'4C2 Open-burning '!B75*'4C2 Open-burning '!$F$14*'4C2 Open-burning '!$C$5*'4C2 Open-burning '!$C$6*'4C2 Open-burning '!$C$7*F75</f>
        <v>0</v>
      </c>
      <c r="O75" s="614">
        <f>'4C2 Open-burning '!B75*'4C2 Open-burning '!$G$14*'4C2 Open-burning '!$C$5*'4C2 Open-burning '!$C$6*'4C2 Open-burning '!$C$7*G75</f>
        <v>0</v>
      </c>
      <c r="P75" s="614">
        <f>'4C2 Open-burning '!B75*'4C2 Open-burning '!$H$14*'4C2 Open-burning '!$C$5*'4C2 Open-burning '!$C$6*'4C2 Open-burning '!$C$7*H75</f>
        <v>0</v>
      </c>
      <c r="Q75" s="614">
        <f>'4C2 Open-burning '!B75*'4C2 Open-burning '!$I$14*'4C2 Open-burning '!$C$5*'4C2 Open-burning '!$C$6*'4C2 Open-burning '!$C$7*I75</f>
        <v>37.772844401041269</v>
      </c>
      <c r="R75" s="615">
        <f t="shared" si="0"/>
        <v>38.931607894258157</v>
      </c>
      <c r="S75" s="613">
        <f>B75*C75*'4C2 Open-burning '!$C$9*'4C2 Open-burning '!$C$11*$C$5</f>
        <v>1.9071981422479314</v>
      </c>
      <c r="T75" s="614">
        <f>B75*D75*'4C2 Open-burning '!$C$9*'4C2 Open-burning '!$C$11*$C$5</f>
        <v>2.5489313059873742</v>
      </c>
      <c r="U75" s="614">
        <f>B75*E75*'4C2 Open-burning '!$C$9*'4C2 Open-burning '!$C$11*$C$5</f>
        <v>0.85547711438710028</v>
      </c>
      <c r="V75" s="614">
        <f>B75*F75*'4C2 Open-burning '!$C$9*'4C2 Open-burning '!$C$11*$C$5</f>
        <v>0</v>
      </c>
      <c r="W75" s="614">
        <f>B75*G75*'4C2 Open-burning '!$C$9*'4C2 Open-burning '!$C$11*$C$5</f>
        <v>0</v>
      </c>
      <c r="X75" s="614">
        <f>B75*H75*'4C2 Open-burning '!$C$9*'4C2 Open-burning '!$C$11*$C$5</f>
        <v>0</v>
      </c>
      <c r="Y75" s="614">
        <f>B75*I75*'4C2 Open-burning '!$C$9*'4C2 Open-burning '!$C$11*$C$5</f>
        <v>4.2759228249175942</v>
      </c>
      <c r="Z75" s="615">
        <f t="shared" si="4"/>
        <v>9.5875293875400001</v>
      </c>
      <c r="AA75" s="616">
        <f>B75*C75*'4C2 Open-burning '!$C$10*'4C2 Open-burning '!$C$11*$C$5*$C$15</f>
        <v>1.7604905928442442E-2</v>
      </c>
      <c r="AB75" s="617">
        <f>B75*D75*'4C2 Open-burning '!$C$10*'4C2 Open-burning '!$C$11*$C$5*$D$15</f>
        <v>2.3528596670652685E-2</v>
      </c>
      <c r="AC75" s="617">
        <f>B75*E75*'4C2 Open-burning '!$C$10*'4C2 Open-burning '!$C$11*$C$5*$E$15</f>
        <v>1.7767601606501312E-2</v>
      </c>
      <c r="AD75" s="617">
        <f>B75*F75*'4C2 Open-burning '!$C$10*'4C2 Open-burning '!$C$11*$C$5*$F$15</f>
        <v>0</v>
      </c>
      <c r="AE75" s="617">
        <f>B75*G75*'4C2 Open-burning '!$C$10*'4C2 Open-burning '!$C$11*$C$5*$G$15</f>
        <v>0</v>
      </c>
      <c r="AF75" s="617">
        <f>B75*H75*'4C2 Open-burning '!$C$10*'4C2 Open-burning '!$C$11*$C$5*$H$15</f>
        <v>0</v>
      </c>
      <c r="AG75" s="617">
        <f>B75*I75*'4C2 Open-burning '!$C$10*'4C2 Open-burning '!$C$11*$C$5*$I$15</f>
        <v>8.8807627902134659E-2</v>
      </c>
      <c r="AH75" s="618">
        <f t="shared" si="2"/>
        <v>0.14770873210773111</v>
      </c>
      <c r="AI75" s="99"/>
      <c r="AJ75" s="99"/>
      <c r="AK75" s="99"/>
    </row>
    <row r="76" spans="1:37">
      <c r="A76" s="619">
        <f>'Input data'!A104</f>
        <v>2006</v>
      </c>
      <c r="B76" s="612">
        <f>'Baseline data (from input)'!N62</f>
        <v>0.09</v>
      </c>
      <c r="C76" s="671">
        <f>'Baseline data (from input)'!C62*'Baseline data (from input)'!D62</f>
        <v>5494.9739243403174</v>
      </c>
      <c r="D76" s="672">
        <f>'Baseline data (from input)'!C62*'Baseline data (from input)'!E62</f>
        <v>7343.9202519496494</v>
      </c>
      <c r="E76" s="672">
        <f>'Baseline data (from input)'!C62*'Baseline data (from input)'!F62</f>
        <v>2464.7803142710477</v>
      </c>
      <c r="F76" s="672">
        <f>'Baseline data (from input)'!C62*'Baseline data (from input)'!G62</f>
        <v>0</v>
      </c>
      <c r="G76" s="672">
        <f>'Baseline data (from input)'!C62*'Baseline data (from input)'!H62</f>
        <v>0</v>
      </c>
      <c r="H76" s="672">
        <f>'Baseline data (from input)'!H62*'Baseline data (from input)'!I62</f>
        <v>0</v>
      </c>
      <c r="I76" s="672">
        <f>'Baseline data (from input)'!C62*'Baseline data (from input)'!J62</f>
        <v>12319.687139438987</v>
      </c>
      <c r="J76" s="945">
        <f t="shared" si="3"/>
        <v>27623.361629999999</v>
      </c>
      <c r="K76" s="613">
        <f>'4C2 Open-burning '!B76*'4C2 Open-burning '!$C$14*'4C2 Open-burning '!$C$5*'4C2 Open-burning '!$C$6*'4C2 Open-burning '!$C$7*C76</f>
        <v>0</v>
      </c>
      <c r="L76" s="614">
        <f>'4C2 Open-burning '!B76*'4C2 Open-burning '!$D$14*'4C2 Open-burning '!$C$5*'4C2 Open-burning '!$C$6*'4C2 Open-burning '!$C$7*D76</f>
        <v>0</v>
      </c>
      <c r="M76" s="614">
        <f>'4C2 Open-burning '!B76*'4C2 Open-burning '!$E$14*'4C2 Open-burning '!$C$5*'4C2 Open-burning '!$C$6*'4C2 Open-burning '!$C$7*E76</f>
        <v>1.1718492371442726</v>
      </c>
      <c r="N76" s="614">
        <f>'4C2 Open-burning '!B76*'4C2 Open-burning '!$F$14*'4C2 Open-burning '!$C$5*'4C2 Open-burning '!$C$6*'4C2 Open-burning '!$C$7*F76</f>
        <v>0</v>
      </c>
      <c r="O76" s="614">
        <f>'4C2 Open-burning '!B76*'4C2 Open-burning '!$G$14*'4C2 Open-burning '!$C$5*'4C2 Open-burning '!$C$6*'4C2 Open-burning '!$C$7*G76</f>
        <v>0</v>
      </c>
      <c r="P76" s="614">
        <f>'4C2 Open-burning '!B76*'4C2 Open-burning '!$H$14*'4C2 Open-burning '!$C$5*'4C2 Open-burning '!$C$6*'4C2 Open-burning '!$C$7*H76</f>
        <v>0</v>
      </c>
      <c r="Q76" s="614">
        <f>'4C2 Open-burning '!B76*'4C2 Open-burning '!$I$14*'4C2 Open-burning '!$C$5*'4C2 Open-burning '!$C$6*'4C2 Open-burning '!$C$7*I76</f>
        <v>38.199407519515674</v>
      </c>
      <c r="R76" s="615">
        <f t="shared" si="0"/>
        <v>39.371256756659946</v>
      </c>
      <c r="S76" s="613">
        <f>B76*C76*'4C2 Open-burning '!$C$9*'4C2 Open-burning '!$C$11*$C$5</f>
        <v>1.9287358474434513</v>
      </c>
      <c r="T76" s="614">
        <f>B76*D76*'4C2 Open-burning '!$C$9*'4C2 Open-burning '!$C$11*$C$5</f>
        <v>2.5777160084343267</v>
      </c>
      <c r="U76" s="614">
        <f>B76*E76*'4C2 Open-burning '!$C$9*'4C2 Open-burning '!$C$11*$C$5</f>
        <v>0.86513789030913768</v>
      </c>
      <c r="V76" s="614">
        <f>B76*F76*'4C2 Open-burning '!$C$9*'4C2 Open-burning '!$C$11*$C$5</f>
        <v>0</v>
      </c>
      <c r="W76" s="614">
        <f>B76*G76*'4C2 Open-burning '!$C$9*'4C2 Open-burning '!$C$11*$C$5</f>
        <v>0</v>
      </c>
      <c r="X76" s="614">
        <f>B76*H76*'4C2 Open-burning '!$C$9*'4C2 Open-burning '!$C$11*$C$5</f>
        <v>0</v>
      </c>
      <c r="Y76" s="614">
        <f>B76*I76*'4C2 Open-burning '!$C$9*'4C2 Open-burning '!$C$11*$C$5</f>
        <v>4.3242101859430848</v>
      </c>
      <c r="Z76" s="615">
        <f t="shared" si="4"/>
        <v>9.6957999321300008</v>
      </c>
      <c r="AA76" s="616">
        <f>B76*C76*'4C2 Open-burning '!$C$10*'4C2 Open-burning '!$C$11*$C$5*$C$15</f>
        <v>1.7803715514862626E-2</v>
      </c>
      <c r="AB76" s="617">
        <f>B76*D76*'4C2 Open-burning '!$C$10*'4C2 Open-burning '!$C$11*$C$5*$D$15</f>
        <v>2.3794301616316862E-2</v>
      </c>
      <c r="AC76" s="617">
        <f>B76*E76*'4C2 Open-burning '!$C$10*'4C2 Open-burning '!$C$11*$C$5*$E$15</f>
        <v>1.796824849103594E-2</v>
      </c>
      <c r="AD76" s="617">
        <f>B76*F76*'4C2 Open-burning '!$C$10*'4C2 Open-burning '!$C$11*$C$5*$F$15</f>
        <v>0</v>
      </c>
      <c r="AE76" s="617">
        <f>B76*G76*'4C2 Open-burning '!$C$10*'4C2 Open-burning '!$C$11*$C$5*$G$15</f>
        <v>0</v>
      </c>
      <c r="AF76" s="617">
        <f>B76*H76*'4C2 Open-burning '!$C$10*'4C2 Open-burning '!$C$11*$C$5*$H$15</f>
        <v>0</v>
      </c>
      <c r="AG76" s="617">
        <f>B76*I76*'4C2 Open-burning '!$C$10*'4C2 Open-burning '!$C$11*$C$5*$I$15</f>
        <v>8.9810519246510206E-2</v>
      </c>
      <c r="AH76" s="618">
        <f t="shared" si="2"/>
        <v>0.14937678486872563</v>
      </c>
      <c r="AI76" s="99"/>
      <c r="AJ76" s="99"/>
      <c r="AK76" s="99"/>
    </row>
    <row r="77" spans="1:37">
      <c r="A77" s="619">
        <f>'Input data'!A105</f>
        <v>2007</v>
      </c>
      <c r="B77" s="612">
        <f>'Baseline data (from input)'!N63</f>
        <v>0.09</v>
      </c>
      <c r="C77" s="671">
        <f>'Baseline data (from input)'!C63*'Baseline data (from input)'!D63</f>
        <v>5555.5290412287759</v>
      </c>
      <c r="D77" s="672">
        <f>'Baseline data (from input)'!C63*'Baseline data (from input)'!E63</f>
        <v>7424.8509270355571</v>
      </c>
      <c r="E77" s="672">
        <f>'Baseline data (from input)'!C63*'Baseline data (from input)'!F63</f>
        <v>2491.9424195130614</v>
      </c>
      <c r="F77" s="672">
        <f>'Baseline data (from input)'!C63*'Baseline data (from input)'!G63</f>
        <v>0</v>
      </c>
      <c r="G77" s="672">
        <f>'Baseline data (from input)'!C63*'Baseline data (from input)'!H63</f>
        <v>0</v>
      </c>
      <c r="H77" s="672">
        <f>'Baseline data (from input)'!H63*'Baseline data (from input)'!I63</f>
        <v>0</v>
      </c>
      <c r="I77" s="672">
        <f>'Baseline data (from input)'!C63*'Baseline data (from input)'!J63</f>
        <v>12455.451222222606</v>
      </c>
      <c r="J77" s="945">
        <f t="shared" si="3"/>
        <v>27927.77361</v>
      </c>
      <c r="K77" s="613">
        <f>'4C2 Open-burning '!B77*'4C2 Open-burning '!$C$14*'4C2 Open-burning '!$C$5*'4C2 Open-burning '!$C$6*'4C2 Open-burning '!$C$7*C77</f>
        <v>0</v>
      </c>
      <c r="L77" s="614">
        <f>'4C2 Open-burning '!B77*'4C2 Open-burning '!$D$14*'4C2 Open-burning '!$C$5*'4C2 Open-burning '!$C$6*'4C2 Open-burning '!$C$7*D77</f>
        <v>0</v>
      </c>
      <c r="M77" s="614">
        <f>'4C2 Open-burning '!B77*'4C2 Open-burning '!$E$14*'4C2 Open-burning '!$C$5*'4C2 Open-burning '!$C$6*'4C2 Open-burning '!$C$7*E77</f>
        <v>1.1847631232714828</v>
      </c>
      <c r="N77" s="614">
        <f>'4C2 Open-burning '!B77*'4C2 Open-burning '!$F$14*'4C2 Open-burning '!$C$5*'4C2 Open-burning '!$C$6*'4C2 Open-burning '!$C$7*F77</f>
        <v>0</v>
      </c>
      <c r="O77" s="614">
        <f>'4C2 Open-burning '!B77*'4C2 Open-burning '!$G$14*'4C2 Open-burning '!$C$5*'4C2 Open-burning '!$C$6*'4C2 Open-burning '!$C$7*G77</f>
        <v>0</v>
      </c>
      <c r="P77" s="614">
        <f>'4C2 Open-burning '!B77*'4C2 Open-burning '!$H$14*'4C2 Open-burning '!$C$5*'4C2 Open-burning '!$C$6*'4C2 Open-burning '!$C$7*H77</f>
        <v>0</v>
      </c>
      <c r="Q77" s="614">
        <f>'4C2 Open-burning '!B77*'4C2 Open-burning '!$I$14*'4C2 Open-burning '!$C$5*'4C2 Open-burning '!$C$6*'4C2 Open-burning '!$C$7*I77</f>
        <v>38.620368495721181</v>
      </c>
      <c r="R77" s="615">
        <f t="shared" si="0"/>
        <v>39.805131618992661</v>
      </c>
      <c r="S77" s="613">
        <f>B77*C77*'4C2 Open-burning '!$C$9*'4C2 Open-burning '!$C$11*$C$5</f>
        <v>1.9499906934713001</v>
      </c>
      <c r="T77" s="614">
        <f>B77*D77*'4C2 Open-burning '!$C$9*'4C2 Open-burning '!$C$11*$C$5</f>
        <v>2.6061226753894799</v>
      </c>
      <c r="U77" s="614">
        <f>B77*E77*'4C2 Open-burning '!$C$9*'4C2 Open-burning '!$C$11*$C$5</f>
        <v>0.8746717892490844</v>
      </c>
      <c r="V77" s="614">
        <f>B77*F77*'4C2 Open-burning '!$C$9*'4C2 Open-burning '!$C$11*$C$5</f>
        <v>0</v>
      </c>
      <c r="W77" s="614">
        <f>B77*G77*'4C2 Open-burning '!$C$9*'4C2 Open-burning '!$C$11*$C$5</f>
        <v>0</v>
      </c>
      <c r="X77" s="614">
        <f>B77*H77*'4C2 Open-burning '!$C$9*'4C2 Open-burning '!$C$11*$C$5</f>
        <v>0</v>
      </c>
      <c r="Y77" s="614">
        <f>B77*I77*'4C2 Open-burning '!$C$9*'4C2 Open-burning '!$C$11*$C$5</f>
        <v>4.3718633790001338</v>
      </c>
      <c r="Z77" s="615">
        <f t="shared" si="4"/>
        <v>9.8026485371099987</v>
      </c>
      <c r="AA77" s="616">
        <f>B77*C77*'4C2 Open-burning '!$C$10*'4C2 Open-burning '!$C$11*$C$5*$C$15</f>
        <v>1.7999914093581235E-2</v>
      </c>
      <c r="AB77" s="617">
        <f>B77*D77*'4C2 Open-burning '!$C$10*'4C2 Open-burning '!$C$11*$C$5*$D$15</f>
        <v>2.4056517003595203E-2</v>
      </c>
      <c r="AC77" s="617">
        <f>B77*E77*'4C2 Open-burning '!$C$10*'4C2 Open-burning '!$C$11*$C$5*$E$15</f>
        <v>1.8166260238250218E-2</v>
      </c>
      <c r="AD77" s="617">
        <f>B77*F77*'4C2 Open-burning '!$C$10*'4C2 Open-burning '!$C$11*$C$5*$F$15</f>
        <v>0</v>
      </c>
      <c r="AE77" s="617">
        <f>B77*G77*'4C2 Open-burning '!$C$10*'4C2 Open-burning '!$C$11*$C$5*$G$15</f>
        <v>0</v>
      </c>
      <c r="AF77" s="617">
        <f>B77*H77*'4C2 Open-burning '!$C$10*'4C2 Open-burning '!$C$11*$C$5*$H$15</f>
        <v>0</v>
      </c>
      <c r="AG77" s="617">
        <f>B77*I77*'4C2 Open-burning '!$C$10*'4C2 Open-burning '!$C$11*$C$5*$I$15</f>
        <v>9.0800239410002787E-2</v>
      </c>
      <c r="AH77" s="618">
        <f t="shared" si="2"/>
        <v>0.15102293074542944</v>
      </c>
      <c r="AI77" s="99"/>
      <c r="AJ77" s="99"/>
      <c r="AK77" s="99"/>
    </row>
    <row r="78" spans="1:37">
      <c r="A78" s="619">
        <f>'Input data'!A106</f>
        <v>2008</v>
      </c>
      <c r="B78" s="612">
        <f>'Baseline data (from input)'!N64</f>
        <v>0.09</v>
      </c>
      <c r="C78" s="671">
        <f>'Baseline data (from input)'!C64*'Baseline data (from input)'!D64</f>
        <v>5617.2353960808932</v>
      </c>
      <c r="D78" s="672">
        <f>'Baseline data (from input)'!C64*'Baseline data (from input)'!E64</f>
        <v>7507.3202081116924</v>
      </c>
      <c r="E78" s="672">
        <f>'Baseline data (from input)'!C64*'Baseline data (from input)'!F64</f>
        <v>2519.6209145885741</v>
      </c>
      <c r="F78" s="672">
        <f>'Baseline data (from input)'!C64*'Baseline data (from input)'!G64</f>
        <v>0</v>
      </c>
      <c r="G78" s="672">
        <f>'Baseline data (from input)'!C64*'Baseline data (from input)'!H64</f>
        <v>0</v>
      </c>
      <c r="H78" s="672">
        <f>'Baseline data (from input)'!H64*'Baseline data (from input)'!I64</f>
        <v>0</v>
      </c>
      <c r="I78" s="672">
        <f>'Baseline data (from input)'!C64*'Baseline data (from input)'!J64</f>
        <v>12593.796371218841</v>
      </c>
      <c r="J78" s="945">
        <f t="shared" si="3"/>
        <v>28237.972889999997</v>
      </c>
      <c r="K78" s="613">
        <f>'4C2 Open-burning '!B78*'4C2 Open-burning '!$C$14*'4C2 Open-burning '!$C$5*'4C2 Open-burning '!$C$6*'4C2 Open-burning '!$C$7*C78</f>
        <v>0</v>
      </c>
      <c r="L78" s="614">
        <f>'4C2 Open-burning '!B78*'4C2 Open-burning '!$D$14*'4C2 Open-burning '!$C$5*'4C2 Open-burning '!$C$6*'4C2 Open-burning '!$C$7*D78</f>
        <v>0</v>
      </c>
      <c r="M78" s="614">
        <f>'4C2 Open-burning '!B78*'4C2 Open-burning '!$E$14*'4C2 Open-burning '!$C$5*'4C2 Open-burning '!$C$6*'4C2 Open-burning '!$C$7*E78</f>
        <v>1.1979225205417965</v>
      </c>
      <c r="N78" s="614">
        <f>'4C2 Open-burning '!B78*'4C2 Open-burning '!$F$14*'4C2 Open-burning '!$C$5*'4C2 Open-burning '!$C$6*'4C2 Open-burning '!$C$7*F78</f>
        <v>0</v>
      </c>
      <c r="O78" s="614">
        <f>'4C2 Open-burning '!B78*'4C2 Open-burning '!$G$14*'4C2 Open-burning '!$C$5*'4C2 Open-burning '!$C$6*'4C2 Open-burning '!$C$7*G78</f>
        <v>0</v>
      </c>
      <c r="P78" s="614">
        <f>'4C2 Open-burning '!B78*'4C2 Open-burning '!$H$14*'4C2 Open-burning '!$C$5*'4C2 Open-burning '!$C$6*'4C2 Open-burning '!$C$7*H78</f>
        <v>0</v>
      </c>
      <c r="Q78" s="614">
        <f>'4C2 Open-burning '!B78*'4C2 Open-burning '!$I$14*'4C2 Open-burning '!$C$5*'4C2 Open-burning '!$C$6*'4C2 Open-burning '!$C$7*I78</f>
        <v>39.049332532310828</v>
      </c>
      <c r="R78" s="615">
        <f t="shared" si="0"/>
        <v>40.247255052852623</v>
      </c>
      <c r="S78" s="613">
        <f>B78*C78*'4C2 Open-burning '!$C$9*'4C2 Open-burning '!$C$11*$C$5</f>
        <v>1.9716496240243933</v>
      </c>
      <c r="T78" s="614">
        <f>B78*D78*'4C2 Open-burning '!$C$9*'4C2 Open-burning '!$C$11*$C$5</f>
        <v>2.6350693930472038</v>
      </c>
      <c r="U78" s="614">
        <f>B78*E78*'4C2 Open-burning '!$C$9*'4C2 Open-burning '!$C$11*$C$5</f>
        <v>0.88438694102058946</v>
      </c>
      <c r="V78" s="614">
        <f>B78*F78*'4C2 Open-burning '!$C$9*'4C2 Open-burning '!$C$11*$C$5</f>
        <v>0</v>
      </c>
      <c r="W78" s="614">
        <f>B78*G78*'4C2 Open-burning '!$C$9*'4C2 Open-burning '!$C$11*$C$5</f>
        <v>0</v>
      </c>
      <c r="X78" s="614">
        <f>B78*H78*'4C2 Open-burning '!$C$9*'4C2 Open-burning '!$C$11*$C$5</f>
        <v>0</v>
      </c>
      <c r="Y78" s="614">
        <f>B78*I78*'4C2 Open-burning '!$C$9*'4C2 Open-burning '!$C$11*$C$5</f>
        <v>4.4204225262978118</v>
      </c>
      <c r="Z78" s="615">
        <f t="shared" si="4"/>
        <v>9.9115284843899989</v>
      </c>
      <c r="AA78" s="616">
        <f>B78*C78*'4C2 Open-burning '!$C$10*'4C2 Open-burning '!$C$11*$C$5*$C$15</f>
        <v>1.8199842683302093E-2</v>
      </c>
      <c r="AB78" s="617">
        <f>B78*D78*'4C2 Open-burning '!$C$10*'4C2 Open-burning '!$C$11*$C$5*$D$15</f>
        <v>2.4323717474281883E-2</v>
      </c>
      <c r="AC78" s="617">
        <f>B78*E78*'4C2 Open-burning '!$C$10*'4C2 Open-burning '!$C$11*$C$5*$E$15</f>
        <v>1.8368036467350704E-2</v>
      </c>
      <c r="AD78" s="617">
        <f>B78*F78*'4C2 Open-burning '!$C$10*'4C2 Open-burning '!$C$11*$C$5*$F$15</f>
        <v>0</v>
      </c>
      <c r="AE78" s="617">
        <f>B78*G78*'4C2 Open-burning '!$C$10*'4C2 Open-burning '!$C$11*$C$5*$G$15</f>
        <v>0</v>
      </c>
      <c r="AF78" s="617">
        <f>B78*H78*'4C2 Open-burning '!$C$10*'4C2 Open-burning '!$C$11*$C$5*$H$15</f>
        <v>0</v>
      </c>
      <c r="AG78" s="617">
        <f>B78*I78*'4C2 Open-burning '!$C$10*'4C2 Open-burning '!$C$11*$C$5*$I$15</f>
        <v>9.1808775546185328E-2</v>
      </c>
      <c r="AH78" s="618">
        <f t="shared" si="2"/>
        <v>0.15270037217112001</v>
      </c>
      <c r="AI78" s="99"/>
      <c r="AJ78" s="99"/>
      <c r="AK78" s="99"/>
    </row>
    <row r="79" spans="1:37">
      <c r="A79" s="619">
        <f>'Input data'!A107</f>
        <v>2009</v>
      </c>
      <c r="B79" s="612">
        <f>'Baseline data (from input)'!N65</f>
        <v>0.09</v>
      </c>
      <c r="C79" s="671">
        <f>'Baseline data (from input)'!C65*'Baseline data (from input)'!D65</f>
        <v>5677.9056367657176</v>
      </c>
      <c r="D79" s="672">
        <f>'Baseline data (from input)'!C65*'Baseline data (from input)'!E65</f>
        <v>7588.4047437966246</v>
      </c>
      <c r="E79" s="672">
        <f>'Baseline data (from input)'!C65*'Baseline data (from input)'!F65</f>
        <v>2546.8346588139379</v>
      </c>
      <c r="F79" s="672">
        <f>'Baseline data (from input)'!C65*'Baseline data (from input)'!G65</f>
        <v>0</v>
      </c>
      <c r="G79" s="672">
        <f>'Baseline data (from input)'!C65*'Baseline data (from input)'!H65</f>
        <v>0</v>
      </c>
      <c r="H79" s="672">
        <f>'Baseline data (from input)'!H65*'Baseline data (from input)'!I65</f>
        <v>0</v>
      </c>
      <c r="I79" s="672">
        <f>'Baseline data (from input)'!C65*'Baseline data (from input)'!J65</f>
        <v>12729.818560623722</v>
      </c>
      <c r="J79" s="945">
        <f t="shared" si="3"/>
        <v>28542.963600000003</v>
      </c>
      <c r="K79" s="613">
        <f>'4C2 Open-burning '!B79*'4C2 Open-burning '!$C$14*'4C2 Open-burning '!$C$5*'4C2 Open-burning '!$C$6*'4C2 Open-burning '!$C$7*C79</f>
        <v>0</v>
      </c>
      <c r="L79" s="614">
        <f>'4C2 Open-burning '!B79*'4C2 Open-burning '!$D$14*'4C2 Open-burning '!$C$5*'4C2 Open-burning '!$C$6*'4C2 Open-burning '!$C$7*D79</f>
        <v>0</v>
      </c>
      <c r="M79" s="614">
        <f>'4C2 Open-burning '!B79*'4C2 Open-burning '!$E$14*'4C2 Open-burning '!$C$5*'4C2 Open-burning '!$C$6*'4C2 Open-burning '!$C$7*E79</f>
        <v>1.2108609577833174</v>
      </c>
      <c r="N79" s="614">
        <f>'4C2 Open-burning '!B79*'4C2 Open-burning '!$F$14*'4C2 Open-burning '!$C$5*'4C2 Open-burning '!$C$6*'4C2 Open-burning '!$C$7*F79</f>
        <v>0</v>
      </c>
      <c r="O79" s="614">
        <f>'4C2 Open-burning '!B79*'4C2 Open-burning '!$G$14*'4C2 Open-burning '!$C$5*'4C2 Open-burning '!$C$6*'4C2 Open-burning '!$C$7*G79</f>
        <v>0</v>
      </c>
      <c r="P79" s="614">
        <f>'4C2 Open-burning '!B79*'4C2 Open-burning '!$H$14*'4C2 Open-burning '!$C$5*'4C2 Open-burning '!$C$6*'4C2 Open-burning '!$C$7*H79</f>
        <v>0</v>
      </c>
      <c r="Q79" s="614">
        <f>'4C2 Open-burning '!B79*'4C2 Open-burning '!$I$14*'4C2 Open-burning '!$C$5*'4C2 Open-burning '!$C$6*'4C2 Open-burning '!$C$7*I79</f>
        <v>39.471093814554756</v>
      </c>
      <c r="R79" s="615">
        <f t="shared" si="0"/>
        <v>40.681954772338074</v>
      </c>
      <c r="S79" s="613">
        <f>B79*C79*'4C2 Open-burning '!$C$9*'4C2 Open-burning '!$C$11*$C$5</f>
        <v>1.992944878504767</v>
      </c>
      <c r="T79" s="614">
        <f>B79*D79*'4C2 Open-burning '!$C$9*'4C2 Open-burning '!$C$11*$C$5</f>
        <v>2.663530065072615</v>
      </c>
      <c r="U79" s="614">
        <f>B79*E79*'4C2 Open-burning '!$C$9*'4C2 Open-burning '!$C$11*$C$5</f>
        <v>0.8939389652436921</v>
      </c>
      <c r="V79" s="614">
        <f>B79*F79*'4C2 Open-burning '!$C$9*'4C2 Open-burning '!$C$11*$C$5</f>
        <v>0</v>
      </c>
      <c r="W79" s="614">
        <f>B79*G79*'4C2 Open-burning '!$C$9*'4C2 Open-burning '!$C$11*$C$5</f>
        <v>0</v>
      </c>
      <c r="X79" s="614">
        <f>B79*H79*'4C2 Open-burning '!$C$9*'4C2 Open-burning '!$C$11*$C$5</f>
        <v>0</v>
      </c>
      <c r="Y79" s="614">
        <f>B79*I79*'4C2 Open-burning '!$C$9*'4C2 Open-burning '!$C$11*$C$5</f>
        <v>4.4681663147789257</v>
      </c>
      <c r="Z79" s="615">
        <f t="shared" si="4"/>
        <v>10.018580223600001</v>
      </c>
      <c r="AA79" s="616">
        <f>B79*C79*'4C2 Open-burning '!$C$10*'4C2 Open-burning '!$C$11*$C$5*$C$15</f>
        <v>1.8396414263120924E-2</v>
      </c>
      <c r="AB79" s="617">
        <f>B79*D79*'4C2 Open-burning '!$C$10*'4C2 Open-burning '!$C$11*$C$5*$D$15</f>
        <v>2.4586431369901064E-2</v>
      </c>
      <c r="AC79" s="617">
        <f>B79*E79*'4C2 Open-burning '!$C$10*'4C2 Open-burning '!$C$11*$C$5*$E$15</f>
        <v>1.8566424662753607E-2</v>
      </c>
      <c r="AD79" s="617">
        <f>B79*F79*'4C2 Open-burning '!$C$10*'4C2 Open-burning '!$C$11*$C$5*$F$15</f>
        <v>0</v>
      </c>
      <c r="AE79" s="617">
        <f>B79*G79*'4C2 Open-burning '!$C$10*'4C2 Open-burning '!$C$11*$C$5*$G$15</f>
        <v>0</v>
      </c>
      <c r="AF79" s="617">
        <f>B79*H79*'4C2 Open-burning '!$C$10*'4C2 Open-burning '!$C$11*$C$5*$H$15</f>
        <v>0</v>
      </c>
      <c r="AG79" s="617">
        <f>B79*I79*'4C2 Open-burning '!$C$10*'4C2 Open-burning '!$C$11*$C$5*$I$15</f>
        <v>9.2800377306946916E-2</v>
      </c>
      <c r="AH79" s="618">
        <f t="shared" si="2"/>
        <v>0.15434964760272252</v>
      </c>
      <c r="AI79" s="99"/>
      <c r="AJ79" s="99"/>
      <c r="AK79" s="99"/>
    </row>
    <row r="80" spans="1:37">
      <c r="A80" s="619">
        <f>'Input data'!A108</f>
        <v>2010</v>
      </c>
      <c r="B80" s="612">
        <f>'Baseline data (from input)'!N66</f>
        <v>9.3933535107009608E-2</v>
      </c>
      <c r="C80" s="671">
        <f>'Baseline data (from input)'!C66*'Baseline data (from input)'!D66</f>
        <v>5549.6773999741326</v>
      </c>
      <c r="D80" s="672">
        <f>'Baseline data (from input)'!C66*'Baseline data (from input)'!E66</f>
        <v>7417.0303281921742</v>
      </c>
      <c r="E80" s="672">
        <f>'Baseline data (from input)'!C66*'Baseline data (from input)'!F66</f>
        <v>2489.317655434249</v>
      </c>
      <c r="F80" s="672">
        <f>'Baseline data (from input)'!C66*'Baseline data (from input)'!G66</f>
        <v>0</v>
      </c>
      <c r="G80" s="672">
        <f>'Baseline data (from input)'!C66*'Baseline data (from input)'!H66</f>
        <v>0</v>
      </c>
      <c r="H80" s="672">
        <f>'Baseline data (from input)'!H66*'Baseline data (from input)'!I66</f>
        <v>0</v>
      </c>
      <c r="I80" s="672">
        <f>'Baseline data (from input)'!C66*'Baseline data (from input)'!J66</f>
        <v>12442.33188981047</v>
      </c>
      <c r="J80" s="945">
        <f>SUM(C80:I80)</f>
        <v>27898.357273411028</v>
      </c>
      <c r="K80" s="613">
        <f>'4C2 Open-burning '!B80*'4C2 Open-burning '!$C$14*'4C2 Open-burning '!$C$5*'4C2 Open-burning '!$C$6*'4C2 Open-burning '!$C$7*C80</f>
        <v>0</v>
      </c>
      <c r="L80" s="614">
        <f>'4C2 Open-burning '!B80*'4C2 Open-burning '!$D$14*'4C2 Open-burning '!$C$5*'4C2 Open-burning '!$C$6*'4C2 Open-burning '!$C$7*D80</f>
        <v>0</v>
      </c>
      <c r="M80" s="614">
        <f>'4C2 Open-burning '!B80*'4C2 Open-burning '!$E$14*'4C2 Open-burning '!$C$5*'4C2 Open-burning '!$C$6*'4C2 Open-burning '!$C$7*E80</f>
        <v>1.2352418632378255</v>
      </c>
      <c r="N80" s="614">
        <f>'4C2 Open-burning '!B80*'4C2 Open-burning '!$F$14*'4C2 Open-burning '!$C$5*'4C2 Open-burning '!$C$6*'4C2 Open-burning '!$C$7*F80</f>
        <v>0</v>
      </c>
      <c r="O80" s="614">
        <f>'4C2 Open-burning '!B80*'4C2 Open-burning '!$G$14*'4C2 Open-burning '!$C$5*'4C2 Open-burning '!$C$6*'4C2 Open-burning '!$C$7*G80</f>
        <v>0</v>
      </c>
      <c r="P80" s="614">
        <f>'4C2 Open-burning '!B80*'4C2 Open-burning '!$H$14*'4C2 Open-burning '!$C$5*'4C2 Open-burning '!$C$6*'4C2 Open-burning '!$C$7*H80</f>
        <v>0</v>
      </c>
      <c r="Q80" s="614">
        <f>'4C2 Open-burning '!B80*'4C2 Open-burning '!$I$14*'4C2 Open-burning '!$C$5*'4C2 Open-burning '!$C$6*'4C2 Open-burning '!$C$7*I80</f>
        <v>40.265851462237435</v>
      </c>
      <c r="R80" s="615">
        <f t="shared" si="0"/>
        <v>41.50109332547526</v>
      </c>
      <c r="S80" s="613">
        <f>B80*C80*'4C2 Open-burning '!$C$9*'4C2 Open-burning '!$C$11*$C$5</f>
        <v>2.0330731858438873</v>
      </c>
      <c r="T80" s="614">
        <f>B80*D80*'4C2 Open-burning '!$C$9*'4C2 Open-burning '!$C$11*$C$5</f>
        <v>2.7171607270196785</v>
      </c>
      <c r="U80" s="614">
        <f>B80*E80*'4C2 Open-burning '!$C$9*'4C2 Open-burning '!$C$11*$C$5</f>
        <v>0.91193858877900436</v>
      </c>
      <c r="V80" s="614">
        <f>B80*F80*'4C2 Open-burning '!$C$9*'4C2 Open-burning '!$C$11*$C$5</f>
        <v>0</v>
      </c>
      <c r="W80" s="614">
        <f>B80*G80*'4C2 Open-burning '!$C$9*'4C2 Open-burning '!$C$11*$C$5</f>
        <v>0</v>
      </c>
      <c r="X80" s="614">
        <f>B80*H80*'4C2 Open-burning '!$C$9*'4C2 Open-burning '!$C$11*$C$5</f>
        <v>0</v>
      </c>
      <c r="Y80" s="614">
        <f>B80*I80*'4C2 Open-burning '!$C$9*'4C2 Open-burning '!$C$11*$C$5</f>
        <v>4.5581336555998506</v>
      </c>
      <c r="Z80" s="615">
        <f t="shared" si="4"/>
        <v>10.220306157242421</v>
      </c>
      <c r="AA80" s="616">
        <f>B80*C80*'4C2 Open-burning '!$C$10*'4C2 Open-burning '!$C$11*$C$5*$C$15</f>
        <v>1.8766829407789728E-2</v>
      </c>
      <c r="AB80" s="617">
        <f>B80*D80*'4C2 Open-burning '!$C$10*'4C2 Open-burning '!$C$11*$C$5*$D$15</f>
        <v>2.5081483634027804E-2</v>
      </c>
      <c r="AC80" s="617">
        <f>B80*E80*'4C2 Open-burning '!$C$10*'4C2 Open-burning '!$C$11*$C$5*$E$15</f>
        <v>1.8940262997717779E-2</v>
      </c>
      <c r="AD80" s="617">
        <f>B80*F80*'4C2 Open-burning '!$C$10*'4C2 Open-burning '!$C$11*$C$5*$F$15</f>
        <v>0</v>
      </c>
      <c r="AE80" s="617">
        <f>B80*G80*'4C2 Open-burning '!$C$10*'4C2 Open-burning '!$C$11*$C$5*$G$15</f>
        <v>0</v>
      </c>
      <c r="AF80" s="617">
        <f>B80*H80*'4C2 Open-burning '!$C$10*'4C2 Open-burning '!$C$11*$C$5*$H$15</f>
        <v>0</v>
      </c>
      <c r="AG80" s="617">
        <f>B80*I80*'4C2 Open-burning '!$C$10*'4C2 Open-burning '!$C$11*$C$5*$I$15</f>
        <v>9.4668929770150748E-2</v>
      </c>
      <c r="AH80" s="618">
        <f t="shared" si="2"/>
        <v>0.15745750580968607</v>
      </c>
      <c r="AI80" s="99"/>
      <c r="AJ80" s="99"/>
      <c r="AK80" s="99"/>
    </row>
    <row r="81" spans="1:37">
      <c r="A81" s="619">
        <f>'Input data'!A109</f>
        <v>2011</v>
      </c>
      <c r="B81" s="612">
        <f>'Baseline data (from input)'!N67</f>
        <v>9.7867070214019219E-2</v>
      </c>
      <c r="C81" s="671">
        <f>'Baseline data (from input)'!C67*'Baseline data (from input)'!D67</f>
        <v>5562.3782613437243</v>
      </c>
      <c r="D81" s="672">
        <f>'Baseline data (from input)'!C67*'Baseline data (from input)'!E67</f>
        <v>7434.0047696205838</v>
      </c>
      <c r="E81" s="672">
        <f>'Baseline data (from input)'!C67*'Baseline data (from input)'!F67</f>
        <v>2495.0146493616248</v>
      </c>
      <c r="F81" s="672">
        <f>'Baseline data (from input)'!C67*'Baseline data (from input)'!G67</f>
        <v>0</v>
      </c>
      <c r="G81" s="672">
        <f>'Baseline data (from input)'!C67*'Baseline data (from input)'!H67</f>
        <v>0</v>
      </c>
      <c r="H81" s="672">
        <f>'Baseline data (from input)'!H67*'Baseline data (from input)'!I67</f>
        <v>0</v>
      </c>
      <c r="I81" s="672">
        <f>'Baseline data (from input)'!C67*'Baseline data (from input)'!J67</f>
        <v>12470.807118379193</v>
      </c>
      <c r="J81" s="945">
        <f t="shared" si="3"/>
        <v>27962.204798705126</v>
      </c>
      <c r="K81" s="613">
        <f>'4C2 Open-burning '!B81*'4C2 Open-burning '!$C$14*'4C2 Open-burning '!$C$5*'4C2 Open-burning '!$C$6*'4C2 Open-burning '!$C$7*C81</f>
        <v>0</v>
      </c>
      <c r="L81" s="614">
        <f>'4C2 Open-burning '!B81*'4C2 Open-burning '!$D$14*'4C2 Open-burning '!$C$5*'4C2 Open-burning '!$C$6*'4C2 Open-burning '!$C$7*D81</f>
        <v>0</v>
      </c>
      <c r="M81" s="614">
        <f>'4C2 Open-burning '!B81*'4C2 Open-burning '!$E$14*'4C2 Open-burning '!$C$5*'4C2 Open-burning '!$C$6*'4C2 Open-burning '!$C$7*E81</f>
        <v>1.2899138406581736</v>
      </c>
      <c r="N81" s="614">
        <f>'4C2 Open-burning '!B81*'4C2 Open-burning '!$F$14*'4C2 Open-burning '!$C$5*'4C2 Open-burning '!$C$6*'4C2 Open-burning '!$C$7*F81</f>
        <v>0</v>
      </c>
      <c r="O81" s="614">
        <f>'4C2 Open-burning '!B81*'4C2 Open-burning '!$G$14*'4C2 Open-burning '!$C$5*'4C2 Open-burning '!$C$6*'4C2 Open-burning '!$C$7*G81</f>
        <v>0</v>
      </c>
      <c r="P81" s="614">
        <f>'4C2 Open-burning '!B81*'4C2 Open-burning '!$H$14*'4C2 Open-burning '!$C$5*'4C2 Open-burning '!$C$6*'4C2 Open-burning '!$C$7*H81</f>
        <v>0</v>
      </c>
      <c r="Q81" s="614">
        <f>'4C2 Open-burning '!B81*'4C2 Open-burning '!$I$14*'4C2 Open-burning '!$C$5*'4C2 Open-burning '!$C$6*'4C2 Open-burning '!$C$7*I81</f>
        <v>42.048023672774555</v>
      </c>
      <c r="R81" s="615">
        <f t="shared" si="0"/>
        <v>43.337937513432728</v>
      </c>
      <c r="S81" s="613">
        <f>B81*C81*'4C2 Open-burning '!$C$9*'4C2 Open-burning '!$C$11*$C$5</f>
        <v>2.1230572890534551</v>
      </c>
      <c r="T81" s="614">
        <f>B81*D81*'4C2 Open-burning '!$C$9*'4C2 Open-burning '!$C$11*$C$5</f>
        <v>2.8374226403632643</v>
      </c>
      <c r="U81" s="614">
        <f>B81*E81*'4C2 Open-burning '!$C$9*'4C2 Open-burning '!$C$11*$C$5</f>
        <v>0.95230111810891471</v>
      </c>
      <c r="V81" s="614">
        <f>B81*F81*'4C2 Open-burning '!$C$9*'4C2 Open-burning '!$C$11*$C$5</f>
        <v>0</v>
      </c>
      <c r="W81" s="614">
        <f>B81*G81*'4C2 Open-burning '!$C$9*'4C2 Open-burning '!$C$11*$C$5</f>
        <v>0</v>
      </c>
      <c r="X81" s="614">
        <f>B81*H81*'4C2 Open-burning '!$C$9*'4C2 Open-burning '!$C$11*$C$5</f>
        <v>0</v>
      </c>
      <c r="Y81" s="614">
        <f>B81*I81*'4C2 Open-burning '!$C$9*'4C2 Open-burning '!$C$11*$C$5</f>
        <v>4.7598772879316371</v>
      </c>
      <c r="Z81" s="615">
        <f t="shared" si="4"/>
        <v>10.672658335457271</v>
      </c>
      <c r="AA81" s="616">
        <f>B81*C81*'4C2 Open-burning '!$C$10*'4C2 Open-burning '!$C$11*$C$5*$C$15</f>
        <v>1.9597451898954975E-2</v>
      </c>
      <c r="AB81" s="617">
        <f>B81*D81*'4C2 Open-burning '!$C$10*'4C2 Open-burning '!$C$11*$C$5*$D$15</f>
        <v>2.619159360335321E-2</v>
      </c>
      <c r="AC81" s="617">
        <f>B81*E81*'4C2 Open-burning '!$C$10*'4C2 Open-burning '!$C$11*$C$5*$E$15</f>
        <v>1.9778561683800537E-2</v>
      </c>
      <c r="AD81" s="617">
        <f>B81*F81*'4C2 Open-burning '!$C$10*'4C2 Open-burning '!$C$11*$C$5*$F$15</f>
        <v>0</v>
      </c>
      <c r="AE81" s="617">
        <f>B81*G81*'4C2 Open-burning '!$C$10*'4C2 Open-burning '!$C$11*$C$5*$G$15</f>
        <v>0</v>
      </c>
      <c r="AF81" s="617">
        <f>B81*H81*'4C2 Open-burning '!$C$10*'4C2 Open-burning '!$C$11*$C$5*$H$15</f>
        <v>0</v>
      </c>
      <c r="AG81" s="617">
        <f>B81*I81*'4C2 Open-burning '!$C$10*'4C2 Open-burning '!$C$11*$C$5*$I$15</f>
        <v>9.8858989826272475E-2</v>
      </c>
      <c r="AH81" s="618">
        <f t="shared" si="2"/>
        <v>0.16442659701238119</v>
      </c>
      <c r="AI81" s="99"/>
      <c r="AJ81" s="99"/>
      <c r="AK81" s="99"/>
    </row>
    <row r="82" spans="1:37">
      <c r="A82" s="619">
        <f>'Input data'!A110</f>
        <v>2012</v>
      </c>
      <c r="B82" s="612">
        <f>'Baseline data (from input)'!N68</f>
        <v>0.10180060532102883</v>
      </c>
      <c r="C82" s="671">
        <f>'Baseline data (from input)'!C68*'Baseline data (from input)'!D68</f>
        <v>5420.9253471842294</v>
      </c>
      <c r="D82" s="672">
        <f>'Baseline data (from input)'!C68*'Baseline data (from input)'!E68</f>
        <v>7244.9558432204603</v>
      </c>
      <c r="E82" s="672">
        <f>'Baseline data (from input)'!C68*'Baseline data (from input)'!F68</f>
        <v>2431.5656934580802</v>
      </c>
      <c r="F82" s="672">
        <f>'Baseline data (from input)'!C68*'Baseline data (from input)'!G68</f>
        <v>0</v>
      </c>
      <c r="G82" s="672">
        <f>'Baseline data (from input)'!C68*'Baseline data (from input)'!H68</f>
        <v>0</v>
      </c>
      <c r="H82" s="672">
        <f>'Baseline data (from input)'!H68*'Baseline data (from input)'!I68</f>
        <v>0</v>
      </c>
      <c r="I82" s="672">
        <f>'Baseline data (from input)'!C68*'Baseline data (from input)'!J68</f>
        <v>12153.670827761378</v>
      </c>
      <c r="J82" s="945">
        <f t="shared" si="3"/>
        <v>27251.117711624145</v>
      </c>
      <c r="K82" s="613">
        <f>'4C2 Open-burning '!B82*'4C2 Open-burning '!$C$14*'4C2 Open-burning '!$C$5*'4C2 Open-burning '!$C$6*'4C2 Open-burning '!$C$7*C82</f>
        <v>0</v>
      </c>
      <c r="L82" s="614">
        <f>'4C2 Open-burning '!B82*'4C2 Open-burning '!$D$14*'4C2 Open-burning '!$C$5*'4C2 Open-burning '!$C$6*'4C2 Open-burning '!$C$7*D82</f>
        <v>0</v>
      </c>
      <c r="M82" s="614">
        <f>'4C2 Open-burning '!B82*'4C2 Open-burning '!$E$14*'4C2 Open-burning '!$C$5*'4C2 Open-burning '!$C$6*'4C2 Open-burning '!$C$7*E82</f>
        <v>1.3076375500405313</v>
      </c>
      <c r="N82" s="614">
        <f>'4C2 Open-burning '!B82*'4C2 Open-burning '!$F$14*'4C2 Open-burning '!$C$5*'4C2 Open-burning '!$C$6*'4C2 Open-burning '!$C$7*F82</f>
        <v>0</v>
      </c>
      <c r="O82" s="614">
        <f>'4C2 Open-burning '!B82*'4C2 Open-burning '!$G$14*'4C2 Open-burning '!$C$5*'4C2 Open-burning '!$C$6*'4C2 Open-burning '!$C$7*G82</f>
        <v>0</v>
      </c>
      <c r="P82" s="614">
        <f>'4C2 Open-burning '!B82*'4C2 Open-burning '!$H$14*'4C2 Open-burning '!$C$5*'4C2 Open-burning '!$C$6*'4C2 Open-burning '!$C$7*H82</f>
        <v>0</v>
      </c>
      <c r="Q82" s="614">
        <f>'4C2 Open-burning '!B82*'4C2 Open-burning '!$I$14*'4C2 Open-burning '!$C$5*'4C2 Open-burning '!$C$6*'4C2 Open-burning '!$C$7*I82</f>
        <v>42.625773076020344</v>
      </c>
      <c r="R82" s="615">
        <f t="shared" si="0"/>
        <v>43.933410626060876</v>
      </c>
      <c r="S82" s="613">
        <f>B82*C82*'4C2 Open-burning '!$C$9*'4C2 Open-burning '!$C$11*$C$5</f>
        <v>2.1522285787995052</v>
      </c>
      <c r="T82" s="614">
        <f>B82*D82*'4C2 Open-burning '!$C$9*'4C2 Open-burning '!$C$11*$C$5</f>
        <v>2.876409472419474</v>
      </c>
      <c r="U82" s="614">
        <f>B82*E82*'4C2 Open-burning '!$C$9*'4C2 Open-burning '!$C$11*$C$5</f>
        <v>0.96538595194033106</v>
      </c>
      <c r="V82" s="614">
        <f>B82*F82*'4C2 Open-burning '!$C$9*'4C2 Open-burning '!$C$11*$C$5</f>
        <v>0</v>
      </c>
      <c r="W82" s="614">
        <f>B82*G82*'4C2 Open-burning '!$C$9*'4C2 Open-burning '!$C$11*$C$5</f>
        <v>0</v>
      </c>
      <c r="X82" s="614">
        <f>B82*H82*'4C2 Open-burning '!$C$9*'4C2 Open-burning '!$C$11*$C$5</f>
        <v>0</v>
      </c>
      <c r="Y82" s="614">
        <f>B82*I82*'4C2 Open-burning '!$C$9*'4C2 Open-burning '!$C$11*$C$5</f>
        <v>4.8252790838406874</v>
      </c>
      <c r="Z82" s="615">
        <f t="shared" si="4"/>
        <v>10.819303086999998</v>
      </c>
      <c r="AA82" s="616">
        <f>B82*C82*'4C2 Open-burning '!$C$10*'4C2 Open-burning '!$C$11*$C$5*$C$15</f>
        <v>1.9866725342764666E-2</v>
      </c>
      <c r="AB82" s="617">
        <f>B82*D82*'4C2 Open-burning '!$C$10*'4C2 Open-burning '!$C$11*$C$5*$D$15</f>
        <v>2.6551472053102838E-2</v>
      </c>
      <c r="AC82" s="617">
        <f>B82*E82*'4C2 Open-burning '!$C$10*'4C2 Open-burning '!$C$11*$C$5*$E$15</f>
        <v>2.0050323617222261E-2</v>
      </c>
      <c r="AD82" s="617">
        <f>B82*F82*'4C2 Open-burning '!$C$10*'4C2 Open-burning '!$C$11*$C$5*$F$15</f>
        <v>0</v>
      </c>
      <c r="AE82" s="617">
        <f>B82*G82*'4C2 Open-burning '!$C$10*'4C2 Open-burning '!$C$11*$C$5*$G$15</f>
        <v>0</v>
      </c>
      <c r="AF82" s="617">
        <f>B82*H82*'4C2 Open-burning '!$C$10*'4C2 Open-burning '!$C$11*$C$5*$H$15</f>
        <v>0</v>
      </c>
      <c r="AG82" s="617">
        <f>B82*I82*'4C2 Open-burning '!$C$10*'4C2 Open-burning '!$C$11*$C$5*$I$15</f>
        <v>0.10021733481822966</v>
      </c>
      <c r="AH82" s="618">
        <f t="shared" si="2"/>
        <v>0.1666858558313194</v>
      </c>
      <c r="AI82" s="99"/>
      <c r="AJ82" s="99"/>
      <c r="AK82" s="99"/>
    </row>
    <row r="83" spans="1:37">
      <c r="A83" s="619">
        <f>'Input data'!A111</f>
        <v>2013</v>
      </c>
      <c r="B83" s="612">
        <f>'Baseline data (from input)'!N69</f>
        <v>0.10573414042803844</v>
      </c>
      <c r="C83" s="671">
        <f>'Baseline data (from input)'!C69*'Baseline data (from input)'!D69</f>
        <v>5297.6627341654703</v>
      </c>
      <c r="D83" s="672">
        <f>'Baseline data (from input)'!C69*'Baseline data (from input)'!E69</f>
        <v>7080.2178822181477</v>
      </c>
      <c r="E83" s="672">
        <f>'Baseline data (from input)'!C69*'Baseline data (from input)'!F69</f>
        <v>2376.2760294419363</v>
      </c>
      <c r="F83" s="672">
        <f>'Baseline data (from input)'!C69*'Baseline data (from input)'!G69</f>
        <v>0</v>
      </c>
      <c r="G83" s="672">
        <f>'Baseline data (from input)'!C69*'Baseline data (from input)'!H69</f>
        <v>0</v>
      </c>
      <c r="H83" s="672">
        <f>'Baseline data (from input)'!H69*'Baseline data (from input)'!I69</f>
        <v>0</v>
      </c>
      <c r="I83" s="672">
        <f>'Baseline data (from input)'!C69*'Baseline data (from input)'!J69</f>
        <v>11877.317045324977</v>
      </c>
      <c r="J83" s="945">
        <f t="shared" si="3"/>
        <v>26631.473691150532</v>
      </c>
      <c r="K83" s="613">
        <f>'4C2 Open-burning '!B83*'4C2 Open-burning '!$C$14*'4C2 Open-burning '!$C$5*'4C2 Open-burning '!$C$6*'4C2 Open-burning '!$C$7*C83</f>
        <v>0</v>
      </c>
      <c r="L83" s="614">
        <f>'4C2 Open-burning '!B83*'4C2 Open-burning '!$D$14*'4C2 Open-burning '!$C$5*'4C2 Open-burning '!$C$6*'4C2 Open-burning '!$C$7*D83</f>
        <v>0</v>
      </c>
      <c r="M83" s="614">
        <f>'4C2 Open-burning '!B83*'4C2 Open-burning '!$E$14*'4C2 Open-burning '!$C$5*'4C2 Open-burning '!$C$6*'4C2 Open-burning '!$C$7*E83</f>
        <v>1.327281807162916</v>
      </c>
      <c r="N83" s="614">
        <f>'4C2 Open-burning '!B83*'4C2 Open-burning '!$F$14*'4C2 Open-burning '!$C$5*'4C2 Open-burning '!$C$6*'4C2 Open-burning '!$C$7*F83</f>
        <v>0</v>
      </c>
      <c r="O83" s="614">
        <f>'4C2 Open-burning '!B83*'4C2 Open-burning '!$G$14*'4C2 Open-burning '!$C$5*'4C2 Open-burning '!$C$6*'4C2 Open-burning '!$C$7*G83</f>
        <v>0</v>
      </c>
      <c r="P83" s="614">
        <f>'4C2 Open-burning '!B83*'4C2 Open-burning '!$H$14*'4C2 Open-burning '!$C$5*'4C2 Open-burning '!$C$6*'4C2 Open-burning '!$C$7*H83</f>
        <v>0</v>
      </c>
      <c r="Q83" s="614">
        <f>'4C2 Open-burning '!B83*'4C2 Open-burning '!$I$14*'4C2 Open-burning '!$C$5*'4C2 Open-burning '!$C$6*'4C2 Open-burning '!$C$7*I83</f>
        <v>43.266127619463852</v>
      </c>
      <c r="R83" s="615">
        <f t="shared" si="0"/>
        <v>44.593409426626771</v>
      </c>
      <c r="S83" s="613">
        <f>B83*C83*'4C2 Open-burning '!$C$9*'4C2 Open-burning '!$C$11*$C$5</f>
        <v>2.1845608803510879</v>
      </c>
      <c r="T83" s="614">
        <f>B83*D83*'4C2 Open-burning '!$C$9*'4C2 Open-burning '!$C$11*$C$5</f>
        <v>2.919620932096294</v>
      </c>
      <c r="U83" s="614">
        <f>B83*E83*'4C2 Open-burning '!$C$9*'4C2 Open-burning '!$C$11*$C$5</f>
        <v>0.97988866323190149</v>
      </c>
      <c r="V83" s="614">
        <f>B83*F83*'4C2 Open-burning '!$C$9*'4C2 Open-burning '!$C$11*$C$5</f>
        <v>0</v>
      </c>
      <c r="W83" s="614">
        <f>B83*G83*'4C2 Open-burning '!$C$9*'4C2 Open-burning '!$C$11*$C$5</f>
        <v>0</v>
      </c>
      <c r="X83" s="614">
        <f>B83*H83*'4C2 Open-burning '!$C$9*'4C2 Open-burning '!$C$11*$C$5</f>
        <v>0</v>
      </c>
      <c r="Y83" s="614">
        <f>B83*I83*'4C2 Open-burning '!$C$9*'4C2 Open-burning '!$C$11*$C$5</f>
        <v>4.8977678426770295</v>
      </c>
      <c r="Z83" s="615">
        <f t="shared" si="4"/>
        <v>10.981838318356314</v>
      </c>
      <c r="AA83" s="616">
        <f>B83*C83*'4C2 Open-burning '!$C$10*'4C2 Open-burning '!$C$11*$C$5*$C$15</f>
        <v>2.0165177357086964E-2</v>
      </c>
      <c r="AB83" s="617">
        <f>B83*D83*'4C2 Open-burning '!$C$10*'4C2 Open-burning '!$C$11*$C$5*$D$15</f>
        <v>2.6950347065504251E-2</v>
      </c>
      <c r="AC83" s="617">
        <f>B83*E83*'4C2 Open-burning '!$C$10*'4C2 Open-burning '!$C$11*$C$5*$E$15</f>
        <v>2.0351533774816417E-2</v>
      </c>
      <c r="AD83" s="617">
        <f>B83*F83*'4C2 Open-burning '!$C$10*'4C2 Open-burning '!$C$11*$C$5*$F$15</f>
        <v>0</v>
      </c>
      <c r="AE83" s="617">
        <f>B83*G83*'4C2 Open-burning '!$C$10*'4C2 Open-burning '!$C$11*$C$5*$G$15</f>
        <v>0</v>
      </c>
      <c r="AF83" s="617">
        <f>B83*H83*'4C2 Open-burning '!$C$10*'4C2 Open-burning '!$C$11*$C$5*$H$15</f>
        <v>0</v>
      </c>
      <c r="AG83" s="617">
        <f>B83*I83*'4C2 Open-burning '!$C$10*'4C2 Open-burning '!$C$11*$C$5*$I$15</f>
        <v>0.10172287057867677</v>
      </c>
      <c r="AH83" s="618">
        <f t="shared" si="2"/>
        <v>0.16918992877608441</v>
      </c>
      <c r="AI83" s="99"/>
      <c r="AJ83" s="99"/>
      <c r="AK83" s="99"/>
    </row>
    <row r="84" spans="1:37">
      <c r="A84" s="619">
        <f>'Input data'!A112</f>
        <v>2014</v>
      </c>
      <c r="B84" s="612">
        <f>'Baseline data (from input)'!N70</f>
        <v>0.10966767553504805</v>
      </c>
      <c r="C84" s="671">
        <f>'Baseline data (from input)'!C70*'Baseline data (from input)'!D70</f>
        <v>5171.1976366248764</v>
      </c>
      <c r="D84" s="672">
        <f>'Baseline data (from input)'!C70*'Baseline data (from input)'!E70</f>
        <v>6911.1998661581974</v>
      </c>
      <c r="E84" s="672">
        <f>'Baseline data (from input)'!C70*'Baseline data (from input)'!F70</f>
        <v>2319.5498853050749</v>
      </c>
      <c r="F84" s="672">
        <f>'Baseline data (from input)'!C70*'Baseline data (from input)'!G70</f>
        <v>0</v>
      </c>
      <c r="G84" s="672">
        <f>'Baseline data (from input)'!C70*'Baseline data (from input)'!H70</f>
        <v>0</v>
      </c>
      <c r="H84" s="672">
        <f>'Baseline data (from input)'!H70*'Baseline data (from input)'!I70</f>
        <v>0</v>
      </c>
      <c r="I84" s="672">
        <f>'Baseline data (from input)'!C70*'Baseline data (from input)'!J70</f>
        <v>11593.783318466427</v>
      </c>
      <c r="J84" s="945">
        <f t="shared" si="3"/>
        <v>25995.730706554576</v>
      </c>
      <c r="K84" s="613">
        <f>'4C2 Open-burning '!B84*'4C2 Open-burning '!$C$14*'4C2 Open-burning '!$C$5*'4C2 Open-burning '!$C$6*'4C2 Open-burning '!$C$7*C84</f>
        <v>0</v>
      </c>
      <c r="L84" s="614">
        <f>'4C2 Open-burning '!B84*'4C2 Open-burning '!$D$14*'4C2 Open-burning '!$C$5*'4C2 Open-burning '!$C$6*'4C2 Open-burning '!$C$7*D84</f>
        <v>0</v>
      </c>
      <c r="M84" s="614">
        <f>'4C2 Open-burning '!B84*'4C2 Open-burning '!$E$14*'4C2 Open-burning '!$C$5*'4C2 Open-burning '!$C$6*'4C2 Open-burning '!$C$7*E84</f>
        <v>1.3437960836842044</v>
      </c>
      <c r="N84" s="614">
        <f>'4C2 Open-burning '!B84*'4C2 Open-burning '!$F$14*'4C2 Open-burning '!$C$5*'4C2 Open-burning '!$C$6*'4C2 Open-burning '!$C$7*F84</f>
        <v>0</v>
      </c>
      <c r="O84" s="614">
        <f>'4C2 Open-burning '!B84*'4C2 Open-burning '!$G$14*'4C2 Open-burning '!$C$5*'4C2 Open-burning '!$C$6*'4C2 Open-burning '!$C$7*G84</f>
        <v>0</v>
      </c>
      <c r="P84" s="614">
        <f>'4C2 Open-burning '!B84*'4C2 Open-burning '!$H$14*'4C2 Open-burning '!$C$5*'4C2 Open-burning '!$C$6*'4C2 Open-burning '!$C$7*H84</f>
        <v>0</v>
      </c>
      <c r="Q84" s="614">
        <f>'4C2 Open-burning '!B84*'4C2 Open-burning '!$I$14*'4C2 Open-burning '!$C$5*'4C2 Open-burning '!$C$6*'4C2 Open-burning '!$C$7*I84</f>
        <v>43.804452481341109</v>
      </c>
      <c r="R84" s="615">
        <f t="shared" si="0"/>
        <v>45.148248565025312</v>
      </c>
      <c r="S84" s="613">
        <f>B84*C84*'4C2 Open-burning '!$C$9*'4C2 Open-burning '!$C$11*$C$5</f>
        <v>2.211741575709838</v>
      </c>
      <c r="T84" s="614">
        <f>B84*D84*'4C2 Open-burning '!$C$9*'4C2 Open-burning '!$C$11*$C$5</f>
        <v>2.9559473754708487</v>
      </c>
      <c r="U84" s="614">
        <f>B84*E84*'4C2 Open-burning '!$C$9*'4C2 Open-burning '!$C$11*$C$5</f>
        <v>0.99208061241507994</v>
      </c>
      <c r="V84" s="614">
        <f>B84*F84*'4C2 Open-burning '!$C$9*'4C2 Open-burning '!$C$11*$C$5</f>
        <v>0</v>
      </c>
      <c r="W84" s="614">
        <f>B84*G84*'4C2 Open-burning '!$C$9*'4C2 Open-burning '!$C$11*$C$5</f>
        <v>0</v>
      </c>
      <c r="X84" s="614">
        <f>B84*H84*'4C2 Open-burning '!$C$9*'4C2 Open-burning '!$C$11*$C$5</f>
        <v>0</v>
      </c>
      <c r="Y84" s="614">
        <f>B84*I84*'4C2 Open-burning '!$C$9*'4C2 Open-burning '!$C$11*$C$5</f>
        <v>4.9587067420535922</v>
      </c>
      <c r="Z84" s="615">
        <f t="shared" si="4"/>
        <v>11.118476305649359</v>
      </c>
      <c r="AA84" s="616">
        <f>B84*C84*'4C2 Open-burning '!$C$10*'4C2 Open-burning '!$C$11*$C$5*$C$15</f>
        <v>2.041607608347543E-2</v>
      </c>
      <c r="AB84" s="617">
        <f>B84*D84*'4C2 Open-burning '!$C$10*'4C2 Open-burning '!$C$11*$C$5*$D$15</f>
        <v>2.7285668081269365E-2</v>
      </c>
      <c r="AC84" s="617">
        <f>B84*E84*'4C2 Open-burning '!$C$10*'4C2 Open-burning '!$C$11*$C$5*$E$15</f>
        <v>2.0604751180928582E-2</v>
      </c>
      <c r="AD84" s="617">
        <f>B84*F84*'4C2 Open-burning '!$C$10*'4C2 Open-burning '!$C$11*$C$5*$F$15</f>
        <v>0</v>
      </c>
      <c r="AE84" s="617">
        <f>B84*G84*'4C2 Open-burning '!$C$10*'4C2 Open-burning '!$C$11*$C$5*$G$15</f>
        <v>0</v>
      </c>
      <c r="AF84" s="617">
        <f>B84*H84*'4C2 Open-burning '!$C$10*'4C2 Open-burning '!$C$11*$C$5*$H$15</f>
        <v>0</v>
      </c>
      <c r="AG84" s="617">
        <f>B84*I84*'4C2 Open-burning '!$C$10*'4C2 Open-burning '!$C$11*$C$5*$I$15</f>
        <v>0.10298852464265153</v>
      </c>
      <c r="AH84" s="618">
        <f t="shared" si="2"/>
        <v>0.17129501998832491</v>
      </c>
      <c r="AI84" s="99"/>
      <c r="AJ84" s="99"/>
      <c r="AK84" s="99"/>
    </row>
    <row r="85" spans="1:37">
      <c r="A85" s="619">
        <f>'Input data'!A113</f>
        <v>2015</v>
      </c>
      <c r="B85" s="612">
        <f>'Baseline data (from input)'!N71</f>
        <v>0.11360121064205767</v>
      </c>
      <c r="C85" s="671">
        <f>'Baseline data (from input)'!C71*'Baseline data (from input)'!D71</f>
        <v>5041.2879734619655</v>
      </c>
      <c r="D85" s="672">
        <f>'Baseline data (from input)'!C71*'Baseline data (from input)'!E71</f>
        <v>6737.5782586015093</v>
      </c>
      <c r="E85" s="672">
        <f>'Baseline data (from input)'!C71*'Baseline data (from input)'!F71</f>
        <v>2261.2786751398758</v>
      </c>
      <c r="F85" s="672">
        <f>'Baseline data (from input)'!C71*'Baseline data (from input)'!G71</f>
        <v>0</v>
      </c>
      <c r="G85" s="672">
        <f>'Baseline data (from input)'!C71*'Baseline data (from input)'!H71</f>
        <v>0</v>
      </c>
      <c r="H85" s="672">
        <f>'Baseline data (from input)'!H71*'Baseline data (from input)'!I71</f>
        <v>0</v>
      </c>
      <c r="I85" s="672">
        <f>'Baseline data (from input)'!C71*'Baseline data (from input)'!J71</f>
        <v>11302.526903314449</v>
      </c>
      <c r="J85" s="945">
        <f t="shared" si="3"/>
        <v>25342.671810517801</v>
      </c>
      <c r="K85" s="613">
        <f>'4C2 Open-burning '!B85*'4C2 Open-burning '!$C$14*'4C2 Open-burning '!$C$5*'4C2 Open-burning '!$C$6*'4C2 Open-burning '!$C$7*C85</f>
        <v>0</v>
      </c>
      <c r="L85" s="614">
        <f>'4C2 Open-burning '!B85*'4C2 Open-burning '!$D$14*'4C2 Open-burning '!$C$5*'4C2 Open-burning '!$C$6*'4C2 Open-burning '!$C$7*D85</f>
        <v>0</v>
      </c>
      <c r="M85" s="614">
        <f>'4C2 Open-burning '!B85*'4C2 Open-burning '!$E$14*'4C2 Open-burning '!$C$5*'4C2 Open-burning '!$C$6*'4C2 Open-burning '!$C$7*E85</f>
        <v>1.3570256678484296</v>
      </c>
      <c r="N85" s="614">
        <f>'4C2 Open-burning '!B85*'4C2 Open-burning '!$F$14*'4C2 Open-burning '!$C$5*'4C2 Open-burning '!$C$6*'4C2 Open-burning '!$C$7*F85</f>
        <v>0</v>
      </c>
      <c r="O85" s="614">
        <f>'4C2 Open-burning '!B85*'4C2 Open-burning '!$G$14*'4C2 Open-burning '!$C$5*'4C2 Open-burning '!$C$6*'4C2 Open-burning '!$C$7*G85</f>
        <v>0</v>
      </c>
      <c r="P85" s="614">
        <f>'4C2 Open-burning '!B85*'4C2 Open-burning '!$H$14*'4C2 Open-burning '!$C$5*'4C2 Open-burning '!$C$6*'4C2 Open-burning '!$C$7*H85</f>
        <v>0</v>
      </c>
      <c r="Q85" s="614">
        <f>'4C2 Open-burning '!B85*'4C2 Open-burning '!$I$14*'4C2 Open-burning '!$C$5*'4C2 Open-burning '!$C$6*'4C2 Open-burning '!$C$7*I85</f>
        <v>44.235704438320226</v>
      </c>
      <c r="R85" s="615">
        <f t="shared" ref="R85:R87" si="5">SUM(K85:Q85)</f>
        <v>45.592730106168659</v>
      </c>
      <c r="S85" s="613">
        <f>B85*C85*'4C2 Open-burning '!$C$9*'4C2 Open-burning '!$C$11*$C$5</f>
        <v>2.2335160262240463</v>
      </c>
      <c r="T85" s="614">
        <f>B85*D85*'4C2 Open-burning '!$C$9*'4C2 Open-burning '!$C$11*$C$5</f>
        <v>2.9850484831936788</v>
      </c>
      <c r="U85" s="614">
        <f>B85*E85*'4C2 Open-burning '!$C$9*'4C2 Open-burning '!$C$11*$C$5</f>
        <v>1.0018475808703364</v>
      </c>
      <c r="V85" s="614">
        <f>B85*F85*'4C2 Open-burning '!$C$9*'4C2 Open-burning '!$C$11*$C$5</f>
        <v>0</v>
      </c>
      <c r="W85" s="614">
        <f>B85*G85*'4C2 Open-burning '!$C$9*'4C2 Open-burning '!$C$11*$C$5</f>
        <v>0</v>
      </c>
      <c r="X85" s="614">
        <f>B85*H85*'4C2 Open-burning '!$C$9*'4C2 Open-burning '!$C$11*$C$5</f>
        <v>0</v>
      </c>
      <c r="Y85" s="614">
        <f>B85*I85*'4C2 Open-burning '!$C$9*'4C2 Open-burning '!$C$11*$C$5</f>
        <v>5.0075248841706985</v>
      </c>
      <c r="Z85" s="615">
        <f t="shared" si="4"/>
        <v>11.22793697445876</v>
      </c>
      <c r="AA85" s="616">
        <f>B85*C85*'4C2 Open-burning '!$C$10*'4C2 Open-burning '!$C$11*$C$5*$C$15</f>
        <v>2.0617071011298893E-2</v>
      </c>
      <c r="AB85" s="617">
        <f>B85*D85*'4C2 Open-burning '!$C$10*'4C2 Open-burning '!$C$11*$C$5*$D$15</f>
        <v>2.7554293691018573E-2</v>
      </c>
      <c r="AC85" s="617">
        <f>B85*E85*'4C2 Open-burning '!$C$10*'4C2 Open-burning '!$C$11*$C$5*$E$15</f>
        <v>2.0807603602691602E-2</v>
      </c>
      <c r="AD85" s="617">
        <f>B85*F85*'4C2 Open-burning '!$C$10*'4C2 Open-burning '!$C$11*$C$5*$F$15</f>
        <v>0</v>
      </c>
      <c r="AE85" s="617">
        <f>B85*G85*'4C2 Open-burning '!$C$10*'4C2 Open-burning '!$C$11*$C$5*$G$15</f>
        <v>0</v>
      </c>
      <c r="AF85" s="617">
        <f>B85*H85*'4C2 Open-burning '!$C$10*'4C2 Open-burning '!$C$11*$C$5*$H$15</f>
        <v>0</v>
      </c>
      <c r="AG85" s="617">
        <f>B85*I85*'4C2 Open-burning '!$C$10*'4C2 Open-burning '!$C$11*$C$5*$I$15</f>
        <v>0.1040024399020068</v>
      </c>
      <c r="AH85" s="618">
        <f t="shared" ref="AH85:AH87" si="6">SUM(AA85:AG85)</f>
        <v>0.17298140820701585</v>
      </c>
      <c r="AI85" s="99"/>
      <c r="AJ85" s="99"/>
      <c r="AK85" s="99"/>
    </row>
    <row r="86" spans="1:37">
      <c r="A86" s="619">
        <f>'Input data'!A114</f>
        <v>2016</v>
      </c>
      <c r="B86" s="612">
        <f>'Baseline data (from input)'!N72</f>
        <v>0.11753474574906728</v>
      </c>
      <c r="C86" s="671">
        <f>'Baseline data (from input)'!C72*'Baseline data (from input)'!D72</f>
        <v>4907.7645373310625</v>
      </c>
      <c r="D86" s="672">
        <f>'Baseline data (from input)'!C72*'Baseline data (from input)'!E72</f>
        <v>6559.1269173916653</v>
      </c>
      <c r="E86" s="672">
        <f>'Baseline data (from input)'!C72*'Baseline data (from input)'!F72</f>
        <v>2201.3865006908791</v>
      </c>
      <c r="F86" s="672">
        <f>'Baseline data (from input)'!C72*'Baseline data (from input)'!G72</f>
        <v>0</v>
      </c>
      <c r="G86" s="672">
        <f>'Baseline data (from input)'!C72*'Baseline data (from input)'!H72</f>
        <v>0</v>
      </c>
      <c r="H86" s="672">
        <f>'Baseline data (from input)'!H72*'Baseline data (from input)'!I72</f>
        <v>0</v>
      </c>
      <c r="I86" s="672">
        <f>'Baseline data (from input)'!C72*'Baseline data (from input)'!J72</f>
        <v>11003.168438367215</v>
      </c>
      <c r="J86" s="945">
        <f t="shared" si="3"/>
        <v>24671.446393780821</v>
      </c>
      <c r="K86" s="613">
        <f>'4C2 Open-burning '!B86*'4C2 Open-burning '!$C$14*'4C2 Open-burning '!$C$5*'4C2 Open-burning '!$C$6*'4C2 Open-burning '!$C$7*C86</f>
        <v>0</v>
      </c>
      <c r="L86" s="614">
        <f>'4C2 Open-burning '!B86*'4C2 Open-burning '!$D$14*'4C2 Open-burning '!$C$5*'4C2 Open-burning '!$C$6*'4C2 Open-burning '!$C$7*D86</f>
        <v>0</v>
      </c>
      <c r="M86" s="614">
        <f>'4C2 Open-burning '!B86*'4C2 Open-burning '!$E$14*'4C2 Open-burning '!$C$5*'4C2 Open-burning '!$C$6*'4C2 Open-burning '!$C$7*E86</f>
        <v>1.3668271180368208</v>
      </c>
      <c r="N86" s="614">
        <f>'4C2 Open-burning '!B86*'4C2 Open-burning '!$F$14*'4C2 Open-burning '!$C$5*'4C2 Open-burning '!$C$6*'4C2 Open-burning '!$C$7*F86</f>
        <v>0</v>
      </c>
      <c r="O86" s="614">
        <f>'4C2 Open-burning '!B86*'4C2 Open-burning '!$G$14*'4C2 Open-burning '!$C$5*'4C2 Open-burning '!$C$6*'4C2 Open-burning '!$C$7*G86</f>
        <v>0</v>
      </c>
      <c r="P86" s="614">
        <f>'4C2 Open-burning '!B86*'4C2 Open-burning '!$H$14*'4C2 Open-burning '!$C$5*'4C2 Open-burning '!$C$6*'4C2 Open-burning '!$C$7*H86</f>
        <v>0</v>
      </c>
      <c r="Q86" s="614">
        <f>'4C2 Open-burning '!B86*'4C2 Open-burning '!$I$14*'4C2 Open-burning '!$C$5*'4C2 Open-burning '!$C$6*'4C2 Open-burning '!$C$7*I86</f>
        <v>44.55520764586678</v>
      </c>
      <c r="R86" s="615">
        <f t="shared" si="5"/>
        <v>45.922034763903604</v>
      </c>
      <c r="S86" s="613">
        <f>B86*C86*'4C2 Open-burning '!$C$9*'4C2 Open-burning '!$C$11*$C$5</f>
        <v>2.2496481426568313</v>
      </c>
      <c r="T86" s="614">
        <f>B86*D86*'4C2 Open-burning '!$C$9*'4C2 Open-burning '!$C$11*$C$5</f>
        <v>3.0066087268288215</v>
      </c>
      <c r="U86" s="614">
        <f>B86*E86*'4C2 Open-burning '!$C$9*'4C2 Open-burning '!$C$11*$C$5</f>
        <v>1.0090836703511123</v>
      </c>
      <c r="V86" s="614">
        <f>B86*F86*'4C2 Open-burning '!$C$9*'4C2 Open-burning '!$C$11*$C$5</f>
        <v>0</v>
      </c>
      <c r="W86" s="614">
        <f>B86*G86*'4C2 Open-burning '!$C$9*'4C2 Open-burning '!$C$11*$C$5</f>
        <v>0</v>
      </c>
      <c r="X86" s="614">
        <f>B86*H86*'4C2 Open-burning '!$C$9*'4C2 Open-burning '!$C$11*$C$5</f>
        <v>0</v>
      </c>
      <c r="Y86" s="614">
        <f>B86*I86*'4C2 Open-burning '!$C$9*'4C2 Open-burning '!$C$11*$C$5</f>
        <v>5.043692958866842</v>
      </c>
      <c r="Z86" s="615">
        <f t="shared" si="4"/>
        <v>11.309033498703608</v>
      </c>
      <c r="AA86" s="616">
        <f>B86*C86*'4C2 Open-burning '!$C$10*'4C2 Open-burning '!$C$11*$C$5*$C$15</f>
        <v>2.0765982855293828E-2</v>
      </c>
      <c r="AB86" s="617">
        <f>B86*D86*'4C2 Open-burning '!$C$10*'4C2 Open-burning '!$C$11*$C$5*$D$15</f>
        <v>2.7753311324573739E-2</v>
      </c>
      <c r="AC86" s="617">
        <f>B86*E86*'4C2 Open-burning '!$C$10*'4C2 Open-burning '!$C$11*$C$5*$E$15</f>
        <v>2.0957891614984639E-2</v>
      </c>
      <c r="AD86" s="617">
        <f>B86*F86*'4C2 Open-burning '!$C$10*'4C2 Open-burning '!$C$11*$C$5*$F$15</f>
        <v>0</v>
      </c>
      <c r="AE86" s="617">
        <f>B86*G86*'4C2 Open-burning '!$C$10*'4C2 Open-burning '!$C$11*$C$5*$G$15</f>
        <v>0</v>
      </c>
      <c r="AF86" s="617">
        <f>B86*H86*'4C2 Open-burning '!$C$10*'4C2 Open-burning '!$C$11*$C$5*$H$15</f>
        <v>0</v>
      </c>
      <c r="AG86" s="617">
        <f>B86*I86*'4C2 Open-burning '!$C$10*'4C2 Open-burning '!$C$11*$C$5*$I$15</f>
        <v>0.1047536229918498</v>
      </c>
      <c r="AH86" s="618">
        <f t="shared" si="6"/>
        <v>0.174230808786702</v>
      </c>
      <c r="AI86" s="99"/>
      <c r="AJ86" s="99"/>
      <c r="AK86" s="99"/>
    </row>
    <row r="87" spans="1:37" ht="15.75" thickBot="1">
      <c r="A87" s="619">
        <f>'Input data'!A115</f>
        <v>2017</v>
      </c>
      <c r="B87" s="612">
        <f>'Baseline data (from input)'!N73</f>
        <v>0.12146828085607692</v>
      </c>
      <c r="C87" s="671">
        <f>'Baseline data (from input)'!C73*'Baseline data (from input)'!D73</f>
        <v>4770.2586005967123</v>
      </c>
      <c r="D87" s="672">
        <f>'Baseline data (from input)'!C73*'Baseline data (from input)'!E73</f>
        <v>6375.3530455860882</v>
      </c>
      <c r="E87" s="672">
        <f>'Baseline data (from input)'!C73*'Baseline data (from input)'!F73</f>
        <v>2139.7079685222452</v>
      </c>
      <c r="F87" s="672">
        <f>'Baseline data (from input)'!C73*'Baseline data (from input)'!G73</f>
        <v>0</v>
      </c>
      <c r="G87" s="672">
        <f>'Baseline data (from input)'!C73*'Baseline data (from input)'!H73</f>
        <v>0</v>
      </c>
      <c r="H87" s="672">
        <f>'Baseline data (from input)'!H73*'Baseline data (from input)'!I73</f>
        <v>0</v>
      </c>
      <c r="I87" s="672">
        <f>'Baseline data (from input)'!C73*'Baseline data (from input)'!J73</f>
        <v>10694.881239245327</v>
      </c>
      <c r="J87" s="945">
        <f t="shared" ref="J87" si="7">SUM(C87:I87)</f>
        <v>23980.200853950373</v>
      </c>
      <c r="K87" s="613">
        <f>'4C2 Open-burning '!B87*'4C2 Open-burning '!$C$14*'4C2 Open-burning '!$C$5*'4C2 Open-burning '!$C$6*'4C2 Open-burning '!$C$7*C87</f>
        <v>0</v>
      </c>
      <c r="L87" s="614">
        <f>'4C2 Open-burning '!B87*'4C2 Open-burning '!$D$14*'4C2 Open-burning '!$C$5*'4C2 Open-burning '!$C$6*'4C2 Open-burning '!$C$7*D87</f>
        <v>0</v>
      </c>
      <c r="M87" s="614">
        <f>'4C2 Open-burning '!B87*'4C2 Open-burning '!$E$14*'4C2 Open-burning '!$C$5*'4C2 Open-burning '!$C$6*'4C2 Open-burning '!$C$7*E87</f>
        <v>1.3729932574759163</v>
      </c>
      <c r="N87" s="614">
        <f>'4C2 Open-burning '!B87*'4C2 Open-burning '!$F$14*'4C2 Open-burning '!$C$5*'4C2 Open-burning '!$C$6*'4C2 Open-burning '!$C$7*F87</f>
        <v>0</v>
      </c>
      <c r="O87" s="614">
        <f>'4C2 Open-burning '!B87*'4C2 Open-burning '!$G$14*'4C2 Open-burning '!$C$5*'4C2 Open-burning '!$C$6*'4C2 Open-burning '!$C$7*G87</f>
        <v>0</v>
      </c>
      <c r="P87" s="614">
        <f>'4C2 Open-burning '!B87*'4C2 Open-burning '!$H$14*'4C2 Open-burning '!$C$5*'4C2 Open-burning '!$C$6*'4C2 Open-burning '!$C$7*H87</f>
        <v>0</v>
      </c>
      <c r="Q87" s="614">
        <f>'4C2 Open-burning '!B87*'4C2 Open-burning '!$I$14*'4C2 Open-burning '!$C$5*'4C2 Open-burning '!$C$6*'4C2 Open-burning '!$C$7*I87</f>
        <v>44.75620864991248</v>
      </c>
      <c r="R87" s="615">
        <f t="shared" si="5"/>
        <v>46.129201907388399</v>
      </c>
      <c r="S87" s="613">
        <f>B87*C87*'4C2 Open-burning '!$C$9*'4C2 Open-burning '!$C$11*$C$5</f>
        <v>2.2597969346682518</v>
      </c>
      <c r="T87" s="614">
        <f>B87*D87*'4C2 Open-burning '!$C$9*'4C2 Open-burning '!$C$11*$C$5</f>
        <v>3.0201723797617954</v>
      </c>
      <c r="U87" s="614">
        <f>B87*E87*'4C2 Open-burning '!$C$9*'4C2 Open-burning '!$C$11*$C$5</f>
        <v>1.0136359290347388</v>
      </c>
      <c r="V87" s="614">
        <f>B87*F87*'4C2 Open-burning '!$C$9*'4C2 Open-burning '!$C$11*$C$5</f>
        <v>0</v>
      </c>
      <c r="W87" s="614">
        <f>B87*G87*'4C2 Open-burning '!$C$9*'4C2 Open-burning '!$C$11*$C$5</f>
        <v>0</v>
      </c>
      <c r="X87" s="614">
        <f>B87*H87*'4C2 Open-burning '!$C$9*'4C2 Open-burning '!$C$11*$C$5</f>
        <v>0</v>
      </c>
      <c r="Y87" s="614">
        <f>B87*I87*'4C2 Open-burning '!$C$9*'4C2 Open-burning '!$C$11*$C$5</f>
        <v>5.0664464685550534</v>
      </c>
      <c r="Z87" s="615">
        <f t="shared" si="4"/>
        <v>11.360051712019839</v>
      </c>
      <c r="AA87" s="616">
        <f>B87*C87*'4C2 Open-burning '!$C$10*'4C2 Open-burning '!$C$11*$C$5*$C$15</f>
        <v>2.0859664012322324E-2</v>
      </c>
      <c r="AB87" s="617">
        <f>B87*D87*'4C2 Open-burning '!$C$10*'4C2 Open-burning '!$C$11*$C$5*$D$15</f>
        <v>2.7878514274724264E-2</v>
      </c>
      <c r="AC87" s="617">
        <f>B87*E87*'4C2 Open-burning '!$C$10*'4C2 Open-burning '!$C$11*$C$5*$E$15</f>
        <v>2.1052438526106117E-2</v>
      </c>
      <c r="AD87" s="617">
        <f>B87*F87*'4C2 Open-burning '!$C$10*'4C2 Open-burning '!$C$11*$C$5*$F$15</f>
        <v>0</v>
      </c>
      <c r="AE87" s="617">
        <f>B87*G87*'4C2 Open-burning '!$C$10*'4C2 Open-burning '!$C$11*$C$5*$G$15</f>
        <v>0</v>
      </c>
      <c r="AF87" s="617">
        <f>B87*H87*'4C2 Open-burning '!$C$10*'4C2 Open-burning '!$C$11*$C$5*$H$15</f>
        <v>0</v>
      </c>
      <c r="AG87" s="617">
        <f>B87*I87*'4C2 Open-burning '!$C$10*'4C2 Open-burning '!$C$11*$C$5*$I$15</f>
        <v>0.1052261958853742</v>
      </c>
      <c r="AH87" s="618">
        <f t="shared" si="6"/>
        <v>0.17501681269852692</v>
      </c>
      <c r="AI87" s="99"/>
      <c r="AJ87" s="99"/>
      <c r="AK87" s="99"/>
    </row>
    <row r="88" spans="1:37" ht="15.75" thickBot="1">
      <c r="A88" s="1180" t="s">
        <v>647</v>
      </c>
      <c r="B88" s="1029"/>
      <c r="C88" s="1174"/>
      <c r="D88" s="1174"/>
      <c r="E88" s="1174"/>
      <c r="F88" s="1174"/>
      <c r="G88" s="1174"/>
      <c r="H88" s="1174"/>
      <c r="I88" s="1174"/>
      <c r="J88" s="1175"/>
      <c r="K88" s="1176"/>
      <c r="L88" s="1176"/>
      <c r="M88" s="1176"/>
      <c r="N88" s="1176"/>
      <c r="O88" s="1176"/>
      <c r="P88" s="1176"/>
      <c r="Q88" s="1176"/>
      <c r="R88" s="1177"/>
      <c r="S88" s="1176"/>
      <c r="T88" s="1176"/>
      <c r="U88" s="1176"/>
      <c r="V88" s="1176"/>
      <c r="W88" s="1176"/>
      <c r="X88" s="1176"/>
      <c r="Y88" s="1176"/>
      <c r="Z88" s="1177"/>
      <c r="AA88" s="1178"/>
      <c r="AB88" s="1178"/>
      <c r="AC88" s="1178"/>
      <c r="AD88" s="1178"/>
      <c r="AE88" s="1178"/>
      <c r="AF88" s="1178"/>
      <c r="AG88" s="1178"/>
      <c r="AH88" s="1179"/>
      <c r="AI88" s="99"/>
      <c r="AJ88" s="99"/>
      <c r="AK88" s="99"/>
    </row>
    <row r="89" spans="1:37">
      <c r="A89" s="611">
        <f>'Input data'!A116</f>
        <v>2018</v>
      </c>
      <c r="B89" s="907">
        <f>'Recycling - Case 1'!AP96</f>
        <v>0.1214682808560769</v>
      </c>
      <c r="C89" s="672">
        <f>'Recycling - Case 1'!AF96*'Recycling - Case 1'!BM96*'Recycling - Case 1'!B96</f>
        <v>4724.3071303999259</v>
      </c>
      <c r="D89" s="672">
        <f>'Recycling - Case 1'!AF96*'Recycling - Case 1'!BN96*'Recycling - Case 1'!B96</f>
        <v>6313.9398455906858</v>
      </c>
      <c r="E89" s="672">
        <f>'Recycling - Case 1'!AF96*'Recycling - Case 1'!BO96*'Recycling - Case 1'!B96</f>
        <v>2119.0963549436701</v>
      </c>
      <c r="F89" s="672">
        <f>'Recycling - Case 1'!AF96*'Recycling - Case 1'!BP96*'Recycling - Case 1'!B96</f>
        <v>0</v>
      </c>
      <c r="G89" s="672">
        <f>'Recycling - Case 1'!AF96*'Recycling - Case 1'!BQ96*'Recycling - Case 1'!B96</f>
        <v>0</v>
      </c>
      <c r="H89" s="672">
        <f>'Recycling - Case 1'!AF96*'Recycling - Case 1'!BR96*'Recycling - Case 1'!B96</f>
        <v>0</v>
      </c>
      <c r="I89" s="672">
        <f>'Recycling - Case 1'!AF96*'Recycling - Case 1'!BS96*'Recycling - Case 1'!B96</f>
        <v>10591.858414348186</v>
      </c>
      <c r="J89" s="945">
        <f>SUM(C89:I89)</f>
        <v>23749.201745282469</v>
      </c>
      <c r="K89" s="613">
        <f>'4C2 Open-burning '!B89*'4C2 Open-burning '!$C$14*'4C2 Open-burning '!$C$5*'4C2 Open-burning '!$C$6*'4C2 Open-burning '!$C$7*C89</f>
        <v>0</v>
      </c>
      <c r="L89" s="614">
        <f>'4C2 Open-burning '!B89*'4C2 Open-burning '!$D$14*'4C2 Open-burning '!$C$5*'4C2 Open-burning '!$C$6*'4C2 Open-burning '!$C$7*D89</f>
        <v>0</v>
      </c>
      <c r="M89" s="614">
        <f>'4C2 Open-burning '!B89*'4C2 Open-burning '!$E$14*'4C2 Open-burning '!$C$5*'4C2 Open-burning '!$C$6*'4C2 Open-burning '!$C$7*E89</f>
        <v>1.3597673374506576</v>
      </c>
      <c r="N89" s="614">
        <f>'4C2 Open-burning '!B89*'4C2 Open-burning '!$F$14*'4C2 Open-burning '!$C$5*'4C2 Open-burning '!$C$6*'4C2 Open-burning '!$C$7*F89</f>
        <v>0</v>
      </c>
      <c r="O89" s="614">
        <f>'4C2 Open-burning '!B89*'4C2 Open-burning '!$G$14*'4C2 Open-burning '!$C$5*'4C2 Open-burning '!$C$6*'4C2 Open-burning '!$C$7*G89</f>
        <v>0</v>
      </c>
      <c r="P89" s="614">
        <f>'4C2 Open-burning '!B89*'4C2 Open-burning '!$H$14*'4C2 Open-burning '!$C$5*'4C2 Open-burning '!$C$6*'4C2 Open-burning '!$C$7*H89</f>
        <v>0</v>
      </c>
      <c r="Q89" s="614">
        <f>'4C2 Open-burning '!B89*'4C2 Open-burning '!$I$14*'4C2 Open-burning '!$C$5*'4C2 Open-burning '!$C$6*'4C2 Open-burning '!$C$7*I89</f>
        <v>44.325076134865938</v>
      </c>
      <c r="R89" s="615">
        <f t="shared" ref="R89:R152" si="8">SUM(K89:Q89)</f>
        <v>45.684843472316594</v>
      </c>
      <c r="S89" s="613">
        <f>B89*C89*'4C2 Open-burning '!$C$9*'4C2 Open-burning '!$C$11*$C$5</f>
        <v>2.2380285149265613</v>
      </c>
      <c r="T89" s="614">
        <f>B89*D89*'4C2 Open-burning '!$C$9*'4C2 Open-burning '!$C$11*$C$5</f>
        <v>2.9910793320430784</v>
      </c>
      <c r="U89" s="614">
        <f>B89*E89*'4C2 Open-burning '!$C$9*'4C2 Open-burning '!$C$11*$C$5</f>
        <v>1.0038716656932074</v>
      </c>
      <c r="V89" s="614">
        <f>B89*F89*'4C2 Open-burning '!$C$9*'4C2 Open-burning '!$C$11*$C$5</f>
        <v>0</v>
      </c>
      <c r="W89" s="614">
        <f>B89*G89*'4C2 Open-burning '!$C$9*'4C2 Open-burning '!$C$11*$C$5</f>
        <v>0</v>
      </c>
      <c r="X89" s="614">
        <f>B89*H89*'4C2 Open-burning '!$C$9*'4C2 Open-burning '!$C$11*$C$5</f>
        <v>0</v>
      </c>
      <c r="Y89" s="614">
        <f>B89*I89*'4C2 Open-burning '!$C$9*'4C2 Open-burning '!$C$11*$C$5</f>
        <v>5.0176418473812019</v>
      </c>
      <c r="Z89" s="615">
        <f t="shared" ref="Z89:Z152" si="9">SUM(S89:Y89)</f>
        <v>11.25062136004405</v>
      </c>
      <c r="AA89" s="616">
        <f>B89*C89*'4C2 Open-burning '!$C$10*'4C2 Open-burning '!$C$11*$C$5*$C$15</f>
        <v>2.0658724753168257E-2</v>
      </c>
      <c r="AB89" s="617">
        <f>B89*D89*'4C2 Open-burning '!$C$10*'4C2 Open-burning '!$C$11*$C$5*$D$15</f>
        <v>2.7609963065013027E-2</v>
      </c>
      <c r="AC89" s="617">
        <f>B89*E89*'4C2 Open-burning '!$C$10*'4C2 Open-burning '!$C$11*$C$5*$E$15</f>
        <v>2.0849642287474306E-2</v>
      </c>
      <c r="AD89" s="617">
        <f>B89*F89*'4C2 Open-burning '!$C$10*'4C2 Open-burning '!$C$11*$C$5*$F$15</f>
        <v>0</v>
      </c>
      <c r="AE89" s="617">
        <f>B89*G89*'4C2 Open-burning '!$C$10*'4C2 Open-burning '!$C$11*$C$5*$G$15</f>
        <v>0</v>
      </c>
      <c r="AF89" s="617">
        <f>B89*H89*'4C2 Open-burning '!$C$10*'4C2 Open-burning '!$C$11*$C$5*$H$15</f>
        <v>0</v>
      </c>
      <c r="AG89" s="617">
        <f>B89*I89*'4C2 Open-burning '!$C$10*'4C2 Open-burning '!$C$11*$C$5*$I$15</f>
        <v>0.10421256144560959</v>
      </c>
      <c r="AH89" s="618">
        <f t="shared" ref="AH89:AH152" si="10">SUM(AA89:AG89)</f>
        <v>0.17333089155126519</v>
      </c>
      <c r="AI89" s="99"/>
      <c r="AJ89" s="99"/>
      <c r="AK89" s="99"/>
    </row>
    <row r="90" spans="1:37">
      <c r="A90" s="619">
        <f>'Input data'!A117</f>
        <v>2019</v>
      </c>
      <c r="B90" s="658">
        <f>'Recycling - Case 1'!AP97</f>
        <v>0.12146828085607692</v>
      </c>
      <c r="C90" s="672">
        <f>'Recycling - Case 1'!AF97*'Recycling - Case 1'!BM97*'Recycling - Case 1'!B97</f>
        <v>4682.4823995557199</v>
      </c>
      <c r="D90" s="672">
        <f>'Recycling - Case 1'!AF97*'Recycling - Case 1'!BN97*'Recycling - Case 1'!B97</f>
        <v>6258.0419483288733</v>
      </c>
      <c r="E90" s="672">
        <f>'Recycling - Case 1'!AF97*'Recycling - Case 1'!BO97*'Recycling - Case 1'!B97</f>
        <v>2100.3357976318603</v>
      </c>
      <c r="F90" s="672">
        <f>'Recycling - Case 1'!AF97*'Recycling - Case 1'!BP97*'Recycling - Case 1'!B97</f>
        <v>0</v>
      </c>
      <c r="G90" s="672">
        <f>'Recycling - Case 1'!AF97*'Recycling - Case 1'!BQ97*'Recycling - Case 1'!B97</f>
        <v>0</v>
      </c>
      <c r="H90" s="672">
        <f>'Recycling - Case 1'!AF97*'Recycling - Case 1'!BR97*'Recycling - Case 1'!B97</f>
        <v>0</v>
      </c>
      <c r="I90" s="672">
        <f>'Recycling - Case 1'!AF97*'Recycling - Case 1'!BS97*'Recycling - Case 1'!B97</f>
        <v>10498.087705735821</v>
      </c>
      <c r="J90" s="945">
        <f t="shared" ref="J90:J152" si="11">SUM(C90:I90)</f>
        <v>23538.947851252276</v>
      </c>
      <c r="K90" s="613">
        <f>'4C2 Open-burning '!B90*'4C2 Open-burning '!$C$14*'4C2 Open-burning '!$C$5*'4C2 Open-burning '!$C$6*'4C2 Open-burning '!$C$7*C90</f>
        <v>0</v>
      </c>
      <c r="L90" s="614">
        <f>'4C2 Open-burning '!B90*'4C2 Open-burning '!$D$14*'4C2 Open-burning '!$C$5*'4C2 Open-burning '!$C$6*'4C2 Open-burning '!$C$7*D90</f>
        <v>0</v>
      </c>
      <c r="M90" s="614">
        <f>'4C2 Open-burning '!B90*'4C2 Open-burning '!$E$14*'4C2 Open-burning '!$C$5*'4C2 Open-burning '!$C$6*'4C2 Open-burning '!$C$7*E90</f>
        <v>1.3477291906219604</v>
      </c>
      <c r="N90" s="614">
        <f>'4C2 Open-burning '!B90*'4C2 Open-burning '!$F$14*'4C2 Open-burning '!$C$5*'4C2 Open-burning '!$C$6*'4C2 Open-burning '!$C$7*F90</f>
        <v>0</v>
      </c>
      <c r="O90" s="614">
        <f>'4C2 Open-burning '!B90*'4C2 Open-burning '!$G$14*'4C2 Open-burning '!$C$5*'4C2 Open-burning '!$C$6*'4C2 Open-burning '!$C$7*G90</f>
        <v>0</v>
      </c>
      <c r="P90" s="614">
        <f>'4C2 Open-burning '!B90*'4C2 Open-burning '!$H$14*'4C2 Open-burning '!$C$5*'4C2 Open-burning '!$C$6*'4C2 Open-burning '!$C$7*H90</f>
        <v>0</v>
      </c>
      <c r="Q90" s="614">
        <f>'4C2 Open-burning '!B90*'4C2 Open-burning '!$I$14*'4C2 Open-burning '!$C$5*'4C2 Open-burning '!$C$6*'4C2 Open-burning '!$C$7*I90</f>
        <v>43.932662109312787</v>
      </c>
      <c r="R90" s="615">
        <f t="shared" si="8"/>
        <v>45.280391299934749</v>
      </c>
      <c r="S90" s="613">
        <f>B90*C90*'4C2 Open-burning '!$C$9*'4C2 Open-burning '!$C$11*$C$5</f>
        <v>2.2182150401301972</v>
      </c>
      <c r="T90" s="614">
        <f>B90*D90*'4C2 Open-burning '!$C$9*'4C2 Open-burning '!$C$11*$C$5</f>
        <v>2.9645990282560168</v>
      </c>
      <c r="U90" s="614">
        <f>B90*E90*'4C2 Open-burning '!$C$9*'4C2 Open-burning '!$C$11*$C$5</f>
        <v>0.99498429637939456</v>
      </c>
      <c r="V90" s="614">
        <f>B90*F90*'4C2 Open-burning '!$C$9*'4C2 Open-burning '!$C$11*$C$5</f>
        <v>0</v>
      </c>
      <c r="W90" s="614">
        <f>B90*G90*'4C2 Open-burning '!$C$9*'4C2 Open-burning '!$C$11*$C$5</f>
        <v>0</v>
      </c>
      <c r="X90" s="614">
        <f>B90*H90*'4C2 Open-burning '!$C$9*'4C2 Open-burning '!$C$11*$C$5</f>
        <v>0</v>
      </c>
      <c r="Y90" s="614">
        <f>B90*I90*'4C2 Open-burning '!$C$9*'4C2 Open-burning '!$C$11*$C$5</f>
        <v>4.9732201969789829</v>
      </c>
      <c r="Z90" s="615">
        <f t="shared" si="9"/>
        <v>11.151018561744593</v>
      </c>
      <c r="AA90" s="616">
        <f>B90*C90*'4C2 Open-burning '!$C$10*'4C2 Open-burning '!$C$11*$C$5*$C$15</f>
        <v>2.0475831139663364E-2</v>
      </c>
      <c r="AB90" s="617">
        <f>B90*D90*'4C2 Open-burning '!$C$10*'4C2 Open-burning '!$C$11*$C$5*$D$15</f>
        <v>2.7365529491594005E-2</v>
      </c>
      <c r="AC90" s="617">
        <f>B90*E90*'4C2 Open-burning '!$C$10*'4C2 Open-burning '!$C$11*$C$5*$E$15</f>
        <v>2.0665058463264347E-2</v>
      </c>
      <c r="AD90" s="617">
        <f>B90*F90*'4C2 Open-burning '!$C$10*'4C2 Open-burning '!$C$11*$C$5*$F$15</f>
        <v>0</v>
      </c>
      <c r="AE90" s="617">
        <f>B90*G90*'4C2 Open-burning '!$C$10*'4C2 Open-burning '!$C$11*$C$5*$G$15</f>
        <v>0</v>
      </c>
      <c r="AF90" s="617">
        <f>B90*H90*'4C2 Open-burning '!$C$10*'4C2 Open-burning '!$C$11*$C$5*$H$15</f>
        <v>0</v>
      </c>
      <c r="AG90" s="617">
        <f>B90*I90*'4C2 Open-burning '!$C$10*'4C2 Open-burning '!$C$11*$C$5*$I$15</f>
        <v>0.10328995793725579</v>
      </c>
      <c r="AH90" s="618">
        <f t="shared" si="10"/>
        <v>0.1717963770317775</v>
      </c>
      <c r="AI90" s="99"/>
      <c r="AJ90" s="99"/>
      <c r="AK90" s="99"/>
    </row>
    <row r="91" spans="1:37">
      <c r="A91" s="619">
        <f>'Input data'!A118</f>
        <v>2020</v>
      </c>
      <c r="B91" s="658">
        <f>'Recycling - Case 1'!AP98</f>
        <v>0.1214682808560769</v>
      </c>
      <c r="C91" s="672">
        <f>'Recycling - Case 1'!AF98*'Recycling - Case 1'!BM98*'Recycling - Case 1'!B98</f>
        <v>4644.8753315169815</v>
      </c>
      <c r="D91" s="672">
        <f>'Recycling - Case 1'!AF98*'Recycling - Case 1'!BN98*'Recycling - Case 1'!B98</f>
        <v>6207.7808711356283</v>
      </c>
      <c r="E91" s="672">
        <f>'Recycling - Case 1'!AF98*'Recycling - Case 1'!BO98*'Recycling - Case 1'!B98</f>
        <v>2083.4670804631137</v>
      </c>
      <c r="F91" s="672">
        <f>'Recycling - Case 1'!AF98*'Recycling - Case 1'!BP98*'Recycling - Case 1'!B98</f>
        <v>0</v>
      </c>
      <c r="G91" s="672">
        <f>'Recycling - Case 1'!AF98*'Recycling - Case 1'!BQ98*'Recycling - Case 1'!B98</f>
        <v>0</v>
      </c>
      <c r="H91" s="672">
        <f>'Recycling - Case 1'!AF98*'Recycling - Case 1'!BR98*'Recycling - Case 1'!B98</f>
        <v>0</v>
      </c>
      <c r="I91" s="672">
        <f>'Recycling - Case 1'!AF98*'Recycling - Case 1'!BS98*'Recycling - Case 1'!B98</f>
        <v>10413.772963054951</v>
      </c>
      <c r="J91" s="945">
        <f t="shared" si="11"/>
        <v>23349.896246170676</v>
      </c>
      <c r="K91" s="613">
        <f>'4C2 Open-burning '!B91*'4C2 Open-burning '!$C$14*'4C2 Open-burning '!$C$5*'4C2 Open-burning '!$C$6*'4C2 Open-burning '!$C$7*C91</f>
        <v>0</v>
      </c>
      <c r="L91" s="614">
        <f>'4C2 Open-burning '!B91*'4C2 Open-burning '!$D$14*'4C2 Open-burning '!$C$5*'4C2 Open-burning '!$C$6*'4C2 Open-burning '!$C$7*D91</f>
        <v>0</v>
      </c>
      <c r="M91" s="614">
        <f>'4C2 Open-burning '!B91*'4C2 Open-burning '!$E$14*'4C2 Open-burning '!$C$5*'4C2 Open-burning '!$C$6*'4C2 Open-burning '!$C$7*E91</f>
        <v>1.3369049869102017</v>
      </c>
      <c r="N91" s="614">
        <f>'4C2 Open-burning '!B91*'4C2 Open-burning '!$F$14*'4C2 Open-burning '!$C$5*'4C2 Open-burning '!$C$6*'4C2 Open-burning '!$C$7*F91</f>
        <v>0</v>
      </c>
      <c r="O91" s="614">
        <f>'4C2 Open-burning '!B91*'4C2 Open-burning '!$G$14*'4C2 Open-burning '!$C$5*'4C2 Open-burning '!$C$6*'4C2 Open-burning '!$C$7*G91</f>
        <v>0</v>
      </c>
      <c r="P91" s="614">
        <f>'4C2 Open-burning '!B91*'4C2 Open-burning '!$H$14*'4C2 Open-burning '!$C$5*'4C2 Open-burning '!$C$6*'4C2 Open-burning '!$C$7*H91</f>
        <v>0</v>
      </c>
      <c r="Q91" s="614">
        <f>'4C2 Open-burning '!B91*'4C2 Open-burning '!$I$14*'4C2 Open-burning '!$C$5*'4C2 Open-burning '!$C$6*'4C2 Open-burning '!$C$7*I91</f>
        <v>43.579819648394079</v>
      </c>
      <c r="R91" s="615">
        <f t="shared" si="8"/>
        <v>44.916724635304277</v>
      </c>
      <c r="S91" s="613">
        <f>B91*C91*'4C2 Open-burning '!$C$9*'4C2 Open-burning '!$C$11*$C$5</f>
        <v>2.2003995831096552</v>
      </c>
      <c r="T91" s="614">
        <f>B91*D91*'4C2 Open-burning '!$C$9*'4C2 Open-burning '!$C$11*$C$5</f>
        <v>2.940789034357528</v>
      </c>
      <c r="U91" s="614">
        <f>B91*E91*'4C2 Open-burning '!$C$9*'4C2 Open-burning '!$C$11*$C$5</f>
        <v>0.98699314148792783</v>
      </c>
      <c r="V91" s="614">
        <f>B91*F91*'4C2 Open-burning '!$C$9*'4C2 Open-burning '!$C$11*$C$5</f>
        <v>0</v>
      </c>
      <c r="W91" s="614">
        <f>B91*G91*'4C2 Open-burning '!$C$9*'4C2 Open-burning '!$C$11*$C$5</f>
        <v>0</v>
      </c>
      <c r="X91" s="614">
        <f>B91*H91*'4C2 Open-burning '!$C$9*'4C2 Open-burning '!$C$11*$C$5</f>
        <v>0</v>
      </c>
      <c r="Y91" s="614">
        <f>B91*I91*'4C2 Open-burning '!$C$9*'4C2 Open-burning '!$C$11*$C$5</f>
        <v>4.9332780862863377</v>
      </c>
      <c r="Z91" s="615">
        <f t="shared" si="9"/>
        <v>11.061459845241448</v>
      </c>
      <c r="AA91" s="616">
        <f>B91*C91*'4C2 Open-burning '!$C$10*'4C2 Open-burning '!$C$11*$C$5*$C$15</f>
        <v>2.0311380767166046E-2</v>
      </c>
      <c r="AB91" s="617">
        <f>B91*D91*'4C2 Open-burning '!$C$10*'4C2 Open-burning '!$C$11*$C$5*$D$15</f>
        <v>2.7145744932531031E-2</v>
      </c>
      <c r="AC91" s="617">
        <f>B91*E91*'4C2 Open-burning '!$C$10*'4C2 Open-burning '!$C$11*$C$5*$E$15</f>
        <v>2.0499088323210811E-2</v>
      </c>
      <c r="AD91" s="617">
        <f>B91*F91*'4C2 Open-burning '!$C$10*'4C2 Open-burning '!$C$11*$C$5*$F$15</f>
        <v>0</v>
      </c>
      <c r="AE91" s="617">
        <f>B91*G91*'4C2 Open-burning '!$C$10*'4C2 Open-burning '!$C$11*$C$5*$G$15</f>
        <v>0</v>
      </c>
      <c r="AF91" s="617">
        <f>B91*H91*'4C2 Open-burning '!$C$10*'4C2 Open-burning '!$C$11*$C$5*$H$15</f>
        <v>0</v>
      </c>
      <c r="AG91" s="617">
        <f>B91*I91*'4C2 Open-burning '!$C$10*'4C2 Open-burning '!$C$11*$C$5*$I$15</f>
        <v>0.10246039102287011</v>
      </c>
      <c r="AH91" s="618">
        <f t="shared" si="10"/>
        <v>0.17041660504577799</v>
      </c>
      <c r="AI91" s="99"/>
      <c r="AJ91" s="99"/>
      <c r="AK91" s="99"/>
    </row>
    <row r="92" spans="1:37">
      <c r="A92" s="619">
        <f>'Input data'!A119</f>
        <v>2021</v>
      </c>
      <c r="B92" s="658">
        <f>'Recycling - Case 1'!AP99</f>
        <v>0.1214682808560769</v>
      </c>
      <c r="C92" s="672">
        <f>'Recycling - Case 1'!AF99*'Recycling - Case 1'!BM99*'Recycling - Case 1'!B99</f>
        <v>4590.4825340722336</v>
      </c>
      <c r="D92" s="672">
        <f>'Recycling - Case 1'!AF99*'Recycling - Case 1'!BN99*'Recycling - Case 1'!B99</f>
        <v>6135.0860099379688</v>
      </c>
      <c r="E92" s="672">
        <f>'Recycling - Case 1'!AF99*'Recycling - Case 1'!BO99*'Recycling - Case 1'!B99</f>
        <v>2059.0690945534643</v>
      </c>
      <c r="F92" s="672">
        <f>'Recycling - Case 1'!AF99*'Recycling - Case 1'!BP99*'Recycling - Case 1'!B99</f>
        <v>0</v>
      </c>
      <c r="G92" s="672">
        <f>'Recycling - Case 1'!AF99*'Recycling - Case 1'!BQ99*'Recycling - Case 1'!B99</f>
        <v>0</v>
      </c>
      <c r="H92" s="672">
        <f>'Recycling - Case 1'!AF99*'Recycling - Case 1'!BR99*'Recycling - Case 1'!B99</f>
        <v>0</v>
      </c>
      <c r="I92" s="672">
        <f>'Recycling - Case 1'!AF99*'Recycling - Case 1'!BS99*'Recycling - Case 1'!B99</f>
        <v>10291.824750673102</v>
      </c>
      <c r="J92" s="945">
        <f t="shared" si="11"/>
        <v>23076.462389236767</v>
      </c>
      <c r="K92" s="613">
        <f>'4C2 Open-burning '!B92*'4C2 Open-burning '!$C$14*'4C2 Open-burning '!$C$5*'4C2 Open-burning '!$C$6*'4C2 Open-burning '!$C$7*C92</f>
        <v>0</v>
      </c>
      <c r="L92" s="614">
        <f>'4C2 Open-burning '!B92*'4C2 Open-burning '!$D$14*'4C2 Open-burning '!$C$5*'4C2 Open-burning '!$C$6*'4C2 Open-burning '!$C$7*D92</f>
        <v>0</v>
      </c>
      <c r="M92" s="614">
        <f>'4C2 Open-burning '!B92*'4C2 Open-burning '!$E$14*'4C2 Open-burning '!$C$5*'4C2 Open-burning '!$C$6*'4C2 Open-burning '!$C$7*E92</f>
        <v>1.3212494532379706</v>
      </c>
      <c r="N92" s="614">
        <f>'4C2 Open-burning '!B92*'4C2 Open-burning '!$F$14*'4C2 Open-burning '!$C$5*'4C2 Open-burning '!$C$6*'4C2 Open-burning '!$C$7*F92</f>
        <v>0</v>
      </c>
      <c r="O92" s="614">
        <f>'4C2 Open-burning '!B92*'4C2 Open-burning '!$G$14*'4C2 Open-burning '!$C$5*'4C2 Open-burning '!$C$6*'4C2 Open-burning '!$C$7*G92</f>
        <v>0</v>
      </c>
      <c r="P92" s="614">
        <f>'4C2 Open-burning '!B92*'4C2 Open-burning '!$H$14*'4C2 Open-burning '!$C$5*'4C2 Open-burning '!$C$6*'4C2 Open-burning '!$C$7*H92</f>
        <v>0</v>
      </c>
      <c r="Q92" s="614">
        <f>'4C2 Open-burning '!B92*'4C2 Open-burning '!$I$14*'4C2 Open-burning '!$C$5*'4C2 Open-burning '!$C$6*'4C2 Open-burning '!$C$7*I92</f>
        <v>43.069487694653652</v>
      </c>
      <c r="R92" s="615">
        <f t="shared" si="8"/>
        <v>44.39073714789162</v>
      </c>
      <c r="S92" s="613">
        <f>B92*C92*'4C2 Open-burning '!$C$9*'4C2 Open-burning '!$C$11*$C$5</f>
        <v>2.1746322846830464</v>
      </c>
      <c r="T92" s="614">
        <f>B92*D92*'4C2 Open-burning '!$C$9*'4C2 Open-burning '!$C$11*$C$5</f>
        <v>2.9063515670722002</v>
      </c>
      <c r="U92" s="614">
        <f>B92*E92*'4C2 Open-burning '!$C$9*'4C2 Open-burning '!$C$11*$C$5</f>
        <v>0.97543517400922386</v>
      </c>
      <c r="V92" s="614">
        <f>B92*F92*'4C2 Open-burning '!$C$9*'4C2 Open-burning '!$C$11*$C$5</f>
        <v>0</v>
      </c>
      <c r="W92" s="614">
        <f>B92*G92*'4C2 Open-burning '!$C$9*'4C2 Open-burning '!$C$11*$C$5</f>
        <v>0</v>
      </c>
      <c r="X92" s="614">
        <f>B92*H92*'4C2 Open-burning '!$C$9*'4C2 Open-burning '!$C$11*$C$5</f>
        <v>0</v>
      </c>
      <c r="Y92" s="614">
        <f>B92*I92*'4C2 Open-burning '!$C$9*'4C2 Open-burning '!$C$11*$C$5</f>
        <v>4.8755080114115081</v>
      </c>
      <c r="Z92" s="615">
        <f t="shared" si="9"/>
        <v>10.931927037175978</v>
      </c>
      <c r="AA92" s="616">
        <f>B92*C92*'4C2 Open-burning '!$C$10*'4C2 Open-burning '!$C$11*$C$5*$C$15</f>
        <v>2.0073528781689661E-2</v>
      </c>
      <c r="AB92" s="617">
        <f>B92*D92*'4C2 Open-burning '!$C$10*'4C2 Open-burning '!$C$11*$C$5*$D$15</f>
        <v>2.6827860619128004E-2</v>
      </c>
      <c r="AC92" s="617">
        <f>B92*E92*'4C2 Open-burning '!$C$10*'4C2 Open-burning '!$C$11*$C$5*$E$15</f>
        <v>2.0259038229422342E-2</v>
      </c>
      <c r="AD92" s="617">
        <f>B92*F92*'4C2 Open-burning '!$C$10*'4C2 Open-burning '!$C$11*$C$5*$F$15</f>
        <v>0</v>
      </c>
      <c r="AE92" s="617">
        <f>B92*G92*'4C2 Open-burning '!$C$10*'4C2 Open-burning '!$C$11*$C$5*$G$15</f>
        <v>0</v>
      </c>
      <c r="AF92" s="617">
        <f>B92*H92*'4C2 Open-burning '!$C$10*'4C2 Open-burning '!$C$11*$C$5*$H$15</f>
        <v>0</v>
      </c>
      <c r="AG92" s="617">
        <f>B92*I92*'4C2 Open-burning '!$C$10*'4C2 Open-burning '!$C$11*$C$5*$I$15</f>
        <v>0.10126055100623901</v>
      </c>
      <c r="AH92" s="618">
        <f t="shared" si="10"/>
        <v>0.16842097863647904</v>
      </c>
      <c r="AI92" s="99"/>
      <c r="AJ92" s="99"/>
      <c r="AK92" s="99"/>
    </row>
    <row r="93" spans="1:37">
      <c r="A93" s="619">
        <f>'Input data'!A120</f>
        <v>2022</v>
      </c>
      <c r="B93" s="658">
        <f>'Recycling - Case 1'!AP100</f>
        <v>0.1214682808560769</v>
      </c>
      <c r="C93" s="672">
        <f>'Recycling - Case 1'!AF100*'Recycling - Case 1'!BM100*'Recycling - Case 1'!B100</f>
        <v>4540.8991199352022</v>
      </c>
      <c r="D93" s="672">
        <f>'Recycling - Case 1'!AF100*'Recycling - Case 1'!BN100*'Recycling - Case 1'!B100</f>
        <v>6068.8187911566765</v>
      </c>
      <c r="E93" s="672">
        <f>'Recycling - Case 1'!AF100*'Recycling - Case 1'!BO100*'Recycling - Case 1'!B100</f>
        <v>2036.8283660692111</v>
      </c>
      <c r="F93" s="672">
        <f>'Recycling - Case 1'!AF100*'Recycling - Case 1'!BP100*'Recycling - Case 1'!B100</f>
        <v>0</v>
      </c>
      <c r="G93" s="672">
        <f>'Recycling - Case 1'!AF100*'Recycling - Case 1'!BQ100*'Recycling - Case 1'!B100</f>
        <v>0</v>
      </c>
      <c r="H93" s="672">
        <f>'Recycling - Case 1'!AF100*'Recycling - Case 1'!BR100*'Recycling - Case 1'!B100</f>
        <v>0</v>
      </c>
      <c r="I93" s="672">
        <f>'Recycling - Case 1'!AF100*'Recycling - Case 1'!BS100*'Recycling - Case 1'!B100</f>
        <v>10180.659136807735</v>
      </c>
      <c r="J93" s="945">
        <f t="shared" si="11"/>
        <v>22827.205413968826</v>
      </c>
      <c r="K93" s="613">
        <f>'4C2 Open-burning '!B93*'4C2 Open-burning '!$C$14*'4C2 Open-burning '!$C$5*'4C2 Open-burning '!$C$6*'4C2 Open-burning '!$C$7*C93</f>
        <v>0</v>
      </c>
      <c r="L93" s="614">
        <f>'4C2 Open-burning '!B93*'4C2 Open-burning '!$D$14*'4C2 Open-burning '!$C$5*'4C2 Open-burning '!$C$6*'4C2 Open-burning '!$C$7*D93</f>
        <v>0</v>
      </c>
      <c r="M93" s="614">
        <f>'4C2 Open-burning '!B93*'4C2 Open-burning '!$E$14*'4C2 Open-burning '!$C$5*'4C2 Open-burning '!$C$6*'4C2 Open-burning '!$C$7*E93</f>
        <v>1.3069781738393518</v>
      </c>
      <c r="N93" s="614">
        <f>'4C2 Open-burning '!B93*'4C2 Open-burning '!$F$14*'4C2 Open-burning '!$C$5*'4C2 Open-burning '!$C$6*'4C2 Open-burning '!$C$7*F93</f>
        <v>0</v>
      </c>
      <c r="O93" s="614">
        <f>'4C2 Open-burning '!B93*'4C2 Open-burning '!$G$14*'4C2 Open-burning '!$C$5*'4C2 Open-burning '!$C$6*'4C2 Open-burning '!$C$7*G93</f>
        <v>0</v>
      </c>
      <c r="P93" s="614">
        <f>'4C2 Open-burning '!B93*'4C2 Open-burning '!$H$14*'4C2 Open-burning '!$C$5*'4C2 Open-burning '!$C$6*'4C2 Open-burning '!$C$7*H93</f>
        <v>0</v>
      </c>
      <c r="Q93" s="614">
        <f>'4C2 Open-burning '!B93*'4C2 Open-burning '!$I$14*'4C2 Open-burning '!$C$5*'4C2 Open-burning '!$C$6*'4C2 Open-burning '!$C$7*I93</f>
        <v>42.604279031036455</v>
      </c>
      <c r="R93" s="615">
        <f t="shared" si="8"/>
        <v>43.91125720487581</v>
      </c>
      <c r="S93" s="613">
        <f>B93*C93*'4C2 Open-burning '!$C$9*'4C2 Open-burning '!$C$11*$C$5</f>
        <v>2.1511433175936663</v>
      </c>
      <c r="T93" s="614">
        <f>B93*D93*'4C2 Open-burning '!$C$9*'4C2 Open-burning '!$C$11*$C$5</f>
        <v>2.8749590430165393</v>
      </c>
      <c r="U93" s="614">
        <f>B93*E93*'4C2 Open-burning '!$C$9*'4C2 Open-burning '!$C$11*$C$5</f>
        <v>0.96489915609874455</v>
      </c>
      <c r="V93" s="614">
        <f>B93*F93*'4C2 Open-burning '!$C$9*'4C2 Open-burning '!$C$11*$C$5</f>
        <v>0</v>
      </c>
      <c r="W93" s="614">
        <f>B93*G93*'4C2 Open-burning '!$C$9*'4C2 Open-burning '!$C$11*$C$5</f>
        <v>0</v>
      </c>
      <c r="X93" s="614">
        <f>B93*H93*'4C2 Open-burning '!$C$9*'4C2 Open-burning '!$C$11*$C$5</f>
        <v>0</v>
      </c>
      <c r="Y93" s="614">
        <f>B93*I93*'4C2 Open-burning '!$C$9*'4C2 Open-burning '!$C$11*$C$5</f>
        <v>4.8228459369860142</v>
      </c>
      <c r="Z93" s="615">
        <f t="shared" si="9"/>
        <v>10.813847453694965</v>
      </c>
      <c r="AA93" s="616">
        <f>B93*C93*'4C2 Open-burning '!$C$10*'4C2 Open-burning '!$C$11*$C$5*$C$15</f>
        <v>1.985670754701846E-2</v>
      </c>
      <c r="AB93" s="617">
        <f>B93*D93*'4C2 Open-burning '!$C$10*'4C2 Open-burning '!$C$11*$C$5*$D$15</f>
        <v>2.6538083473998827E-2</v>
      </c>
      <c r="AC93" s="617">
        <f>B93*E93*'4C2 Open-burning '!$C$10*'4C2 Open-burning '!$C$11*$C$5*$E$15</f>
        <v>2.0040213242050849E-2</v>
      </c>
      <c r="AD93" s="617">
        <f>B93*F93*'4C2 Open-burning '!$C$10*'4C2 Open-burning '!$C$11*$C$5*$F$15</f>
        <v>0</v>
      </c>
      <c r="AE93" s="617">
        <f>B93*G93*'4C2 Open-burning '!$C$10*'4C2 Open-burning '!$C$11*$C$5*$G$15</f>
        <v>0</v>
      </c>
      <c r="AF93" s="617">
        <f>B93*H93*'4C2 Open-burning '!$C$10*'4C2 Open-burning '!$C$11*$C$5*$H$15</f>
        <v>0</v>
      </c>
      <c r="AG93" s="617">
        <f>B93*I93*'4C2 Open-burning '!$C$10*'4C2 Open-burning '!$C$11*$C$5*$I$15</f>
        <v>0.10016680022970954</v>
      </c>
      <c r="AH93" s="618">
        <f t="shared" si="10"/>
        <v>0.16660180449277767</v>
      </c>
      <c r="AI93" s="99"/>
      <c r="AJ93" s="99"/>
      <c r="AK93" s="99"/>
    </row>
    <row r="94" spans="1:37">
      <c r="A94" s="619">
        <f>'Input data'!A121</f>
        <v>2023</v>
      </c>
      <c r="B94" s="658">
        <f>'Recycling - Case 1'!AP101</f>
        <v>0.1214682808560769</v>
      </c>
      <c r="C94" s="672">
        <f>'Recycling - Case 1'!AF101*'Recycling - Case 1'!BM101*'Recycling - Case 1'!B101</f>
        <v>4496.39329804302</v>
      </c>
      <c r="D94" s="672">
        <f>'Recycling - Case 1'!AF101*'Recycling - Case 1'!BN101*'Recycling - Case 1'!B101</f>
        <v>6009.3376705501041</v>
      </c>
      <c r="E94" s="672">
        <f>'Recycling - Case 1'!AF101*'Recycling - Case 1'!BO101*'Recycling - Case 1'!B101</f>
        <v>2016.8652006055145</v>
      </c>
      <c r="F94" s="672">
        <f>'Recycling - Case 1'!AF101*'Recycling - Case 1'!BP101*'Recycling - Case 1'!B101</f>
        <v>0</v>
      </c>
      <c r="G94" s="672">
        <f>'Recycling - Case 1'!AF101*'Recycling - Case 1'!BQ101*'Recycling - Case 1'!B101</f>
        <v>0</v>
      </c>
      <c r="H94" s="672">
        <f>'Recycling - Case 1'!AF101*'Recycling - Case 1'!BR101*'Recycling - Case 1'!B101</f>
        <v>0</v>
      </c>
      <c r="I94" s="672">
        <f>'Recycling - Case 1'!AF101*'Recycling - Case 1'!BS101*'Recycling - Case 1'!B101</f>
        <v>10080.877443728803</v>
      </c>
      <c r="J94" s="945">
        <f t="shared" si="11"/>
        <v>22603.473612927442</v>
      </c>
      <c r="K94" s="613">
        <f>'4C2 Open-burning '!B94*'4C2 Open-burning '!$C$14*'4C2 Open-burning '!$C$5*'4C2 Open-burning '!$C$6*'4C2 Open-burning '!$C$7*C94</f>
        <v>0</v>
      </c>
      <c r="L94" s="614">
        <f>'4C2 Open-burning '!B94*'4C2 Open-burning '!$D$14*'4C2 Open-burning '!$C$5*'4C2 Open-burning '!$C$6*'4C2 Open-burning '!$C$7*D94</f>
        <v>0</v>
      </c>
      <c r="M94" s="614">
        <f>'4C2 Open-burning '!B94*'4C2 Open-burning '!$E$14*'4C2 Open-burning '!$C$5*'4C2 Open-burning '!$C$6*'4C2 Open-burning '!$C$7*E94</f>
        <v>1.2941683455904709</v>
      </c>
      <c r="N94" s="614">
        <f>'4C2 Open-burning '!B94*'4C2 Open-burning '!$F$14*'4C2 Open-burning '!$C$5*'4C2 Open-burning '!$C$6*'4C2 Open-burning '!$C$7*F94</f>
        <v>0</v>
      </c>
      <c r="O94" s="614">
        <f>'4C2 Open-burning '!B94*'4C2 Open-burning '!$G$14*'4C2 Open-burning '!$C$5*'4C2 Open-burning '!$C$6*'4C2 Open-burning '!$C$7*G94</f>
        <v>0</v>
      </c>
      <c r="P94" s="614">
        <f>'4C2 Open-burning '!B94*'4C2 Open-burning '!$H$14*'4C2 Open-burning '!$C$5*'4C2 Open-burning '!$C$6*'4C2 Open-burning '!$C$7*H94</f>
        <v>0</v>
      </c>
      <c r="Q94" s="614">
        <f>'4C2 Open-burning '!B94*'4C2 Open-burning '!$I$14*'4C2 Open-burning '!$C$5*'4C2 Open-burning '!$C$6*'4C2 Open-burning '!$C$7*I94</f>
        <v>42.186710086138348</v>
      </c>
      <c r="R94" s="615">
        <f t="shared" si="8"/>
        <v>43.480878431728819</v>
      </c>
      <c r="S94" s="613">
        <f>B94*C94*'4C2 Open-burning '!$C$9*'4C2 Open-burning '!$C$11*$C$5</f>
        <v>2.1300597394676783</v>
      </c>
      <c r="T94" s="614">
        <f>B94*D94*'4C2 Open-burning '!$C$9*'4C2 Open-burning '!$C$11*$C$5</f>
        <v>2.8467812721089931</v>
      </c>
      <c r="U94" s="614">
        <f>B94*E94*'4C2 Open-burning '!$C$9*'4C2 Open-burning '!$C$11*$C$5</f>
        <v>0.95544207968039419</v>
      </c>
      <c r="V94" s="614">
        <f>B94*F94*'4C2 Open-burning '!$C$9*'4C2 Open-burning '!$C$11*$C$5</f>
        <v>0</v>
      </c>
      <c r="W94" s="614">
        <f>B94*G94*'4C2 Open-burning '!$C$9*'4C2 Open-burning '!$C$11*$C$5</f>
        <v>0</v>
      </c>
      <c r="X94" s="614">
        <f>B94*H94*'4C2 Open-burning '!$C$9*'4C2 Open-burning '!$C$11*$C$5</f>
        <v>0</v>
      </c>
      <c r="Y94" s="614">
        <f>B94*I94*'4C2 Open-burning '!$C$9*'4C2 Open-burning '!$C$11*$C$5</f>
        <v>4.7755767251811081</v>
      </c>
      <c r="Z94" s="615">
        <f t="shared" si="9"/>
        <v>10.707859816438173</v>
      </c>
      <c r="AA94" s="616">
        <f>B94*C94*'4C2 Open-burning '!$C$10*'4C2 Open-burning '!$C$11*$C$5*$C$15</f>
        <v>1.9662089902778571E-2</v>
      </c>
      <c r="AB94" s="617">
        <f>B94*D94*'4C2 Open-burning '!$C$10*'4C2 Open-burning '!$C$11*$C$5*$D$15</f>
        <v>2.6277980973313783E-2</v>
      </c>
      <c r="AC94" s="617">
        <f>B94*E94*'4C2 Open-burning '!$C$10*'4C2 Open-burning '!$C$11*$C$5*$E$15</f>
        <v>1.984379703951588E-2</v>
      </c>
      <c r="AD94" s="617">
        <f>B94*F94*'4C2 Open-burning '!$C$10*'4C2 Open-burning '!$C$11*$C$5*$F$15</f>
        <v>0</v>
      </c>
      <c r="AE94" s="617">
        <f>B94*G94*'4C2 Open-burning '!$C$10*'4C2 Open-burning '!$C$11*$C$5*$G$15</f>
        <v>0</v>
      </c>
      <c r="AF94" s="617">
        <f>B94*H94*'4C2 Open-burning '!$C$10*'4C2 Open-burning '!$C$11*$C$5*$H$15</f>
        <v>0</v>
      </c>
      <c r="AG94" s="617">
        <f>B94*I94*'4C2 Open-burning '!$C$10*'4C2 Open-burning '!$C$11*$C$5*$I$15</f>
        <v>9.9185055061453795E-2</v>
      </c>
      <c r="AH94" s="618">
        <f t="shared" si="10"/>
        <v>0.164968922977062</v>
      </c>
      <c r="AI94" s="99"/>
      <c r="AJ94" s="99"/>
      <c r="AK94" s="99"/>
    </row>
    <row r="95" spans="1:37">
      <c r="A95" s="619">
        <f>'Input data'!A122</f>
        <v>2024</v>
      </c>
      <c r="B95" s="658">
        <f>'Recycling - Case 1'!AP102</f>
        <v>0.12146828085607692</v>
      </c>
      <c r="C95" s="672">
        <f>'Recycling - Case 1'!AF102*'Recycling - Case 1'!BM102*'Recycling - Case 1'!B102</f>
        <v>4457.0376751537824</v>
      </c>
      <c r="D95" s="672">
        <f>'Recycling - Case 1'!AF102*'Recycling - Case 1'!BN102*'Recycling - Case 1'!B102</f>
        <v>5956.739685565296</v>
      </c>
      <c r="E95" s="672">
        <f>'Recycling - Case 1'!AF102*'Recycling - Case 1'!BO102*'Recycling - Case 1'!B102</f>
        <v>1999.2121660526868</v>
      </c>
      <c r="F95" s="672">
        <f>'Recycling - Case 1'!AF102*'Recycling - Case 1'!BP102*'Recycling - Case 1'!B102</f>
        <v>0</v>
      </c>
      <c r="G95" s="672">
        <f>'Recycling - Case 1'!AF102*'Recycling - Case 1'!BQ102*'Recycling - Case 1'!B102</f>
        <v>0</v>
      </c>
      <c r="H95" s="672">
        <f>'Recycling - Case 1'!AF102*'Recycling - Case 1'!BR102*'Recycling - Case 1'!B102</f>
        <v>0</v>
      </c>
      <c r="I95" s="672">
        <f>'Recycling - Case 1'!AF102*'Recycling - Case 1'!BS102*'Recycling - Case 1'!B102</f>
        <v>9992.6424552012904</v>
      </c>
      <c r="J95" s="945">
        <f t="shared" si="11"/>
        <v>22405.631981973056</v>
      </c>
      <c r="K95" s="613">
        <f>'4C2 Open-burning '!B95*'4C2 Open-burning '!$C$14*'4C2 Open-burning '!$C$5*'4C2 Open-burning '!$C$6*'4C2 Open-burning '!$C$7*C95</f>
        <v>0</v>
      </c>
      <c r="L95" s="614">
        <f>'4C2 Open-burning '!B95*'4C2 Open-burning '!$D$14*'4C2 Open-burning '!$C$5*'4C2 Open-burning '!$C$6*'4C2 Open-burning '!$C$7*D95</f>
        <v>0</v>
      </c>
      <c r="M95" s="614">
        <f>'4C2 Open-burning '!B95*'4C2 Open-burning '!$E$14*'4C2 Open-burning '!$C$5*'4C2 Open-burning '!$C$6*'4C2 Open-burning '!$C$7*E95</f>
        <v>1.2828408664336961</v>
      </c>
      <c r="N95" s="614">
        <f>'4C2 Open-burning '!B95*'4C2 Open-burning '!$F$14*'4C2 Open-burning '!$C$5*'4C2 Open-burning '!$C$6*'4C2 Open-burning '!$C$7*F95</f>
        <v>0</v>
      </c>
      <c r="O95" s="614">
        <f>'4C2 Open-burning '!B95*'4C2 Open-burning '!$G$14*'4C2 Open-burning '!$C$5*'4C2 Open-burning '!$C$6*'4C2 Open-burning '!$C$7*G95</f>
        <v>0</v>
      </c>
      <c r="P95" s="614">
        <f>'4C2 Open-burning '!B95*'4C2 Open-burning '!$H$14*'4C2 Open-burning '!$C$5*'4C2 Open-burning '!$C$6*'4C2 Open-burning '!$C$7*H95</f>
        <v>0</v>
      </c>
      <c r="Q95" s="614">
        <f>'4C2 Open-burning '!B95*'4C2 Open-burning '!$I$14*'4C2 Open-burning '!$C$5*'4C2 Open-burning '!$C$6*'4C2 Open-burning '!$C$7*I95</f>
        <v>41.817462081563157</v>
      </c>
      <c r="R95" s="615">
        <f t="shared" si="8"/>
        <v>43.100302947996852</v>
      </c>
      <c r="S95" s="613">
        <f>B95*C95*'4C2 Open-burning '!$C$9*'4C2 Open-burning '!$C$11*$C$5</f>
        <v>2.1114159460356134</v>
      </c>
      <c r="T95" s="614">
        <f>B95*D95*'4C2 Open-burning '!$C$9*'4C2 Open-burning '!$C$11*$C$5</f>
        <v>2.8218642235398597</v>
      </c>
      <c r="U95" s="614">
        <f>B95*E95*'4C2 Open-burning '!$C$9*'4C2 Open-burning '!$C$11*$C$5</f>
        <v>0.94707937302019718</v>
      </c>
      <c r="V95" s="614">
        <f>B95*F95*'4C2 Open-burning '!$C$9*'4C2 Open-burning '!$C$11*$C$5</f>
        <v>0</v>
      </c>
      <c r="W95" s="614">
        <f>B95*G95*'4C2 Open-burning '!$C$9*'4C2 Open-burning '!$C$11*$C$5</f>
        <v>0</v>
      </c>
      <c r="X95" s="614">
        <f>B95*H95*'4C2 Open-burning '!$C$9*'4C2 Open-burning '!$C$11*$C$5</f>
        <v>0</v>
      </c>
      <c r="Y95" s="614">
        <f>B95*I95*'4C2 Open-burning '!$C$9*'4C2 Open-burning '!$C$11*$C$5</f>
        <v>4.7337774909467187</v>
      </c>
      <c r="Z95" s="615">
        <f t="shared" si="9"/>
        <v>10.61413703354239</v>
      </c>
      <c r="AA95" s="616">
        <f>B95*C95*'4C2 Open-burning '!$C$10*'4C2 Open-burning '!$C$11*$C$5*$C$15</f>
        <v>1.948999334802105E-2</v>
      </c>
      <c r="AB95" s="617">
        <f>B95*D95*'4C2 Open-burning '!$C$10*'4C2 Open-burning '!$C$11*$C$5*$D$15</f>
        <v>2.6047977448060245E-2</v>
      </c>
      <c r="AC95" s="617">
        <f>B95*E95*'4C2 Open-burning '!$C$10*'4C2 Open-burning '!$C$11*$C$5*$E$15</f>
        <v>1.9670110055034867E-2</v>
      </c>
      <c r="AD95" s="617">
        <f>B95*F95*'4C2 Open-burning '!$C$10*'4C2 Open-burning '!$C$11*$C$5*$F$15</f>
        <v>0</v>
      </c>
      <c r="AE95" s="617">
        <f>B95*G95*'4C2 Open-burning '!$C$10*'4C2 Open-burning '!$C$11*$C$5*$G$15</f>
        <v>0</v>
      </c>
      <c r="AF95" s="617">
        <f>B95*H95*'4C2 Open-burning '!$C$10*'4C2 Open-burning '!$C$11*$C$5*$H$15</f>
        <v>0</v>
      </c>
      <c r="AG95" s="617">
        <f>B95*I95*'4C2 Open-burning '!$C$10*'4C2 Open-burning '!$C$11*$C$5*$I$15</f>
        <v>9.8316917119662603E-2</v>
      </c>
      <c r="AH95" s="618">
        <f t="shared" si="10"/>
        <v>0.16352499797077877</v>
      </c>
      <c r="AI95" s="99"/>
      <c r="AJ95" s="99"/>
      <c r="AK95" s="99"/>
    </row>
    <row r="96" spans="1:37">
      <c r="A96" s="619">
        <f>'Input data'!A123</f>
        <v>2025</v>
      </c>
      <c r="B96" s="658">
        <f>'Recycling - Case 1'!AP103</f>
        <v>0.12146828085607689</v>
      </c>
      <c r="C96" s="672">
        <f>'Recycling - Case 1'!AF103*'Recycling - Case 1'!BM103*'Recycling - Case 1'!B103</f>
        <v>4423.0183054552735</v>
      </c>
      <c r="D96" s="672">
        <f>'Recycling - Case 1'!AF103*'Recycling - Case 1'!BN103*'Recycling - Case 1'!B103</f>
        <v>5911.2734938185476</v>
      </c>
      <c r="E96" s="672">
        <f>'Recycling - Case 1'!AF103*'Recycling - Case 1'!BO103*'Recycling - Case 1'!B103</f>
        <v>1983.9527173471395</v>
      </c>
      <c r="F96" s="672">
        <f>'Recycling - Case 1'!AF103*'Recycling - Case 1'!BP103*'Recycling - Case 1'!B103</f>
        <v>0</v>
      </c>
      <c r="G96" s="672">
        <f>'Recycling - Case 1'!AF103*'Recycling - Case 1'!BQ103*'Recycling - Case 1'!B103</f>
        <v>0</v>
      </c>
      <c r="H96" s="672">
        <f>'Recycling - Case 1'!AF103*'Recycling - Case 1'!BR103*'Recycling - Case 1'!B103</f>
        <v>0</v>
      </c>
      <c r="I96" s="672">
        <f>'Recycling - Case 1'!AF103*'Recycling - Case 1'!BS103*'Recycling - Case 1'!B103</f>
        <v>9916.3713032109099</v>
      </c>
      <c r="J96" s="945">
        <f t="shared" si="11"/>
        <v>22234.615819831874</v>
      </c>
      <c r="K96" s="613">
        <f>'4C2 Open-burning '!B96*'4C2 Open-burning '!$C$14*'4C2 Open-burning '!$C$5*'4C2 Open-burning '!$C$6*'4C2 Open-burning '!$C$7*C96</f>
        <v>0</v>
      </c>
      <c r="L96" s="614">
        <f>'4C2 Open-burning '!B96*'4C2 Open-burning '!$D$14*'4C2 Open-burning '!$C$5*'4C2 Open-burning '!$C$6*'4C2 Open-burning '!$C$7*D96</f>
        <v>0</v>
      </c>
      <c r="M96" s="614">
        <f>'4C2 Open-burning '!B96*'4C2 Open-burning '!$E$14*'4C2 Open-burning '!$C$5*'4C2 Open-burning '!$C$6*'4C2 Open-burning '!$C$7*E96</f>
        <v>1.2730492871650605</v>
      </c>
      <c r="N96" s="614">
        <f>'4C2 Open-burning '!B96*'4C2 Open-burning '!$F$14*'4C2 Open-burning '!$C$5*'4C2 Open-burning '!$C$6*'4C2 Open-burning '!$C$7*F96</f>
        <v>0</v>
      </c>
      <c r="O96" s="614">
        <f>'4C2 Open-burning '!B96*'4C2 Open-burning '!$G$14*'4C2 Open-burning '!$C$5*'4C2 Open-burning '!$C$6*'4C2 Open-burning '!$C$7*G96</f>
        <v>0</v>
      </c>
      <c r="P96" s="614">
        <f>'4C2 Open-burning '!B96*'4C2 Open-burning '!$H$14*'4C2 Open-burning '!$C$5*'4C2 Open-burning '!$C$6*'4C2 Open-burning '!$C$7*H96</f>
        <v>0</v>
      </c>
      <c r="Q96" s="614">
        <f>'4C2 Open-burning '!B96*'4C2 Open-burning '!$I$14*'4C2 Open-burning '!$C$5*'4C2 Open-burning '!$C$6*'4C2 Open-burning '!$C$7*I96</f>
        <v>41.498280641761433</v>
      </c>
      <c r="R96" s="615">
        <f t="shared" si="8"/>
        <v>42.771329928926491</v>
      </c>
      <c r="S96" s="613">
        <f>B96*C96*'4C2 Open-burning '!$C$9*'4C2 Open-burning '!$C$11*$C$5</f>
        <v>2.0953000760585807</v>
      </c>
      <c r="T96" s="614">
        <f>B96*D96*'4C2 Open-burning '!$C$9*'4C2 Open-burning '!$C$11*$C$5</f>
        <v>2.8003256929605134</v>
      </c>
      <c r="U96" s="614">
        <f>B96*E96*'4C2 Open-burning '!$C$9*'4C2 Open-burning '!$C$11*$C$5</f>
        <v>0.93985057091600721</v>
      </c>
      <c r="V96" s="614">
        <f>B96*F96*'4C2 Open-burning '!$C$9*'4C2 Open-burning '!$C$11*$C$5</f>
        <v>0</v>
      </c>
      <c r="W96" s="614">
        <f>B96*G96*'4C2 Open-burning '!$C$9*'4C2 Open-burning '!$C$11*$C$5</f>
        <v>0</v>
      </c>
      <c r="X96" s="614">
        <f>B96*H96*'4C2 Open-burning '!$C$9*'4C2 Open-burning '!$C$11*$C$5</f>
        <v>0</v>
      </c>
      <c r="Y96" s="614">
        <f>B96*I96*'4C2 Open-burning '!$C$9*'4C2 Open-burning '!$C$11*$C$5</f>
        <v>4.6976458406730988</v>
      </c>
      <c r="Z96" s="615">
        <f t="shared" si="9"/>
        <v>10.533122180608201</v>
      </c>
      <c r="AA96" s="616">
        <f>B96*C96*'4C2 Open-burning '!$C$10*'4C2 Open-burning '!$C$11*$C$5*$C$15</f>
        <v>1.9341231471309978E-2</v>
      </c>
      <c r="AB96" s="617">
        <f>B96*D96*'4C2 Open-burning '!$C$10*'4C2 Open-burning '!$C$11*$C$5*$D$15</f>
        <v>2.584916024271243E-2</v>
      </c>
      <c r="AC96" s="617">
        <f>B96*E96*'4C2 Open-burning '!$C$10*'4C2 Open-burning '!$C$11*$C$5*$E$15</f>
        <v>1.9519973395947837E-2</v>
      </c>
      <c r="AD96" s="617">
        <f>B96*F96*'4C2 Open-burning '!$C$10*'4C2 Open-burning '!$C$11*$C$5*$F$15</f>
        <v>0</v>
      </c>
      <c r="AE96" s="617">
        <f>B96*G96*'4C2 Open-burning '!$C$10*'4C2 Open-burning '!$C$11*$C$5*$G$15</f>
        <v>0</v>
      </c>
      <c r="AF96" s="617">
        <f>B96*H96*'4C2 Open-burning '!$C$10*'4C2 Open-burning '!$C$11*$C$5*$H$15</f>
        <v>0</v>
      </c>
      <c r="AG96" s="617">
        <f>B96*I96*'4C2 Open-burning '!$C$10*'4C2 Open-burning '!$C$11*$C$5*$I$15</f>
        <v>9.7566490537056669E-2</v>
      </c>
      <c r="AH96" s="618">
        <f t="shared" si="10"/>
        <v>0.16227685564702693</v>
      </c>
      <c r="AI96" s="99"/>
      <c r="AJ96" s="99"/>
      <c r="AK96" s="99"/>
    </row>
    <row r="97" spans="1:37">
      <c r="A97" s="619">
        <f>'Input data'!A124</f>
        <v>2026</v>
      </c>
      <c r="B97" s="658">
        <f>'Recycling - Case 1'!AP104</f>
        <v>0.1214682808560769</v>
      </c>
      <c r="C97" s="672">
        <f>'Recycling - Case 1'!AF104*'Recycling - Case 1'!BM104*'Recycling - Case 1'!B104</f>
        <v>4387.3003980112107</v>
      </c>
      <c r="D97" s="672">
        <f>'Recycling - Case 1'!AF104*'Recycling - Case 1'!BN104*'Recycling - Case 1'!B104</f>
        <v>5863.5372411179105</v>
      </c>
      <c r="E97" s="672">
        <f>'Recycling - Case 1'!AF104*'Recycling - Case 1'!BO104*'Recycling - Case 1'!B104</f>
        <v>1967.9313865187767</v>
      </c>
      <c r="F97" s="672">
        <f>'Recycling - Case 1'!AF104*'Recycling - Case 1'!BP104*'Recycling - Case 1'!B104</f>
        <v>0</v>
      </c>
      <c r="G97" s="672">
        <f>'Recycling - Case 1'!AF104*'Recycling - Case 1'!BQ104*'Recycling - Case 1'!B104</f>
        <v>0</v>
      </c>
      <c r="H97" s="672">
        <f>'Recycling - Case 1'!AF104*'Recycling - Case 1'!BR104*'Recycling - Case 1'!B104</f>
        <v>0</v>
      </c>
      <c r="I97" s="672">
        <f>'Recycling - Case 1'!AF104*'Recycling - Case 1'!BS104*'Recycling - Case 1'!B104</f>
        <v>9836.2920433190393</v>
      </c>
      <c r="J97" s="945">
        <f t="shared" si="11"/>
        <v>22055.061068966934</v>
      </c>
      <c r="K97" s="613">
        <f>'4C2 Open-burning '!B97*'4C2 Open-burning '!$C$14*'4C2 Open-burning '!$C$5*'4C2 Open-burning '!$C$6*'4C2 Open-burning '!$C$7*C97</f>
        <v>0</v>
      </c>
      <c r="L97" s="614">
        <f>'4C2 Open-burning '!B97*'4C2 Open-burning '!$D$14*'4C2 Open-burning '!$C$5*'4C2 Open-burning '!$C$6*'4C2 Open-burning '!$C$7*D97</f>
        <v>0</v>
      </c>
      <c r="M97" s="614">
        <f>'4C2 Open-burning '!B97*'4C2 Open-burning '!$E$14*'4C2 Open-burning '!$C$5*'4C2 Open-burning '!$C$6*'4C2 Open-burning '!$C$7*E97</f>
        <v>1.2627688285572789</v>
      </c>
      <c r="N97" s="614">
        <f>'4C2 Open-burning '!B97*'4C2 Open-burning '!$F$14*'4C2 Open-burning '!$C$5*'4C2 Open-burning '!$C$6*'4C2 Open-burning '!$C$7*F97</f>
        <v>0</v>
      </c>
      <c r="O97" s="614">
        <f>'4C2 Open-burning '!B97*'4C2 Open-burning '!$G$14*'4C2 Open-burning '!$C$5*'4C2 Open-burning '!$C$6*'4C2 Open-burning '!$C$7*G97</f>
        <v>0</v>
      </c>
      <c r="P97" s="614">
        <f>'4C2 Open-burning '!B97*'4C2 Open-burning '!$H$14*'4C2 Open-burning '!$C$5*'4C2 Open-burning '!$C$6*'4C2 Open-burning '!$C$7*H97</f>
        <v>0</v>
      </c>
      <c r="Q97" s="614">
        <f>'4C2 Open-burning '!B97*'4C2 Open-burning '!$I$14*'4C2 Open-burning '!$C$5*'4C2 Open-burning '!$C$6*'4C2 Open-burning '!$C$7*I97</f>
        <v>41.163162936003353</v>
      </c>
      <c r="R97" s="615">
        <f t="shared" si="8"/>
        <v>42.42593176456063</v>
      </c>
      <c r="S97" s="613">
        <f>B97*C97*'4C2 Open-burning '!$C$9*'4C2 Open-burning '!$C$11*$C$5</f>
        <v>2.0783795640878546</v>
      </c>
      <c r="T97" s="614">
        <f>B97*D97*'4C2 Open-burning '!$C$9*'4C2 Open-burning '!$C$11*$C$5</f>
        <v>2.777711774815288</v>
      </c>
      <c r="U97" s="614">
        <f>B97*E97*'4C2 Open-burning '!$C$9*'4C2 Open-burning '!$C$11*$C$5</f>
        <v>0.93226084521629105</v>
      </c>
      <c r="V97" s="614">
        <f>B97*F97*'4C2 Open-burning '!$C$9*'4C2 Open-burning '!$C$11*$C$5</f>
        <v>0</v>
      </c>
      <c r="W97" s="614">
        <f>B97*G97*'4C2 Open-burning '!$C$9*'4C2 Open-burning '!$C$11*$C$5</f>
        <v>0</v>
      </c>
      <c r="X97" s="614">
        <f>B97*H97*'4C2 Open-burning '!$C$9*'4C2 Open-burning '!$C$11*$C$5</f>
        <v>0</v>
      </c>
      <c r="Y97" s="614">
        <f>B97*I97*'4C2 Open-burning '!$C$9*'4C2 Open-burning '!$C$11*$C$5</f>
        <v>4.6597101895510589</v>
      </c>
      <c r="Z97" s="615">
        <f t="shared" si="9"/>
        <v>10.448062373670492</v>
      </c>
      <c r="AA97" s="616">
        <f>B97*C97*'4C2 Open-burning '!$C$10*'4C2 Open-burning '!$C$11*$C$5*$C$15</f>
        <v>1.9185042130041734E-2</v>
      </c>
      <c r="AB97" s="617">
        <f>B97*D97*'4C2 Open-burning '!$C$10*'4C2 Open-burning '!$C$11*$C$5*$D$15</f>
        <v>2.5640416382910355E-2</v>
      </c>
      <c r="AC97" s="617">
        <f>B97*E97*'4C2 Open-burning '!$C$10*'4C2 Open-burning '!$C$11*$C$5*$E$15</f>
        <v>1.9362340631415276E-2</v>
      </c>
      <c r="AD97" s="617">
        <f>B97*F97*'4C2 Open-burning '!$C$10*'4C2 Open-burning '!$C$11*$C$5*$F$15</f>
        <v>0</v>
      </c>
      <c r="AE97" s="617">
        <f>B97*G97*'4C2 Open-burning '!$C$10*'4C2 Open-burning '!$C$11*$C$5*$G$15</f>
        <v>0</v>
      </c>
      <c r="AF97" s="617">
        <f>B97*H97*'4C2 Open-burning '!$C$10*'4C2 Open-burning '!$C$11*$C$5*$H$15</f>
        <v>0</v>
      </c>
      <c r="AG97" s="617">
        <f>B97*I97*'4C2 Open-burning '!$C$10*'4C2 Open-burning '!$C$11*$C$5*$I$15</f>
        <v>9.6778596244522008E-2</v>
      </c>
      <c r="AH97" s="618">
        <f t="shared" si="10"/>
        <v>0.16096639538888938</v>
      </c>
      <c r="AI97" s="99"/>
      <c r="AJ97" s="99"/>
      <c r="AK97" s="99"/>
    </row>
    <row r="98" spans="1:37">
      <c r="A98" s="619">
        <f>'Input data'!A125</f>
        <v>2027</v>
      </c>
      <c r="B98" s="658">
        <f>'Recycling - Case 1'!AP105</f>
        <v>0.1214682808560769</v>
      </c>
      <c r="C98" s="672">
        <f>'Recycling - Case 1'!AF105*'Recycling - Case 1'!BM105*'Recycling - Case 1'!B105</f>
        <v>4357.5975318524916</v>
      </c>
      <c r="D98" s="672">
        <f>'Recycling - Case 1'!AF105*'Recycling - Case 1'!BN105*'Recycling - Case 1'!B105</f>
        <v>5823.8399680593939</v>
      </c>
      <c r="E98" s="672">
        <f>'Recycling - Case 1'!AF105*'Recycling - Case 1'!BO105*'Recycling - Case 1'!B105</f>
        <v>1954.6081131432388</v>
      </c>
      <c r="F98" s="672">
        <f>'Recycling - Case 1'!AF105*'Recycling - Case 1'!BP105*'Recycling - Case 1'!B105</f>
        <v>0</v>
      </c>
      <c r="G98" s="672">
        <f>'Recycling - Case 1'!AF105*'Recycling - Case 1'!BQ105*'Recycling - Case 1'!B105</f>
        <v>0</v>
      </c>
      <c r="H98" s="672">
        <f>'Recycling - Case 1'!AF105*'Recycling - Case 1'!BR105*'Recycling - Case 1'!B105</f>
        <v>0</v>
      </c>
      <c r="I98" s="672">
        <f>'Recycling - Case 1'!AF105*'Recycling - Case 1'!BS105*'Recycling - Case 1'!B105</f>
        <v>9769.6984573878781</v>
      </c>
      <c r="J98" s="945">
        <f t="shared" si="11"/>
        <v>21905.744070443001</v>
      </c>
      <c r="K98" s="613">
        <f>'4C2 Open-burning '!B98*'4C2 Open-burning '!$C$14*'4C2 Open-burning '!$C$5*'4C2 Open-burning '!$C$6*'4C2 Open-burning '!$C$7*C98</f>
        <v>0</v>
      </c>
      <c r="L98" s="614">
        <f>'4C2 Open-burning '!B98*'4C2 Open-burning '!$D$14*'4C2 Open-burning '!$C$5*'4C2 Open-burning '!$C$6*'4C2 Open-burning '!$C$7*D98</f>
        <v>0</v>
      </c>
      <c r="M98" s="614">
        <f>'4C2 Open-burning '!B98*'4C2 Open-burning '!$E$14*'4C2 Open-burning '!$C$5*'4C2 Open-burning '!$C$6*'4C2 Open-burning '!$C$7*E98</f>
        <v>1.2542196411068272</v>
      </c>
      <c r="N98" s="614">
        <f>'4C2 Open-burning '!B98*'4C2 Open-burning '!$F$14*'4C2 Open-burning '!$C$5*'4C2 Open-burning '!$C$6*'4C2 Open-burning '!$C$7*F98</f>
        <v>0</v>
      </c>
      <c r="O98" s="614">
        <f>'4C2 Open-burning '!B98*'4C2 Open-burning '!$G$14*'4C2 Open-burning '!$C$5*'4C2 Open-burning '!$C$6*'4C2 Open-burning '!$C$7*G98</f>
        <v>0</v>
      </c>
      <c r="P98" s="614">
        <f>'4C2 Open-burning '!B98*'4C2 Open-burning '!$H$14*'4C2 Open-burning '!$C$5*'4C2 Open-burning '!$C$6*'4C2 Open-burning '!$C$7*H98</f>
        <v>0</v>
      </c>
      <c r="Q98" s="614">
        <f>'4C2 Open-burning '!B98*'4C2 Open-burning '!$I$14*'4C2 Open-burning '!$C$5*'4C2 Open-burning '!$C$6*'4C2 Open-burning '!$C$7*I98</f>
        <v>40.884480418637573</v>
      </c>
      <c r="R98" s="615">
        <f t="shared" si="8"/>
        <v>42.138700059744401</v>
      </c>
      <c r="S98" s="613">
        <f>B98*C98*'4C2 Open-burning '!$C$9*'4C2 Open-burning '!$C$11*$C$5</f>
        <v>2.0643085353415431</v>
      </c>
      <c r="T98" s="614">
        <f>B98*D98*'4C2 Open-burning '!$C$9*'4C2 Open-burning '!$C$11*$C$5</f>
        <v>2.758906132714229</v>
      </c>
      <c r="U98" s="614">
        <f>B98*E98*'4C2 Open-burning '!$C$9*'4C2 Open-burning '!$C$11*$C$5</f>
        <v>0.92594926027831281</v>
      </c>
      <c r="V98" s="614">
        <f>B98*F98*'4C2 Open-burning '!$C$9*'4C2 Open-burning '!$C$11*$C$5</f>
        <v>0</v>
      </c>
      <c r="W98" s="614">
        <f>B98*G98*'4C2 Open-burning '!$C$9*'4C2 Open-burning '!$C$11*$C$5</f>
        <v>0</v>
      </c>
      <c r="X98" s="614">
        <f>B98*H98*'4C2 Open-burning '!$C$9*'4C2 Open-burning '!$C$11*$C$5</f>
        <v>0</v>
      </c>
      <c r="Y98" s="614">
        <f>B98*I98*'4C2 Open-burning '!$C$9*'4C2 Open-burning '!$C$11*$C$5</f>
        <v>4.6281630567945697</v>
      </c>
      <c r="Z98" s="615">
        <f t="shared" si="9"/>
        <v>10.377326985128654</v>
      </c>
      <c r="AA98" s="616">
        <f>B98*C98*'4C2 Open-burning '!$C$10*'4C2 Open-burning '!$C$11*$C$5*$C$15</f>
        <v>1.9055155710845019E-2</v>
      </c>
      <c r="AB98" s="617">
        <f>B98*D98*'4C2 Open-burning '!$C$10*'4C2 Open-burning '!$C$11*$C$5*$D$15</f>
        <v>2.5466825840439036E-2</v>
      </c>
      <c r="AC98" s="617">
        <f>B98*E98*'4C2 Open-burning '!$C$10*'4C2 Open-burning '!$C$11*$C$5*$E$15</f>
        <v>1.9231253867318807E-2</v>
      </c>
      <c r="AD98" s="617">
        <f>B98*F98*'4C2 Open-burning '!$C$10*'4C2 Open-burning '!$C$11*$C$5*$F$15</f>
        <v>0</v>
      </c>
      <c r="AE98" s="617">
        <f>B98*G98*'4C2 Open-burning '!$C$10*'4C2 Open-burning '!$C$11*$C$5*$G$15</f>
        <v>0</v>
      </c>
      <c r="AF98" s="617">
        <f>B98*H98*'4C2 Open-burning '!$C$10*'4C2 Open-burning '!$C$11*$C$5*$H$15</f>
        <v>0</v>
      </c>
      <c r="AG98" s="617">
        <f>B98*I98*'4C2 Open-burning '!$C$10*'4C2 Open-burning '!$C$11*$C$5*$I$15</f>
        <v>9.6123386564194932E-2</v>
      </c>
      <c r="AH98" s="618">
        <f t="shared" si="10"/>
        <v>0.15987662198279778</v>
      </c>
      <c r="AI98" s="104"/>
    </row>
    <row r="99" spans="1:37">
      <c r="A99" s="619">
        <f>'Input data'!A126</f>
        <v>2028</v>
      </c>
      <c r="B99" s="658">
        <f>'Recycling - Case 1'!AP106</f>
        <v>0.1214682808560769</v>
      </c>
      <c r="C99" s="672">
        <f>'Recycling - Case 1'!AF106*'Recycling - Case 1'!BM106*'Recycling - Case 1'!B106</f>
        <v>4171.9789078970844</v>
      </c>
      <c r="D99" s="672">
        <f>'Recycling - Case 1'!AF106*'Recycling - Case 1'!BN106*'Recycling - Case 1'!B106</f>
        <v>5575.764473912478</v>
      </c>
      <c r="E99" s="672">
        <f>'Recycling - Case 1'!AF106*'Recycling - Case 1'!BO106*'Recycling - Case 1'!B106</f>
        <v>1871.3485496609073</v>
      </c>
      <c r="F99" s="672">
        <f>'Recycling - Case 1'!AF106*'Recycling - Case 1'!BP106*'Recycling - Case 1'!B106</f>
        <v>0</v>
      </c>
      <c r="G99" s="672">
        <f>'Recycling - Case 1'!AF106*'Recycling - Case 1'!BQ106*'Recycling - Case 1'!B106</f>
        <v>0</v>
      </c>
      <c r="H99" s="672">
        <f>'Recycling - Case 1'!AF106*'Recycling - Case 1'!BR106*'Recycling - Case 1'!B106</f>
        <v>0</v>
      </c>
      <c r="I99" s="672">
        <f>'Recycling - Case 1'!AF106*'Recycling - Case 1'!BS106*'Recycling - Case 1'!B106</f>
        <v>9353.543002262888</v>
      </c>
      <c r="J99" s="945">
        <f t="shared" si="11"/>
        <v>20972.63493373336</v>
      </c>
      <c r="K99" s="613">
        <f>'4C2 Open-burning '!B99*'4C2 Open-burning '!$C$14*'4C2 Open-burning '!$C$5*'4C2 Open-burning '!$C$6*'4C2 Open-burning '!$C$7*C99</f>
        <v>0</v>
      </c>
      <c r="L99" s="614">
        <f>'4C2 Open-burning '!B99*'4C2 Open-burning '!$D$14*'4C2 Open-burning '!$C$5*'4C2 Open-burning '!$C$6*'4C2 Open-burning '!$C$7*D99</f>
        <v>0</v>
      </c>
      <c r="M99" s="614">
        <f>'4C2 Open-burning '!B99*'4C2 Open-burning '!$E$14*'4C2 Open-burning '!$C$5*'4C2 Open-burning '!$C$6*'4C2 Open-burning '!$C$7*E99</f>
        <v>1.2007942106446605</v>
      </c>
      <c r="N99" s="614">
        <f>'4C2 Open-burning '!B99*'4C2 Open-burning '!$F$14*'4C2 Open-burning '!$C$5*'4C2 Open-burning '!$C$6*'4C2 Open-burning '!$C$7*F99</f>
        <v>0</v>
      </c>
      <c r="O99" s="614">
        <f>'4C2 Open-burning '!B99*'4C2 Open-burning '!$G$14*'4C2 Open-burning '!$C$5*'4C2 Open-burning '!$C$6*'4C2 Open-burning '!$C$7*G99</f>
        <v>0</v>
      </c>
      <c r="P99" s="614">
        <f>'4C2 Open-burning '!B99*'4C2 Open-burning '!$H$14*'4C2 Open-burning '!$C$5*'4C2 Open-burning '!$C$6*'4C2 Open-burning '!$C$7*H99</f>
        <v>0</v>
      </c>
      <c r="Q99" s="614">
        <f>'4C2 Open-burning '!B99*'4C2 Open-burning '!$I$14*'4C2 Open-burning '!$C$5*'4C2 Open-burning '!$C$6*'4C2 Open-burning '!$C$7*I99</f>
        <v>39.142942577896889</v>
      </c>
      <c r="R99" s="615">
        <f t="shared" si="8"/>
        <v>40.343736788541548</v>
      </c>
      <c r="S99" s="613">
        <f>B99*C99*'4C2 Open-burning '!$C$9*'4C2 Open-burning '!$C$11*$C$5</f>
        <v>1.9763761122692807</v>
      </c>
      <c r="T99" s="614">
        <f>B99*D99*'4C2 Open-burning '!$C$9*'4C2 Open-burning '!$C$11*$C$5</f>
        <v>2.6413862479076933</v>
      </c>
      <c r="U99" s="614">
        <f>B99*E99*'4C2 Open-burning '!$C$9*'4C2 Open-burning '!$C$11*$C$5</f>
        <v>0.8865070157183107</v>
      </c>
      <c r="V99" s="614">
        <f>B99*F99*'4C2 Open-burning '!$C$9*'4C2 Open-burning '!$C$11*$C$5</f>
        <v>0</v>
      </c>
      <c r="W99" s="614">
        <f>B99*G99*'4C2 Open-burning '!$C$9*'4C2 Open-burning '!$C$11*$C$5</f>
        <v>0</v>
      </c>
      <c r="X99" s="614">
        <f>B99*H99*'4C2 Open-burning '!$C$9*'4C2 Open-burning '!$C$11*$C$5</f>
        <v>0</v>
      </c>
      <c r="Y99" s="614">
        <f>B99*I99*'4C2 Open-burning '!$C$9*'4C2 Open-burning '!$C$11*$C$5</f>
        <v>4.4310192747532184</v>
      </c>
      <c r="Z99" s="615">
        <f t="shared" si="9"/>
        <v>9.9352886506485021</v>
      </c>
      <c r="AA99" s="616">
        <f>B99*C99*'4C2 Open-burning '!$C$10*'4C2 Open-burning '!$C$11*$C$5*$C$15</f>
        <v>1.8243471805562593E-2</v>
      </c>
      <c r="AB99" s="617">
        <f>B99*D99*'4C2 Open-burning '!$C$10*'4C2 Open-burning '!$C$11*$C$5*$D$15</f>
        <v>2.4382026903763319E-2</v>
      </c>
      <c r="AC99" s="617">
        <f>B99*E99*'4C2 Open-burning '!$C$10*'4C2 Open-burning '!$C$11*$C$5*$E$15</f>
        <v>1.8412068787995683E-2</v>
      </c>
      <c r="AD99" s="617">
        <f>B99*F99*'4C2 Open-burning '!$C$10*'4C2 Open-burning '!$C$11*$C$5*$F$15</f>
        <v>0</v>
      </c>
      <c r="AE99" s="617">
        <f>B99*G99*'4C2 Open-burning '!$C$10*'4C2 Open-burning '!$C$11*$C$5*$G$15</f>
        <v>0</v>
      </c>
      <c r="AF99" s="617">
        <f>B99*H99*'4C2 Open-burning '!$C$10*'4C2 Open-burning '!$C$11*$C$5*$H$15</f>
        <v>0</v>
      </c>
      <c r="AG99" s="617">
        <f>B99*I99*'4C2 Open-burning '!$C$10*'4C2 Open-burning '!$C$11*$C$5*$I$15</f>
        <v>9.2028861860259145E-2</v>
      </c>
      <c r="AH99" s="618">
        <f t="shared" si="10"/>
        <v>0.15306642935758075</v>
      </c>
      <c r="AI99" s="104"/>
    </row>
    <row r="100" spans="1:37">
      <c r="A100" s="619">
        <f>'Input data'!A127</f>
        <v>2029</v>
      </c>
      <c r="B100" s="658">
        <f>'Recycling - Case 1'!AP107</f>
        <v>0.12146828085607692</v>
      </c>
      <c r="C100" s="672">
        <f>'Recycling - Case 1'!AF107*'Recycling - Case 1'!BM107*'Recycling - Case 1'!B107</f>
        <v>3994.3160991219847</v>
      </c>
      <c r="D100" s="672">
        <f>'Recycling - Case 1'!AF107*'Recycling - Case 1'!BN107*'Recycling - Case 1'!B107</f>
        <v>5338.3217640203929</v>
      </c>
      <c r="E100" s="672">
        <f>'Recycling - Case 1'!AF107*'Recycling - Case 1'!BO107*'Recycling - Case 1'!B107</f>
        <v>1791.6575812093074</v>
      </c>
      <c r="F100" s="672">
        <f>'Recycling - Case 1'!AF107*'Recycling - Case 1'!BP107*'Recycling - Case 1'!B107</f>
        <v>0</v>
      </c>
      <c r="G100" s="672">
        <f>'Recycling - Case 1'!AF107*'Recycling - Case 1'!BQ107*'Recycling - Case 1'!B107</f>
        <v>0</v>
      </c>
      <c r="H100" s="672">
        <f>'Recycling - Case 1'!AF107*'Recycling - Case 1'!BR107*'Recycling - Case 1'!B107</f>
        <v>0</v>
      </c>
      <c r="I100" s="672">
        <f>'Recycling - Case 1'!AF107*'Recycling - Case 1'!BS107*'Recycling - Case 1'!B107</f>
        <v>8955.2244204898234</v>
      </c>
      <c r="J100" s="945">
        <f t="shared" si="11"/>
        <v>20079.51986484151</v>
      </c>
      <c r="K100" s="613">
        <f>'4C2 Open-burning '!B100*'4C2 Open-burning '!$C$14*'4C2 Open-burning '!$C$5*'4C2 Open-burning '!$C$6*'4C2 Open-burning '!$C$7*C100</f>
        <v>0</v>
      </c>
      <c r="L100" s="614">
        <f>'4C2 Open-burning '!B100*'4C2 Open-burning '!$D$14*'4C2 Open-burning '!$C$5*'4C2 Open-burning '!$C$6*'4C2 Open-burning '!$C$7*D100</f>
        <v>0</v>
      </c>
      <c r="M100" s="614">
        <f>'4C2 Open-burning '!B100*'4C2 Open-burning '!$E$14*'4C2 Open-burning '!$C$5*'4C2 Open-burning '!$C$6*'4C2 Open-burning '!$C$7*E100</f>
        <v>1.1496586519724472</v>
      </c>
      <c r="N100" s="614">
        <f>'4C2 Open-burning '!B100*'4C2 Open-burning '!$F$14*'4C2 Open-burning '!$C$5*'4C2 Open-burning '!$C$6*'4C2 Open-burning '!$C$7*F100</f>
        <v>0</v>
      </c>
      <c r="O100" s="614">
        <f>'4C2 Open-burning '!B100*'4C2 Open-burning '!$G$14*'4C2 Open-burning '!$C$5*'4C2 Open-burning '!$C$6*'4C2 Open-burning '!$C$7*G100</f>
        <v>0</v>
      </c>
      <c r="P100" s="614">
        <f>'4C2 Open-burning '!B100*'4C2 Open-burning '!$H$14*'4C2 Open-burning '!$C$5*'4C2 Open-burning '!$C$6*'4C2 Open-burning '!$C$7*H100</f>
        <v>0</v>
      </c>
      <c r="Q100" s="614">
        <f>'4C2 Open-burning '!B100*'4C2 Open-burning '!$I$14*'4C2 Open-burning '!$C$5*'4C2 Open-burning '!$C$6*'4C2 Open-burning '!$C$7*I100</f>
        <v>37.476048934463556</v>
      </c>
      <c r="R100" s="615">
        <f t="shared" si="8"/>
        <v>38.625707586436</v>
      </c>
      <c r="S100" s="613">
        <f>B100*C100*'4C2 Open-burning '!$C$9*'4C2 Open-burning '!$C$11*$C$5</f>
        <v>1.8922125680487853</v>
      </c>
      <c r="T100" s="614">
        <f>B100*D100*'4C2 Open-burning '!$C$9*'4C2 Open-burning '!$C$11*$C$5</f>
        <v>2.5289033925953346</v>
      </c>
      <c r="U100" s="614">
        <f>B100*E100*'4C2 Open-burning '!$C$9*'4C2 Open-burning '!$C$11*$C$5</f>
        <v>0.84875530846178115</v>
      </c>
      <c r="V100" s="614">
        <f>B100*F100*'4C2 Open-burning '!$C$9*'4C2 Open-burning '!$C$11*$C$5</f>
        <v>0</v>
      </c>
      <c r="W100" s="614">
        <f>B100*G100*'4C2 Open-burning '!$C$9*'4C2 Open-burning '!$C$11*$C$5</f>
        <v>0</v>
      </c>
      <c r="X100" s="614">
        <f>B100*H100*'4C2 Open-burning '!$C$9*'4C2 Open-burning '!$C$11*$C$5</f>
        <v>0</v>
      </c>
      <c r="Y100" s="614">
        <f>B100*I100*'4C2 Open-burning '!$C$9*'4C2 Open-burning '!$C$11*$C$5</f>
        <v>4.2423252886452998</v>
      </c>
      <c r="Z100" s="615">
        <f t="shared" si="9"/>
        <v>9.5121965577512011</v>
      </c>
      <c r="AA100" s="616">
        <f>B100*C100*'4C2 Open-burning '!$C$10*'4C2 Open-burning '!$C$11*$C$5*$C$15</f>
        <v>1.7466577551219557E-2</v>
      </c>
      <c r="AB100" s="617">
        <f>B100*D100*'4C2 Open-burning '!$C$10*'4C2 Open-burning '!$C$11*$C$5*$D$15</f>
        <v>2.3343723623956932E-2</v>
      </c>
      <c r="AC100" s="617">
        <f>B100*E100*'4C2 Open-burning '!$C$10*'4C2 Open-burning '!$C$11*$C$5*$E$15</f>
        <v>1.7627994868052378E-2</v>
      </c>
      <c r="AD100" s="617">
        <f>B100*F100*'4C2 Open-burning '!$C$10*'4C2 Open-burning '!$C$11*$C$5*$F$15</f>
        <v>0</v>
      </c>
      <c r="AE100" s="617">
        <f>B100*G100*'4C2 Open-burning '!$C$10*'4C2 Open-burning '!$C$11*$C$5*$G$15</f>
        <v>0</v>
      </c>
      <c r="AF100" s="617">
        <f>B100*H100*'4C2 Open-burning '!$C$10*'4C2 Open-burning '!$C$11*$C$5*$H$15</f>
        <v>0</v>
      </c>
      <c r="AG100" s="617">
        <f>B100*I100*'4C2 Open-burning '!$C$10*'4C2 Open-burning '!$C$11*$C$5*$I$15</f>
        <v>8.8109832918017772E-2</v>
      </c>
      <c r="AH100" s="618">
        <f t="shared" si="10"/>
        <v>0.14654812896124664</v>
      </c>
      <c r="AI100" s="104"/>
    </row>
    <row r="101" spans="1:37">
      <c r="A101" s="619">
        <f>'Input data'!A128</f>
        <v>2030</v>
      </c>
      <c r="B101" s="658">
        <f>'Recycling - Case 1'!AP108</f>
        <v>0.12146828085607692</v>
      </c>
      <c r="C101" s="672">
        <f>'Recycling - Case 1'!AF108*'Recycling - Case 1'!BM108*'Recycling - Case 1'!B108</f>
        <v>3824.2031427221086</v>
      </c>
      <c r="D101" s="672">
        <f>'Recycling - Case 1'!AF108*'Recycling - Case 1'!BN108*'Recycling - Case 1'!B108</f>
        <v>5110.9692773979814</v>
      </c>
      <c r="E101" s="672">
        <f>'Recycling - Case 1'!AF108*'Recycling - Case 1'!BO108*'Recycling - Case 1'!B108</f>
        <v>1715.353112451123</v>
      </c>
      <c r="F101" s="672">
        <f>'Recycling - Case 1'!AF108*'Recycling - Case 1'!BP108*'Recycling - Case 1'!B108</f>
        <v>0</v>
      </c>
      <c r="G101" s="672">
        <f>'Recycling - Case 1'!AF108*'Recycling - Case 1'!BQ108*'Recycling - Case 1'!B108</f>
        <v>0</v>
      </c>
      <c r="H101" s="672">
        <f>'Recycling - Case 1'!AF108*'Recycling - Case 1'!BR108*'Recycling - Case 1'!B108</f>
        <v>0</v>
      </c>
      <c r="I101" s="672">
        <f>'Recycling - Case 1'!AF108*'Recycling - Case 1'!BS108*'Recycling - Case 1'!B108</f>
        <v>8573.8325467398336</v>
      </c>
      <c r="J101" s="945">
        <f t="shared" si="11"/>
        <v>19224.358079311045</v>
      </c>
      <c r="K101" s="613">
        <f>'4C2 Open-burning '!B101*'4C2 Open-burning '!$C$14*'4C2 Open-burning '!$C$5*'4C2 Open-burning '!$C$6*'4C2 Open-burning '!$C$7*C101</f>
        <v>0</v>
      </c>
      <c r="L101" s="614">
        <f>'4C2 Open-burning '!B101*'4C2 Open-burning '!$D$14*'4C2 Open-burning '!$C$5*'4C2 Open-burning '!$C$6*'4C2 Open-burning '!$C$7*D101</f>
        <v>0</v>
      </c>
      <c r="M101" s="614">
        <f>'4C2 Open-burning '!B101*'4C2 Open-burning '!$E$14*'4C2 Open-burning '!$C$5*'4C2 Open-burning '!$C$6*'4C2 Open-burning '!$C$7*E101</f>
        <v>1.1006961193925346</v>
      </c>
      <c r="N101" s="614">
        <f>'4C2 Open-burning '!B101*'4C2 Open-burning '!$F$14*'4C2 Open-burning '!$C$5*'4C2 Open-burning '!$C$6*'4C2 Open-burning '!$C$7*F101</f>
        <v>0</v>
      </c>
      <c r="O101" s="614">
        <f>'4C2 Open-burning '!B101*'4C2 Open-burning '!$G$14*'4C2 Open-burning '!$C$5*'4C2 Open-burning '!$C$6*'4C2 Open-burning '!$C$7*G101</f>
        <v>0</v>
      </c>
      <c r="P101" s="614">
        <f>'4C2 Open-burning '!B101*'4C2 Open-burning '!$H$14*'4C2 Open-burning '!$C$5*'4C2 Open-burning '!$C$6*'4C2 Open-burning '!$C$7*H101</f>
        <v>0</v>
      </c>
      <c r="Q101" s="614">
        <f>'4C2 Open-burning '!B101*'4C2 Open-burning '!$I$14*'4C2 Open-burning '!$C$5*'4C2 Open-burning '!$C$6*'4C2 Open-burning '!$C$7*I101</f>
        <v>35.879990605522245</v>
      </c>
      <c r="R101" s="615">
        <f t="shared" si="8"/>
        <v>36.980686724914783</v>
      </c>
      <c r="S101" s="613">
        <f>B101*C101*'4C2 Open-burning '!$C$9*'4C2 Open-burning '!$C$11*$C$5</f>
        <v>1.8116255874243583</v>
      </c>
      <c r="T101" s="614">
        <f>B101*D101*'4C2 Open-burning '!$C$9*'4C2 Open-burning '!$C$11*$C$5</f>
        <v>2.421200541371658</v>
      </c>
      <c r="U101" s="614">
        <f>B101*E101*'4C2 Open-burning '!$C$9*'4C2 Open-burning '!$C$11*$C$5</f>
        <v>0.81260787515917887</v>
      </c>
      <c r="V101" s="614">
        <f>B101*F101*'4C2 Open-burning '!$C$9*'4C2 Open-burning '!$C$11*$C$5</f>
        <v>0</v>
      </c>
      <c r="W101" s="614">
        <f>B101*G101*'4C2 Open-burning '!$C$9*'4C2 Open-burning '!$C$11*$C$5</f>
        <v>0</v>
      </c>
      <c r="X101" s="614">
        <f>B101*H101*'4C2 Open-burning '!$C$9*'4C2 Open-burning '!$C$11*$C$5</f>
        <v>0</v>
      </c>
      <c r="Y101" s="614">
        <f>B101*I101*'4C2 Open-burning '!$C$9*'4C2 Open-burning '!$C$11*$C$5</f>
        <v>4.0616499292214323</v>
      </c>
      <c r="Z101" s="615">
        <f t="shared" si="9"/>
        <v>9.1070839331766287</v>
      </c>
      <c r="AA101" s="616">
        <f>B101*C101*'4C2 Open-burning '!$C$10*'4C2 Open-burning '!$C$11*$C$5*$C$15</f>
        <v>1.6722697730070998E-2</v>
      </c>
      <c r="AB101" s="617">
        <f>B101*D101*'4C2 Open-burning '!$C$10*'4C2 Open-burning '!$C$11*$C$5*$D$15</f>
        <v>2.2349543458815305E-2</v>
      </c>
      <c r="AC101" s="617">
        <f>B101*E101*'4C2 Open-burning '!$C$10*'4C2 Open-burning '!$C$11*$C$5*$E$15</f>
        <v>1.6877240484075254E-2</v>
      </c>
      <c r="AD101" s="617">
        <f>B101*F101*'4C2 Open-burning '!$C$10*'4C2 Open-burning '!$C$11*$C$5*$F$15</f>
        <v>0</v>
      </c>
      <c r="AE101" s="617">
        <f>B101*G101*'4C2 Open-burning '!$C$10*'4C2 Open-burning '!$C$11*$C$5*$G$15</f>
        <v>0</v>
      </c>
      <c r="AF101" s="617">
        <f>B101*H101*'4C2 Open-burning '!$C$10*'4C2 Open-burning '!$C$11*$C$5*$H$15</f>
        <v>0</v>
      </c>
      <c r="AG101" s="617">
        <f>B101*I101*'4C2 Open-burning '!$C$10*'4C2 Open-burning '!$C$11*$C$5*$I$15</f>
        <v>8.4357344683829757E-2</v>
      </c>
      <c r="AH101" s="618">
        <f t="shared" si="10"/>
        <v>0.14030682635679131</v>
      </c>
      <c r="AI101" s="104"/>
    </row>
    <row r="102" spans="1:37">
      <c r="A102" s="619">
        <f>'Input data'!A129</f>
        <v>2031</v>
      </c>
      <c r="B102" s="658">
        <f>'Recycling - Case 1'!AP109</f>
        <v>0.12146828085607689</v>
      </c>
      <c r="C102" s="672">
        <f>'Recycling - Case 1'!AF109*'Recycling - Case 1'!BM109*'Recycling - Case 1'!B109</f>
        <v>3674.2400840352316</v>
      </c>
      <c r="D102" s="672">
        <f>'Recycling - Case 1'!AF109*'Recycling - Case 1'!BN109*'Recycling - Case 1'!B109</f>
        <v>4910.5467169092917</v>
      </c>
      <c r="E102" s="672">
        <f>'Recycling - Case 1'!AF109*'Recycling - Case 1'!BO109*'Recycling - Case 1'!B109</f>
        <v>1648.0869161035832</v>
      </c>
      <c r="F102" s="672">
        <f>'Recycling - Case 1'!AF109*'Recycling - Case 1'!BP109*'Recycling - Case 1'!B109</f>
        <v>0</v>
      </c>
      <c r="G102" s="672">
        <f>'Recycling - Case 1'!AF109*'Recycling - Case 1'!BQ109*'Recycling - Case 1'!B109</f>
        <v>0</v>
      </c>
      <c r="H102" s="672">
        <f>'Recycling - Case 1'!AF109*'Recycling - Case 1'!BR109*'Recycling - Case 1'!B109</f>
        <v>0</v>
      </c>
      <c r="I102" s="672">
        <f>'Recycling - Case 1'!AF109*'Recycling - Case 1'!BS109*'Recycling - Case 1'!B109</f>
        <v>8237.6165808528895</v>
      </c>
      <c r="J102" s="945">
        <f t="shared" si="11"/>
        <v>18470.490297900993</v>
      </c>
      <c r="K102" s="613">
        <f>'4C2 Open-burning '!B102*'4C2 Open-burning '!$C$14*'4C2 Open-burning '!$C$5*'4C2 Open-burning '!$C$6*'4C2 Open-burning '!$C$7*C102</f>
        <v>0</v>
      </c>
      <c r="L102" s="614">
        <f>'4C2 Open-burning '!B102*'4C2 Open-burning '!$D$14*'4C2 Open-burning '!$C$5*'4C2 Open-burning '!$C$6*'4C2 Open-burning '!$C$7*D102</f>
        <v>0</v>
      </c>
      <c r="M102" s="614">
        <f>'4C2 Open-burning '!B102*'4C2 Open-burning '!$E$14*'4C2 Open-burning '!$C$5*'4C2 Open-burning '!$C$6*'4C2 Open-burning '!$C$7*E102</f>
        <v>1.0575332039854344</v>
      </c>
      <c r="N102" s="614">
        <f>'4C2 Open-burning '!B102*'4C2 Open-burning '!$F$14*'4C2 Open-burning '!$C$5*'4C2 Open-burning '!$C$6*'4C2 Open-burning '!$C$7*F102</f>
        <v>0</v>
      </c>
      <c r="O102" s="614">
        <f>'4C2 Open-burning '!B102*'4C2 Open-burning '!$G$14*'4C2 Open-burning '!$C$5*'4C2 Open-burning '!$C$6*'4C2 Open-burning '!$C$7*G102</f>
        <v>0</v>
      </c>
      <c r="P102" s="614">
        <f>'4C2 Open-burning '!B102*'4C2 Open-burning '!$H$14*'4C2 Open-burning '!$C$5*'4C2 Open-burning '!$C$6*'4C2 Open-burning '!$C$7*H102</f>
        <v>0</v>
      </c>
      <c r="Q102" s="614">
        <f>'4C2 Open-burning '!B102*'4C2 Open-burning '!$I$14*'4C2 Open-burning '!$C$5*'4C2 Open-burning '!$C$6*'4C2 Open-burning '!$C$7*I102</f>
        <v>34.472985554783619</v>
      </c>
      <c r="R102" s="615">
        <f t="shared" si="8"/>
        <v>35.530518758769055</v>
      </c>
      <c r="S102" s="613">
        <f>B102*C102*'4C2 Open-burning '!$C$9*'4C2 Open-burning '!$C$11*$C$5</f>
        <v>1.7405841431949636</v>
      </c>
      <c r="T102" s="614">
        <f>B102*D102*'4C2 Open-burning '!$C$9*'4C2 Open-burning '!$C$11*$C$5</f>
        <v>2.326255104289054</v>
      </c>
      <c r="U102" s="614">
        <f>B102*E102*'4C2 Open-burning '!$C$9*'4C2 Open-burning '!$C$11*$C$5</f>
        <v>0.78074210916193298</v>
      </c>
      <c r="V102" s="614">
        <f>B102*F102*'4C2 Open-burning '!$C$9*'4C2 Open-burning '!$C$11*$C$5</f>
        <v>0</v>
      </c>
      <c r="W102" s="614">
        <f>B102*G102*'4C2 Open-burning '!$C$9*'4C2 Open-burning '!$C$11*$C$5</f>
        <v>0</v>
      </c>
      <c r="X102" s="614">
        <f>B102*H102*'4C2 Open-burning '!$C$9*'4C2 Open-burning '!$C$11*$C$5</f>
        <v>0</v>
      </c>
      <c r="Y102" s="614">
        <f>B102*I102*'4C2 Open-burning '!$C$9*'4C2 Open-burning '!$C$11*$C$5</f>
        <v>3.9023755852680866</v>
      </c>
      <c r="Z102" s="615">
        <f t="shared" si="9"/>
        <v>8.7499569419140357</v>
      </c>
      <c r="AA102" s="616">
        <f>B102*C102*'4C2 Open-burning '!$C$10*'4C2 Open-burning '!$C$11*$C$5*$C$15</f>
        <v>1.6066930552568894E-2</v>
      </c>
      <c r="AB102" s="617">
        <f>B102*D102*'4C2 Open-burning '!$C$10*'4C2 Open-burning '!$C$11*$C$5*$D$15</f>
        <v>2.1473124039591271E-2</v>
      </c>
      <c r="AC102" s="617">
        <f>B102*E102*'4C2 Open-burning '!$C$10*'4C2 Open-burning '!$C$11*$C$5*$E$15</f>
        <v>1.6215413036440151E-2</v>
      </c>
      <c r="AD102" s="617">
        <f>B102*F102*'4C2 Open-burning '!$C$10*'4C2 Open-burning '!$C$11*$C$5*$F$15</f>
        <v>0</v>
      </c>
      <c r="AE102" s="617">
        <f>B102*G102*'4C2 Open-burning '!$C$10*'4C2 Open-burning '!$C$11*$C$5*$G$15</f>
        <v>0</v>
      </c>
      <c r="AF102" s="617">
        <f>B102*H102*'4C2 Open-burning '!$C$10*'4C2 Open-burning '!$C$11*$C$5*$H$15</f>
        <v>0</v>
      </c>
      <c r="AG102" s="617">
        <f>B102*I102*'4C2 Open-burning '!$C$10*'4C2 Open-burning '!$C$11*$C$5*$I$15</f>
        <v>8.1049339078644894E-2</v>
      </c>
      <c r="AH102" s="618">
        <f t="shared" si="10"/>
        <v>0.13480480670724521</v>
      </c>
      <c r="AI102" s="104"/>
    </row>
    <row r="103" spans="1:37">
      <c r="A103" s="619">
        <f>'Input data'!A130</f>
        <v>2032</v>
      </c>
      <c r="B103" s="658">
        <f>'Recycling - Case 1'!AP110</f>
        <v>0.12146828085607692</v>
      </c>
      <c r="C103" s="672">
        <f>'Recycling - Case 1'!AF110*'Recycling - Case 1'!BM110*'Recycling - Case 1'!B110</f>
        <v>3521.4484098423718</v>
      </c>
      <c r="D103" s="672">
        <f>'Recycling - Case 1'!AF110*'Recycling - Case 1'!BN110*'Recycling - Case 1'!B110</f>
        <v>4706.3437696552801</v>
      </c>
      <c r="E103" s="672">
        <f>'Recycling - Case 1'!AF110*'Recycling - Case 1'!BO110*'Recycling - Case 1'!B110</f>
        <v>1579.5519392464751</v>
      </c>
      <c r="F103" s="672">
        <f>'Recycling - Case 1'!AF110*'Recycling - Case 1'!BP110*'Recycling - Case 1'!B110</f>
        <v>0</v>
      </c>
      <c r="G103" s="672">
        <f>'Recycling - Case 1'!AF110*'Recycling - Case 1'!BQ110*'Recycling - Case 1'!B110</f>
        <v>0</v>
      </c>
      <c r="H103" s="672">
        <f>'Recycling - Case 1'!AF110*'Recycling - Case 1'!BR110*'Recycling - Case 1'!B110</f>
        <v>0</v>
      </c>
      <c r="I103" s="672">
        <f>'Recycling - Case 1'!AF110*'Recycling - Case 1'!BS110*'Recycling - Case 1'!B110</f>
        <v>7895.0588818565084</v>
      </c>
      <c r="J103" s="945">
        <f t="shared" si="11"/>
        <v>17702.403000600636</v>
      </c>
      <c r="K103" s="613">
        <f>'4C2 Open-burning '!B103*'4C2 Open-burning '!$C$14*'4C2 Open-burning '!$C$5*'4C2 Open-burning '!$C$6*'4C2 Open-burning '!$C$7*C103</f>
        <v>0</v>
      </c>
      <c r="L103" s="614">
        <f>'4C2 Open-burning '!B103*'4C2 Open-burning '!$D$14*'4C2 Open-burning '!$C$5*'4C2 Open-burning '!$C$6*'4C2 Open-burning '!$C$7*D103</f>
        <v>0</v>
      </c>
      <c r="M103" s="614">
        <f>'4C2 Open-burning '!B103*'4C2 Open-burning '!$E$14*'4C2 Open-burning '!$C$5*'4C2 Open-burning '!$C$6*'4C2 Open-burning '!$C$7*E103</f>
        <v>1.0135561461297009</v>
      </c>
      <c r="N103" s="614">
        <f>'4C2 Open-burning '!B103*'4C2 Open-burning '!$F$14*'4C2 Open-burning '!$C$5*'4C2 Open-burning '!$C$6*'4C2 Open-burning '!$C$7*F103</f>
        <v>0</v>
      </c>
      <c r="O103" s="614">
        <f>'4C2 Open-burning '!B103*'4C2 Open-burning '!$G$14*'4C2 Open-burning '!$C$5*'4C2 Open-burning '!$C$6*'4C2 Open-burning '!$C$7*G103</f>
        <v>0</v>
      </c>
      <c r="P103" s="614">
        <f>'4C2 Open-burning '!B103*'4C2 Open-burning '!$H$14*'4C2 Open-burning '!$C$5*'4C2 Open-burning '!$C$6*'4C2 Open-burning '!$C$7*H103</f>
        <v>0</v>
      </c>
      <c r="Q103" s="614">
        <f>'4C2 Open-burning '!B103*'4C2 Open-burning '!$I$14*'4C2 Open-burning '!$C$5*'4C2 Open-burning '!$C$6*'4C2 Open-burning '!$C$7*I103</f>
        <v>33.039441459440511</v>
      </c>
      <c r="R103" s="615">
        <f t="shared" si="8"/>
        <v>34.052997605570212</v>
      </c>
      <c r="S103" s="613">
        <f>B103*C103*'4C2 Open-burning '!$C$9*'4C2 Open-burning '!$C$11*$C$5</f>
        <v>1.6682027094209826</v>
      </c>
      <c r="T103" s="614">
        <f>B103*D103*'4C2 Open-burning '!$C$9*'4C2 Open-burning '!$C$11*$C$5</f>
        <v>2.2295187985891678</v>
      </c>
      <c r="U103" s="614">
        <f>B103*E103*'4C2 Open-burning '!$C$9*'4C2 Open-burning '!$C$11*$C$5</f>
        <v>0.74827528847429192</v>
      </c>
      <c r="V103" s="614">
        <f>B103*F103*'4C2 Open-burning '!$C$9*'4C2 Open-burning '!$C$11*$C$5</f>
        <v>0</v>
      </c>
      <c r="W103" s="614">
        <f>B103*G103*'4C2 Open-burning '!$C$9*'4C2 Open-burning '!$C$11*$C$5</f>
        <v>0</v>
      </c>
      <c r="X103" s="614">
        <f>B103*H103*'4C2 Open-burning '!$C$9*'4C2 Open-burning '!$C$11*$C$5</f>
        <v>0</v>
      </c>
      <c r="Y103" s="614">
        <f>B103*I103*'4C2 Open-burning '!$C$9*'4C2 Open-burning '!$C$11*$C$5</f>
        <v>3.7400969955827827</v>
      </c>
      <c r="Z103" s="615">
        <f t="shared" si="9"/>
        <v>8.3860937920672249</v>
      </c>
      <c r="AA103" s="616">
        <f>B103*C103*'4C2 Open-burning '!$C$10*'4C2 Open-burning '!$C$11*$C$5*$C$15</f>
        <v>1.5398794240809069E-2</v>
      </c>
      <c r="AB103" s="617">
        <f>B103*D103*'4C2 Open-burning '!$C$10*'4C2 Open-burning '!$C$11*$C$5*$D$15</f>
        <v>2.0580173525438471E-2</v>
      </c>
      <c r="AC103" s="617">
        <f>B103*E103*'4C2 Open-burning '!$C$10*'4C2 Open-burning '!$C$11*$C$5*$E$15</f>
        <v>1.5541102145235292E-2</v>
      </c>
      <c r="AD103" s="617">
        <f>B103*F103*'4C2 Open-burning '!$C$10*'4C2 Open-burning '!$C$11*$C$5*$F$15</f>
        <v>0</v>
      </c>
      <c r="AE103" s="617">
        <f>B103*G103*'4C2 Open-burning '!$C$10*'4C2 Open-burning '!$C$11*$C$5*$G$15</f>
        <v>0</v>
      </c>
      <c r="AF103" s="617">
        <f>B103*H103*'4C2 Open-burning '!$C$10*'4C2 Open-burning '!$C$11*$C$5*$H$15</f>
        <v>0</v>
      </c>
      <c r="AG103" s="617">
        <f>B103*I103*'4C2 Open-burning '!$C$10*'4C2 Open-burning '!$C$11*$C$5*$I$15</f>
        <v>7.767893760056549E-2</v>
      </c>
      <c r="AH103" s="618">
        <f t="shared" si="10"/>
        <v>0.12919900751204833</v>
      </c>
      <c r="AI103" s="104"/>
    </row>
    <row r="104" spans="1:37">
      <c r="A104" s="619">
        <f>'Input data'!A131</f>
        <v>2033</v>
      </c>
      <c r="B104" s="658">
        <f>'Recycling - Case 1'!AP111</f>
        <v>0.1214682808560769</v>
      </c>
      <c r="C104" s="672">
        <f>'Recycling - Case 1'!AF111*'Recycling - Case 1'!BM111*'Recycling - Case 1'!B111</f>
        <v>3365.7371968929124</v>
      </c>
      <c r="D104" s="672">
        <f>'Recycling - Case 1'!AF111*'Recycling - Case 1'!BN111*'Recycling - Case 1'!B111</f>
        <v>4498.2389185713037</v>
      </c>
      <c r="E104" s="672">
        <f>'Recycling - Case 1'!AF111*'Recycling - Case 1'!BO111*'Recycling - Case 1'!B111</f>
        <v>1509.7073980942312</v>
      </c>
      <c r="F104" s="672">
        <f>'Recycling - Case 1'!AF111*'Recycling - Case 1'!BP111*'Recycling - Case 1'!B111</f>
        <v>0</v>
      </c>
      <c r="G104" s="672">
        <f>'Recycling - Case 1'!AF111*'Recycling - Case 1'!BQ111*'Recycling - Case 1'!B111</f>
        <v>0</v>
      </c>
      <c r="H104" s="672">
        <f>'Recycling - Case 1'!AF111*'Recycling - Case 1'!BR111*'Recycling - Case 1'!B111</f>
        <v>0</v>
      </c>
      <c r="I104" s="672">
        <f>'Recycling - Case 1'!AF111*'Recycling - Case 1'!BS111*'Recycling - Case 1'!B111</f>
        <v>7545.9556005574623</v>
      </c>
      <c r="J104" s="945">
        <f t="shared" si="11"/>
        <v>16919.639114115911</v>
      </c>
      <c r="K104" s="613">
        <f>'4C2 Open-burning '!B104*'4C2 Open-burning '!$C$14*'4C2 Open-burning '!$C$5*'4C2 Open-burning '!$C$6*'4C2 Open-burning '!$C$7*C104</f>
        <v>0</v>
      </c>
      <c r="L104" s="614">
        <f>'4C2 Open-burning '!B104*'4C2 Open-burning '!$D$14*'4C2 Open-burning '!$C$5*'4C2 Open-burning '!$C$6*'4C2 Open-burning '!$C$7*D104</f>
        <v>0</v>
      </c>
      <c r="M104" s="614">
        <f>'4C2 Open-burning '!B104*'4C2 Open-burning '!$E$14*'4C2 Open-burning '!$C$5*'4C2 Open-burning '!$C$6*'4C2 Open-burning '!$C$7*E104</f>
        <v>0.96873877596317315</v>
      </c>
      <c r="N104" s="614">
        <f>'4C2 Open-burning '!B104*'4C2 Open-burning '!$F$14*'4C2 Open-burning '!$C$5*'4C2 Open-burning '!$C$6*'4C2 Open-burning '!$C$7*F104</f>
        <v>0</v>
      </c>
      <c r="O104" s="614">
        <f>'4C2 Open-burning '!B104*'4C2 Open-burning '!$G$14*'4C2 Open-burning '!$C$5*'4C2 Open-burning '!$C$6*'4C2 Open-burning '!$C$7*G104</f>
        <v>0</v>
      </c>
      <c r="P104" s="614">
        <f>'4C2 Open-burning '!B104*'4C2 Open-burning '!$H$14*'4C2 Open-burning '!$C$5*'4C2 Open-burning '!$C$6*'4C2 Open-burning '!$C$7*H104</f>
        <v>0</v>
      </c>
      <c r="Q104" s="614">
        <f>'4C2 Open-burning '!B104*'4C2 Open-burning '!$I$14*'4C2 Open-burning '!$C$5*'4C2 Open-burning '!$C$6*'4C2 Open-burning '!$C$7*I104</f>
        <v>31.578505246249637</v>
      </c>
      <c r="R104" s="615">
        <f t="shared" si="8"/>
        <v>32.547244022212809</v>
      </c>
      <c r="S104" s="613">
        <f>B104*C104*'4C2 Open-burning '!$C$9*'4C2 Open-burning '!$C$11*$C$5</f>
        <v>1.5944382133677399</v>
      </c>
      <c r="T104" s="614">
        <f>B104*D104*'4C2 Open-burning '!$C$9*'4C2 Open-burning '!$C$11*$C$5</f>
        <v>2.1309340584431435</v>
      </c>
      <c r="U104" s="614">
        <f>B104*E104*'4C2 Open-burning '!$C$9*'4C2 Open-burning '!$C$11*$C$5</f>
        <v>0.71518809274460782</v>
      </c>
      <c r="V104" s="614">
        <f>B104*F104*'4C2 Open-burning '!$C$9*'4C2 Open-burning '!$C$11*$C$5</f>
        <v>0</v>
      </c>
      <c r="W104" s="614">
        <f>B104*G104*'4C2 Open-burning '!$C$9*'4C2 Open-burning '!$C$11*$C$5</f>
        <v>0</v>
      </c>
      <c r="X104" s="614">
        <f>B104*H104*'4C2 Open-burning '!$C$9*'4C2 Open-burning '!$C$11*$C$5</f>
        <v>0</v>
      </c>
      <c r="Y104" s="614">
        <f>B104*I104*'4C2 Open-burning '!$C$9*'4C2 Open-burning '!$C$11*$C$5</f>
        <v>3.574717591442401</v>
      </c>
      <c r="Z104" s="615">
        <f t="shared" si="9"/>
        <v>8.0152779559978917</v>
      </c>
      <c r="AA104" s="616">
        <f>B104*C104*'4C2 Open-burning '!$C$10*'4C2 Open-burning '!$C$11*$C$5*$C$15</f>
        <v>1.47178912003176E-2</v>
      </c>
      <c r="AB104" s="617">
        <f>B104*D104*'4C2 Open-burning '!$C$10*'4C2 Open-burning '!$C$11*$C$5*$D$15</f>
        <v>1.9670160539475172E-2</v>
      </c>
      <c r="AC104" s="617">
        <f>B104*E104*'4C2 Open-burning '!$C$10*'4C2 Open-burning '!$C$11*$C$5*$E$15</f>
        <v>1.4853906541618781E-2</v>
      </c>
      <c r="AD104" s="617">
        <f>B104*F104*'4C2 Open-burning '!$C$10*'4C2 Open-burning '!$C$11*$C$5*$F$15</f>
        <v>0</v>
      </c>
      <c r="AE104" s="617">
        <f>B104*G104*'4C2 Open-burning '!$C$10*'4C2 Open-burning '!$C$11*$C$5*$G$15</f>
        <v>0</v>
      </c>
      <c r="AF104" s="617">
        <f>B104*H104*'4C2 Open-burning '!$C$10*'4C2 Open-burning '!$C$11*$C$5*$H$15</f>
        <v>0</v>
      </c>
      <c r="AG104" s="617">
        <f>B104*I104*'4C2 Open-burning '!$C$10*'4C2 Open-burning '!$C$11*$C$5*$I$15</f>
        <v>7.4244134591496022E-2</v>
      </c>
      <c r="AH104" s="618">
        <f t="shared" si="10"/>
        <v>0.12348609287290757</v>
      </c>
      <c r="AI104" s="104"/>
    </row>
    <row r="105" spans="1:37">
      <c r="A105" s="619">
        <f>'Input data'!A132</f>
        <v>2034</v>
      </c>
      <c r="B105" s="658">
        <f>'Recycling - Case 1'!AP112</f>
        <v>0.1214682808560769</v>
      </c>
      <c r="C105" s="672">
        <f>'Recycling - Case 1'!AF112*'Recycling - Case 1'!BM112*'Recycling - Case 1'!B112</f>
        <v>3207.1675038976168</v>
      </c>
      <c r="D105" s="672">
        <f>'Recycling - Case 1'!AF112*'Recycling - Case 1'!BN112*'Recycling - Case 1'!B112</f>
        <v>4286.3137673753599</v>
      </c>
      <c r="E105" s="672">
        <f>'Recycling - Case 1'!AF112*'Recycling - Case 1'!BO112*'Recycling - Case 1'!B112</f>
        <v>1438.5806806400208</v>
      </c>
      <c r="F105" s="672">
        <f>'Recycling - Case 1'!AF112*'Recycling - Case 1'!BP112*'Recycling - Case 1'!B112</f>
        <v>0</v>
      </c>
      <c r="G105" s="672">
        <f>'Recycling - Case 1'!AF112*'Recycling - Case 1'!BQ112*'Recycling - Case 1'!B112</f>
        <v>0</v>
      </c>
      <c r="H105" s="672">
        <f>'Recycling - Case 1'!AF112*'Recycling - Case 1'!BR112*'Recycling - Case 1'!B112</f>
        <v>0</v>
      </c>
      <c r="I105" s="672">
        <f>'Recycling - Case 1'!AF112*'Recycling - Case 1'!BS112*'Recycling - Case 1'!B112</f>
        <v>7190.4436300919342</v>
      </c>
      <c r="J105" s="945">
        <f t="shared" si="11"/>
        <v>16122.505582004931</v>
      </c>
      <c r="K105" s="613">
        <f>'4C2 Open-burning '!B105*'4C2 Open-burning '!$C$14*'4C2 Open-burning '!$C$5*'4C2 Open-burning '!$C$6*'4C2 Open-burning '!$C$7*C105</f>
        <v>0</v>
      </c>
      <c r="L105" s="614">
        <f>'4C2 Open-burning '!B105*'4C2 Open-burning '!$D$14*'4C2 Open-burning '!$C$5*'4C2 Open-burning '!$C$6*'4C2 Open-burning '!$C$7*D105</f>
        <v>0</v>
      </c>
      <c r="M105" s="614">
        <f>'4C2 Open-burning '!B105*'4C2 Open-burning '!$E$14*'4C2 Open-burning '!$C$5*'4C2 Open-burning '!$C$6*'4C2 Open-burning '!$C$7*E105</f>
        <v>0.92309866762704806</v>
      </c>
      <c r="N105" s="614">
        <f>'4C2 Open-burning '!B105*'4C2 Open-burning '!$F$14*'4C2 Open-burning '!$C$5*'4C2 Open-burning '!$C$6*'4C2 Open-burning '!$C$7*F105</f>
        <v>0</v>
      </c>
      <c r="O105" s="614">
        <f>'4C2 Open-burning '!B105*'4C2 Open-burning '!$G$14*'4C2 Open-burning '!$C$5*'4C2 Open-burning '!$C$6*'4C2 Open-burning '!$C$7*G105</f>
        <v>0</v>
      </c>
      <c r="P105" s="614">
        <f>'4C2 Open-burning '!B105*'4C2 Open-burning '!$H$14*'4C2 Open-burning '!$C$5*'4C2 Open-burning '!$C$6*'4C2 Open-burning '!$C$7*H105</f>
        <v>0</v>
      </c>
      <c r="Q105" s="614">
        <f>'4C2 Open-burning '!B105*'4C2 Open-burning '!$I$14*'4C2 Open-burning '!$C$5*'4C2 Open-burning '!$C$6*'4C2 Open-burning '!$C$7*I105</f>
        <v>30.090749789058655</v>
      </c>
      <c r="R105" s="615">
        <f t="shared" si="8"/>
        <v>31.013848456685704</v>
      </c>
      <c r="S105" s="613">
        <f>B105*C105*'4C2 Open-burning '!$C$9*'4C2 Open-burning '!$C$11*$C$5</f>
        <v>1.5193195801520833</v>
      </c>
      <c r="T105" s="614">
        <f>B105*D105*'4C2 Open-burning '!$C$9*'4C2 Open-burning '!$C$11*$C$5</f>
        <v>2.030539541677995</v>
      </c>
      <c r="U105" s="614">
        <f>B105*E105*'4C2 Open-burning '!$C$9*'4C2 Open-burning '!$C$11*$C$5</f>
        <v>0.68149349638542234</v>
      </c>
      <c r="V105" s="614">
        <f>B105*F105*'4C2 Open-burning '!$C$9*'4C2 Open-burning '!$C$11*$C$5</f>
        <v>0</v>
      </c>
      <c r="W105" s="614">
        <f>B105*G105*'4C2 Open-burning '!$C$9*'4C2 Open-burning '!$C$11*$C$5</f>
        <v>0</v>
      </c>
      <c r="X105" s="614">
        <f>B105*H105*'4C2 Open-burning '!$C$9*'4C2 Open-burning '!$C$11*$C$5</f>
        <v>0</v>
      </c>
      <c r="Y105" s="614">
        <f>B105*I105*'4C2 Open-burning '!$C$9*'4C2 Open-burning '!$C$11*$C$5</f>
        <v>3.4063022227252047</v>
      </c>
      <c r="Z105" s="615">
        <f t="shared" si="9"/>
        <v>7.637654840940705</v>
      </c>
      <c r="AA105" s="616">
        <f>B105*C105*'4C2 Open-burning '!$C$10*'4C2 Open-burning '!$C$11*$C$5*$C$15</f>
        <v>1.4024488432173077E-2</v>
      </c>
      <c r="AB105" s="617">
        <f>B105*D105*'4C2 Open-burning '!$C$10*'4C2 Open-burning '!$C$11*$C$5*$D$15</f>
        <v>1.8743441923181493E-2</v>
      </c>
      <c r="AC105" s="617">
        <f>B105*E105*'4C2 Open-burning '!$C$10*'4C2 Open-burning '!$C$11*$C$5*$E$15</f>
        <v>1.4154095694158772E-2</v>
      </c>
      <c r="AD105" s="617">
        <f>B105*F105*'4C2 Open-burning '!$C$10*'4C2 Open-burning '!$C$11*$C$5*$F$15</f>
        <v>0</v>
      </c>
      <c r="AE105" s="617">
        <f>B105*G105*'4C2 Open-burning '!$C$10*'4C2 Open-burning '!$C$11*$C$5*$G$15</f>
        <v>0</v>
      </c>
      <c r="AF105" s="617">
        <f>B105*H105*'4C2 Open-burning '!$C$10*'4C2 Open-burning '!$C$11*$C$5*$H$15</f>
        <v>0</v>
      </c>
      <c r="AG105" s="617">
        <f>B105*I105*'4C2 Open-burning '!$C$10*'4C2 Open-burning '!$C$11*$C$5*$I$15</f>
        <v>7.0746276933523491E-2</v>
      </c>
      <c r="AH105" s="618">
        <f t="shared" si="10"/>
        <v>0.11766830298303682</v>
      </c>
      <c r="AI105" s="104"/>
    </row>
    <row r="106" spans="1:37">
      <c r="A106" s="619">
        <f>'Input data'!A133</f>
        <v>2035</v>
      </c>
      <c r="B106" s="658">
        <f>'Recycling - Case 1'!AP113</f>
        <v>0.12146828085607692</v>
      </c>
      <c r="C106" s="672">
        <f>'Recycling - Case 1'!AF113*'Recycling - Case 1'!BM113*'Recycling - Case 1'!B113</f>
        <v>3045.6014071881536</v>
      </c>
      <c r="D106" s="672">
        <f>'Recycling - Case 1'!AF113*'Recycling - Case 1'!BN113*'Recycling - Case 1'!B113</f>
        <v>4070.3839839059096</v>
      </c>
      <c r="E106" s="672">
        <f>'Recycling - Case 1'!AF113*'Recycling - Case 1'!BO113*'Recycling - Case 1'!B113</f>
        <v>1366.109920977425</v>
      </c>
      <c r="F106" s="672">
        <f>'Recycling - Case 1'!AF113*'Recycling - Case 1'!BP113*'Recycling - Case 1'!B113</f>
        <v>0</v>
      </c>
      <c r="G106" s="672">
        <f>'Recycling - Case 1'!AF113*'Recycling - Case 1'!BQ113*'Recycling - Case 1'!B113</f>
        <v>0</v>
      </c>
      <c r="H106" s="672">
        <f>'Recycling - Case 1'!AF113*'Recycling - Case 1'!BR113*'Recycling - Case 1'!B113</f>
        <v>0</v>
      </c>
      <c r="I106" s="672">
        <f>'Recycling - Case 1'!AF113*'Recycling - Case 1'!BS113*'Recycling - Case 1'!B113</f>
        <v>6828.2137467099328</v>
      </c>
      <c r="J106" s="945">
        <f t="shared" si="11"/>
        <v>15310.309058781422</v>
      </c>
      <c r="K106" s="613">
        <f>'4C2 Open-burning '!B106*'4C2 Open-burning '!$C$14*'4C2 Open-burning '!$C$5*'4C2 Open-burning '!$C$6*'4C2 Open-burning '!$C$7*C106</f>
        <v>0</v>
      </c>
      <c r="L106" s="614">
        <f>'4C2 Open-burning '!B106*'4C2 Open-burning '!$D$14*'4C2 Open-burning '!$C$5*'4C2 Open-burning '!$C$6*'4C2 Open-burning '!$C$7*D106</f>
        <v>0</v>
      </c>
      <c r="M106" s="614">
        <f>'4C2 Open-burning '!B106*'4C2 Open-burning '!$E$14*'4C2 Open-burning '!$C$5*'4C2 Open-burning '!$C$6*'4C2 Open-burning '!$C$7*E106</f>
        <v>0.87659612342723359</v>
      </c>
      <c r="N106" s="614">
        <f>'4C2 Open-burning '!B106*'4C2 Open-burning '!$F$14*'4C2 Open-burning '!$C$5*'4C2 Open-burning '!$C$6*'4C2 Open-burning '!$C$7*F106</f>
        <v>0</v>
      </c>
      <c r="O106" s="614">
        <f>'4C2 Open-burning '!B106*'4C2 Open-burning '!$G$14*'4C2 Open-burning '!$C$5*'4C2 Open-burning '!$C$6*'4C2 Open-burning '!$C$7*G106</f>
        <v>0</v>
      </c>
      <c r="P106" s="614">
        <f>'4C2 Open-burning '!B106*'4C2 Open-burning '!$H$14*'4C2 Open-burning '!$C$5*'4C2 Open-burning '!$C$6*'4C2 Open-burning '!$C$7*H106</f>
        <v>0</v>
      </c>
      <c r="Q106" s="614">
        <f>'4C2 Open-burning '!B106*'4C2 Open-burning '!$I$14*'4C2 Open-burning '!$C$5*'4C2 Open-burning '!$C$6*'4C2 Open-burning '!$C$7*I106</f>
        <v>28.574881040522435</v>
      </c>
      <c r="R106" s="615">
        <f t="shared" si="8"/>
        <v>29.451477163949669</v>
      </c>
      <c r="S106" s="613">
        <f>B106*C106*'4C2 Open-burning '!$C$9*'4C2 Open-burning '!$C$11*$C$5</f>
        <v>1.4427814717055756</v>
      </c>
      <c r="T106" s="614">
        <f>B106*D106*'4C2 Open-burning '!$C$9*'4C2 Open-burning '!$C$11*$C$5</f>
        <v>1.9282479253017248</v>
      </c>
      <c r="U106" s="614">
        <f>B106*E106*'4C2 Open-burning '!$C$9*'4C2 Open-burning '!$C$11*$C$5</f>
        <v>0.64716219189007973</v>
      </c>
      <c r="V106" s="614">
        <f>B106*F106*'4C2 Open-burning '!$C$9*'4C2 Open-burning '!$C$11*$C$5</f>
        <v>0</v>
      </c>
      <c r="W106" s="614">
        <f>B106*G106*'4C2 Open-burning '!$C$9*'4C2 Open-burning '!$C$11*$C$5</f>
        <v>0</v>
      </c>
      <c r="X106" s="614">
        <f>B106*H106*'4C2 Open-burning '!$C$9*'4C2 Open-burning '!$C$11*$C$5</f>
        <v>0</v>
      </c>
      <c r="Y106" s="614">
        <f>B106*I106*'4C2 Open-burning '!$C$9*'4C2 Open-burning '!$C$11*$C$5</f>
        <v>3.2347044020096805</v>
      </c>
      <c r="Z106" s="615">
        <f t="shared" si="9"/>
        <v>7.2528959909070609</v>
      </c>
      <c r="AA106" s="616">
        <f>B106*C106*'4C2 Open-burning '!$C$10*'4C2 Open-burning '!$C$11*$C$5*$C$15</f>
        <v>1.3317982815743774E-2</v>
      </c>
      <c r="AB106" s="617">
        <f>B106*D106*'4C2 Open-burning '!$C$10*'4C2 Open-burning '!$C$11*$C$5*$D$15</f>
        <v>1.7799211618169771E-2</v>
      </c>
      <c r="AC106" s="617">
        <f>B106*E106*'4C2 Open-burning '!$C$10*'4C2 Open-burning '!$C$11*$C$5*$E$15</f>
        <v>1.3441060908486268E-2</v>
      </c>
      <c r="AD106" s="617">
        <f>B106*F106*'4C2 Open-burning '!$C$10*'4C2 Open-burning '!$C$11*$C$5*$F$15</f>
        <v>0</v>
      </c>
      <c r="AE106" s="617">
        <f>B106*G106*'4C2 Open-burning '!$C$10*'4C2 Open-burning '!$C$11*$C$5*$G$15</f>
        <v>0</v>
      </c>
      <c r="AF106" s="617">
        <f>B106*H106*'4C2 Open-burning '!$C$10*'4C2 Open-burning '!$C$11*$C$5*$H$15</f>
        <v>0</v>
      </c>
      <c r="AG106" s="617">
        <f>B106*I106*'4C2 Open-burning '!$C$10*'4C2 Open-burning '!$C$11*$C$5*$I$15</f>
        <v>6.7182322195585675E-2</v>
      </c>
      <c r="AH106" s="618">
        <f t="shared" si="10"/>
        <v>0.1117405775379855</v>
      </c>
      <c r="AI106" s="104"/>
    </row>
    <row r="107" spans="1:37">
      <c r="A107" s="619">
        <f>'Input data'!A134</f>
        <v>2036</v>
      </c>
      <c r="B107" s="658">
        <f>'Recycling - Case 1'!AP114</f>
        <v>0.12146828085607689</v>
      </c>
      <c r="C107" s="672">
        <f>'Recycling - Case 1'!AF114*'Recycling - Case 1'!BM114*'Recycling - Case 1'!B114</f>
        <v>2877.6021394240779</v>
      </c>
      <c r="D107" s="672">
        <f>'Recycling - Case 1'!AF114*'Recycling - Case 1'!BN114*'Recycling - Case 1'!B114</f>
        <v>3845.8563989104214</v>
      </c>
      <c r="E107" s="672">
        <f>'Recycling - Case 1'!AF114*'Recycling - Case 1'!BO114*'Recycling - Case 1'!B114</f>
        <v>1290.7535510112916</v>
      </c>
      <c r="F107" s="672">
        <f>'Recycling - Case 1'!AF114*'Recycling - Case 1'!BP114*'Recycling - Case 1'!B114</f>
        <v>0</v>
      </c>
      <c r="G107" s="672">
        <f>'Recycling - Case 1'!AF114*'Recycling - Case 1'!BQ114*'Recycling - Case 1'!B114</f>
        <v>0</v>
      </c>
      <c r="H107" s="672">
        <f>'Recycling - Case 1'!AF114*'Recycling - Case 1'!BR114*'Recycling - Case 1'!B114</f>
        <v>0</v>
      </c>
      <c r="I107" s="672">
        <f>'Recycling - Case 1'!AF114*'Recycling - Case 1'!BS114*'Recycling - Case 1'!B114</f>
        <v>6451.5607458029763</v>
      </c>
      <c r="J107" s="945">
        <f t="shared" si="11"/>
        <v>14465.772835148768</v>
      </c>
      <c r="K107" s="613">
        <f>'4C2 Open-burning '!B107*'4C2 Open-burning '!$C$14*'4C2 Open-burning '!$C$5*'4C2 Open-burning '!$C$6*'4C2 Open-burning '!$C$7*C107</f>
        <v>0</v>
      </c>
      <c r="L107" s="614">
        <f>'4C2 Open-burning '!B107*'4C2 Open-burning '!$D$14*'4C2 Open-burning '!$C$5*'4C2 Open-burning '!$C$6*'4C2 Open-burning '!$C$7*D107</f>
        <v>0</v>
      </c>
      <c r="M107" s="614">
        <f>'4C2 Open-burning '!B107*'4C2 Open-burning '!$E$14*'4C2 Open-burning '!$C$5*'4C2 Open-burning '!$C$6*'4C2 Open-burning '!$C$7*E107</f>
        <v>0.82824196043235632</v>
      </c>
      <c r="N107" s="614">
        <f>'4C2 Open-burning '!B107*'4C2 Open-burning '!$F$14*'4C2 Open-burning '!$C$5*'4C2 Open-burning '!$C$6*'4C2 Open-burning '!$C$7*F107</f>
        <v>0</v>
      </c>
      <c r="O107" s="614">
        <f>'4C2 Open-burning '!B107*'4C2 Open-burning '!$G$14*'4C2 Open-burning '!$C$5*'4C2 Open-burning '!$C$6*'4C2 Open-burning '!$C$7*G107</f>
        <v>0</v>
      </c>
      <c r="P107" s="614">
        <f>'4C2 Open-burning '!B107*'4C2 Open-burning '!$H$14*'4C2 Open-burning '!$C$5*'4C2 Open-burning '!$C$6*'4C2 Open-burning '!$C$7*H107</f>
        <v>0</v>
      </c>
      <c r="Q107" s="614">
        <f>'4C2 Open-burning '!B107*'4C2 Open-burning '!$I$14*'4C2 Open-burning '!$C$5*'4C2 Open-burning '!$C$6*'4C2 Open-burning '!$C$7*I107</f>
        <v>26.998654066131365</v>
      </c>
      <c r="R107" s="615">
        <f t="shared" si="8"/>
        <v>27.826896026563723</v>
      </c>
      <c r="S107" s="613">
        <f>B107*C107*'4C2 Open-burning '!$C$9*'4C2 Open-burning '!$C$11*$C$5</f>
        <v>1.3631958009680853</v>
      </c>
      <c r="T107" s="614">
        <f>B107*D107*'4C2 Open-burning '!$C$9*'4C2 Open-burning '!$C$11*$C$5</f>
        <v>1.8218833042604667</v>
      </c>
      <c r="U107" s="614">
        <f>B107*E107*'4C2 Open-burning '!$C$9*'4C2 Open-burning '!$C$11*$C$5</f>
        <v>0.61146389791585065</v>
      </c>
      <c r="V107" s="614">
        <f>B107*F107*'4C2 Open-burning '!$C$9*'4C2 Open-burning '!$C$11*$C$5</f>
        <v>0</v>
      </c>
      <c r="W107" s="614">
        <f>B107*G107*'4C2 Open-burning '!$C$9*'4C2 Open-burning '!$C$11*$C$5</f>
        <v>0</v>
      </c>
      <c r="X107" s="614">
        <f>B107*H107*'4C2 Open-burning '!$C$9*'4C2 Open-burning '!$C$11*$C$5</f>
        <v>0</v>
      </c>
      <c r="Y107" s="614">
        <f>B107*I107*'4C2 Open-burning '!$C$9*'4C2 Open-burning '!$C$11*$C$5</f>
        <v>3.0562739712618234</v>
      </c>
      <c r="Z107" s="615">
        <f t="shared" si="9"/>
        <v>6.8528169744062257</v>
      </c>
      <c r="AA107" s="616">
        <f>B107*C107*'4C2 Open-burning '!$C$10*'4C2 Open-burning '!$C$11*$C$5*$C$15</f>
        <v>1.2583345855090017E-2</v>
      </c>
      <c r="AB107" s="617">
        <f>B107*D107*'4C2 Open-burning '!$C$10*'4C2 Open-burning '!$C$11*$C$5*$D$15</f>
        <v>1.6817384347019692E-2</v>
      </c>
      <c r="AC107" s="617">
        <f>B107*E107*'4C2 Open-burning '!$C$10*'4C2 Open-burning '!$C$11*$C$5*$E$15</f>
        <v>1.2699634802867668E-2</v>
      </c>
      <c r="AD107" s="617">
        <f>B107*F107*'4C2 Open-burning '!$C$10*'4C2 Open-burning '!$C$11*$C$5*$F$15</f>
        <v>0</v>
      </c>
      <c r="AE107" s="617">
        <f>B107*G107*'4C2 Open-burning '!$C$10*'4C2 Open-burning '!$C$11*$C$5*$G$15</f>
        <v>0</v>
      </c>
      <c r="AF107" s="617">
        <f>B107*H107*'4C2 Open-burning '!$C$10*'4C2 Open-burning '!$C$11*$C$5*$H$15</f>
        <v>0</v>
      </c>
      <c r="AG107" s="617">
        <f>B107*I107*'4C2 Open-burning '!$C$10*'4C2 Open-burning '!$C$11*$C$5*$I$15</f>
        <v>6.3476459403130181E-2</v>
      </c>
      <c r="AH107" s="618">
        <f t="shared" si="10"/>
        <v>0.10557682440810756</v>
      </c>
      <c r="AI107" s="104"/>
    </row>
    <row r="108" spans="1:37">
      <c r="A108" s="619">
        <f>'Input data'!A135</f>
        <v>2037</v>
      </c>
      <c r="B108" s="658">
        <f>'Recycling - Case 1'!AP115</f>
        <v>0.1214682808560769</v>
      </c>
      <c r="C108" s="672">
        <f>'Recycling - Case 1'!AF115*'Recycling - Case 1'!BM115*'Recycling - Case 1'!B115</f>
        <v>2834.1754172387546</v>
      </c>
      <c r="D108" s="672">
        <f>'Recycling - Case 1'!AF115*'Recycling - Case 1'!BN115*'Recycling - Case 1'!B115</f>
        <v>3787.8174729894267</v>
      </c>
      <c r="E108" s="672">
        <f>'Recycling - Case 1'!AF115*'Recycling - Case 1'!BO115*'Recycling - Case 1'!B115</f>
        <v>1271.2744176378692</v>
      </c>
      <c r="F108" s="672">
        <f>'Recycling - Case 1'!AF115*'Recycling - Case 1'!BP115*'Recycling - Case 1'!B115</f>
        <v>0</v>
      </c>
      <c r="G108" s="672">
        <f>'Recycling - Case 1'!AF115*'Recycling - Case 1'!BQ115*'Recycling - Case 1'!B115</f>
        <v>0</v>
      </c>
      <c r="H108" s="672">
        <f>'Recycling - Case 1'!AF115*'Recycling - Case 1'!BR115*'Recycling - Case 1'!B115</f>
        <v>0</v>
      </c>
      <c r="I108" s="672">
        <f>'Recycling - Case 1'!AF115*'Recycling - Case 1'!BS115*'Recycling - Case 1'!B115</f>
        <v>6354.1983855477829</v>
      </c>
      <c r="J108" s="945">
        <f t="shared" si="11"/>
        <v>14247.465693413833</v>
      </c>
      <c r="K108" s="613">
        <f>'4C2 Open-burning '!B108*'4C2 Open-burning '!$C$14*'4C2 Open-burning '!$C$5*'4C2 Open-burning '!$C$6*'4C2 Open-burning '!$C$7*C108</f>
        <v>0</v>
      </c>
      <c r="L108" s="614">
        <f>'4C2 Open-burning '!B108*'4C2 Open-burning '!$D$14*'4C2 Open-burning '!$C$5*'4C2 Open-burning '!$C$6*'4C2 Open-burning '!$C$7*D108</f>
        <v>0</v>
      </c>
      <c r="M108" s="614">
        <f>'4C2 Open-burning '!B108*'4C2 Open-burning '!$E$14*'4C2 Open-burning '!$C$5*'4C2 Open-burning '!$C$6*'4C2 Open-burning '!$C$7*E108</f>
        <v>0.81574272260334835</v>
      </c>
      <c r="N108" s="614">
        <f>'4C2 Open-burning '!B108*'4C2 Open-burning '!$F$14*'4C2 Open-burning '!$C$5*'4C2 Open-burning '!$C$6*'4C2 Open-burning '!$C$7*F108</f>
        <v>0</v>
      </c>
      <c r="O108" s="614">
        <f>'4C2 Open-burning '!B108*'4C2 Open-burning '!$G$14*'4C2 Open-burning '!$C$5*'4C2 Open-burning '!$C$6*'4C2 Open-burning '!$C$7*G108</f>
        <v>0</v>
      </c>
      <c r="P108" s="614">
        <f>'4C2 Open-burning '!B108*'4C2 Open-burning '!$H$14*'4C2 Open-burning '!$C$5*'4C2 Open-burning '!$C$6*'4C2 Open-burning '!$C$7*H108</f>
        <v>0</v>
      </c>
      <c r="Q108" s="614">
        <f>'4C2 Open-burning '!B108*'4C2 Open-burning '!$I$14*'4C2 Open-burning '!$C$5*'4C2 Open-burning '!$C$6*'4C2 Open-burning '!$C$7*I108</f>
        <v>26.591209606230397</v>
      </c>
      <c r="R108" s="615">
        <f t="shared" si="8"/>
        <v>27.406952328833746</v>
      </c>
      <c r="S108" s="613">
        <f>B108*C108*'4C2 Open-burning '!$C$9*'4C2 Open-burning '!$C$11*$C$5</f>
        <v>1.3426234207485293</v>
      </c>
      <c r="T108" s="614">
        <f>B108*D108*'4C2 Open-burning '!$C$9*'4C2 Open-burning '!$C$11*$C$5</f>
        <v>1.7943887388984769</v>
      </c>
      <c r="U108" s="614">
        <f>B108*E108*'4C2 Open-burning '!$C$9*'4C2 Open-burning '!$C$11*$C$5</f>
        <v>0.60223612022645101</v>
      </c>
      <c r="V108" s="614">
        <f>B108*F108*'4C2 Open-burning '!$C$9*'4C2 Open-burning '!$C$11*$C$5</f>
        <v>0</v>
      </c>
      <c r="W108" s="614">
        <f>B108*G108*'4C2 Open-burning '!$C$9*'4C2 Open-burning '!$C$11*$C$5</f>
        <v>0</v>
      </c>
      <c r="X108" s="614">
        <f>B108*H108*'4C2 Open-burning '!$C$9*'4C2 Open-burning '!$C$11*$C$5</f>
        <v>0</v>
      </c>
      <c r="Y108" s="614">
        <f>B108*I108*'4C2 Open-burning '!$C$9*'4C2 Open-burning '!$C$11*$C$5</f>
        <v>3.0101508610326992</v>
      </c>
      <c r="Z108" s="615">
        <f t="shared" si="9"/>
        <v>6.7493991409061564</v>
      </c>
      <c r="AA108" s="616">
        <f>B108*C108*'4C2 Open-burning '!$C$10*'4C2 Open-burning '!$C$11*$C$5*$C$15</f>
        <v>1.2393446960755656E-2</v>
      </c>
      <c r="AB108" s="617">
        <f>B108*D108*'4C2 Open-burning '!$C$10*'4C2 Open-burning '!$C$11*$C$5*$D$15</f>
        <v>1.6563588359062867E-2</v>
      </c>
      <c r="AC108" s="617">
        <f>B108*E108*'4C2 Open-burning '!$C$10*'4C2 Open-burning '!$C$11*$C$5*$E$15</f>
        <v>1.2507980958549365E-2</v>
      </c>
      <c r="AD108" s="617">
        <f>B108*F108*'4C2 Open-burning '!$C$10*'4C2 Open-burning '!$C$11*$C$5*$F$15</f>
        <v>0</v>
      </c>
      <c r="AE108" s="617">
        <f>B108*G108*'4C2 Open-burning '!$C$10*'4C2 Open-burning '!$C$11*$C$5*$G$15</f>
        <v>0</v>
      </c>
      <c r="AF108" s="617">
        <f>B108*H108*'4C2 Open-burning '!$C$10*'4C2 Open-burning '!$C$11*$C$5*$H$15</f>
        <v>0</v>
      </c>
      <c r="AG108" s="617">
        <f>B108*I108*'4C2 Open-burning '!$C$10*'4C2 Open-burning '!$C$11*$C$5*$I$15</f>
        <v>6.2518517882986832E-2</v>
      </c>
      <c r="AH108" s="618">
        <f t="shared" si="10"/>
        <v>0.10398353416135472</v>
      </c>
      <c r="AI108" s="104"/>
    </row>
    <row r="109" spans="1:37">
      <c r="A109" s="619">
        <f>'Input data'!A136</f>
        <v>2038</v>
      </c>
      <c r="B109" s="658">
        <f>'Recycling - Case 1'!AP116</f>
        <v>0.12146828085607689</v>
      </c>
      <c r="C109" s="672">
        <f>'Recycling - Case 1'!AF116*'Recycling - Case 1'!BM116*'Recycling - Case 1'!B116</f>
        <v>2732.6006019435713</v>
      </c>
      <c r="D109" s="672">
        <f>'Recycling - Case 1'!AF116*'Recycling - Case 1'!BN116*'Recycling - Case 1'!B116</f>
        <v>3652.0648100277199</v>
      </c>
      <c r="E109" s="672">
        <f>'Recycling - Case 1'!AF116*'Recycling - Case 1'!BO116*'Recycling - Case 1'!B116</f>
        <v>1225.7128538138261</v>
      </c>
      <c r="F109" s="672">
        <f>'Recycling - Case 1'!AF116*'Recycling - Case 1'!BP116*'Recycling - Case 1'!B116</f>
        <v>0</v>
      </c>
      <c r="G109" s="672">
        <f>'Recycling - Case 1'!AF116*'Recycling - Case 1'!BQ116*'Recycling - Case 1'!B116</f>
        <v>0</v>
      </c>
      <c r="H109" s="672">
        <f>'Recycling - Case 1'!AF116*'Recycling - Case 1'!BR116*'Recycling - Case 1'!B116</f>
        <v>0</v>
      </c>
      <c r="I109" s="672">
        <f>'Recycling - Case 1'!AF116*'Recycling - Case 1'!BS116*'Recycling - Case 1'!B116</f>
        <v>6126.4684703720368</v>
      </c>
      <c r="J109" s="945">
        <f t="shared" si="11"/>
        <v>13736.846736157153</v>
      </c>
      <c r="K109" s="613">
        <f>'4C2 Open-burning '!B109*'4C2 Open-burning '!$C$14*'4C2 Open-burning '!$C$5*'4C2 Open-burning '!$C$6*'4C2 Open-burning '!$C$7*C109</f>
        <v>0</v>
      </c>
      <c r="L109" s="614">
        <f>'4C2 Open-burning '!B109*'4C2 Open-burning '!$D$14*'4C2 Open-burning '!$C$5*'4C2 Open-burning '!$C$6*'4C2 Open-burning '!$C$7*D109</f>
        <v>0</v>
      </c>
      <c r="M109" s="614">
        <f>'4C2 Open-burning '!B109*'4C2 Open-burning '!$E$14*'4C2 Open-burning '!$C$5*'4C2 Open-burning '!$C$6*'4C2 Open-burning '!$C$7*E109</f>
        <v>0.78650708818466042</v>
      </c>
      <c r="N109" s="614">
        <f>'4C2 Open-burning '!B109*'4C2 Open-burning '!$F$14*'4C2 Open-burning '!$C$5*'4C2 Open-burning '!$C$6*'4C2 Open-burning '!$C$7*F109</f>
        <v>0</v>
      </c>
      <c r="O109" s="614">
        <f>'4C2 Open-burning '!B109*'4C2 Open-burning '!$G$14*'4C2 Open-burning '!$C$5*'4C2 Open-burning '!$C$6*'4C2 Open-burning '!$C$7*G109</f>
        <v>0</v>
      </c>
      <c r="P109" s="614">
        <f>'4C2 Open-burning '!B109*'4C2 Open-burning '!$H$14*'4C2 Open-burning '!$C$5*'4C2 Open-burning '!$C$6*'4C2 Open-burning '!$C$7*H109</f>
        <v>0</v>
      </c>
      <c r="Q109" s="614">
        <f>'4C2 Open-burning '!B109*'4C2 Open-burning '!$I$14*'4C2 Open-burning '!$C$5*'4C2 Open-burning '!$C$6*'4C2 Open-burning '!$C$7*I109</f>
        <v>25.638199715664108</v>
      </c>
      <c r="R109" s="615">
        <f t="shared" si="8"/>
        <v>26.424706803848768</v>
      </c>
      <c r="S109" s="613">
        <f>B109*C109*'4C2 Open-burning '!$C$9*'4C2 Open-burning '!$C$11*$C$5</f>
        <v>1.2945047597990291</v>
      </c>
      <c r="T109" s="614">
        <f>B109*D109*'4C2 Open-burning '!$C$9*'4C2 Open-burning '!$C$11*$C$5</f>
        <v>1.7300791327912641</v>
      </c>
      <c r="U109" s="614">
        <f>B109*E109*'4C2 Open-burning '!$C$9*'4C2 Open-burning '!$C$11*$C$5</f>
        <v>0.58065240938624918</v>
      </c>
      <c r="V109" s="614">
        <f>B109*F109*'4C2 Open-burning '!$C$9*'4C2 Open-burning '!$C$11*$C$5</f>
        <v>0</v>
      </c>
      <c r="W109" s="614">
        <f>B109*G109*'4C2 Open-burning '!$C$9*'4C2 Open-burning '!$C$11*$C$5</f>
        <v>0</v>
      </c>
      <c r="X109" s="614">
        <f>B109*H109*'4C2 Open-burning '!$C$9*'4C2 Open-burning '!$C$11*$C$5</f>
        <v>0</v>
      </c>
      <c r="Y109" s="614">
        <f>B109*I109*'4C2 Open-burning '!$C$9*'4C2 Open-burning '!$C$11*$C$5</f>
        <v>2.9022692119786959</v>
      </c>
      <c r="Z109" s="615">
        <f t="shared" si="9"/>
        <v>6.5075055139552376</v>
      </c>
      <c r="AA109" s="616">
        <f>B109*C109*'4C2 Open-burning '!$C$10*'4C2 Open-burning '!$C$11*$C$5*$C$15</f>
        <v>1.1949274705837192E-2</v>
      </c>
      <c r="AB109" s="617">
        <f>B109*D109*'4C2 Open-burning '!$C$10*'4C2 Open-burning '!$C$11*$C$5*$D$15</f>
        <v>1.5969961225765519E-2</v>
      </c>
      <c r="AC109" s="617">
        <f>B109*E109*'4C2 Open-burning '!$C$10*'4C2 Open-burning '!$C$11*$C$5*$E$15</f>
        <v>1.2059703887252868E-2</v>
      </c>
      <c r="AD109" s="617">
        <f>B109*F109*'4C2 Open-burning '!$C$10*'4C2 Open-burning '!$C$11*$C$5*$F$15</f>
        <v>0</v>
      </c>
      <c r="AE109" s="617">
        <f>B109*G109*'4C2 Open-burning '!$C$10*'4C2 Open-burning '!$C$11*$C$5*$G$15</f>
        <v>0</v>
      </c>
      <c r="AF109" s="617">
        <f>B109*H109*'4C2 Open-burning '!$C$10*'4C2 Open-burning '!$C$11*$C$5*$H$15</f>
        <v>0</v>
      </c>
      <c r="AG109" s="617">
        <f>B109*I109*'4C2 Open-burning '!$C$10*'4C2 Open-burning '!$C$11*$C$5*$I$15</f>
        <v>6.0277899018019068E-2</v>
      </c>
      <c r="AH109" s="618">
        <f t="shared" si="10"/>
        <v>0.10025683883687464</v>
      </c>
      <c r="AI109" s="104"/>
    </row>
    <row r="110" spans="1:37">
      <c r="A110" s="619">
        <f>'Input data'!A137</f>
        <v>2039</v>
      </c>
      <c r="B110" s="658">
        <f>'Recycling - Case 1'!AP117</f>
        <v>0.12146828085607689</v>
      </c>
      <c r="C110" s="672">
        <f>'Recycling - Case 1'!AF117*'Recycling - Case 1'!BM117*'Recycling - Case 1'!B117</f>
        <v>2629.3559302212175</v>
      </c>
      <c r="D110" s="672">
        <f>'Recycling - Case 1'!AF117*'Recycling - Case 1'!BN117*'Recycling - Case 1'!B117</f>
        <v>3514.0804181074773</v>
      </c>
      <c r="E110" s="672">
        <f>'Recycling - Case 1'!AF117*'Recycling - Case 1'!BO117*'Recycling - Case 1'!B117</f>
        <v>1179.4022729232743</v>
      </c>
      <c r="F110" s="672">
        <f>'Recycling - Case 1'!AF117*'Recycling - Case 1'!BP117*'Recycling - Case 1'!B117</f>
        <v>0</v>
      </c>
      <c r="G110" s="672">
        <f>'Recycling - Case 1'!AF117*'Recycling - Case 1'!BQ117*'Recycling - Case 1'!B117</f>
        <v>0</v>
      </c>
      <c r="H110" s="672">
        <f>'Recycling - Case 1'!AF117*'Recycling - Case 1'!BR117*'Recycling - Case 1'!B117</f>
        <v>0</v>
      </c>
      <c r="I110" s="672">
        <f>'Recycling - Case 1'!AF117*'Recycling - Case 1'!BS117*'Recycling - Case 1'!B117</f>
        <v>5894.9947505788741</v>
      </c>
      <c r="J110" s="945">
        <f t="shared" si="11"/>
        <v>13217.833371830842</v>
      </c>
      <c r="K110" s="613">
        <f>'4C2 Open-burning '!B110*'4C2 Open-burning '!$C$14*'4C2 Open-burning '!$C$5*'4C2 Open-burning '!$C$6*'4C2 Open-burning '!$C$7*C110</f>
        <v>0</v>
      </c>
      <c r="L110" s="614">
        <f>'4C2 Open-burning '!B110*'4C2 Open-burning '!$D$14*'4C2 Open-burning '!$C$5*'4C2 Open-burning '!$C$6*'4C2 Open-burning '!$C$7*D110</f>
        <v>0</v>
      </c>
      <c r="M110" s="614">
        <f>'4C2 Open-burning '!B110*'4C2 Open-burning '!$E$14*'4C2 Open-burning '!$C$5*'4C2 Open-burning '!$C$6*'4C2 Open-burning '!$C$7*E110</f>
        <v>0.75679082958866417</v>
      </c>
      <c r="N110" s="614">
        <f>'4C2 Open-burning '!B110*'4C2 Open-burning '!$F$14*'4C2 Open-burning '!$C$5*'4C2 Open-burning '!$C$6*'4C2 Open-burning '!$C$7*F110</f>
        <v>0</v>
      </c>
      <c r="O110" s="614">
        <f>'4C2 Open-burning '!B110*'4C2 Open-burning '!$G$14*'4C2 Open-burning '!$C$5*'4C2 Open-burning '!$C$6*'4C2 Open-burning '!$C$7*G110</f>
        <v>0</v>
      </c>
      <c r="P110" s="614">
        <f>'4C2 Open-burning '!B110*'4C2 Open-burning '!$H$14*'4C2 Open-burning '!$C$5*'4C2 Open-burning '!$C$6*'4C2 Open-burning '!$C$7*H110</f>
        <v>0</v>
      </c>
      <c r="Q110" s="614">
        <f>'4C2 Open-burning '!B110*'4C2 Open-burning '!$I$14*'4C2 Open-burning '!$C$5*'4C2 Open-burning '!$C$6*'4C2 Open-burning '!$C$7*I110</f>
        <v>24.669522657145862</v>
      </c>
      <c r="R110" s="615">
        <f t="shared" si="8"/>
        <v>25.426313486734525</v>
      </c>
      <c r="S110" s="613">
        <f>B110*C110*'4C2 Open-burning '!$C$9*'4C2 Open-burning '!$C$11*$C$5</f>
        <v>1.2455950439505383</v>
      </c>
      <c r="T110" s="614">
        <f>B110*D110*'4C2 Open-burning '!$C$9*'4C2 Open-burning '!$C$11*$C$5</f>
        <v>1.6647122979923246</v>
      </c>
      <c r="U110" s="614">
        <f>B110*E110*'4C2 Open-burning '!$C$9*'4C2 Open-burning '!$C$11*$C$5</f>
        <v>0.55871386946598489</v>
      </c>
      <c r="V110" s="614">
        <f>B110*F110*'4C2 Open-burning '!$C$9*'4C2 Open-burning '!$C$11*$C$5</f>
        <v>0</v>
      </c>
      <c r="W110" s="614">
        <f>B110*G110*'4C2 Open-burning '!$C$9*'4C2 Open-burning '!$C$11*$C$5</f>
        <v>0</v>
      </c>
      <c r="X110" s="614">
        <f>B110*H110*'4C2 Open-burning '!$C$9*'4C2 Open-burning '!$C$11*$C$5</f>
        <v>0</v>
      </c>
      <c r="Y110" s="614">
        <f>B110*I110*'4C2 Open-burning '!$C$9*'4C2 Open-burning '!$C$11*$C$5</f>
        <v>2.792614024232813</v>
      </c>
      <c r="Z110" s="615">
        <f t="shared" si="9"/>
        <v>6.2616352356416609</v>
      </c>
      <c r="AA110" s="616">
        <f>B110*C110*'4C2 Open-burning '!$C$10*'4C2 Open-burning '!$C$11*$C$5*$C$15</f>
        <v>1.1497800405697277E-2</v>
      </c>
      <c r="AB110" s="617">
        <f>B110*D110*'4C2 Open-burning '!$C$10*'4C2 Open-burning '!$C$11*$C$5*$D$15</f>
        <v>1.5366575058390688E-2</v>
      </c>
      <c r="AC110" s="617">
        <f>B110*E110*'4C2 Open-burning '!$C$10*'4C2 Open-burning '!$C$11*$C$5*$E$15</f>
        <v>1.1604057288908917E-2</v>
      </c>
      <c r="AD110" s="617">
        <f>B110*F110*'4C2 Open-burning '!$C$10*'4C2 Open-burning '!$C$11*$C$5*$F$15</f>
        <v>0</v>
      </c>
      <c r="AE110" s="617">
        <f>B110*G110*'4C2 Open-burning '!$C$10*'4C2 Open-burning '!$C$11*$C$5*$G$15</f>
        <v>0</v>
      </c>
      <c r="AF110" s="617">
        <f>B110*H110*'4C2 Open-burning '!$C$10*'4C2 Open-burning '!$C$11*$C$5*$H$15</f>
        <v>0</v>
      </c>
      <c r="AG110" s="617">
        <f>B110*I110*'4C2 Open-burning '!$C$10*'4C2 Open-burning '!$C$11*$C$5*$I$15</f>
        <v>5.80004451186815E-2</v>
      </c>
      <c r="AH110" s="618">
        <f t="shared" si="10"/>
        <v>9.6468877871678377E-2</v>
      </c>
      <c r="AI110" s="104"/>
    </row>
    <row r="111" spans="1:37">
      <c r="A111" s="619">
        <f>'Input data'!A138</f>
        <v>2040</v>
      </c>
      <c r="B111" s="658">
        <f>'Recycling - Case 1'!AP118</f>
        <v>0.12146828085607692</v>
      </c>
      <c r="C111" s="672">
        <f>'Recycling - Case 1'!AF118*'Recycling - Case 1'!BM118*'Recycling - Case 1'!B118</f>
        <v>2524.4257471676897</v>
      </c>
      <c r="D111" s="672">
        <f>'Recycling - Case 1'!AF118*'Recycling - Case 1'!BN118*'Recycling - Case 1'!B118</f>
        <v>3373.843374769715</v>
      </c>
      <c r="E111" s="672">
        <f>'Recycling - Case 1'!AF118*'Recycling - Case 1'!BO118*'Recycling - Case 1'!B118</f>
        <v>1132.3356529312166</v>
      </c>
      <c r="F111" s="672">
        <f>'Recycling - Case 1'!AF118*'Recycling - Case 1'!BP118*'Recycling - Case 1'!B118</f>
        <v>0</v>
      </c>
      <c r="G111" s="672">
        <f>'Recycling - Case 1'!AF118*'Recycling - Case 1'!BQ118*'Recycling - Case 1'!B118</f>
        <v>0</v>
      </c>
      <c r="H111" s="672">
        <f>'Recycling - Case 1'!AF118*'Recycling - Case 1'!BR118*'Recycling - Case 1'!B118</f>
        <v>0</v>
      </c>
      <c r="I111" s="672">
        <f>'Recycling - Case 1'!AF118*'Recycling - Case 1'!BS118*'Recycling - Case 1'!B118</f>
        <v>5659.7421280000126</v>
      </c>
      <c r="J111" s="945">
        <f t="shared" si="11"/>
        <v>12690.346902868634</v>
      </c>
      <c r="K111" s="613">
        <f>'4C2 Open-burning '!B111*'4C2 Open-burning '!$C$14*'4C2 Open-burning '!$C$5*'4C2 Open-burning '!$C$6*'4C2 Open-burning '!$C$7*C111</f>
        <v>0</v>
      </c>
      <c r="L111" s="614">
        <f>'4C2 Open-burning '!B111*'4C2 Open-burning '!$D$14*'4C2 Open-burning '!$C$5*'4C2 Open-burning '!$C$6*'4C2 Open-burning '!$C$7*D111</f>
        <v>0</v>
      </c>
      <c r="M111" s="614">
        <f>'4C2 Open-burning '!B111*'4C2 Open-burning '!$E$14*'4C2 Open-burning '!$C$5*'4C2 Open-burning '!$C$6*'4C2 Open-burning '!$C$7*E111</f>
        <v>0.72658944096369871</v>
      </c>
      <c r="N111" s="614">
        <f>'4C2 Open-burning '!B111*'4C2 Open-burning '!$F$14*'4C2 Open-burning '!$C$5*'4C2 Open-burning '!$C$6*'4C2 Open-burning '!$C$7*F111</f>
        <v>0</v>
      </c>
      <c r="O111" s="614">
        <f>'4C2 Open-burning '!B111*'4C2 Open-burning '!$G$14*'4C2 Open-burning '!$C$5*'4C2 Open-burning '!$C$6*'4C2 Open-burning '!$C$7*G111</f>
        <v>0</v>
      </c>
      <c r="P111" s="614">
        <f>'4C2 Open-burning '!B111*'4C2 Open-burning '!$H$14*'4C2 Open-burning '!$C$5*'4C2 Open-burning '!$C$6*'4C2 Open-burning '!$C$7*H111</f>
        <v>0</v>
      </c>
      <c r="Q111" s="614">
        <f>'4C2 Open-burning '!B111*'4C2 Open-burning '!$I$14*'4C2 Open-burning '!$C$5*'4C2 Open-burning '!$C$6*'4C2 Open-burning '!$C$7*I111</f>
        <v>23.685031550976124</v>
      </c>
      <c r="R111" s="615">
        <f t="shared" si="8"/>
        <v>24.411620991939824</v>
      </c>
      <c r="S111" s="613">
        <f>B111*C111*'4C2 Open-burning '!$C$9*'4C2 Open-burning '!$C$11*$C$5</f>
        <v>1.1958868570633792</v>
      </c>
      <c r="T111" s="614">
        <f>B111*D111*'4C2 Open-burning '!$C$9*'4C2 Open-burning '!$C$11*$C$5</f>
        <v>1.598278322982674</v>
      </c>
      <c r="U111" s="614">
        <f>B111*E111*'4C2 Open-burning '!$C$9*'4C2 Open-burning '!$C$11*$C$5</f>
        <v>0.53641717394303312</v>
      </c>
      <c r="V111" s="614">
        <f>B111*F111*'4C2 Open-burning '!$C$9*'4C2 Open-burning '!$C$11*$C$5</f>
        <v>0</v>
      </c>
      <c r="W111" s="614">
        <f>B111*G111*'4C2 Open-burning '!$C$9*'4C2 Open-burning '!$C$11*$C$5</f>
        <v>0</v>
      </c>
      <c r="X111" s="614">
        <f>B111*H111*'4C2 Open-burning '!$C$9*'4C2 Open-burning '!$C$11*$C$5</f>
        <v>0</v>
      </c>
      <c r="Y111" s="614">
        <f>B111*I111*'4C2 Open-burning '!$C$9*'4C2 Open-burning '!$C$11*$C$5</f>
        <v>2.6811686708698166</v>
      </c>
      <c r="Z111" s="615">
        <f t="shared" si="9"/>
        <v>6.0117510248589028</v>
      </c>
      <c r="AA111" s="616">
        <f>B111*C111*'4C2 Open-burning '!$C$10*'4C2 Open-burning '!$C$11*$C$5*$C$15</f>
        <v>1.1038955603661964E-2</v>
      </c>
      <c r="AB111" s="617">
        <f>B111*D111*'4C2 Open-burning '!$C$10*'4C2 Open-burning '!$C$11*$C$5*$D$15</f>
        <v>1.4753338365993915E-2</v>
      </c>
      <c r="AC111" s="617">
        <f>B111*E111*'4C2 Open-burning '!$C$10*'4C2 Open-burning '!$C$11*$C$5*$E$15</f>
        <v>1.1140972074201458E-2</v>
      </c>
      <c r="AD111" s="617">
        <f>B111*F111*'4C2 Open-burning '!$C$10*'4C2 Open-burning '!$C$11*$C$5*$F$15</f>
        <v>0</v>
      </c>
      <c r="AE111" s="617">
        <f>B111*G111*'4C2 Open-burning '!$C$10*'4C2 Open-burning '!$C$11*$C$5*$G$15</f>
        <v>0</v>
      </c>
      <c r="AF111" s="617">
        <f>B111*H111*'4C2 Open-burning '!$C$10*'4C2 Open-burning '!$C$11*$C$5*$H$15</f>
        <v>0</v>
      </c>
      <c r="AG111" s="617">
        <f>B111*I111*'4C2 Open-burning '!$C$10*'4C2 Open-burning '!$C$11*$C$5*$I$15</f>
        <v>5.5685810856526942E-2</v>
      </c>
      <c r="AH111" s="618">
        <f t="shared" si="10"/>
        <v>9.2619076900384276E-2</v>
      </c>
      <c r="AI111" s="104"/>
    </row>
    <row r="112" spans="1:37">
      <c r="A112" s="619">
        <f>'Input data'!A139</f>
        <v>2041</v>
      </c>
      <c r="B112" s="658">
        <f>'Recycling - Case 1'!AP119</f>
        <v>0.12146828085607692</v>
      </c>
      <c r="C112" s="672">
        <f>'Recycling - Case 1'!AF119*'Recycling - Case 1'!BM119*'Recycling - Case 1'!B119</f>
        <v>2415.2049607943518</v>
      </c>
      <c r="D112" s="672">
        <f>'Recycling - Case 1'!AF119*'Recycling - Case 1'!BN119*'Recycling - Case 1'!B119</f>
        <v>3227.8720278579426</v>
      </c>
      <c r="E112" s="672">
        <f>'Recycling - Case 1'!AF119*'Recycling - Case 1'!BO119*'Recycling - Case 1'!B119</f>
        <v>1083.3444751988261</v>
      </c>
      <c r="F112" s="672">
        <f>'Recycling - Case 1'!AF119*'Recycling - Case 1'!BP119*'Recycling - Case 1'!B119</f>
        <v>0</v>
      </c>
      <c r="G112" s="672">
        <f>'Recycling - Case 1'!AF119*'Recycling - Case 1'!BQ119*'Recycling - Case 1'!B119</f>
        <v>0</v>
      </c>
      <c r="H112" s="672">
        <f>'Recycling - Case 1'!AF119*'Recycling - Case 1'!BR119*'Recycling - Case 1'!B119</f>
        <v>0</v>
      </c>
      <c r="I112" s="672">
        <f>'Recycling - Case 1'!AF119*'Recycling - Case 1'!BS119*'Recycling - Case 1'!B119</f>
        <v>5414.8700074458529</v>
      </c>
      <c r="J112" s="945">
        <f t="shared" si="11"/>
        <v>12141.291471296972</v>
      </c>
      <c r="K112" s="613">
        <f>'4C2 Open-burning '!B112*'4C2 Open-burning '!$C$14*'4C2 Open-burning '!$C$5*'4C2 Open-burning '!$C$6*'4C2 Open-burning '!$C$7*C112</f>
        <v>0</v>
      </c>
      <c r="L112" s="614">
        <f>'4C2 Open-burning '!B112*'4C2 Open-burning '!$D$14*'4C2 Open-burning '!$C$5*'4C2 Open-burning '!$C$6*'4C2 Open-burning '!$C$7*D112</f>
        <v>0</v>
      </c>
      <c r="M112" s="614">
        <f>'4C2 Open-burning '!B112*'4C2 Open-burning '!$E$14*'4C2 Open-burning '!$C$5*'4C2 Open-burning '!$C$6*'4C2 Open-burning '!$C$7*E112</f>
        <v>0.69515311521648393</v>
      </c>
      <c r="N112" s="614">
        <f>'4C2 Open-burning '!B112*'4C2 Open-burning '!$F$14*'4C2 Open-burning '!$C$5*'4C2 Open-burning '!$C$6*'4C2 Open-burning '!$C$7*F112</f>
        <v>0</v>
      </c>
      <c r="O112" s="614">
        <f>'4C2 Open-burning '!B112*'4C2 Open-burning '!$G$14*'4C2 Open-burning '!$C$5*'4C2 Open-burning '!$C$6*'4C2 Open-burning '!$C$7*G112</f>
        <v>0</v>
      </c>
      <c r="P112" s="614">
        <f>'4C2 Open-burning '!B112*'4C2 Open-burning '!$H$14*'4C2 Open-burning '!$C$5*'4C2 Open-burning '!$C$6*'4C2 Open-burning '!$C$7*H112</f>
        <v>0</v>
      </c>
      <c r="Q112" s="614">
        <f>'4C2 Open-burning '!B112*'4C2 Open-burning '!$I$14*'4C2 Open-burning '!$C$5*'4C2 Open-burning '!$C$6*'4C2 Open-burning '!$C$7*I112</f>
        <v>22.660284527152058</v>
      </c>
      <c r="R112" s="615">
        <f t="shared" si="8"/>
        <v>23.355437642368543</v>
      </c>
      <c r="S112" s="613">
        <f>B112*C112*'4C2 Open-burning '!$C$9*'4C2 Open-burning '!$C$11*$C$5</f>
        <v>1.1441460985607581</v>
      </c>
      <c r="T112" s="614">
        <f>B112*D112*'4C2 Open-burning '!$C$9*'4C2 Open-burning '!$C$11*$C$5</f>
        <v>1.5291278575845604</v>
      </c>
      <c r="U112" s="614">
        <f>B112*E112*'4C2 Open-burning '!$C$9*'4C2 Open-burning '!$C$11*$C$5</f>
        <v>0.51320876481158795</v>
      </c>
      <c r="V112" s="614">
        <f>B112*F112*'4C2 Open-burning '!$C$9*'4C2 Open-burning '!$C$11*$C$5</f>
        <v>0</v>
      </c>
      <c r="W112" s="614">
        <f>B112*G112*'4C2 Open-burning '!$C$9*'4C2 Open-burning '!$C$11*$C$5</f>
        <v>0</v>
      </c>
      <c r="X112" s="614">
        <f>B112*H112*'4C2 Open-burning '!$C$9*'4C2 Open-burning '!$C$11*$C$5</f>
        <v>0</v>
      </c>
      <c r="Y112" s="614">
        <f>B112*I112*'4C2 Open-burning '!$C$9*'4C2 Open-burning '!$C$11*$C$5</f>
        <v>2.5651663083679623</v>
      </c>
      <c r="Z112" s="615">
        <f t="shared" si="9"/>
        <v>5.7516490293248683</v>
      </c>
      <c r="AA112" s="616">
        <f>B112*C112*'4C2 Open-burning '!$C$10*'4C2 Open-burning '!$C$11*$C$5*$C$15</f>
        <v>1.0561348602099308E-2</v>
      </c>
      <c r="AB112" s="617">
        <f>B112*D112*'4C2 Open-burning '!$C$10*'4C2 Open-burning '!$C$11*$C$5*$D$15</f>
        <v>1.4115026377703633E-2</v>
      </c>
      <c r="AC112" s="617">
        <f>B112*E112*'4C2 Open-burning '!$C$10*'4C2 Open-burning '!$C$11*$C$5*$E$15</f>
        <v>1.0658951269163748E-2</v>
      </c>
      <c r="AD112" s="617">
        <f>B112*F112*'4C2 Open-burning '!$C$10*'4C2 Open-burning '!$C$11*$C$5*$F$15</f>
        <v>0</v>
      </c>
      <c r="AE112" s="617">
        <f>B112*G112*'4C2 Open-burning '!$C$10*'4C2 Open-burning '!$C$11*$C$5*$G$15</f>
        <v>0</v>
      </c>
      <c r="AF112" s="617">
        <f>B112*H112*'4C2 Open-burning '!$C$10*'4C2 Open-burning '!$C$11*$C$5*$H$15</f>
        <v>0</v>
      </c>
      <c r="AG112" s="617">
        <f>B112*I112*'4C2 Open-burning '!$C$10*'4C2 Open-burning '!$C$11*$C$5*$I$15</f>
        <v>5.3276531019949988E-2</v>
      </c>
      <c r="AH112" s="618">
        <f t="shared" si="10"/>
        <v>8.8611857268916683E-2</v>
      </c>
      <c r="AI112" s="104"/>
    </row>
    <row r="113" spans="1:35">
      <c r="A113" s="619">
        <f>'Input data'!A140</f>
        <v>2042</v>
      </c>
      <c r="B113" s="658">
        <f>'Recycling - Case 1'!AP120</f>
        <v>0.12146828085607687</v>
      </c>
      <c r="C113" s="672">
        <f>'Recycling - Case 1'!AF120*'Recycling - Case 1'!BM120*'Recycling - Case 1'!B120</f>
        <v>2304.5033364644191</v>
      </c>
      <c r="D113" s="672">
        <f>'Recycling - Case 1'!AF120*'Recycling - Case 1'!BN120*'Recycling - Case 1'!B120</f>
        <v>3079.9215713072472</v>
      </c>
      <c r="E113" s="672">
        <f>'Recycling - Case 1'!AF120*'Recycling - Case 1'!BO120*'Recycling - Case 1'!B120</f>
        <v>1033.6890649706504</v>
      </c>
      <c r="F113" s="672">
        <f>'Recycling - Case 1'!AF120*'Recycling - Case 1'!BP120*'Recycling - Case 1'!B120</f>
        <v>0</v>
      </c>
      <c r="G113" s="672">
        <f>'Recycling - Case 1'!AF120*'Recycling - Case 1'!BQ120*'Recycling - Case 1'!B120</f>
        <v>0</v>
      </c>
      <c r="H113" s="672">
        <f>'Recycling - Case 1'!AF120*'Recycling - Case 1'!BR120*'Recycling - Case 1'!B120</f>
        <v>0</v>
      </c>
      <c r="I113" s="672">
        <f>'Recycling - Case 1'!AF120*'Recycling - Case 1'!BS120*'Recycling - Case 1'!B120</f>
        <v>5166.6778601580554</v>
      </c>
      <c r="J113" s="945">
        <f t="shared" si="11"/>
        <v>11584.791832900373</v>
      </c>
      <c r="K113" s="613">
        <f>'4C2 Open-burning '!B113*'4C2 Open-burning '!$C$14*'4C2 Open-burning '!$C$5*'4C2 Open-burning '!$C$6*'4C2 Open-burning '!$C$7*C113</f>
        <v>0</v>
      </c>
      <c r="L113" s="614">
        <f>'4C2 Open-burning '!B113*'4C2 Open-burning '!$D$14*'4C2 Open-burning '!$C$5*'4C2 Open-burning '!$C$6*'4C2 Open-burning '!$C$7*D113</f>
        <v>0</v>
      </c>
      <c r="M113" s="614">
        <f>'4C2 Open-burning '!B113*'4C2 Open-burning '!$E$14*'4C2 Open-burning '!$C$5*'4C2 Open-burning '!$C$6*'4C2 Open-burning '!$C$7*E113</f>
        <v>0.66329056927869812</v>
      </c>
      <c r="N113" s="614">
        <f>'4C2 Open-burning '!B113*'4C2 Open-burning '!$F$14*'4C2 Open-burning '!$C$5*'4C2 Open-burning '!$C$6*'4C2 Open-burning '!$C$7*F113</f>
        <v>0</v>
      </c>
      <c r="O113" s="614">
        <f>'4C2 Open-burning '!B113*'4C2 Open-burning '!$G$14*'4C2 Open-burning '!$C$5*'4C2 Open-burning '!$C$6*'4C2 Open-burning '!$C$7*G113</f>
        <v>0</v>
      </c>
      <c r="P113" s="614">
        <f>'4C2 Open-burning '!B113*'4C2 Open-burning '!$H$14*'4C2 Open-burning '!$C$5*'4C2 Open-burning '!$C$6*'4C2 Open-burning '!$C$7*H113</f>
        <v>0</v>
      </c>
      <c r="Q113" s="614">
        <f>'4C2 Open-burning '!B113*'4C2 Open-burning '!$I$14*'4C2 Open-burning '!$C$5*'4C2 Open-burning '!$C$6*'4C2 Open-burning '!$C$7*I113</f>
        <v>21.621643771748367</v>
      </c>
      <c r="R113" s="615">
        <f t="shared" si="8"/>
        <v>22.284934341027064</v>
      </c>
      <c r="S113" s="613">
        <f>B113*C113*'4C2 Open-burning '!$C$9*'4C2 Open-burning '!$C$11*$C$5</f>
        <v>1.0917038281789626</v>
      </c>
      <c r="T113" s="614">
        <f>B113*D113*'4C2 Open-burning '!$C$9*'4C2 Open-burning '!$C$11*$C$5</f>
        <v>1.4590398359091292</v>
      </c>
      <c r="U113" s="614">
        <f>B113*E113*'4C2 Open-burning '!$C$9*'4C2 Open-burning '!$C$11*$C$5</f>
        <v>0.4896856912806708</v>
      </c>
      <c r="V113" s="614">
        <f>B113*F113*'4C2 Open-burning '!$C$9*'4C2 Open-burning '!$C$11*$C$5</f>
        <v>0</v>
      </c>
      <c r="W113" s="614">
        <f>B113*G113*'4C2 Open-burning '!$C$9*'4C2 Open-burning '!$C$11*$C$5</f>
        <v>0</v>
      </c>
      <c r="X113" s="614">
        <f>B113*H113*'4C2 Open-burning '!$C$9*'4C2 Open-burning '!$C$11*$C$5</f>
        <v>0</v>
      </c>
      <c r="Y113" s="614">
        <f>B113*I113*'4C2 Open-burning '!$C$9*'4C2 Open-burning '!$C$11*$C$5</f>
        <v>2.447591161901157</v>
      </c>
      <c r="Z113" s="615">
        <f t="shared" si="9"/>
        <v>5.4880205172699199</v>
      </c>
      <c r="AA113" s="616">
        <f>B113*C113*'4C2 Open-burning '!$C$10*'4C2 Open-burning '!$C$11*$C$5*$C$15</f>
        <v>1.0077266106267349E-2</v>
      </c>
      <c r="AB113" s="617">
        <f>B113*D113*'4C2 Open-burning '!$C$10*'4C2 Open-burning '!$C$11*$C$5*$D$15</f>
        <v>1.3468060023776577E-2</v>
      </c>
      <c r="AC113" s="617">
        <f>B113*E113*'4C2 Open-burning '!$C$10*'4C2 Open-burning '!$C$11*$C$5*$E$15</f>
        <v>1.0170395126598546E-2</v>
      </c>
      <c r="AD113" s="617">
        <f>B113*F113*'4C2 Open-burning '!$C$10*'4C2 Open-burning '!$C$11*$C$5*$F$15</f>
        <v>0</v>
      </c>
      <c r="AE113" s="617">
        <f>B113*G113*'4C2 Open-burning '!$C$10*'4C2 Open-burning '!$C$11*$C$5*$G$15</f>
        <v>0</v>
      </c>
      <c r="AF113" s="617">
        <f>B113*H113*'4C2 Open-burning '!$C$10*'4C2 Open-burning '!$C$11*$C$5*$H$15</f>
        <v>0</v>
      </c>
      <c r="AG113" s="617">
        <f>B113*I113*'4C2 Open-burning '!$C$10*'4C2 Open-burning '!$C$11*$C$5*$I$15</f>
        <v>5.0834585670254784E-2</v>
      </c>
      <c r="AH113" s="618">
        <f t="shared" si="10"/>
        <v>8.4550306926897259E-2</v>
      </c>
      <c r="AI113" s="104"/>
    </row>
    <row r="114" spans="1:35">
      <c r="A114" s="619">
        <f>'Input data'!A141</f>
        <v>2043</v>
      </c>
      <c r="B114" s="658">
        <f>'Recycling - Case 1'!AP121</f>
        <v>0.12146828085607687</v>
      </c>
      <c r="C114" s="672">
        <f>'Recycling - Case 1'!AF121*'Recycling - Case 1'!BM121*'Recycling - Case 1'!B121</f>
        <v>2192.3405877607124</v>
      </c>
      <c r="D114" s="672">
        <f>'Recycling - Case 1'!AF121*'Recycling - Case 1'!BN121*'Recycling - Case 1'!B121</f>
        <v>2930.0183519178345</v>
      </c>
      <c r="E114" s="672">
        <f>'Recycling - Case 1'!AF121*'Recycling - Case 1'!BO121*'Recycling - Case 1'!B121</f>
        <v>983.37826480928004</v>
      </c>
      <c r="F114" s="672">
        <f>'Recycling - Case 1'!AF121*'Recycling - Case 1'!BP121*'Recycling - Case 1'!B121</f>
        <v>0</v>
      </c>
      <c r="G114" s="672">
        <f>'Recycling - Case 1'!AF121*'Recycling - Case 1'!BQ121*'Recycling - Case 1'!B121</f>
        <v>0</v>
      </c>
      <c r="H114" s="672">
        <f>'Recycling - Case 1'!AF121*'Recycling - Case 1'!BR121*'Recycling - Case 1'!B121</f>
        <v>0</v>
      </c>
      <c r="I114" s="672">
        <f>'Recycling - Case 1'!AF121*'Recycling - Case 1'!BS121*'Recycling - Case 1'!B121</f>
        <v>4915.209883830019</v>
      </c>
      <c r="J114" s="945">
        <f t="shared" si="11"/>
        <v>11020.947088317846</v>
      </c>
      <c r="K114" s="613">
        <f>'4C2 Open-burning '!B114*'4C2 Open-burning '!$C$14*'4C2 Open-burning '!$C$5*'4C2 Open-burning '!$C$6*'4C2 Open-burning '!$C$7*C114</f>
        <v>0</v>
      </c>
      <c r="L114" s="614">
        <f>'4C2 Open-burning '!B114*'4C2 Open-burning '!$D$14*'4C2 Open-burning '!$C$5*'4C2 Open-burning '!$C$6*'4C2 Open-burning '!$C$7*D114</f>
        <v>0</v>
      </c>
      <c r="M114" s="614">
        <f>'4C2 Open-burning '!B114*'4C2 Open-burning '!$E$14*'4C2 Open-burning '!$C$5*'4C2 Open-burning '!$C$6*'4C2 Open-burning '!$C$7*E114</f>
        <v>0.63100747718576811</v>
      </c>
      <c r="N114" s="614">
        <f>'4C2 Open-burning '!B114*'4C2 Open-burning '!$F$14*'4C2 Open-burning '!$C$5*'4C2 Open-burning '!$C$6*'4C2 Open-burning '!$C$7*F114</f>
        <v>0</v>
      </c>
      <c r="O114" s="614">
        <f>'4C2 Open-burning '!B114*'4C2 Open-burning '!$G$14*'4C2 Open-burning '!$C$5*'4C2 Open-burning '!$C$6*'4C2 Open-burning '!$C$7*G114</f>
        <v>0</v>
      </c>
      <c r="P114" s="614">
        <f>'4C2 Open-burning '!B114*'4C2 Open-burning '!$H$14*'4C2 Open-burning '!$C$5*'4C2 Open-burning '!$C$6*'4C2 Open-burning '!$C$7*H114</f>
        <v>0</v>
      </c>
      <c r="Q114" s="614">
        <f>'4C2 Open-burning '!B114*'4C2 Open-burning '!$I$14*'4C2 Open-burning '!$C$5*'4C2 Open-burning '!$C$6*'4C2 Open-burning '!$C$7*I114</f>
        <v>20.569294244386715</v>
      </c>
      <c r="R114" s="615">
        <f t="shared" si="8"/>
        <v>21.200301721572483</v>
      </c>
      <c r="S114" s="613">
        <f>B114*C114*'4C2 Open-burning '!$C$9*'4C2 Open-burning '!$C$11*$C$5</f>
        <v>1.0385693847605499</v>
      </c>
      <c r="T114" s="614">
        <f>B114*D114*'4C2 Open-burning '!$C$9*'4C2 Open-burning '!$C$11*$C$5</f>
        <v>1.3880267391284384</v>
      </c>
      <c r="U114" s="614">
        <f>B114*E114*'4C2 Open-burning '!$C$9*'4C2 Open-burning '!$C$11*$C$5</f>
        <v>0.46585214230469907</v>
      </c>
      <c r="V114" s="614">
        <f>B114*F114*'4C2 Open-burning '!$C$9*'4C2 Open-burning '!$C$11*$C$5</f>
        <v>0</v>
      </c>
      <c r="W114" s="614">
        <f>B114*G114*'4C2 Open-burning '!$C$9*'4C2 Open-burning '!$C$11*$C$5</f>
        <v>0</v>
      </c>
      <c r="X114" s="614">
        <f>B114*H114*'4C2 Open-burning '!$C$9*'4C2 Open-burning '!$C$11*$C$5</f>
        <v>0</v>
      </c>
      <c r="Y114" s="614">
        <f>B114*I114*'4C2 Open-burning '!$C$9*'4C2 Open-burning '!$C$11*$C$5</f>
        <v>2.328464169078956</v>
      </c>
      <c r="Z114" s="615">
        <f t="shared" si="9"/>
        <v>5.220912435272643</v>
      </c>
      <c r="AA114" s="616">
        <f>B114*C114*'4C2 Open-burning '!$C$10*'4C2 Open-burning '!$C$11*$C$5*$C$15</f>
        <v>9.5867943208666154E-3</v>
      </c>
      <c r="AB114" s="617">
        <f>B114*D114*'4C2 Open-burning '!$C$10*'4C2 Open-burning '!$C$11*$C$5*$D$15</f>
        <v>1.2812554515031742E-2</v>
      </c>
      <c r="AC114" s="617">
        <f>B114*E114*'4C2 Open-burning '!$C$10*'4C2 Open-burning '!$C$11*$C$5*$E$15</f>
        <v>9.6753906478668269E-3</v>
      </c>
      <c r="AD114" s="617">
        <f>B114*F114*'4C2 Open-burning '!$C$10*'4C2 Open-burning '!$C$11*$C$5*$F$15</f>
        <v>0</v>
      </c>
      <c r="AE114" s="617">
        <f>B114*G114*'4C2 Open-burning '!$C$10*'4C2 Open-burning '!$C$11*$C$5*$G$15</f>
        <v>0</v>
      </c>
      <c r="AF114" s="617">
        <f>B114*H114*'4C2 Open-burning '!$C$10*'4C2 Open-burning '!$C$11*$C$5*$H$15</f>
        <v>0</v>
      </c>
      <c r="AG114" s="617">
        <f>B114*I114*'4C2 Open-burning '!$C$10*'4C2 Open-burning '!$C$11*$C$5*$I$15</f>
        <v>4.8360409665486E-2</v>
      </c>
      <c r="AH114" s="618">
        <f t="shared" si="10"/>
        <v>8.0435149149251178E-2</v>
      </c>
      <c r="AI114" s="104"/>
    </row>
    <row r="115" spans="1:35">
      <c r="A115" s="619">
        <f>'Input data'!A142</f>
        <v>2044</v>
      </c>
      <c r="B115" s="658">
        <f>'Recycling - Case 1'!AP122</f>
        <v>0.1214682808560769</v>
      </c>
      <c r="C115" s="672">
        <f>'Recycling - Case 1'!AF122*'Recycling - Case 1'!BM122*'Recycling - Case 1'!B122</f>
        <v>2078.6726490275164</v>
      </c>
      <c r="D115" s="672">
        <f>'Recycling - Case 1'!AF122*'Recycling - Case 1'!BN122*'Recycling - Case 1'!B122</f>
        <v>2778.1034768421891</v>
      </c>
      <c r="E115" s="672">
        <f>'Recycling - Case 1'!AF122*'Recycling - Case 1'!BO122*'Recycling - Case 1'!B122</f>
        <v>932.39230898657195</v>
      </c>
      <c r="F115" s="672">
        <f>'Recycling - Case 1'!AF122*'Recycling - Case 1'!BP122*'Recycling - Case 1'!B122</f>
        <v>0</v>
      </c>
      <c r="G115" s="672">
        <f>'Recycling - Case 1'!AF122*'Recycling - Case 1'!BQ122*'Recycling - Case 1'!B122</f>
        <v>0</v>
      </c>
      <c r="H115" s="672">
        <f>'Recycling - Case 1'!AF122*'Recycling - Case 1'!BR122*'Recycling - Case 1'!B122</f>
        <v>0</v>
      </c>
      <c r="I115" s="672">
        <f>'Recycling - Case 1'!AF122*'Recycling - Case 1'!BS122*'Recycling - Case 1'!B122</f>
        <v>4660.3672836176793</v>
      </c>
      <c r="J115" s="945">
        <f t="shared" si="11"/>
        <v>10449.535718473957</v>
      </c>
      <c r="K115" s="613">
        <f>'4C2 Open-burning '!B115*'4C2 Open-burning '!$C$14*'4C2 Open-burning '!$C$5*'4C2 Open-burning '!$C$6*'4C2 Open-burning '!$C$7*C115</f>
        <v>0</v>
      </c>
      <c r="L115" s="614">
        <f>'4C2 Open-burning '!B115*'4C2 Open-burning '!$D$14*'4C2 Open-burning '!$C$5*'4C2 Open-burning '!$C$6*'4C2 Open-burning '!$C$7*D115</f>
        <v>0</v>
      </c>
      <c r="M115" s="614">
        <f>'4C2 Open-burning '!B115*'4C2 Open-burning '!$E$14*'4C2 Open-burning '!$C$5*'4C2 Open-burning '!$C$6*'4C2 Open-burning '!$C$7*E115</f>
        <v>0.59829115579968217</v>
      </c>
      <c r="N115" s="614">
        <f>'4C2 Open-burning '!B115*'4C2 Open-burning '!$F$14*'4C2 Open-burning '!$C$5*'4C2 Open-burning '!$C$6*'4C2 Open-burning '!$C$7*F115</f>
        <v>0</v>
      </c>
      <c r="O115" s="614">
        <f>'4C2 Open-burning '!B115*'4C2 Open-burning '!$G$14*'4C2 Open-burning '!$C$5*'4C2 Open-burning '!$C$6*'4C2 Open-burning '!$C$7*G115</f>
        <v>0</v>
      </c>
      <c r="P115" s="614">
        <f>'4C2 Open-burning '!B115*'4C2 Open-burning '!$H$14*'4C2 Open-burning '!$C$5*'4C2 Open-burning '!$C$6*'4C2 Open-burning '!$C$7*H115</f>
        <v>0</v>
      </c>
      <c r="Q115" s="614">
        <f>'4C2 Open-burning '!B115*'4C2 Open-burning '!$I$14*'4C2 Open-burning '!$C$5*'4C2 Open-burning '!$C$6*'4C2 Open-burning '!$C$7*I115</f>
        <v>19.502822505912832</v>
      </c>
      <c r="R115" s="615">
        <f t="shared" si="8"/>
        <v>20.101113661712514</v>
      </c>
      <c r="S115" s="613">
        <f>B115*C115*'4C2 Open-burning '!$C$9*'4C2 Open-burning '!$C$11*$C$5</f>
        <v>0.98472189324568693</v>
      </c>
      <c r="T115" s="614">
        <f>B115*D115*'4C2 Open-burning '!$C$9*'4C2 Open-burning '!$C$11*$C$5</f>
        <v>1.3160606681520119</v>
      </c>
      <c r="U115" s="614">
        <f>B115*E115*'4C2 Open-burning '!$C$9*'4C2 Open-burning '!$C$11*$C$5</f>
        <v>0.44169875433850514</v>
      </c>
      <c r="V115" s="614">
        <f>B115*F115*'4C2 Open-burning '!$C$9*'4C2 Open-burning '!$C$11*$C$5</f>
        <v>0</v>
      </c>
      <c r="W115" s="614">
        <f>B115*G115*'4C2 Open-burning '!$C$9*'4C2 Open-burning '!$C$11*$C$5</f>
        <v>0</v>
      </c>
      <c r="X115" s="614">
        <f>B115*H115*'4C2 Open-burning '!$C$9*'4C2 Open-burning '!$C$11*$C$5</f>
        <v>0</v>
      </c>
      <c r="Y115" s="614">
        <f>B115*I115*'4C2 Open-burning '!$C$9*'4C2 Open-burning '!$C$11*$C$5</f>
        <v>2.207738528185883</v>
      </c>
      <c r="Z115" s="615">
        <f t="shared" si="9"/>
        <v>4.9502198439220866</v>
      </c>
      <c r="AA115" s="616">
        <f>B115*C115*'4C2 Open-burning '!$C$10*'4C2 Open-burning '!$C$11*$C$5*$C$15</f>
        <v>9.0897405530371098E-3</v>
      </c>
      <c r="AB115" s="617">
        <f>B115*D115*'4C2 Open-burning '!$C$10*'4C2 Open-burning '!$C$11*$C$5*$D$15</f>
        <v>1.2148252321403187E-2</v>
      </c>
      <c r="AC115" s="617">
        <f>B115*E115*'4C2 Open-burning '!$C$10*'4C2 Open-burning '!$C$11*$C$5*$E$15</f>
        <v>9.1737433593381823E-3</v>
      </c>
      <c r="AD115" s="617">
        <f>B115*F115*'4C2 Open-burning '!$C$10*'4C2 Open-burning '!$C$11*$C$5*$F$15</f>
        <v>0</v>
      </c>
      <c r="AE115" s="617">
        <f>B115*G115*'4C2 Open-burning '!$C$10*'4C2 Open-burning '!$C$11*$C$5*$G$15</f>
        <v>0</v>
      </c>
      <c r="AF115" s="617">
        <f>B115*H115*'4C2 Open-burning '!$C$10*'4C2 Open-burning '!$C$11*$C$5*$H$15</f>
        <v>0</v>
      </c>
      <c r="AG115" s="617">
        <f>B115*I115*'4C2 Open-burning '!$C$10*'4C2 Open-burning '!$C$11*$C$5*$I$15</f>
        <v>4.5853030970014495E-2</v>
      </c>
      <c r="AH115" s="618">
        <f t="shared" si="10"/>
        <v>7.6264767203792966E-2</v>
      </c>
      <c r="AI115" s="104"/>
    </row>
    <row r="116" spans="1:35">
      <c r="A116" s="619">
        <f>'Input data'!A143</f>
        <v>2045</v>
      </c>
      <c r="B116" s="658">
        <f>'Recycling - Case 1'!AP123</f>
        <v>0.12146828085607689</v>
      </c>
      <c r="C116" s="672">
        <f>'Recycling - Case 1'!AF123*'Recycling - Case 1'!BM123*'Recycling - Case 1'!B123</f>
        <v>1963.542426298028</v>
      </c>
      <c r="D116" s="672">
        <f>'Recycling - Case 1'!AF123*'Recycling - Case 1'!BN123*'Recycling - Case 1'!B123</f>
        <v>2624.2342891160488</v>
      </c>
      <c r="E116" s="672">
        <f>'Recycling - Case 1'!AF123*'Recycling - Case 1'!BO123*'Recycling - Case 1'!B123</f>
        <v>880.75044307992857</v>
      </c>
      <c r="F116" s="672">
        <f>'Recycling - Case 1'!AF123*'Recycling - Case 1'!BP123*'Recycling - Case 1'!B123</f>
        <v>0</v>
      </c>
      <c r="G116" s="672">
        <f>'Recycling - Case 1'!AF123*'Recycling - Case 1'!BQ123*'Recycling - Case 1'!B123</f>
        <v>0</v>
      </c>
      <c r="H116" s="672">
        <f>'Recycling - Case 1'!AF123*'Recycling - Case 1'!BR123*'Recycling - Case 1'!B123</f>
        <v>0</v>
      </c>
      <c r="I116" s="672">
        <f>'Recycling - Case 1'!AF123*'Recycling - Case 1'!BS123*'Recycling - Case 1'!B123</f>
        <v>4402.2462545007847</v>
      </c>
      <c r="J116" s="945">
        <f t="shared" si="11"/>
        <v>9870.7734129947894</v>
      </c>
      <c r="K116" s="613">
        <f>'4C2 Open-burning '!B116*'4C2 Open-burning '!$C$14*'4C2 Open-burning '!$C$5*'4C2 Open-burning '!$C$6*'4C2 Open-burning '!$C$7*C116</f>
        <v>0</v>
      </c>
      <c r="L116" s="614">
        <f>'4C2 Open-burning '!B116*'4C2 Open-burning '!$D$14*'4C2 Open-burning '!$C$5*'4C2 Open-burning '!$C$6*'4C2 Open-burning '!$C$7*D116</f>
        <v>0</v>
      </c>
      <c r="M116" s="614">
        <f>'4C2 Open-burning '!B116*'4C2 Open-burning '!$E$14*'4C2 Open-burning '!$C$5*'4C2 Open-burning '!$C$6*'4C2 Open-burning '!$C$7*E116</f>
        <v>0.56515395449166184</v>
      </c>
      <c r="N116" s="614">
        <f>'4C2 Open-burning '!B116*'4C2 Open-burning '!$F$14*'4C2 Open-burning '!$C$5*'4C2 Open-burning '!$C$6*'4C2 Open-burning '!$C$7*F116</f>
        <v>0</v>
      </c>
      <c r="O116" s="614">
        <f>'4C2 Open-burning '!B116*'4C2 Open-burning '!$G$14*'4C2 Open-burning '!$C$5*'4C2 Open-burning '!$C$6*'4C2 Open-burning '!$C$7*G116</f>
        <v>0</v>
      </c>
      <c r="P116" s="614">
        <f>'4C2 Open-burning '!B116*'4C2 Open-burning '!$H$14*'4C2 Open-burning '!$C$5*'4C2 Open-burning '!$C$6*'4C2 Open-burning '!$C$7*H116</f>
        <v>0</v>
      </c>
      <c r="Q116" s="614">
        <f>'4C2 Open-burning '!B116*'4C2 Open-burning '!$I$14*'4C2 Open-burning '!$C$5*'4C2 Open-burning '!$C$6*'4C2 Open-burning '!$C$7*I116</f>
        <v>18.422631115503236</v>
      </c>
      <c r="R116" s="615">
        <f t="shared" si="8"/>
        <v>18.987785069994899</v>
      </c>
      <c r="S116" s="613">
        <f>B116*C116*'4C2 Open-burning '!$C$9*'4C2 Open-burning '!$C$11*$C$5</f>
        <v>0.93018167935052676</v>
      </c>
      <c r="T116" s="614">
        <f>B116*D116*'4C2 Open-burning '!$C$9*'4C2 Open-burning '!$C$11*$C$5</f>
        <v>1.2431687878837325</v>
      </c>
      <c r="U116" s="614">
        <f>B116*E116*'4C2 Open-burning '!$C$9*'4C2 Open-burning '!$C$11*$C$5</f>
        <v>0.41723464451817299</v>
      </c>
      <c r="V116" s="614">
        <f>B116*F116*'4C2 Open-burning '!$C$9*'4C2 Open-burning '!$C$11*$C$5</f>
        <v>0</v>
      </c>
      <c r="W116" s="614">
        <f>B116*G116*'4C2 Open-burning '!$C$9*'4C2 Open-burning '!$C$11*$C$5</f>
        <v>0</v>
      </c>
      <c r="X116" s="614">
        <f>B116*H116*'4C2 Open-burning '!$C$9*'4C2 Open-burning '!$C$11*$C$5</f>
        <v>0</v>
      </c>
      <c r="Y116" s="614">
        <f>B116*I116*'4C2 Open-burning '!$C$9*'4C2 Open-burning '!$C$11*$C$5</f>
        <v>2.0854598093133236</v>
      </c>
      <c r="Z116" s="615">
        <f t="shared" si="9"/>
        <v>4.6760449210657562</v>
      </c>
      <c r="AA116" s="616">
        <f>B116*C116*'4C2 Open-burning '!$C$10*'4C2 Open-burning '!$C$11*$C$5*$C$15</f>
        <v>8.5862924247740932E-3</v>
      </c>
      <c r="AB116" s="617">
        <f>B116*D116*'4C2 Open-burning '!$C$10*'4C2 Open-burning '!$C$11*$C$5*$D$15</f>
        <v>1.1475404195849838E-2</v>
      </c>
      <c r="AC116" s="617">
        <f>B116*E116*'4C2 Open-burning '!$C$10*'4C2 Open-burning '!$C$11*$C$5*$E$15</f>
        <v>8.6656426169159015E-3</v>
      </c>
      <c r="AD116" s="617">
        <f>B116*F116*'4C2 Open-burning '!$C$10*'4C2 Open-burning '!$C$11*$C$5*$F$15</f>
        <v>0</v>
      </c>
      <c r="AE116" s="617">
        <f>B116*G116*'4C2 Open-burning '!$C$10*'4C2 Open-burning '!$C$11*$C$5*$G$15</f>
        <v>0</v>
      </c>
      <c r="AF116" s="617">
        <f>B116*H116*'4C2 Open-burning '!$C$10*'4C2 Open-burning '!$C$11*$C$5*$H$15</f>
        <v>0</v>
      </c>
      <c r="AG116" s="617">
        <f>B116*I116*'4C2 Open-burning '!$C$10*'4C2 Open-burning '!$C$11*$C$5*$I$15</f>
        <v>4.3313396039584423E-2</v>
      </c>
      <c r="AH116" s="618">
        <f t="shared" si="10"/>
        <v>7.2040735277124263E-2</v>
      </c>
      <c r="AI116" s="104"/>
    </row>
    <row r="117" spans="1:35">
      <c r="A117" s="619">
        <f>'Input data'!A144</f>
        <v>2046</v>
      </c>
      <c r="B117" s="658">
        <f>'Recycling - Case 1'!AP124</f>
        <v>0.1214682808560769</v>
      </c>
      <c r="C117" s="672">
        <f>'Recycling - Case 1'!AF124*'Recycling - Case 1'!BM124*'Recycling - Case 1'!B124</f>
        <v>1844.8347680978318</v>
      </c>
      <c r="D117" s="672">
        <f>'Recycling - Case 1'!AF124*'Recycling - Case 1'!BN124*'Recycling - Case 1'!B124</f>
        <v>2465.5839320586047</v>
      </c>
      <c r="E117" s="672">
        <f>'Recycling - Case 1'!AF124*'Recycling - Case 1'!BO124*'Recycling - Case 1'!B124</f>
        <v>827.50391213844</v>
      </c>
      <c r="F117" s="672">
        <f>'Recycling - Case 1'!AF124*'Recycling - Case 1'!BP124*'Recycling - Case 1'!B124</f>
        <v>0</v>
      </c>
      <c r="G117" s="672">
        <f>'Recycling - Case 1'!AF124*'Recycling - Case 1'!BQ124*'Recycling - Case 1'!B124</f>
        <v>0</v>
      </c>
      <c r="H117" s="672">
        <f>'Recycling - Case 1'!AF124*'Recycling - Case 1'!BR124*'Recycling - Case 1'!B124</f>
        <v>0</v>
      </c>
      <c r="I117" s="672">
        <f>'Recycling - Case 1'!AF124*'Recycling - Case 1'!BS124*'Recycling - Case 1'!B124</f>
        <v>4136.104643963944</v>
      </c>
      <c r="J117" s="945">
        <f t="shared" si="11"/>
        <v>9274.0272562588216</v>
      </c>
      <c r="K117" s="613">
        <f>'4C2 Open-burning '!B117*'4C2 Open-burning '!$C$14*'4C2 Open-burning '!$C$5*'4C2 Open-burning '!$C$6*'4C2 Open-burning '!$C$7*C117</f>
        <v>0</v>
      </c>
      <c r="L117" s="614">
        <f>'4C2 Open-burning '!B117*'4C2 Open-burning '!$D$14*'4C2 Open-burning '!$C$5*'4C2 Open-burning '!$C$6*'4C2 Open-burning '!$C$7*D117</f>
        <v>0</v>
      </c>
      <c r="M117" s="614">
        <f>'4C2 Open-burning '!B117*'4C2 Open-burning '!$E$14*'4C2 Open-burning '!$C$5*'4C2 Open-burning '!$C$6*'4C2 Open-burning '!$C$7*E117</f>
        <v>0.53098708263711769</v>
      </c>
      <c r="N117" s="614">
        <f>'4C2 Open-burning '!B117*'4C2 Open-burning '!$F$14*'4C2 Open-burning '!$C$5*'4C2 Open-burning '!$C$6*'4C2 Open-burning '!$C$7*F117</f>
        <v>0</v>
      </c>
      <c r="O117" s="614">
        <f>'4C2 Open-burning '!B117*'4C2 Open-burning '!$G$14*'4C2 Open-burning '!$C$5*'4C2 Open-burning '!$C$6*'4C2 Open-burning '!$C$7*G117</f>
        <v>0</v>
      </c>
      <c r="P117" s="614">
        <f>'4C2 Open-burning '!B117*'4C2 Open-burning '!$H$14*'4C2 Open-burning '!$C$5*'4C2 Open-burning '!$C$6*'4C2 Open-burning '!$C$7*H117</f>
        <v>0</v>
      </c>
      <c r="Q117" s="614">
        <f>'4C2 Open-burning '!B117*'4C2 Open-burning '!$I$14*'4C2 Open-burning '!$C$5*'4C2 Open-burning '!$C$6*'4C2 Open-burning '!$C$7*I117</f>
        <v>17.308874993752131</v>
      </c>
      <c r="R117" s="615">
        <f t="shared" si="8"/>
        <v>17.839862076389249</v>
      </c>
      <c r="S117" s="613">
        <f>B117*C117*'4C2 Open-burning '!$C$9*'4C2 Open-burning '!$C$11*$C$5</f>
        <v>0.87394674020301533</v>
      </c>
      <c r="T117" s="614">
        <f>B117*D117*'4C2 Open-burning '!$C$9*'4C2 Open-burning '!$C$11*$C$5</f>
        <v>1.1680119419807475</v>
      </c>
      <c r="U117" s="614">
        <f>B117*E117*'4C2 Open-burning '!$C$9*'4C2 Open-burning '!$C$11*$C$5</f>
        <v>0.39201036267562417</v>
      </c>
      <c r="V117" s="614">
        <f>B117*F117*'4C2 Open-burning '!$C$9*'4C2 Open-burning '!$C$11*$C$5</f>
        <v>0</v>
      </c>
      <c r="W117" s="614">
        <f>B117*G117*'4C2 Open-burning '!$C$9*'4C2 Open-burning '!$C$11*$C$5</f>
        <v>0</v>
      </c>
      <c r="X117" s="614">
        <f>B117*H117*'4C2 Open-burning '!$C$9*'4C2 Open-burning '!$C$11*$C$5</f>
        <v>0</v>
      </c>
      <c r="Y117" s="614">
        <f>B117*I117*'4C2 Open-burning '!$C$9*'4C2 Open-burning '!$C$11*$C$5</f>
        <v>1.9593815301182316</v>
      </c>
      <c r="Z117" s="615">
        <f t="shared" si="9"/>
        <v>4.3933505749776192</v>
      </c>
      <c r="AA117" s="616">
        <f>B117*C117*'4C2 Open-burning '!$C$10*'4C2 Open-burning '!$C$11*$C$5*$C$15</f>
        <v>8.0672006787970655E-3</v>
      </c>
      <c r="AB117" s="617">
        <f>B117*D117*'4C2 Open-burning '!$C$10*'4C2 Open-burning '!$C$11*$C$5*$D$15</f>
        <v>1.0781648695206902E-2</v>
      </c>
      <c r="AC117" s="617">
        <f>B117*E117*'4C2 Open-burning '!$C$10*'4C2 Open-burning '!$C$11*$C$5*$E$15</f>
        <v>8.1417536863398858E-3</v>
      </c>
      <c r="AD117" s="617">
        <f>B117*F117*'4C2 Open-burning '!$C$10*'4C2 Open-burning '!$C$11*$C$5*$F$15</f>
        <v>0</v>
      </c>
      <c r="AE117" s="617">
        <f>B117*G117*'4C2 Open-burning '!$C$10*'4C2 Open-burning '!$C$11*$C$5*$G$15</f>
        <v>0</v>
      </c>
      <c r="AF117" s="617">
        <f>B117*H117*'4C2 Open-burning '!$C$10*'4C2 Open-burning '!$C$11*$C$5*$H$15</f>
        <v>0</v>
      </c>
      <c r="AG117" s="617">
        <f>B117*I117*'4C2 Open-burning '!$C$10*'4C2 Open-burning '!$C$11*$C$5*$I$15</f>
        <v>4.069484716399404E-2</v>
      </c>
      <c r="AH117" s="618">
        <f t="shared" si="10"/>
        <v>6.768545022433789E-2</v>
      </c>
      <c r="AI117" s="104"/>
    </row>
    <row r="118" spans="1:35">
      <c r="A118" s="619">
        <f>'Input data'!A145</f>
        <v>2047</v>
      </c>
      <c r="B118" s="658">
        <f>'Recycling - Case 1'!AP125</f>
        <v>0.12146828085607689</v>
      </c>
      <c r="C118" s="672">
        <f>'Recycling - Case 1'!AF125*'Recycling - Case 1'!BM125*'Recycling - Case 1'!B125</f>
        <v>1724.8921119150414</v>
      </c>
      <c r="D118" s="672">
        <f>'Recycling - Case 1'!AF125*'Recycling - Case 1'!BN125*'Recycling - Case 1'!B125</f>
        <v>2305.2830254589107</v>
      </c>
      <c r="E118" s="672">
        <f>'Recycling - Case 1'!AF125*'Recycling - Case 1'!BO125*'Recycling - Case 1'!B125</f>
        <v>773.70342065817999</v>
      </c>
      <c r="F118" s="672">
        <f>'Recycling - Case 1'!AF125*'Recycling - Case 1'!BP125*'Recycling - Case 1'!B125</f>
        <v>0</v>
      </c>
      <c r="G118" s="672">
        <f>'Recycling - Case 1'!AF125*'Recycling - Case 1'!BQ125*'Recycling - Case 1'!B125</f>
        <v>0</v>
      </c>
      <c r="H118" s="672">
        <f>'Recycling - Case 1'!AF125*'Recycling - Case 1'!BR125*'Recycling - Case 1'!B125</f>
        <v>0</v>
      </c>
      <c r="I118" s="672">
        <f>'Recycling - Case 1'!AF125*'Recycling - Case 1'!BS125*'Recycling - Case 1'!B125</f>
        <v>3867.1941779288077</v>
      </c>
      <c r="J118" s="945">
        <f t="shared" si="11"/>
        <v>8671.0727359609391</v>
      </c>
      <c r="K118" s="613">
        <f>'4C2 Open-burning '!B118*'4C2 Open-burning '!$C$14*'4C2 Open-burning '!$C$5*'4C2 Open-burning '!$C$6*'4C2 Open-burning '!$C$7*C118</f>
        <v>0</v>
      </c>
      <c r="L118" s="614">
        <f>'4C2 Open-burning '!B118*'4C2 Open-burning '!$D$14*'4C2 Open-burning '!$C$5*'4C2 Open-burning '!$C$6*'4C2 Open-burning '!$C$7*D118</f>
        <v>0</v>
      </c>
      <c r="M118" s="614">
        <f>'4C2 Open-burning '!B118*'4C2 Open-burning '!$E$14*'4C2 Open-burning '!$C$5*'4C2 Open-burning '!$C$6*'4C2 Open-burning '!$C$7*E118</f>
        <v>0.49646474915143979</v>
      </c>
      <c r="N118" s="614">
        <f>'4C2 Open-burning '!B118*'4C2 Open-burning '!$F$14*'4C2 Open-burning '!$C$5*'4C2 Open-burning '!$C$6*'4C2 Open-burning '!$C$7*F118</f>
        <v>0</v>
      </c>
      <c r="O118" s="614">
        <f>'4C2 Open-burning '!B118*'4C2 Open-burning '!$G$14*'4C2 Open-burning '!$C$5*'4C2 Open-burning '!$C$6*'4C2 Open-burning '!$C$7*G118</f>
        <v>0</v>
      </c>
      <c r="P118" s="614">
        <f>'4C2 Open-burning '!B118*'4C2 Open-burning '!$H$14*'4C2 Open-burning '!$C$5*'4C2 Open-burning '!$C$6*'4C2 Open-burning '!$C$7*H118</f>
        <v>0</v>
      </c>
      <c r="Q118" s="614">
        <f>'4C2 Open-burning '!B118*'4C2 Open-burning '!$I$14*'4C2 Open-burning '!$C$5*'4C2 Open-burning '!$C$6*'4C2 Open-burning '!$C$7*I118</f>
        <v>16.183531695703216</v>
      </c>
      <c r="R118" s="615">
        <f t="shared" si="8"/>
        <v>16.679996444854655</v>
      </c>
      <c r="S118" s="613">
        <f>B118*C118*'4C2 Open-burning '!$C$9*'4C2 Open-burning '!$C$11*$C$5</f>
        <v>0.81712675003645863</v>
      </c>
      <c r="T118" s="614">
        <f>B118*D118*'4C2 Open-burning '!$C$9*'4C2 Open-burning '!$C$11*$C$5</f>
        <v>1.0920731873578395</v>
      </c>
      <c r="U118" s="614">
        <f>B118*E118*'4C2 Open-burning '!$C$9*'4C2 Open-burning '!$C$11*$C$5</f>
        <v>0.36652365515927932</v>
      </c>
      <c r="V118" s="614">
        <f>B118*F118*'4C2 Open-burning '!$C$9*'4C2 Open-burning '!$C$11*$C$5</f>
        <v>0</v>
      </c>
      <c r="W118" s="614">
        <f>B118*G118*'4C2 Open-burning '!$C$9*'4C2 Open-burning '!$C$11*$C$5</f>
        <v>0</v>
      </c>
      <c r="X118" s="614">
        <f>B118*H118*'4C2 Open-burning '!$C$9*'4C2 Open-burning '!$C$11*$C$5</f>
        <v>0</v>
      </c>
      <c r="Y118" s="614">
        <f>B118*I118*'4C2 Open-burning '!$C$9*'4C2 Open-burning '!$C$11*$C$5</f>
        <v>1.8319915712656027</v>
      </c>
      <c r="Z118" s="615">
        <f t="shared" si="9"/>
        <v>4.1077151638191802</v>
      </c>
      <c r="AA118" s="616">
        <f>B118*C118*'4C2 Open-burning '!$C$10*'4C2 Open-burning '!$C$11*$C$5*$C$15</f>
        <v>7.5427084618750022E-3</v>
      </c>
      <c r="AB118" s="617">
        <f>B118*D118*'4C2 Open-burning '!$C$10*'4C2 Open-burning '!$C$11*$C$5*$D$15</f>
        <v>1.0080675575610827E-2</v>
      </c>
      <c r="AC118" s="617">
        <f>B118*E118*'4C2 Open-burning '!$C$10*'4C2 Open-burning '!$C$11*$C$5*$E$15</f>
        <v>7.6124143763850313E-3</v>
      </c>
      <c r="AD118" s="617">
        <f>B118*F118*'4C2 Open-burning '!$C$10*'4C2 Open-burning '!$C$11*$C$5*$F$15</f>
        <v>0</v>
      </c>
      <c r="AE118" s="617">
        <f>B118*G118*'4C2 Open-burning '!$C$10*'4C2 Open-burning '!$C$11*$C$5*$G$15</f>
        <v>0</v>
      </c>
      <c r="AF118" s="617">
        <f>B118*H118*'4C2 Open-burning '!$C$10*'4C2 Open-burning '!$C$11*$C$5*$H$15</f>
        <v>0</v>
      </c>
      <c r="AG118" s="617">
        <f>B118*I118*'4C2 Open-burning '!$C$10*'4C2 Open-burning '!$C$11*$C$5*$I$15</f>
        <v>3.8049055710900982E-2</v>
      </c>
      <c r="AH118" s="618">
        <f t="shared" si="10"/>
        <v>6.3284854124771847E-2</v>
      </c>
      <c r="AI118" s="104"/>
    </row>
    <row r="119" spans="1:35">
      <c r="A119" s="619">
        <f>'Input data'!A146</f>
        <v>2048</v>
      </c>
      <c r="B119" s="658">
        <f>'Recycling - Case 1'!AP126</f>
        <v>0.12146828085607689</v>
      </c>
      <c r="C119" s="672">
        <f>'Recycling - Case 1'!AF126*'Recycling - Case 1'!BM126*'Recycling - Case 1'!B126</f>
        <v>1733.7052430584363</v>
      </c>
      <c r="D119" s="672">
        <f>'Recycling - Case 1'!AF126*'Recycling - Case 1'!BN126*'Recycling - Case 1'!B126</f>
        <v>2317.0615949622838</v>
      </c>
      <c r="E119" s="672">
        <f>'Recycling - Case 1'!AF126*'Recycling - Case 1'!BO126*'Recycling - Case 1'!B126</f>
        <v>777.65656628697138</v>
      </c>
      <c r="F119" s="672">
        <f>'Recycling - Case 1'!AF126*'Recycling - Case 1'!BP126*'Recycling - Case 1'!B126</f>
        <v>0</v>
      </c>
      <c r="G119" s="672">
        <f>'Recycling - Case 1'!AF126*'Recycling - Case 1'!BQ126*'Recycling - Case 1'!B126</f>
        <v>0</v>
      </c>
      <c r="H119" s="672">
        <f>'Recycling - Case 1'!AF126*'Recycling - Case 1'!BR126*'Recycling - Case 1'!B126</f>
        <v>0</v>
      </c>
      <c r="I119" s="672">
        <f>'Recycling - Case 1'!AF126*'Recycling - Case 1'!BS126*'Recycling - Case 1'!B126</f>
        <v>3886.9531467429329</v>
      </c>
      <c r="J119" s="945">
        <f t="shared" si="11"/>
        <v>8715.3765510506237</v>
      </c>
      <c r="K119" s="613">
        <f>'4C2 Open-burning '!B119*'4C2 Open-burning '!$C$14*'4C2 Open-burning '!$C$5*'4C2 Open-burning '!$C$6*'4C2 Open-burning '!$C$7*C119</f>
        <v>0</v>
      </c>
      <c r="L119" s="614">
        <f>'4C2 Open-burning '!B119*'4C2 Open-burning '!$D$14*'4C2 Open-burning '!$C$5*'4C2 Open-burning '!$C$6*'4C2 Open-burning '!$C$7*D119</f>
        <v>0</v>
      </c>
      <c r="M119" s="614">
        <f>'4C2 Open-burning '!B119*'4C2 Open-burning '!$E$14*'4C2 Open-burning '!$C$5*'4C2 Open-burning '!$C$6*'4C2 Open-burning '!$C$7*E119</f>
        <v>0.49900137675389689</v>
      </c>
      <c r="N119" s="614">
        <f>'4C2 Open-burning '!B119*'4C2 Open-burning '!$F$14*'4C2 Open-burning '!$C$5*'4C2 Open-burning '!$C$6*'4C2 Open-burning '!$C$7*F119</f>
        <v>0</v>
      </c>
      <c r="O119" s="614">
        <f>'4C2 Open-burning '!B119*'4C2 Open-burning '!$G$14*'4C2 Open-burning '!$C$5*'4C2 Open-burning '!$C$6*'4C2 Open-burning '!$C$7*G119</f>
        <v>0</v>
      </c>
      <c r="P119" s="614">
        <f>'4C2 Open-burning '!B119*'4C2 Open-burning '!$H$14*'4C2 Open-burning '!$C$5*'4C2 Open-burning '!$C$6*'4C2 Open-burning '!$C$7*H119</f>
        <v>0</v>
      </c>
      <c r="Q119" s="614">
        <f>'4C2 Open-burning '!B119*'4C2 Open-burning '!$I$14*'4C2 Open-burning '!$C$5*'4C2 Open-burning '!$C$6*'4C2 Open-burning '!$C$7*I119</f>
        <v>16.266219526560747</v>
      </c>
      <c r="R119" s="615">
        <f t="shared" si="8"/>
        <v>16.765220903314642</v>
      </c>
      <c r="S119" s="613">
        <f>B119*C119*'4C2 Open-burning '!$C$9*'4C2 Open-burning '!$C$11*$C$5</f>
        <v>0.82130176200335303</v>
      </c>
      <c r="T119" s="614">
        <f>B119*D119*'4C2 Open-burning '!$C$9*'4C2 Open-burning '!$C$11*$C$5</f>
        <v>1.0976530054530618</v>
      </c>
      <c r="U119" s="614">
        <f>B119*E119*'4C2 Open-burning '!$C$9*'4C2 Open-burning '!$C$11*$C$5</f>
        <v>0.36839636419294103</v>
      </c>
      <c r="V119" s="614">
        <f>B119*F119*'4C2 Open-burning '!$C$9*'4C2 Open-burning '!$C$11*$C$5</f>
        <v>0</v>
      </c>
      <c r="W119" s="614">
        <f>B119*G119*'4C2 Open-burning '!$C$9*'4C2 Open-burning '!$C$11*$C$5</f>
        <v>0</v>
      </c>
      <c r="X119" s="614">
        <f>B119*H119*'4C2 Open-burning '!$C$9*'4C2 Open-burning '!$C$11*$C$5</f>
        <v>0</v>
      </c>
      <c r="Y119" s="614">
        <f>B119*I119*'4C2 Open-burning '!$C$9*'4C2 Open-burning '!$C$11*$C$5</f>
        <v>1.8413519143616315</v>
      </c>
      <c r="Z119" s="615">
        <f t="shared" si="9"/>
        <v>4.1287030460109868</v>
      </c>
      <c r="AA119" s="616">
        <f>B119*C119*'4C2 Open-burning '!$C$10*'4C2 Open-burning '!$C$11*$C$5*$C$15</f>
        <v>7.5812470338771053E-3</v>
      </c>
      <c r="AB119" s="617">
        <f>B119*D119*'4C2 Open-burning '!$C$10*'4C2 Open-burning '!$C$11*$C$5*$D$15</f>
        <v>1.0132181588797494E-2</v>
      </c>
      <c r="AC119" s="617">
        <f>B119*E119*'4C2 Open-burning '!$C$10*'4C2 Open-burning '!$C$11*$C$5*$E$15</f>
        <v>7.6513091024687733E-3</v>
      </c>
      <c r="AD119" s="617">
        <f>B119*F119*'4C2 Open-burning '!$C$10*'4C2 Open-burning '!$C$11*$C$5*$F$15</f>
        <v>0</v>
      </c>
      <c r="AE119" s="617">
        <f>B119*G119*'4C2 Open-burning '!$C$10*'4C2 Open-burning '!$C$11*$C$5*$G$15</f>
        <v>0</v>
      </c>
      <c r="AF119" s="617">
        <f>B119*H119*'4C2 Open-burning '!$C$10*'4C2 Open-burning '!$C$11*$C$5*$H$15</f>
        <v>0</v>
      </c>
      <c r="AG119" s="617">
        <f>B119*I119*'4C2 Open-burning '!$C$10*'4C2 Open-burning '!$C$11*$C$5*$I$15</f>
        <v>3.8243462836741578E-2</v>
      </c>
      <c r="AH119" s="618">
        <f t="shared" si="10"/>
        <v>6.3608200561884959E-2</v>
      </c>
      <c r="AI119" s="104"/>
    </row>
    <row r="120" spans="1:35">
      <c r="A120" s="619">
        <f>'Input data'!A147</f>
        <v>2049</v>
      </c>
      <c r="B120" s="658">
        <f>'Recycling - Case 1'!AP127</f>
        <v>0.12146828085607689</v>
      </c>
      <c r="C120" s="672">
        <f>'Recycling - Case 1'!AF127*'Recycling - Case 1'!BM127*'Recycling - Case 1'!B127</f>
        <v>1742.5415666522085</v>
      </c>
      <c r="D120" s="672">
        <f>'Recycling - Case 1'!AF127*'Recycling - Case 1'!BN127*'Recycling - Case 1'!B127</f>
        <v>2328.8711607011924</v>
      </c>
      <c r="E120" s="672">
        <f>'Recycling - Case 1'!AF127*'Recycling - Case 1'!BO127*'Recycling - Case 1'!B127</f>
        <v>781.62011493057548</v>
      </c>
      <c r="F120" s="672">
        <f>'Recycling - Case 1'!AF127*'Recycling - Case 1'!BP127*'Recycling - Case 1'!B127</f>
        <v>0</v>
      </c>
      <c r="G120" s="672">
        <f>'Recycling - Case 1'!AF127*'Recycling - Case 1'!BQ127*'Recycling - Case 1'!B127</f>
        <v>0</v>
      </c>
      <c r="H120" s="672">
        <f>'Recycling - Case 1'!AF127*'Recycling - Case 1'!BR127*'Recycling - Case 1'!B127</f>
        <v>0</v>
      </c>
      <c r="I120" s="672">
        <f>'Recycling - Case 1'!AF127*'Recycling - Case 1'!BS127*'Recycling - Case 1'!B127</f>
        <v>3906.7641128434111</v>
      </c>
      <c r="J120" s="945">
        <f t="shared" si="11"/>
        <v>8759.7969551273873</v>
      </c>
      <c r="K120" s="613">
        <f>'4C2 Open-burning '!B120*'4C2 Open-burning '!$C$14*'4C2 Open-burning '!$C$5*'4C2 Open-burning '!$C$6*'4C2 Open-burning '!$C$7*C120</f>
        <v>0</v>
      </c>
      <c r="L120" s="614">
        <f>'4C2 Open-burning '!B120*'4C2 Open-burning '!$D$14*'4C2 Open-burning '!$C$5*'4C2 Open-burning '!$C$6*'4C2 Open-burning '!$C$7*D120</f>
        <v>0</v>
      </c>
      <c r="M120" s="614">
        <f>'4C2 Open-burning '!B120*'4C2 Open-burning '!$E$14*'4C2 Open-burning '!$C$5*'4C2 Open-burning '!$C$6*'4C2 Open-burning '!$C$7*E120</f>
        <v>0.50154467969215</v>
      </c>
      <c r="N120" s="614">
        <f>'4C2 Open-burning '!B120*'4C2 Open-burning '!$F$14*'4C2 Open-burning '!$C$5*'4C2 Open-burning '!$C$6*'4C2 Open-burning '!$C$7*F120</f>
        <v>0</v>
      </c>
      <c r="O120" s="614">
        <f>'4C2 Open-burning '!B120*'4C2 Open-burning '!$G$14*'4C2 Open-burning '!$C$5*'4C2 Open-burning '!$C$6*'4C2 Open-burning '!$C$7*G120</f>
        <v>0</v>
      </c>
      <c r="P120" s="614">
        <f>'4C2 Open-burning '!B120*'4C2 Open-burning '!$H$14*'4C2 Open-burning '!$C$5*'4C2 Open-burning '!$C$6*'4C2 Open-burning '!$C$7*H120</f>
        <v>0</v>
      </c>
      <c r="Q120" s="614">
        <f>'4C2 Open-burning '!B120*'4C2 Open-burning '!$I$14*'4C2 Open-burning '!$C$5*'4C2 Open-burning '!$C$6*'4C2 Open-burning '!$C$7*I120</f>
        <v>16.349124956973167</v>
      </c>
      <c r="R120" s="615">
        <f t="shared" si="8"/>
        <v>16.850669636665316</v>
      </c>
      <c r="S120" s="613">
        <f>B120*C120*'4C2 Open-burning '!$C$9*'4C2 Open-burning '!$C$11*$C$5</f>
        <v>0.82548776084384479</v>
      </c>
      <c r="T120" s="614">
        <f>B120*D120*'4C2 Open-burning '!$C$9*'4C2 Open-burning '!$C$11*$C$5</f>
        <v>1.1032475072801138</v>
      </c>
      <c r="U120" s="614">
        <f>B120*E120*'4C2 Open-burning '!$C$9*'4C2 Open-burning '!$C$11*$C$5</f>
        <v>0.37027400140827033</v>
      </c>
      <c r="V120" s="614">
        <f>B120*F120*'4C2 Open-burning '!$C$9*'4C2 Open-burning '!$C$11*$C$5</f>
        <v>0</v>
      </c>
      <c r="W120" s="614">
        <f>B120*G120*'4C2 Open-burning '!$C$9*'4C2 Open-burning '!$C$11*$C$5</f>
        <v>0</v>
      </c>
      <c r="X120" s="614">
        <f>B120*H120*'4C2 Open-burning '!$C$9*'4C2 Open-burning '!$C$11*$C$5</f>
        <v>0</v>
      </c>
      <c r="Y120" s="614">
        <f>B120*I120*'4C2 Open-burning '!$C$9*'4C2 Open-burning '!$C$11*$C$5</f>
        <v>1.8507368899394914</v>
      </c>
      <c r="Z120" s="615">
        <f t="shared" si="9"/>
        <v>4.1497461594717198</v>
      </c>
      <c r="AA120" s="616">
        <f>B120*C120*'4C2 Open-burning '!$C$10*'4C2 Open-burning '!$C$11*$C$5*$C$15</f>
        <v>7.619887023173952E-3</v>
      </c>
      <c r="AB120" s="617">
        <f>B120*D120*'4C2 Open-burning '!$C$10*'4C2 Open-burning '!$C$11*$C$5*$D$15</f>
        <v>1.0183823144124127E-2</v>
      </c>
      <c r="AC120" s="617">
        <f>B120*E120*'4C2 Open-burning '!$C$10*'4C2 Open-burning '!$C$11*$C$5*$E$15</f>
        <v>7.6903061830948458E-3</v>
      </c>
      <c r="AD120" s="617">
        <f>B120*F120*'4C2 Open-burning '!$C$10*'4C2 Open-burning '!$C$11*$C$5*$F$15</f>
        <v>0</v>
      </c>
      <c r="AE120" s="617">
        <f>B120*G120*'4C2 Open-burning '!$C$10*'4C2 Open-burning '!$C$11*$C$5*$G$15</f>
        <v>0</v>
      </c>
      <c r="AF120" s="617">
        <f>B120*H120*'4C2 Open-burning '!$C$10*'4C2 Open-burning '!$C$11*$C$5*$H$15</f>
        <v>0</v>
      </c>
      <c r="AG120" s="617">
        <f>B120*I120*'4C2 Open-burning '!$C$10*'4C2 Open-burning '!$C$11*$C$5*$I$15</f>
        <v>3.8438381560281752E-2</v>
      </c>
      <c r="AH120" s="618">
        <f t="shared" si="10"/>
        <v>6.3932397910674676E-2</v>
      </c>
      <c r="AI120" s="104"/>
    </row>
    <row r="121" spans="1:35" ht="15.75" thickBot="1">
      <c r="A121" s="619">
        <f>'Input data'!A148</f>
        <v>2050</v>
      </c>
      <c r="B121" s="658">
        <f>'Recycling - Case 1'!AP128</f>
        <v>0.12146828085607689</v>
      </c>
      <c r="C121" s="672">
        <f>'Recycling - Case 1'!AF128*'Recycling - Case 1'!BM128*'Recycling - Case 1'!B128</f>
        <v>1751.447467597113</v>
      </c>
      <c r="D121" s="672">
        <f>'Recycling - Case 1'!AF128*'Recycling - Case 1'!BN128*'Recycling - Case 1'!B128</f>
        <v>2340.7737151467068</v>
      </c>
      <c r="E121" s="672">
        <f>'Recycling - Case 1'!AF128*'Recycling - Case 1'!BO128*'Recycling - Case 1'!B128</f>
        <v>785.61487261861737</v>
      </c>
      <c r="F121" s="672">
        <f>'Recycling - Case 1'!AF128*'Recycling - Case 1'!BP128*'Recycling - Case 1'!B128</f>
        <v>0</v>
      </c>
      <c r="G121" s="672">
        <f>'Recycling - Case 1'!AF128*'Recycling - Case 1'!BQ128*'Recycling - Case 1'!B128</f>
        <v>0</v>
      </c>
      <c r="H121" s="672">
        <f>'Recycling - Case 1'!AF128*'Recycling - Case 1'!BR128*'Recycling - Case 1'!B128</f>
        <v>0</v>
      </c>
      <c r="I121" s="672">
        <f>'Recycling - Case 1'!AF128*'Recycling - Case 1'!BS128*'Recycling - Case 1'!B128</f>
        <v>3926.7310708029486</v>
      </c>
      <c r="J121" s="945">
        <f t="shared" si="11"/>
        <v>8804.5671261653861</v>
      </c>
      <c r="K121" s="613">
        <f>'4C2 Open-burning '!B121*'4C2 Open-burning '!$C$14*'4C2 Open-burning '!$C$5*'4C2 Open-burning '!$C$6*'4C2 Open-burning '!$C$7*C121</f>
        <v>0</v>
      </c>
      <c r="L121" s="614">
        <f>'4C2 Open-burning '!B121*'4C2 Open-burning '!$D$14*'4C2 Open-burning '!$C$5*'4C2 Open-burning '!$C$6*'4C2 Open-burning '!$C$7*D121</f>
        <v>0</v>
      </c>
      <c r="M121" s="614">
        <f>'4C2 Open-burning '!B121*'4C2 Open-burning '!$E$14*'4C2 Open-burning '!$C$5*'4C2 Open-burning '!$C$6*'4C2 Open-burning '!$C$7*E121</f>
        <v>0.50410800863779093</v>
      </c>
      <c r="N121" s="614">
        <f>'4C2 Open-burning '!B121*'4C2 Open-burning '!$F$14*'4C2 Open-burning '!$C$5*'4C2 Open-burning '!$C$6*'4C2 Open-burning '!$C$7*F121</f>
        <v>0</v>
      </c>
      <c r="O121" s="614">
        <f>'4C2 Open-burning '!B121*'4C2 Open-burning '!$G$14*'4C2 Open-burning '!$C$5*'4C2 Open-burning '!$C$6*'4C2 Open-burning '!$C$7*G121</f>
        <v>0</v>
      </c>
      <c r="P121" s="614">
        <f>'4C2 Open-burning '!B121*'4C2 Open-burning '!$H$14*'4C2 Open-burning '!$C$5*'4C2 Open-burning '!$C$6*'4C2 Open-burning '!$C$7*H121</f>
        <v>0</v>
      </c>
      <c r="Q121" s="614">
        <f>'4C2 Open-burning '!B121*'4C2 Open-burning '!$I$14*'4C2 Open-burning '!$C$5*'4C2 Open-burning '!$C$6*'4C2 Open-burning '!$C$7*I121</f>
        <v>16.432683186050252</v>
      </c>
      <c r="R121" s="615">
        <f t="shared" si="8"/>
        <v>16.936791194688041</v>
      </c>
      <c r="S121" s="613">
        <f>B121*C121*'4C2 Open-burning '!$C$9*'4C2 Open-burning '!$C$11*$C$5</f>
        <v>0.82970672030512782</v>
      </c>
      <c r="T121" s="614">
        <f>B121*D121*'4C2 Open-burning '!$C$9*'4C2 Open-burning '!$C$11*$C$5</f>
        <v>1.1088860603026545</v>
      </c>
      <c r="U121" s="614">
        <f>B121*E121*'4C2 Open-burning '!$C$9*'4C2 Open-burning '!$C$11*$C$5</f>
        <v>0.37216642316860216</v>
      </c>
      <c r="V121" s="614">
        <f>B121*F121*'4C2 Open-burning '!$C$9*'4C2 Open-burning '!$C$11*$C$5</f>
        <v>0</v>
      </c>
      <c r="W121" s="614">
        <f>B121*G121*'4C2 Open-burning '!$C$9*'4C2 Open-burning '!$C$11*$C$5</f>
        <v>0</v>
      </c>
      <c r="X121" s="614">
        <f>B121*H121*'4C2 Open-burning '!$C$9*'4C2 Open-burning '!$C$11*$C$5</f>
        <v>0</v>
      </c>
      <c r="Y121" s="614">
        <f>B121*I121*'4C2 Open-burning '!$C$9*'4C2 Open-burning '!$C$11*$C$5</f>
        <v>1.8601957629628465</v>
      </c>
      <c r="Z121" s="615">
        <f t="shared" si="9"/>
        <v>4.1709549667392309</v>
      </c>
      <c r="AA121" s="616">
        <f>B121*C121*'4C2 Open-burning '!$C$10*'4C2 Open-burning '!$C$11*$C$5*$C$15</f>
        <v>7.6588312643550262E-3</v>
      </c>
      <c r="AB121" s="617">
        <f>B121*D121*'4C2 Open-burning '!$C$10*'4C2 Open-burning '!$C$11*$C$5*$D$15</f>
        <v>1.0235871325870657E-2</v>
      </c>
      <c r="AC121" s="617">
        <f>B121*E121*'4C2 Open-burning '!$C$10*'4C2 Open-burning '!$C$11*$C$5*$E$15</f>
        <v>7.7296103273478923E-3</v>
      </c>
      <c r="AD121" s="617">
        <f>B121*F121*'4C2 Open-burning '!$C$10*'4C2 Open-burning '!$C$11*$C$5*$F$15</f>
        <v>0</v>
      </c>
      <c r="AE121" s="617">
        <f>B121*G121*'4C2 Open-burning '!$C$10*'4C2 Open-burning '!$C$11*$C$5*$G$15</f>
        <v>0</v>
      </c>
      <c r="AF121" s="617">
        <f>B121*H121*'4C2 Open-burning '!$C$10*'4C2 Open-burning '!$C$11*$C$5*$H$15</f>
        <v>0</v>
      </c>
      <c r="AG121" s="617">
        <f>B121*I121*'4C2 Open-burning '!$C$10*'4C2 Open-burning '!$C$11*$C$5*$I$15</f>
        <v>3.8634835076920664E-2</v>
      </c>
      <c r="AH121" s="624">
        <f t="shared" si="10"/>
        <v>6.425914799449424E-2</v>
      </c>
      <c r="AI121" s="104"/>
    </row>
    <row r="122" spans="1:35" ht="21.75" thickBot="1">
      <c r="A122" s="1182" t="s">
        <v>715</v>
      </c>
      <c r="B122" s="1173"/>
      <c r="C122" s="1174"/>
      <c r="D122" s="1174"/>
      <c r="E122" s="1174"/>
      <c r="F122" s="1174"/>
      <c r="G122" s="1174"/>
      <c r="H122" s="1174"/>
      <c r="I122" s="1174"/>
      <c r="J122" s="1175"/>
      <c r="K122" s="1176"/>
      <c r="L122" s="1176"/>
      <c r="M122" s="1176"/>
      <c r="N122" s="1176"/>
      <c r="O122" s="1176"/>
      <c r="P122" s="1176"/>
      <c r="Q122" s="1176"/>
      <c r="R122" s="1177"/>
      <c r="S122" s="1176"/>
      <c r="T122" s="1176"/>
      <c r="U122" s="1176"/>
      <c r="V122" s="1176"/>
      <c r="W122" s="1176"/>
      <c r="X122" s="1176"/>
      <c r="Y122" s="1176"/>
      <c r="Z122" s="1177"/>
      <c r="AA122" s="1178"/>
      <c r="AB122" s="1178"/>
      <c r="AC122" s="1178"/>
      <c r="AD122" s="1178"/>
      <c r="AE122" s="1178"/>
      <c r="AF122" s="1178"/>
      <c r="AG122" s="1178"/>
      <c r="AH122" s="1179"/>
      <c r="AI122" s="104"/>
    </row>
    <row r="123" spans="1:35">
      <c r="A123" s="157">
        <f>'Input data'!A116</f>
        <v>2018</v>
      </c>
      <c r="B123" s="658">
        <f>'Recycling - Case 2'!AP96</f>
        <v>0.12146828085607692</v>
      </c>
      <c r="C123" s="672">
        <f>'Recycling - Case 2'!BM96*'Recycling - Case 2'!AF96*'Recycling - Case 2'!B96</f>
        <v>4728.1396132220361</v>
      </c>
      <c r="D123" s="672">
        <f>'Recycling - Case 2'!BN96*'Recycling - Case 2'!AF96*'Recycling - Case 2'!B96</f>
        <v>6319.0618804902269</v>
      </c>
      <c r="E123" s="672">
        <f>'Recycling - Case 2'!BO96*'Recycling - Case 2'!AF96*'Recycling - Case 2'!B96</f>
        <v>2120.8154219210173</v>
      </c>
      <c r="F123" s="672">
        <f>'Recycling - Case 2'!BP96*'Recycling - Case 2'!AF96*'Recycling - Case 2'!B96</f>
        <v>0</v>
      </c>
      <c r="G123" s="672">
        <f>'Recycling - Case 2'!BQ96*'Recycling - Case 2'!AF96*'Recycling - Case 2'!B96</f>
        <v>0</v>
      </c>
      <c r="H123" s="672">
        <f>'Recycling - Case 2'!BR96*'Recycling - Case 2'!AF96*'Recycling - Case 2'!B96</f>
        <v>0</v>
      </c>
      <c r="I123" s="672">
        <f>'Recycling - Case 2'!BS96*'Recycling - Case 2'!AF96*'Recycling - Case 2'!B96</f>
        <v>10600.450809869217</v>
      </c>
      <c r="J123" s="945">
        <f>SUM(C123:I123)</f>
        <v>23768.467725502494</v>
      </c>
      <c r="K123" s="613">
        <f>'4C2 Open-burning '!B123*'4C2 Open-burning '!$C$14*'4C2 Open-burning '!$C$5*'4C2 Open-burning '!$C$6*'4C2 Open-burning '!$C$7*C123</f>
        <v>0</v>
      </c>
      <c r="L123" s="614">
        <f>'4C2 Open-burning '!B123*'4C2 Open-burning '!$D$14*'4C2 Open-burning '!$C$5*'4C2 Open-burning '!$C$6*'4C2 Open-burning '!$C$7*D123</f>
        <v>0</v>
      </c>
      <c r="M123" s="614">
        <f>'4C2 Open-burning '!B123*'4C2 Open-burning '!$E$14*'4C2 Open-burning '!$C$5*'4C2 Open-burning '!$C$6*'4C2 Open-burning '!$C$7*E123</f>
        <v>1.36087041665762</v>
      </c>
      <c r="N123" s="614">
        <f>'4C2 Open-burning '!B123*'4C2 Open-burning '!$F$14*'4C2 Open-burning '!$C$5*'4C2 Open-burning '!$C$6*'4C2 Open-burning '!$C$7*F123</f>
        <v>0</v>
      </c>
      <c r="O123" s="614">
        <f>'4C2 Open-burning '!B123*'4C2 Open-burning '!$G$14*'4C2 Open-burning '!$C$5*'4C2 Open-burning '!$C$6*'4C2 Open-burning '!$C$7*G123</f>
        <v>0</v>
      </c>
      <c r="P123" s="614">
        <f>'4C2 Open-burning '!B123*'4C2 Open-burning '!$H$14*'4C2 Open-burning '!$C$5*'4C2 Open-burning '!$C$6*'4C2 Open-burning '!$C$7*H123</f>
        <v>0</v>
      </c>
      <c r="Q123" s="614">
        <f>'4C2 Open-burning '!B123*'4C2 Open-burning '!$I$14*'4C2 Open-burning '!$C$5*'4C2 Open-burning '!$C$6*'4C2 Open-burning '!$C$7*I123</f>
        <v>44.361033808274286</v>
      </c>
      <c r="R123" s="615">
        <f t="shared" si="8"/>
        <v>45.721904224931905</v>
      </c>
      <c r="S123" s="613">
        <f>B123*C123*'4C2 Open-burning '!$C$9*'4C2 Open-burning '!$C$11*$C$5</f>
        <v>2.2398440628158287</v>
      </c>
      <c r="T123" s="614">
        <f>B123*D123*'4C2 Open-burning '!$C$9*'4C2 Open-burning '!$C$11*$C$5</f>
        <v>2.9935057746606337</v>
      </c>
      <c r="U123" s="614">
        <f>B123*E123*'4C2 Open-burning '!$C$9*'4C2 Open-burning '!$C$11*$C$5</f>
        <v>1.0046860329238254</v>
      </c>
      <c r="V123" s="614">
        <f>B123*F123*'4C2 Open-burning '!$C$9*'4C2 Open-burning '!$C$11*$C$5</f>
        <v>0</v>
      </c>
      <c r="W123" s="614">
        <f>B123*G123*'4C2 Open-burning '!$C$9*'4C2 Open-burning '!$C$11*$C$5</f>
        <v>0</v>
      </c>
      <c r="X123" s="614">
        <f>B123*H123*'4C2 Open-burning '!$C$9*'4C2 Open-burning '!$C$11*$C$5</f>
        <v>0</v>
      </c>
      <c r="Y123" s="614">
        <f>B123*I123*'4C2 Open-burning '!$C$9*'4C2 Open-burning '!$C$11*$C$5</f>
        <v>5.0217122910794663</v>
      </c>
      <c r="Z123" s="615">
        <f t="shared" si="9"/>
        <v>11.259748161479752</v>
      </c>
      <c r="AA123" s="616">
        <f>B123*C123*'4C2 Open-burning '!$C$10*'4C2 Open-burning '!$C$11*$C$5*$C$15</f>
        <v>2.0675483656761497E-2</v>
      </c>
      <c r="AB123" s="617">
        <f>B123*D123*'4C2 Open-burning '!$C$10*'4C2 Open-burning '!$C$11*$C$5*$D$15</f>
        <v>2.7632360996867389E-2</v>
      </c>
      <c r="AC123" s="617">
        <f>B123*E123*'4C2 Open-burning '!$C$10*'4C2 Open-burning '!$C$11*$C$5*$E$15</f>
        <v>2.0866556068417908E-2</v>
      </c>
      <c r="AD123" s="617">
        <f>B123*F123*'4C2 Open-burning '!$C$10*'4C2 Open-burning '!$C$11*$C$5*$F$15</f>
        <v>0</v>
      </c>
      <c r="AE123" s="617">
        <f>B123*G123*'4C2 Open-burning '!$C$10*'4C2 Open-burning '!$C$11*$C$5*$G$15</f>
        <v>0</v>
      </c>
      <c r="AF123" s="617">
        <f>B123*H123*'4C2 Open-burning '!$C$10*'4C2 Open-burning '!$C$11*$C$5*$H$15</f>
        <v>0</v>
      </c>
      <c r="AG123" s="617">
        <f>B123*I123*'4C2 Open-burning '!$C$10*'4C2 Open-burning '!$C$11*$C$5*$I$15</f>
        <v>0.10429710143011198</v>
      </c>
      <c r="AH123" s="1167">
        <f t="shared" si="10"/>
        <v>0.17347150215215879</v>
      </c>
      <c r="AI123" s="104"/>
    </row>
    <row r="124" spans="1:35">
      <c r="A124" s="157">
        <f>'Input data'!A117</f>
        <v>2019</v>
      </c>
      <c r="B124" s="658">
        <f>'Recycling - Case 2'!AP97</f>
        <v>0.1214682808560769</v>
      </c>
      <c r="C124" s="672">
        <f>'Recycling - Case 2'!BM97*'Recycling - Case 2'!AF97*'Recycling - Case 2'!B97</f>
        <v>4727.0575266704054</v>
      </c>
      <c r="D124" s="672">
        <f>'Recycling - Case 2'!BN97*'Recycling - Case 2'!AF97*'Recycling - Case 2'!B97</f>
        <v>6317.6156939477059</v>
      </c>
      <c r="E124" s="672">
        <f>'Recycling - Case 2'!BO97*'Recycling - Case 2'!AF97*'Recycling - Case 2'!B97</f>
        <v>2120.3300500762152</v>
      </c>
      <c r="F124" s="672">
        <f>'Recycling - Case 2'!BP97*'Recycling - Case 2'!AF97*'Recycling - Case 2'!B97</f>
        <v>0</v>
      </c>
      <c r="G124" s="672">
        <f>'Recycling - Case 2'!BQ97*'Recycling - Case 2'!AF97*'Recycling - Case 2'!B97</f>
        <v>0</v>
      </c>
      <c r="H124" s="672">
        <f>'Recycling - Case 2'!BR97*'Recycling - Case 2'!AF97*'Recycling - Case 2'!B97</f>
        <v>0</v>
      </c>
      <c r="I124" s="672">
        <f>'Recycling - Case 2'!BS97*'Recycling - Case 2'!AF97*'Recycling - Case 2'!B97</f>
        <v>10598.024780563628</v>
      </c>
      <c r="J124" s="945">
        <f t="shared" si="11"/>
        <v>23763.028051257956</v>
      </c>
      <c r="K124" s="613">
        <f>'4C2 Open-burning '!B124*'4C2 Open-burning '!$C$14*'4C2 Open-burning '!$C$5*'4C2 Open-burning '!$C$6*'4C2 Open-burning '!$C$7*C124</f>
        <v>0</v>
      </c>
      <c r="L124" s="614">
        <f>'4C2 Open-burning '!B124*'4C2 Open-burning '!$D$14*'4C2 Open-burning '!$C$5*'4C2 Open-burning '!$C$6*'4C2 Open-burning '!$C$7*D124</f>
        <v>0</v>
      </c>
      <c r="M124" s="614">
        <f>'4C2 Open-burning '!B124*'4C2 Open-burning '!$E$14*'4C2 Open-burning '!$C$5*'4C2 Open-burning '!$C$6*'4C2 Open-burning '!$C$7*E124</f>
        <v>1.3605589665531725</v>
      </c>
      <c r="N124" s="614">
        <f>'4C2 Open-burning '!B124*'4C2 Open-burning '!$F$14*'4C2 Open-burning '!$C$5*'4C2 Open-burning '!$C$6*'4C2 Open-burning '!$C$7*F123</f>
        <v>0</v>
      </c>
      <c r="O124" s="614">
        <f>'4C2 Open-burning '!B124*'4C2 Open-burning '!$G$14*'4C2 Open-burning '!$C$5*'4C2 Open-burning '!$C$6*'4C2 Open-burning '!$C$7*G123</f>
        <v>0</v>
      </c>
      <c r="P124" s="614">
        <f>'4C2 Open-burning '!B124*'4C2 Open-burning '!$H$14*'4C2 Open-burning '!$C$5*'4C2 Open-burning '!$C$6*'4C2 Open-burning '!$C$7*H123</f>
        <v>0</v>
      </c>
      <c r="Q124" s="614">
        <f>'4C2 Open-burning '!B124*'4C2 Open-burning '!$I$14*'4C2 Open-burning '!$C$5*'4C2 Open-burning '!$C$6*'4C2 Open-burning '!$C$7*I123</f>
        <v>44.361033808274286</v>
      </c>
      <c r="R124" s="615">
        <f t="shared" si="8"/>
        <v>45.721592774827457</v>
      </c>
      <c r="S124" s="613">
        <f>B124*C124*'4C2 Open-burning '!$C$9*'4C2 Open-burning '!$C$11*$C$5</f>
        <v>2.2393314499624881</v>
      </c>
      <c r="T124" s="614">
        <f>B124*D124*'4C2 Open-burning '!$C$9*'4C2 Open-burning '!$C$11*$C$5</f>
        <v>2.9928206780674764</v>
      </c>
      <c r="U124" s="614">
        <f>B124*E124*'4C2 Open-burning '!$C$9*'4C2 Open-burning '!$C$11*$C$5</f>
        <v>1.0044560995179255</v>
      </c>
      <c r="V124" s="614">
        <f>B124*F123*'4C2 Open-burning '!$C$9*'4C2 Open-burning '!$C$11*$C$5</f>
        <v>0</v>
      </c>
      <c r="W124" s="614">
        <f>B124*G123*'4C2 Open-burning '!$C$9*'4C2 Open-burning '!$C$11*$C$5</f>
        <v>0</v>
      </c>
      <c r="X124" s="614">
        <f>B124*H123*'4C2 Open-burning '!$C$9*'4C2 Open-burning '!$C$11*$C$5</f>
        <v>0</v>
      </c>
      <c r="Y124" s="614">
        <f>B124*I123*'4C2 Open-burning '!$C$9*'4C2 Open-burning '!$C$11*$C$5</f>
        <v>5.0217122910794654</v>
      </c>
      <c r="Z124" s="615">
        <f t="shared" si="9"/>
        <v>11.258320518627356</v>
      </c>
      <c r="AA124" s="616">
        <f>B124*C124*'4C2 Open-burning '!$C$10*'4C2 Open-burning '!$C$11*$C$5*$C$15</f>
        <v>2.0670751845807588E-2</v>
      </c>
      <c r="AB124" s="617">
        <f>B124*D124*'4C2 Open-burning '!$C$10*'4C2 Open-burning '!$C$11*$C$5*$D$15</f>
        <v>2.7626037028315172E-2</v>
      </c>
      <c r="AC124" s="617">
        <f>B124*E124*'4C2 Open-burning '!$C$10*'4C2 Open-burning '!$C$11*$C$5*$E$15</f>
        <v>2.0861780528449222E-2</v>
      </c>
      <c r="AD124" s="617">
        <f>B124*F123*'4C2 Open-burning '!$C$10*'4C2 Open-burning '!$C$11*$C$5*$F$15</f>
        <v>0</v>
      </c>
      <c r="AE124" s="617">
        <f>B124*G123*'4C2 Open-burning '!$C$10*'4C2 Open-burning '!$C$11*$C$5*$G$15</f>
        <v>0</v>
      </c>
      <c r="AF124" s="617">
        <f>B124*H123*'4C2 Open-burning '!$C$10*'4C2 Open-burning '!$C$11*$C$5*$H$15</f>
        <v>0</v>
      </c>
      <c r="AG124" s="617">
        <f>B124*I123*'4C2 Open-burning '!$C$10*'4C2 Open-burning '!$C$11*$C$5*$I$15</f>
        <v>0.10429710143011196</v>
      </c>
      <c r="AH124" s="618">
        <f t="shared" si="10"/>
        <v>0.17345567083268393</v>
      </c>
      <c r="AI124" s="104"/>
    </row>
    <row r="125" spans="1:35">
      <c r="A125" s="157">
        <f>'Input data'!A118</f>
        <v>2020</v>
      </c>
      <c r="B125" s="658">
        <f>'Recycling - Case 2'!AP98</f>
        <v>0.1214682808560769</v>
      </c>
      <c r="C125" s="672">
        <f>'Recycling - Case 2'!BM98*'Recycling - Case 2'!AF98*'Recycling - Case 2'!B98</f>
        <v>4693.1301805069088</v>
      </c>
      <c r="D125" s="672">
        <f>'Recycling - Case 2'!BN98*'Recycling - Case 2'!AF98*'Recycling - Case 2'!B98</f>
        <v>6272.2724897731905</v>
      </c>
      <c r="E125" s="672">
        <f>'Recycling - Case 2'!BO98*'Recycling - Case 2'!AF98*'Recycling - Case 2'!B98</f>
        <v>2105.111878690755</v>
      </c>
      <c r="F125" s="672">
        <f>'Recycling - Case 2'!BP98*'Recycling - Case 2'!AF98*'Recycling - Case 2'!B98</f>
        <v>0</v>
      </c>
      <c r="G125" s="672">
        <f>'Recycling - Case 2'!BQ98*'Recycling - Case 2'!AF98*'Recycling - Case 2'!B98</f>
        <v>0</v>
      </c>
      <c r="H125" s="672">
        <f>'Recycling - Case 2'!BR98*'Recycling - Case 2'!AF98*'Recycling - Case 2'!B98</f>
        <v>0</v>
      </c>
      <c r="I125" s="672">
        <f>'Recycling - Case 2'!BS98*'Recycling - Case 2'!AF98*'Recycling - Case 2'!B98</f>
        <v>10521.959944595204</v>
      </c>
      <c r="J125" s="945">
        <f t="shared" si="11"/>
        <v>23592.474493566056</v>
      </c>
      <c r="K125" s="613">
        <f>'4C2 Open-burning '!B125*'4C2 Open-burning '!$C$14*'4C2 Open-burning '!$C$5*'4C2 Open-burning '!$C$6*'4C2 Open-burning '!$C$7*C125</f>
        <v>0</v>
      </c>
      <c r="L125" s="614">
        <f>'4C2 Open-burning '!B125*'4C2 Open-burning '!$D$14*'4C2 Open-burning '!$C$5*'4C2 Open-burning '!$C$6*'4C2 Open-burning '!$C$7*D125</f>
        <v>0</v>
      </c>
      <c r="M125" s="614">
        <f>'4C2 Open-burning '!B125*'4C2 Open-burning '!$E$14*'4C2 Open-burning '!$C$5*'4C2 Open-burning '!$C$6*'4C2 Open-burning '!$C$7*E125</f>
        <v>1.3507938738345713</v>
      </c>
      <c r="N125" s="614">
        <f>'4C2 Open-burning '!B125*'4C2 Open-burning '!$F$14*'4C2 Open-burning '!$C$5*'4C2 Open-burning '!$C$6*'4C2 Open-burning '!$C$7*F125</f>
        <v>0</v>
      </c>
      <c r="O125" s="614">
        <f>'4C2 Open-burning '!B125*'4C2 Open-burning '!$G$14*'4C2 Open-burning '!$C$5*'4C2 Open-burning '!$C$6*'4C2 Open-burning '!$C$7*G125</f>
        <v>0</v>
      </c>
      <c r="P125" s="614">
        <f>'4C2 Open-burning '!B125*'4C2 Open-burning '!$H$14*'4C2 Open-burning '!$C$5*'4C2 Open-burning '!$C$6*'4C2 Open-burning '!$C$7*H125</f>
        <v>0</v>
      </c>
      <c r="Q125" s="614">
        <f>'4C2 Open-burning '!B125*'4C2 Open-burning '!$I$14*'4C2 Open-burning '!$C$5*'4C2 Open-burning '!$C$6*'4C2 Open-burning '!$C$7*I125</f>
        <v>44.032563256359701</v>
      </c>
      <c r="R125" s="615">
        <f t="shared" si="8"/>
        <v>45.38335713019427</v>
      </c>
      <c r="S125" s="613">
        <f>B125*C125*'4C2 Open-burning '!$C$9*'4C2 Open-burning '!$C$11*$C$5</f>
        <v>2.2232591739537817</v>
      </c>
      <c r="T125" s="614">
        <f>B125*D125*'4C2 Open-burning '!$C$9*'4C2 Open-burning '!$C$11*$C$5</f>
        <v>2.9713404099350966</v>
      </c>
      <c r="U125" s="614">
        <f>B125*E125*'4C2 Open-burning '!$C$9*'4C2 Open-burning '!$C$11*$C$5</f>
        <v>0.99724685156566195</v>
      </c>
      <c r="V125" s="614">
        <f>B125*F125*'4C2 Open-burning '!$C$9*'4C2 Open-burning '!$C$11*$C$5</f>
        <v>0</v>
      </c>
      <c r="W125" s="614">
        <f>B125*G125*'4C2 Open-burning '!$C$9*'4C2 Open-burning '!$C$11*$C$5</f>
        <v>0</v>
      </c>
      <c r="X125" s="614">
        <f>B125*H125*'4C2 Open-burning '!$C$9*'4C2 Open-burning '!$C$11*$C$5</f>
        <v>0</v>
      </c>
      <c r="Y125" s="614">
        <f>B125*I125*'4C2 Open-burning '!$C$9*'4C2 Open-burning '!$C$11*$C$5</f>
        <v>4.9845291042552784</v>
      </c>
      <c r="Z125" s="615">
        <f t="shared" si="9"/>
        <v>11.17637553970982</v>
      </c>
      <c r="AA125" s="616">
        <f>B125*C125*'4C2 Open-burning '!$C$10*'4C2 Open-burning '!$C$11*$C$5*$C$15</f>
        <v>2.0522392374957985E-2</v>
      </c>
      <c r="AB125" s="617">
        <f>B125*D125*'4C2 Open-burning '!$C$10*'4C2 Open-burning '!$C$11*$C$5*$D$15</f>
        <v>2.7427757630170125E-2</v>
      </c>
      <c r="AC125" s="617">
        <f>B125*E125*'4C2 Open-burning '!$C$10*'4C2 Open-burning '!$C$11*$C$5*$E$15</f>
        <v>2.0712049994056063E-2</v>
      </c>
      <c r="AD125" s="617">
        <f>B125*F125*'4C2 Open-burning '!$C$10*'4C2 Open-burning '!$C$11*$C$5*$F$15</f>
        <v>0</v>
      </c>
      <c r="AE125" s="617">
        <f>B125*G125*'4C2 Open-burning '!$C$10*'4C2 Open-burning '!$C$11*$C$5*$G$15</f>
        <v>0</v>
      </c>
      <c r="AF125" s="617">
        <f>B125*H125*'4C2 Open-burning '!$C$10*'4C2 Open-burning '!$C$11*$C$5*$H$15</f>
        <v>0</v>
      </c>
      <c r="AG125" s="617">
        <f>B125*I125*'4C2 Open-burning '!$C$10*'4C2 Open-burning '!$C$11*$C$5*$I$15</f>
        <v>0.10352483524222503</v>
      </c>
      <c r="AH125" s="618">
        <f t="shared" si="10"/>
        <v>0.17218703524140921</v>
      </c>
      <c r="AI125" s="104"/>
    </row>
    <row r="126" spans="1:35">
      <c r="A126" s="157">
        <f>'Input data'!A119</f>
        <v>2021</v>
      </c>
      <c r="B126" s="658">
        <f>'Recycling - Case 2'!AP99</f>
        <v>0.12146828085607689</v>
      </c>
      <c r="C126" s="672">
        <f>'Recycling - Case 2'!BM99*'Recycling - Case 2'!AF99*'Recycling - Case 2'!B99</f>
        <v>4411.8256565109023</v>
      </c>
      <c r="D126" s="672">
        <f>'Recycling - Case 2'!BN99*'Recycling - Case 2'!AF99*'Recycling - Case 2'!B99</f>
        <v>5896.3147474464422</v>
      </c>
      <c r="E126" s="672">
        <f>'Recycling - Case 2'!BO99*'Recycling - Case 2'!AF99*'Recycling - Case 2'!B99</f>
        <v>1978.9322347820748</v>
      </c>
      <c r="F126" s="672">
        <f>'Recycling - Case 2'!BP99*'Recycling - Case 2'!AF99*'Recycling - Case 2'!B99</f>
        <v>0</v>
      </c>
      <c r="G126" s="672">
        <f>'Recycling - Case 2'!BQ99*'Recycling - Case 2'!AF99*'Recycling - Case 2'!B99</f>
        <v>0</v>
      </c>
      <c r="H126" s="672">
        <f>'Recycling - Case 2'!BR99*'Recycling - Case 2'!AF99*'Recycling - Case 2'!B99</f>
        <v>0</v>
      </c>
      <c r="I126" s="672">
        <f>'Recycling - Case 2'!BS99*'Recycling - Case 2'!AF99*'Recycling - Case 2'!B99</f>
        <v>9891.2774747132989</v>
      </c>
      <c r="J126" s="945">
        <f t="shared" si="11"/>
        <v>22178.350113452718</v>
      </c>
      <c r="K126" s="613">
        <f>'4C2 Open-burning '!B126*'4C2 Open-burning '!$C$14*'4C2 Open-burning '!$C$5*'4C2 Open-burning '!$C$6*'4C2 Open-burning '!$C$7*C126</f>
        <v>0</v>
      </c>
      <c r="L126" s="614">
        <f>'4C2 Open-burning '!B126*'4C2 Open-burning '!$D$14*'4C2 Open-burning '!$C$5*'4C2 Open-burning '!$C$6*'4C2 Open-burning '!$C$7*D126</f>
        <v>0</v>
      </c>
      <c r="M126" s="614">
        <f>'4C2 Open-burning '!B126*'4C2 Open-burning '!$E$14*'4C2 Open-burning '!$C$5*'4C2 Open-burning '!$C$6*'4C2 Open-burning '!$C$7*E126</f>
        <v>1.2698277780561003</v>
      </c>
      <c r="N126" s="614">
        <f>'4C2 Open-burning '!B126*'4C2 Open-burning '!$F$14*'4C2 Open-burning '!$C$5*'4C2 Open-burning '!$C$6*'4C2 Open-burning '!$C$7*F126</f>
        <v>0</v>
      </c>
      <c r="O126" s="614">
        <f>'4C2 Open-burning '!B126*'4C2 Open-burning '!$G$14*'4C2 Open-burning '!$C$5*'4C2 Open-burning '!$C$6*'4C2 Open-burning '!$C$7*G126</f>
        <v>0</v>
      </c>
      <c r="P126" s="614">
        <f>'4C2 Open-burning '!B126*'4C2 Open-burning '!$H$14*'4C2 Open-burning '!$C$5*'4C2 Open-burning '!$C$6*'4C2 Open-burning '!$C$7*H126</f>
        <v>0</v>
      </c>
      <c r="Q126" s="614">
        <f>'4C2 Open-burning '!B126*'4C2 Open-burning '!$I$14*'4C2 Open-burning '!$C$5*'4C2 Open-burning '!$C$6*'4C2 Open-burning '!$C$7*I126</f>
        <v>41.393267355597686</v>
      </c>
      <c r="R126" s="615">
        <f t="shared" si="8"/>
        <v>42.663095133653783</v>
      </c>
      <c r="S126" s="613">
        <f>B126*C126*'4C2 Open-burning '!$C$9*'4C2 Open-burning '!$C$11*$C$5</f>
        <v>2.0899978239391368</v>
      </c>
      <c r="T126" s="614">
        <f>B126*D126*'4C2 Open-burning '!$C$9*'4C2 Open-burning '!$C$11*$C$5</f>
        <v>2.7932393414587442</v>
      </c>
      <c r="U126" s="614">
        <f>B126*E126*'4C2 Open-burning '!$C$9*'4C2 Open-burning '!$C$11*$C$5</f>
        <v>0.93747223630964627</v>
      </c>
      <c r="V126" s="614">
        <f>B126*F126*'4C2 Open-burning '!$C$9*'4C2 Open-burning '!$C$11*$C$5</f>
        <v>0</v>
      </c>
      <c r="W126" s="614">
        <f>B126*G126*'4C2 Open-burning '!$C$9*'4C2 Open-burning '!$C$11*$C$5</f>
        <v>0</v>
      </c>
      <c r="X126" s="614">
        <f>B126*H126*'4C2 Open-burning '!$C$9*'4C2 Open-burning '!$C$11*$C$5</f>
        <v>0</v>
      </c>
      <c r="Y126" s="614">
        <f>B126*I126*'4C2 Open-burning '!$C$9*'4C2 Open-burning '!$C$11*$C$5</f>
        <v>4.6857582342630613</v>
      </c>
      <c r="Z126" s="615">
        <f t="shared" si="9"/>
        <v>10.506467635970589</v>
      </c>
      <c r="AA126" s="616">
        <f>B126*C126*'4C2 Open-burning '!$C$10*'4C2 Open-burning '!$C$11*$C$5*$C$15</f>
        <v>1.9292287605592033E-2</v>
      </c>
      <c r="AB126" s="617">
        <f>B126*D126*'4C2 Open-burning '!$C$10*'4C2 Open-burning '!$C$11*$C$5*$D$15</f>
        <v>2.5783747767311488E-2</v>
      </c>
      <c r="AC126" s="617">
        <f>B126*E126*'4C2 Open-burning '!$C$10*'4C2 Open-burning '!$C$11*$C$5*$E$15</f>
        <v>1.9470577215661884E-2</v>
      </c>
      <c r="AD126" s="617">
        <f>B126*F126*'4C2 Open-burning '!$C$10*'4C2 Open-burning '!$C$11*$C$5*$F$15</f>
        <v>0</v>
      </c>
      <c r="AE126" s="617">
        <f>B126*G126*'4C2 Open-burning '!$C$10*'4C2 Open-burning '!$C$11*$C$5*$G$15</f>
        <v>0</v>
      </c>
      <c r="AF126" s="617">
        <f>B126*H126*'4C2 Open-burning '!$C$10*'4C2 Open-burning '!$C$11*$C$5*$H$15</f>
        <v>0</v>
      </c>
      <c r="AG126" s="617">
        <f>B126*I126*'4C2 Open-burning '!$C$10*'4C2 Open-burning '!$C$11*$C$5*$I$15</f>
        <v>9.7319594096232809E-2</v>
      </c>
      <c r="AH126" s="618">
        <f t="shared" si="10"/>
        <v>0.16186620668479823</v>
      </c>
      <c r="AI126" s="104"/>
    </row>
    <row r="127" spans="1:35">
      <c r="A127" s="157">
        <f>'Input data'!A120</f>
        <v>2022</v>
      </c>
      <c r="B127" s="658">
        <f>'Recycling - Case 2'!AP100</f>
        <v>0.12146828085607693</v>
      </c>
      <c r="C127" s="672">
        <f>'Recycling - Case 2'!BM100*'Recycling - Case 2'!AF100*'Recycling - Case 2'!B100</f>
        <v>3752.2110378607172</v>
      </c>
      <c r="D127" s="672">
        <f>'Recycling - Case 2'!BN100*'Recycling - Case 2'!AF100*'Recycling - Case 2'!B100</f>
        <v>5014.7533018261729</v>
      </c>
      <c r="E127" s="672">
        <f>'Recycling - Case 2'!BO100*'Recycling - Case 2'!AF100*'Recycling - Case 2'!B100</f>
        <v>1683.0609259387736</v>
      </c>
      <c r="F127" s="672">
        <f>'Recycling - Case 2'!BP100*'Recycling - Case 2'!AF100*'Recycling - Case 2'!B100</f>
        <v>0</v>
      </c>
      <c r="G127" s="672">
        <f>'Recycling - Case 2'!BQ100*'Recycling - Case 2'!AF100*'Recycling - Case 2'!B100</f>
        <v>0</v>
      </c>
      <c r="H127" s="672">
        <f>'Recycling - Case 2'!BR100*'Recycling - Case 2'!AF100*'Recycling - Case 2'!B100</f>
        <v>0</v>
      </c>
      <c r="I127" s="672">
        <f>'Recycling - Case 2'!BS100*'Recycling - Case 2'!AF100*'Recycling - Case 2'!B100</f>
        <v>8412.4268293308087</v>
      </c>
      <c r="J127" s="945">
        <f t="shared" si="11"/>
        <v>18862.452094956472</v>
      </c>
      <c r="K127" s="613">
        <f>'4C2 Open-burning '!B127*'4C2 Open-burning '!$C$14*'4C2 Open-burning '!$C$5*'4C2 Open-burning '!$C$6*'4C2 Open-burning '!$C$7*C127</f>
        <v>0</v>
      </c>
      <c r="L127" s="614">
        <f>'4C2 Open-burning '!B127*'4C2 Open-burning '!$D$14*'4C2 Open-burning '!$C$5*'4C2 Open-burning '!$C$6*'4C2 Open-burning '!$C$7*D127</f>
        <v>0</v>
      </c>
      <c r="M127" s="614">
        <f>'4C2 Open-burning '!B127*'4C2 Open-burning '!$E$14*'4C2 Open-burning '!$C$5*'4C2 Open-burning '!$C$6*'4C2 Open-burning '!$C$7*E127</f>
        <v>1.0799750887645883</v>
      </c>
      <c r="N127" s="614">
        <f>'4C2 Open-burning '!B127*'4C2 Open-burning '!$F$14*'4C2 Open-burning '!$C$5*'4C2 Open-burning '!$C$6*'4C2 Open-burning '!$C$7*F127</f>
        <v>0</v>
      </c>
      <c r="O127" s="614">
        <f>'4C2 Open-burning '!B127*'4C2 Open-burning '!$G$14*'4C2 Open-burning '!$C$5*'4C2 Open-burning '!$C$6*'4C2 Open-burning '!$C$7*G127</f>
        <v>0</v>
      </c>
      <c r="P127" s="614">
        <f>'4C2 Open-burning '!B127*'4C2 Open-burning '!$H$14*'4C2 Open-burning '!$C$5*'4C2 Open-burning '!$C$6*'4C2 Open-burning '!$C$7*H127</f>
        <v>0</v>
      </c>
      <c r="Q127" s="614">
        <f>'4C2 Open-burning '!B127*'4C2 Open-burning '!$I$14*'4C2 Open-burning '!$C$5*'4C2 Open-burning '!$C$6*'4C2 Open-burning '!$C$7*I127</f>
        <v>35.204535889939372</v>
      </c>
      <c r="R127" s="615">
        <f t="shared" si="8"/>
        <v>36.284510978703963</v>
      </c>
      <c r="S127" s="613">
        <f>B127*C127*'4C2 Open-burning '!$C$9*'4C2 Open-burning '!$C$11*$C$5</f>
        <v>1.7775210342947361</v>
      </c>
      <c r="T127" s="614">
        <f>B127*D127*'4C2 Open-burning '!$C$9*'4C2 Open-burning '!$C$11*$C$5</f>
        <v>2.3756205037116263</v>
      </c>
      <c r="U127" s="614">
        <f>B127*E127*'4C2 Open-burning '!$C$9*'4C2 Open-burning '!$C$11*$C$5</f>
        <v>0.79731021727429741</v>
      </c>
      <c r="V127" s="614">
        <f>B127*F127*'4C2 Open-burning '!$C$9*'4C2 Open-burning '!$C$11*$C$5</f>
        <v>0</v>
      </c>
      <c r="W127" s="614">
        <f>B127*G127*'4C2 Open-burning '!$C$9*'4C2 Open-burning '!$C$11*$C$5</f>
        <v>0</v>
      </c>
      <c r="X127" s="614">
        <f>B127*H127*'4C2 Open-burning '!$C$9*'4C2 Open-burning '!$C$11*$C$5</f>
        <v>0</v>
      </c>
      <c r="Y127" s="614">
        <f>B127*I127*'4C2 Open-burning '!$C$9*'4C2 Open-burning '!$C$11*$C$5</f>
        <v>3.9851877966667701</v>
      </c>
      <c r="Z127" s="615">
        <f t="shared" si="9"/>
        <v>8.9356395519474301</v>
      </c>
      <c r="AA127" s="616">
        <f>B127*C127*'4C2 Open-burning '!$C$10*'4C2 Open-burning '!$C$11*$C$5*$C$15</f>
        <v>1.6407886470412952E-2</v>
      </c>
      <c r="AB127" s="617">
        <f>B127*D127*'4C2 Open-burning '!$C$10*'4C2 Open-burning '!$C$11*$C$5*$D$15</f>
        <v>2.1928804649645785E-2</v>
      </c>
      <c r="AC127" s="617">
        <f>B127*E127*'4C2 Open-burning '!$C$10*'4C2 Open-burning '!$C$11*$C$5*$E$15</f>
        <v>1.6559519897235406E-2</v>
      </c>
      <c r="AD127" s="617">
        <f>B127*F127*'4C2 Open-burning '!$C$10*'4C2 Open-burning '!$C$11*$C$5*$F$15</f>
        <v>0</v>
      </c>
      <c r="AE127" s="617">
        <f>B127*G127*'4C2 Open-burning '!$C$10*'4C2 Open-burning '!$C$11*$C$5*$G$15</f>
        <v>0</v>
      </c>
      <c r="AF127" s="617">
        <f>B127*H127*'4C2 Open-burning '!$C$10*'4C2 Open-burning '!$C$11*$C$5*$H$15</f>
        <v>0</v>
      </c>
      <c r="AG127" s="617">
        <f>B127*I127*'4C2 Open-burning '!$C$10*'4C2 Open-burning '!$C$11*$C$5*$I$15</f>
        <v>8.2769285007694454E-2</v>
      </c>
      <c r="AH127" s="618">
        <f t="shared" si="10"/>
        <v>0.13766549602498859</v>
      </c>
      <c r="AI127" s="104"/>
    </row>
    <row r="128" spans="1:35">
      <c r="A128" s="157">
        <f>'Input data'!A121</f>
        <v>2023</v>
      </c>
      <c r="B128" s="658">
        <f>'Recycling - Case 2'!AP101</f>
        <v>0.12146828085607689</v>
      </c>
      <c r="C128" s="672">
        <f>'Recycling - Case 2'!BM101*'Recycling - Case 2'!AF101*'Recycling - Case 2'!B101</f>
        <v>3615.7608921316928</v>
      </c>
      <c r="D128" s="672">
        <f>'Recycling - Case 2'!BN101*'Recycling - Case 2'!AF101*'Recycling - Case 2'!B101</f>
        <v>4832.3904731033481</v>
      </c>
      <c r="E128" s="672">
        <f>'Recycling - Case 2'!BO101*'Recycling - Case 2'!AF101*'Recycling - Case 2'!B101</f>
        <v>1621.8559707009397</v>
      </c>
      <c r="F128" s="672">
        <f>'Recycling - Case 2'!BP101*'Recycling - Case 2'!AF101*'Recycling - Case 2'!B101</f>
        <v>0</v>
      </c>
      <c r="G128" s="672">
        <f>'Recycling - Case 2'!BQ101*'Recycling - Case 2'!AF101*'Recycling - Case 2'!B101</f>
        <v>0</v>
      </c>
      <c r="H128" s="672">
        <f>'Recycling - Case 2'!BR101*'Recycling - Case 2'!AF101*'Recycling - Case 2'!B101</f>
        <v>0</v>
      </c>
      <c r="I128" s="672">
        <f>'Recycling - Case 2'!BS101*'Recycling - Case 2'!AF101*'Recycling - Case 2'!B101</f>
        <v>8106.5067051121587</v>
      </c>
      <c r="J128" s="945">
        <f t="shared" si="11"/>
        <v>18176.51404104814</v>
      </c>
      <c r="K128" s="613">
        <f>'4C2 Open-burning '!B128*'4C2 Open-burning '!$C$14*'4C2 Open-burning '!$C$5*'4C2 Open-burning '!$C$6*'4C2 Open-burning '!$C$7*C128</f>
        <v>0</v>
      </c>
      <c r="L128" s="614">
        <f>'4C2 Open-burning '!B128*'4C2 Open-burning '!$D$14*'4C2 Open-burning '!$C$5*'4C2 Open-burning '!$C$6*'4C2 Open-burning '!$C$7*D128</f>
        <v>0</v>
      </c>
      <c r="M128" s="614">
        <f>'4C2 Open-burning '!B128*'4C2 Open-burning '!$E$14*'4C2 Open-burning '!$C$5*'4C2 Open-burning '!$C$6*'4C2 Open-burning '!$C$7*E128</f>
        <v>1.0407015093313636</v>
      </c>
      <c r="N128" s="614">
        <f>'4C2 Open-burning '!B128*'4C2 Open-burning '!$F$14*'4C2 Open-burning '!$C$5*'4C2 Open-burning '!$C$6*'4C2 Open-burning '!$C$7*F128</f>
        <v>0</v>
      </c>
      <c r="O128" s="614">
        <f>'4C2 Open-burning '!B128*'4C2 Open-burning '!$G$14*'4C2 Open-burning '!$C$5*'4C2 Open-burning '!$C$6*'4C2 Open-burning '!$C$7*G128</f>
        <v>0</v>
      </c>
      <c r="P128" s="614">
        <f>'4C2 Open-burning '!B128*'4C2 Open-burning '!$H$14*'4C2 Open-burning '!$C$5*'4C2 Open-burning '!$C$6*'4C2 Open-burning '!$C$7*H128</f>
        <v>0</v>
      </c>
      <c r="Q128" s="614">
        <f>'4C2 Open-burning '!B128*'4C2 Open-burning '!$I$14*'4C2 Open-burning '!$C$5*'4C2 Open-burning '!$C$6*'4C2 Open-burning '!$C$7*I128</f>
        <v>33.924313641234598</v>
      </c>
      <c r="R128" s="615">
        <f t="shared" si="8"/>
        <v>34.965015150565961</v>
      </c>
      <c r="S128" s="613">
        <f>B128*C128*'4C2 Open-burning '!$C$9*'4C2 Open-burning '!$C$11*$C$5</f>
        <v>1.7128810122600993</v>
      </c>
      <c r="T128" s="614">
        <f>B128*D128*'4C2 Open-burning '!$C$9*'4C2 Open-burning '!$C$11*$C$5</f>
        <v>2.2892304364532761</v>
      </c>
      <c r="U128" s="614">
        <f>B128*E128*'4C2 Open-burning '!$C$9*'4C2 Open-burning '!$C$11*$C$5</f>
        <v>0.76831582057310699</v>
      </c>
      <c r="V128" s="614">
        <f>B128*F128*'4C2 Open-burning '!$C$9*'4C2 Open-burning '!$C$11*$C$5</f>
        <v>0</v>
      </c>
      <c r="W128" s="614">
        <f>B128*G128*'4C2 Open-burning '!$C$9*'4C2 Open-burning '!$C$11*$C$5</f>
        <v>0</v>
      </c>
      <c r="X128" s="614">
        <f>B128*H128*'4C2 Open-burning '!$C$9*'4C2 Open-burning '!$C$11*$C$5</f>
        <v>0</v>
      </c>
      <c r="Y128" s="614">
        <f>B128*I128*'4C2 Open-burning '!$C$9*'4C2 Open-burning '!$C$11*$C$5</f>
        <v>3.8402653895511127</v>
      </c>
      <c r="Z128" s="615">
        <f t="shared" si="9"/>
        <v>8.6106926588375945</v>
      </c>
      <c r="AA128" s="616">
        <f>B128*C128*'4C2 Open-burning '!$C$10*'4C2 Open-burning '!$C$11*$C$5*$C$15</f>
        <v>1.581120934393938E-2</v>
      </c>
      <c r="AB128" s="617">
        <f>B128*D128*'4C2 Open-burning '!$C$10*'4C2 Open-burning '!$C$11*$C$5*$D$15</f>
        <v>2.1131357874953318E-2</v>
      </c>
      <c r="AC128" s="617">
        <f>B128*E128*'4C2 Open-burning '!$C$10*'4C2 Open-burning '!$C$11*$C$5*$E$15</f>
        <v>1.5957328581133762E-2</v>
      </c>
      <c r="AD128" s="617">
        <f>B128*F128*'4C2 Open-burning '!$C$10*'4C2 Open-burning '!$C$11*$C$5*$F$15</f>
        <v>0</v>
      </c>
      <c r="AE128" s="617">
        <f>B128*G128*'4C2 Open-burning '!$C$10*'4C2 Open-burning '!$C$11*$C$5*$G$15</f>
        <v>0</v>
      </c>
      <c r="AF128" s="617">
        <f>B128*H128*'4C2 Open-burning '!$C$10*'4C2 Open-burning '!$C$11*$C$5*$H$15</f>
        <v>0</v>
      </c>
      <c r="AG128" s="617">
        <f>B128*I128*'4C2 Open-burning '!$C$10*'4C2 Open-burning '!$C$11*$C$5*$I$15</f>
        <v>7.9759358090676954E-2</v>
      </c>
      <c r="AH128" s="618">
        <f t="shared" si="10"/>
        <v>0.13265925389070343</v>
      </c>
      <c r="AI128" s="104"/>
    </row>
    <row r="129" spans="1:35">
      <c r="A129" s="157">
        <f>'Input data'!A122</f>
        <v>2024</v>
      </c>
      <c r="B129" s="658">
        <f>'Recycling - Case 2'!AP102</f>
        <v>0.12146828085607689</v>
      </c>
      <c r="C129" s="672">
        <f>'Recycling - Case 2'!BM102*'Recycling - Case 2'!AF102*'Recycling - Case 2'!B102</f>
        <v>3470.7037708644962</v>
      </c>
      <c r="D129" s="672">
        <f>'Recycling - Case 2'!BN102*'Recycling - Case 2'!AF102*'Recycling - Case 2'!B102</f>
        <v>4638.5245976266842</v>
      </c>
      <c r="E129" s="672">
        <f>'Recycling - Case 2'!BO102*'Recycling - Case 2'!AF102*'Recycling - Case 2'!B102</f>
        <v>1556.790341297223</v>
      </c>
      <c r="F129" s="672">
        <f>'Recycling - Case 2'!BP102*'Recycling - Case 2'!AF102*'Recycling - Case 2'!B102</f>
        <v>0</v>
      </c>
      <c r="G129" s="672">
        <f>'Recycling - Case 2'!BQ102*'Recycling - Case 2'!AF102*'Recycling - Case 2'!B102</f>
        <v>0</v>
      </c>
      <c r="H129" s="672">
        <f>'Recycling - Case 2'!BR102*'Recycling - Case 2'!AF102*'Recycling - Case 2'!B102</f>
        <v>0</v>
      </c>
      <c r="I129" s="672">
        <f>'Recycling - Case 2'!BS102*'Recycling - Case 2'!AF102*'Recycling - Case 2'!B102</f>
        <v>7781.2898112805724</v>
      </c>
      <c r="J129" s="945">
        <f t="shared" si="11"/>
        <v>17447.308521068975</v>
      </c>
      <c r="K129" s="613">
        <f>'4C2 Open-burning '!B129*'4C2 Open-burning '!$C$14*'4C2 Open-burning '!$C$5*'4C2 Open-burning '!$C$6*'4C2 Open-burning '!$C$7*C129</f>
        <v>0</v>
      </c>
      <c r="L129" s="614">
        <f>'4C2 Open-burning '!B129*'4C2 Open-burning '!$D$14*'4C2 Open-burning '!$C$5*'4C2 Open-burning '!$C$6*'4C2 Open-burning '!$C$7*D129</f>
        <v>0</v>
      </c>
      <c r="M129" s="614">
        <f>'4C2 Open-burning '!B129*'4C2 Open-burning '!$E$14*'4C2 Open-burning '!$C$5*'4C2 Open-burning '!$C$6*'4C2 Open-burning '!$C$7*E129</f>
        <v>0.99895063875511991</v>
      </c>
      <c r="N129" s="614">
        <f>'4C2 Open-burning '!B129*'4C2 Open-burning '!$F$14*'4C2 Open-burning '!$C$5*'4C2 Open-burning '!$C$6*'4C2 Open-burning '!$C$7*F129</f>
        <v>0</v>
      </c>
      <c r="O129" s="614">
        <f>'4C2 Open-burning '!B129*'4C2 Open-burning '!$G$14*'4C2 Open-burning '!$C$5*'4C2 Open-burning '!$C$6*'4C2 Open-burning '!$C$7*G129</f>
        <v>0</v>
      </c>
      <c r="P129" s="614">
        <f>'4C2 Open-burning '!B129*'4C2 Open-burning '!$H$14*'4C2 Open-burning '!$C$5*'4C2 Open-burning '!$C$6*'4C2 Open-burning '!$C$7*H129</f>
        <v>0</v>
      </c>
      <c r="Q129" s="614">
        <f>'4C2 Open-burning '!B129*'4C2 Open-burning '!$I$14*'4C2 Open-burning '!$C$5*'4C2 Open-burning '!$C$6*'4C2 Open-burning '!$C$7*I129</f>
        <v>32.563337784542426</v>
      </c>
      <c r="R129" s="615">
        <f t="shared" si="8"/>
        <v>33.562288423297545</v>
      </c>
      <c r="S129" s="613">
        <f>B129*C129*'4C2 Open-burning '!$C$9*'4C2 Open-burning '!$C$11*$C$5</f>
        <v>1.6441636395896935</v>
      </c>
      <c r="T129" s="614">
        <f>B129*D129*'4C2 Open-burning '!$C$9*'4C2 Open-burning '!$C$11*$C$5</f>
        <v>2.1973910734711226</v>
      </c>
      <c r="U129" s="614">
        <f>B129*E129*'4C2 Open-burning '!$C$9*'4C2 Open-burning '!$C$11*$C$5</f>
        <v>0.73749252100180351</v>
      </c>
      <c r="V129" s="614">
        <f>B129*F129*'4C2 Open-burning '!$C$9*'4C2 Open-burning '!$C$11*$C$5</f>
        <v>0</v>
      </c>
      <c r="W129" s="614">
        <f>B129*G129*'4C2 Open-burning '!$C$9*'4C2 Open-burning '!$C$11*$C$5</f>
        <v>0</v>
      </c>
      <c r="X129" s="614">
        <f>B129*H129*'4C2 Open-burning '!$C$9*'4C2 Open-burning '!$C$11*$C$5</f>
        <v>0</v>
      </c>
      <c r="Y129" s="614">
        <f>B129*I129*'4C2 Open-burning '!$C$9*'4C2 Open-burning '!$C$11*$C$5</f>
        <v>3.6862015952547162</v>
      </c>
      <c r="Z129" s="615">
        <f t="shared" si="9"/>
        <v>8.2652488293173363</v>
      </c>
      <c r="AA129" s="616">
        <f>B129*C129*'4C2 Open-burning '!$C$10*'4C2 Open-burning '!$C$11*$C$5*$C$15</f>
        <v>1.5176895134674094E-2</v>
      </c>
      <c r="AB129" s="617">
        <f>B129*D129*'4C2 Open-burning '!$C$10*'4C2 Open-burning '!$C$11*$C$5*$D$15</f>
        <v>2.0283609908964211E-2</v>
      </c>
      <c r="AC129" s="617">
        <f>B129*E129*'4C2 Open-burning '!$C$10*'4C2 Open-burning '!$C$11*$C$5*$E$15</f>
        <v>1.5317152359268227E-2</v>
      </c>
      <c r="AD129" s="617">
        <f>B129*F129*'4C2 Open-burning '!$C$10*'4C2 Open-burning '!$C$11*$C$5*$F$15</f>
        <v>0</v>
      </c>
      <c r="AE129" s="617">
        <f>B129*G129*'4C2 Open-burning '!$C$10*'4C2 Open-burning '!$C$11*$C$5*$G$15</f>
        <v>0</v>
      </c>
      <c r="AF129" s="617">
        <f>B129*H129*'4C2 Open-burning '!$C$10*'4C2 Open-burning '!$C$11*$C$5*$H$15</f>
        <v>0</v>
      </c>
      <c r="AG129" s="617">
        <f>B129*I129*'4C2 Open-burning '!$C$10*'4C2 Open-burning '!$C$11*$C$5*$I$15</f>
        <v>7.6559571593751805E-2</v>
      </c>
      <c r="AH129" s="618">
        <f t="shared" si="10"/>
        <v>0.12733722899665834</v>
      </c>
      <c r="AI129" s="104"/>
    </row>
    <row r="130" spans="1:35">
      <c r="A130" s="157">
        <f>'Input data'!A123</f>
        <v>2025</v>
      </c>
      <c r="B130" s="658">
        <f>'Recycling - Case 2'!AP103</f>
        <v>0.1214682808560769</v>
      </c>
      <c r="C130" s="672">
        <f>'Recycling - Case 2'!BM103*'Recycling - Case 2'!AF103*'Recycling - Case 2'!B103</f>
        <v>3316.5895223993248</v>
      </c>
      <c r="D130" s="672">
        <f>'Recycling - Case 2'!BN103*'Recycling - Case 2'!AF103*'Recycling - Case 2'!B103</f>
        <v>4432.5540569105606</v>
      </c>
      <c r="E130" s="672">
        <f>'Recycling - Case 2'!BO103*'Recycling - Case 2'!AF103*'Recycling - Case 2'!B103</f>
        <v>1487.6621214010322</v>
      </c>
      <c r="F130" s="672">
        <f>'Recycling - Case 2'!BP103*'Recycling - Case 2'!AF103*'Recycling - Case 2'!B103</f>
        <v>0</v>
      </c>
      <c r="G130" s="672">
        <f>'Recycling - Case 2'!BQ103*'Recycling - Case 2'!AF103*'Recycling - Case 2'!B103</f>
        <v>0</v>
      </c>
      <c r="H130" s="672">
        <f>'Recycling - Case 2'!BR103*'Recycling - Case 2'!AF103*'Recycling - Case 2'!B103</f>
        <v>0</v>
      </c>
      <c r="I130" s="672">
        <f>'Recycling - Case 2'!BS103*'Recycling - Case 2'!AF103*'Recycling - Case 2'!B103</f>
        <v>7435.7669114519595</v>
      </c>
      <c r="J130" s="945">
        <f t="shared" si="11"/>
        <v>16672.572612162876</v>
      </c>
      <c r="K130" s="613">
        <f>'4C2 Open-burning '!B130*'4C2 Open-burning '!$C$14*'4C2 Open-burning '!$C$5*'4C2 Open-burning '!$C$6*'4C2 Open-burning '!$C$7*C130</f>
        <v>0</v>
      </c>
      <c r="L130" s="614">
        <f>'4C2 Open-burning '!B130*'4C2 Open-burning '!$D$14*'4C2 Open-burning '!$C$5*'4C2 Open-burning '!$C$6*'4C2 Open-burning '!$C$7*D130</f>
        <v>0</v>
      </c>
      <c r="M130" s="614">
        <f>'4C2 Open-burning '!B130*'4C2 Open-burning '!$E$14*'4C2 Open-burning '!$C$5*'4C2 Open-burning '!$C$6*'4C2 Open-burning '!$C$7*E130</f>
        <v>0.95459291274060576</v>
      </c>
      <c r="N130" s="614">
        <f>'4C2 Open-burning '!B130*'4C2 Open-burning '!$F$14*'4C2 Open-burning '!$C$5*'4C2 Open-burning '!$C$6*'4C2 Open-burning '!$C$7*F130</f>
        <v>0</v>
      </c>
      <c r="O130" s="614">
        <f>'4C2 Open-burning '!B130*'4C2 Open-burning '!$G$14*'4C2 Open-burning '!$C$5*'4C2 Open-burning '!$C$6*'4C2 Open-burning '!$C$7*G130</f>
        <v>0</v>
      </c>
      <c r="P130" s="614">
        <f>'4C2 Open-burning '!B130*'4C2 Open-burning '!$H$14*'4C2 Open-burning '!$C$5*'4C2 Open-burning '!$C$6*'4C2 Open-burning '!$C$7*H130</f>
        <v>0</v>
      </c>
      <c r="Q130" s="614">
        <f>'4C2 Open-burning '!B130*'4C2 Open-burning '!$I$14*'4C2 Open-burning '!$C$5*'4C2 Open-burning '!$C$6*'4C2 Open-burning '!$C$7*I130</f>
        <v>31.117384841997797</v>
      </c>
      <c r="R130" s="615">
        <f t="shared" si="8"/>
        <v>32.071977754738406</v>
      </c>
      <c r="S130" s="613">
        <f>B130*C130*'4C2 Open-burning '!$C$9*'4C2 Open-burning '!$C$11*$C$5</f>
        <v>1.5711556676053799</v>
      </c>
      <c r="T130" s="614">
        <f>B130*D130*'4C2 Open-burning '!$C$9*'4C2 Open-burning '!$C$11*$C$5</f>
        <v>2.0998174122687643</v>
      </c>
      <c r="U130" s="614">
        <f>B130*E130*'4C2 Open-burning '!$C$9*'4C2 Open-burning '!$C$11*$C$5</f>
        <v>0.70474466548702219</v>
      </c>
      <c r="V130" s="614">
        <f>B130*F130*'4C2 Open-burning '!$C$9*'4C2 Open-burning '!$C$11*$C$5</f>
        <v>0</v>
      </c>
      <c r="W130" s="614">
        <f>B130*G130*'4C2 Open-burning '!$C$9*'4C2 Open-burning '!$C$11*$C$5</f>
        <v>0</v>
      </c>
      <c r="X130" s="614">
        <f>B130*H130*'4C2 Open-burning '!$C$9*'4C2 Open-burning '!$C$11*$C$5</f>
        <v>0</v>
      </c>
      <c r="Y130" s="614">
        <f>B130*I130*'4C2 Open-burning '!$C$9*'4C2 Open-burning '!$C$11*$C$5</f>
        <v>3.5225183119642236</v>
      </c>
      <c r="Z130" s="615">
        <f t="shared" si="9"/>
        <v>7.8982360573253896</v>
      </c>
      <c r="AA130" s="616">
        <f>B130*C130*'4C2 Open-burning '!$C$10*'4C2 Open-burning '!$C$11*$C$5*$C$15</f>
        <v>1.4502975393280432E-2</v>
      </c>
      <c r="AB130" s="617">
        <f>B130*D130*'4C2 Open-burning '!$C$10*'4C2 Open-burning '!$C$11*$C$5*$D$15</f>
        <v>1.938292995940398E-2</v>
      </c>
      <c r="AC130" s="617">
        <f>B130*E130*'4C2 Open-burning '!$C$10*'4C2 Open-burning '!$C$11*$C$5*$E$15</f>
        <v>1.4637004590884309E-2</v>
      </c>
      <c r="AD130" s="617">
        <f>B130*F130*'4C2 Open-burning '!$C$10*'4C2 Open-burning '!$C$11*$C$5*$F$15</f>
        <v>0</v>
      </c>
      <c r="AE130" s="617">
        <f>B130*G130*'4C2 Open-burning '!$C$10*'4C2 Open-burning '!$C$11*$C$5*$G$15</f>
        <v>0</v>
      </c>
      <c r="AF130" s="617">
        <f>B130*H130*'4C2 Open-burning '!$C$10*'4C2 Open-burning '!$C$11*$C$5*$H$15</f>
        <v>0</v>
      </c>
      <c r="AG130" s="617">
        <f>B130*I130*'4C2 Open-burning '!$C$10*'4C2 Open-burning '!$C$11*$C$5*$I$15</f>
        <v>7.3159995710026168E-2</v>
      </c>
      <c r="AH130" s="618">
        <f t="shared" si="10"/>
        <v>0.12168290565359488</v>
      </c>
      <c r="AI130" s="104"/>
    </row>
    <row r="131" spans="1:35">
      <c r="A131" s="157">
        <f>'Input data'!A124</f>
        <v>2026</v>
      </c>
      <c r="B131" s="658">
        <f>'Recycling - Case 2'!AP104</f>
        <v>0.12146828085607689</v>
      </c>
      <c r="C131" s="672">
        <f>'Recycling - Case 2'!BM104*'Recycling - Case 2'!AF104*'Recycling - Case 2'!B104</f>
        <v>3147.73132770961</v>
      </c>
      <c r="D131" s="672">
        <f>'Recycling - Case 2'!BN104*'Recycling - Case 2'!AF104*'Recycling - Case 2'!B104</f>
        <v>4206.8785336480314</v>
      </c>
      <c r="E131" s="672">
        <f>'Recycling - Case 2'!BO104*'Recycling - Case 2'!AF104*'Recycling - Case 2'!B104</f>
        <v>1411.9204782367249</v>
      </c>
      <c r="F131" s="672">
        <f>'Recycling - Case 2'!BP104*'Recycling - Case 2'!AF104*'Recycling - Case 2'!B104</f>
        <v>0</v>
      </c>
      <c r="G131" s="672">
        <f>'Recycling - Case 2'!BQ104*'Recycling - Case 2'!AF104*'Recycling - Case 2'!B104</f>
        <v>0</v>
      </c>
      <c r="H131" s="672">
        <f>'Recycling - Case 2'!BR104*'Recycling - Case 2'!AF104*'Recycling - Case 2'!B104</f>
        <v>0</v>
      </c>
      <c r="I131" s="672">
        <f>'Recycling - Case 2'!BS104*'Recycling - Case 2'!AF104*'Recycling - Case 2'!B104</f>
        <v>7057.188203317779</v>
      </c>
      <c r="J131" s="945">
        <f t="shared" si="11"/>
        <v>15823.718542912145</v>
      </c>
      <c r="K131" s="613">
        <f>'4C2 Open-burning '!B131*'4C2 Open-burning '!$C$14*'4C2 Open-burning '!$C$5*'4C2 Open-burning '!$C$6*'4C2 Open-burning '!$C$7*C131</f>
        <v>0</v>
      </c>
      <c r="L131" s="614">
        <f>'4C2 Open-burning '!B131*'4C2 Open-burning '!$D$14*'4C2 Open-burning '!$C$5*'4C2 Open-burning '!$C$6*'4C2 Open-burning '!$C$7*D131</f>
        <v>0</v>
      </c>
      <c r="M131" s="614">
        <f>'4C2 Open-burning '!B131*'4C2 Open-burning '!$E$14*'4C2 Open-burning '!$C$5*'4C2 Open-burning '!$C$6*'4C2 Open-burning '!$C$7*E131</f>
        <v>0.9059915302600976</v>
      </c>
      <c r="N131" s="614">
        <f>'4C2 Open-burning '!B131*'4C2 Open-burning '!$F$14*'4C2 Open-burning '!$C$5*'4C2 Open-burning '!$C$6*'4C2 Open-burning '!$C$7*F131</f>
        <v>0</v>
      </c>
      <c r="O131" s="614">
        <f>'4C2 Open-burning '!B131*'4C2 Open-burning '!$G$14*'4C2 Open-burning '!$C$5*'4C2 Open-burning '!$C$6*'4C2 Open-burning '!$C$7*G131</f>
        <v>0</v>
      </c>
      <c r="P131" s="614">
        <f>'4C2 Open-burning '!B131*'4C2 Open-burning '!$H$14*'4C2 Open-burning '!$C$5*'4C2 Open-burning '!$C$6*'4C2 Open-burning '!$C$7*H131</f>
        <v>0</v>
      </c>
      <c r="Q131" s="614">
        <f>'4C2 Open-burning '!B131*'4C2 Open-burning '!$I$14*'4C2 Open-burning '!$C$5*'4C2 Open-burning '!$C$6*'4C2 Open-burning '!$C$7*I131</f>
        <v>29.533099119451208</v>
      </c>
      <c r="R131" s="615">
        <f t="shared" si="8"/>
        <v>30.439090649711307</v>
      </c>
      <c r="S131" s="613">
        <f>B131*C131*'4C2 Open-burning '!$C$9*'4C2 Open-burning '!$C$11*$C$5</f>
        <v>1.4911631005974406</v>
      </c>
      <c r="T131" s="614">
        <f>B131*D131*'4C2 Open-burning '!$C$9*'4C2 Open-burning '!$C$11*$C$5</f>
        <v>1.9929089826849837</v>
      </c>
      <c r="U131" s="614">
        <f>B131*E131*'4C2 Open-burning '!$C$9*'4C2 Open-burning '!$C$11*$C$5</f>
        <v>0.66886385746792909</v>
      </c>
      <c r="V131" s="614">
        <f>B131*F131*'4C2 Open-burning '!$C$9*'4C2 Open-burning '!$C$11*$C$5</f>
        <v>0</v>
      </c>
      <c r="W131" s="614">
        <f>B131*G131*'4C2 Open-burning '!$C$9*'4C2 Open-burning '!$C$11*$C$5</f>
        <v>0</v>
      </c>
      <c r="X131" s="614">
        <f>B131*H131*'4C2 Open-burning '!$C$9*'4C2 Open-burning '!$C$11*$C$5</f>
        <v>0</v>
      </c>
      <c r="Y131" s="614">
        <f>B131*I131*'4C2 Open-burning '!$C$9*'4C2 Open-burning '!$C$11*$C$5</f>
        <v>3.343175623065707</v>
      </c>
      <c r="Z131" s="615">
        <f t="shared" si="9"/>
        <v>7.4961115638160605</v>
      </c>
      <c r="AA131" s="616">
        <f>B131*C131*'4C2 Open-burning '!$C$10*'4C2 Open-burning '!$C$11*$C$5*$C$15</f>
        <v>1.3764582467053296E-2</v>
      </c>
      <c r="AB131" s="617">
        <f>B131*D131*'4C2 Open-burning '!$C$10*'4C2 Open-burning '!$C$11*$C$5*$D$15</f>
        <v>1.8396082917092157E-2</v>
      </c>
      <c r="AC131" s="617">
        <f>B131*E131*'4C2 Open-burning '!$C$10*'4C2 Open-burning '!$C$11*$C$5*$E$15</f>
        <v>1.3891787808949297E-2</v>
      </c>
      <c r="AD131" s="617">
        <f>B131*F131*'4C2 Open-burning '!$C$10*'4C2 Open-burning '!$C$11*$C$5*$F$15</f>
        <v>0</v>
      </c>
      <c r="AE131" s="617">
        <f>B131*G131*'4C2 Open-burning '!$C$10*'4C2 Open-burning '!$C$11*$C$5*$G$15</f>
        <v>0</v>
      </c>
      <c r="AF131" s="617">
        <f>B131*H131*'4C2 Open-burning '!$C$10*'4C2 Open-burning '!$C$11*$C$5*$H$15</f>
        <v>0</v>
      </c>
      <c r="AG131" s="617">
        <f>B131*I131*'4C2 Open-burning '!$C$10*'4C2 Open-burning '!$C$11*$C$5*$I$15</f>
        <v>6.9435186017518524E-2</v>
      </c>
      <c r="AH131" s="618">
        <f t="shared" si="10"/>
        <v>0.11548763921061328</v>
      </c>
      <c r="AI131" s="104"/>
    </row>
    <row r="132" spans="1:35">
      <c r="A132" s="157">
        <f>'Input data'!A125</f>
        <v>2027</v>
      </c>
      <c r="B132" s="658">
        <f>'Recycling - Case 2'!AP105</f>
        <v>0.1214682808560769</v>
      </c>
      <c r="C132" s="672">
        <f>'Recycling - Case 2'!BM105*'Recycling - Case 2'!AF105*'Recycling - Case 2'!B105</f>
        <v>2969.477903118936</v>
      </c>
      <c r="D132" s="672">
        <f>'Recycling - Case 2'!BN105*'Recycling - Case 2'!AF105*'Recycling - Case 2'!B105</f>
        <v>3968.6464777992883</v>
      </c>
      <c r="E132" s="672">
        <f>'Recycling - Case 2'!BO105*'Recycling - Case 2'!AF105*'Recycling - Case 2'!B105</f>
        <v>1331.9645880119617</v>
      </c>
      <c r="F132" s="672">
        <f>'Recycling - Case 2'!BP105*'Recycling - Case 2'!AF105*'Recycling - Case 2'!B105</f>
        <v>0</v>
      </c>
      <c r="G132" s="672">
        <f>'Recycling - Case 2'!BQ105*'Recycling - Case 2'!AF105*'Recycling - Case 2'!B105</f>
        <v>0</v>
      </c>
      <c r="H132" s="672">
        <f>'Recycling - Case 2'!BR105*'Recycling - Case 2'!AF105*'Recycling - Case 2'!B105</f>
        <v>0</v>
      </c>
      <c r="I132" s="672">
        <f>'Recycling - Case 2'!BS105*'Recycling - Case 2'!AF105*'Recycling - Case 2'!B105</f>
        <v>6657.5454656583242</v>
      </c>
      <c r="J132" s="945">
        <f t="shared" si="11"/>
        <v>14927.63443458851</v>
      </c>
      <c r="K132" s="613">
        <f>'4C2 Open-burning '!B132*'4C2 Open-burning '!$C$14*'4C2 Open-burning '!$C$5*'4C2 Open-burning '!$C$6*'4C2 Open-burning '!$C$7*C132</f>
        <v>0</v>
      </c>
      <c r="L132" s="614">
        <f>'4C2 Open-burning '!B132*'4C2 Open-burning '!$D$14*'4C2 Open-burning '!$C$5*'4C2 Open-burning '!$C$6*'4C2 Open-burning '!$C$7*D132</f>
        <v>0</v>
      </c>
      <c r="M132" s="614">
        <f>'4C2 Open-burning '!B132*'4C2 Open-burning '!$E$14*'4C2 Open-burning '!$C$5*'4C2 Open-burning '!$C$6*'4C2 Open-burning '!$C$7*E132</f>
        <v>0.85468597838616533</v>
      </c>
      <c r="N132" s="614">
        <f>'4C2 Open-burning '!B132*'4C2 Open-burning '!$F$14*'4C2 Open-burning '!$C$5*'4C2 Open-burning '!$C$6*'4C2 Open-burning '!$C$7*F132</f>
        <v>0</v>
      </c>
      <c r="O132" s="614">
        <f>'4C2 Open-burning '!B132*'4C2 Open-burning '!$G$14*'4C2 Open-burning '!$C$5*'4C2 Open-burning '!$C$6*'4C2 Open-burning '!$C$7*G132</f>
        <v>0</v>
      </c>
      <c r="P132" s="614">
        <f>'4C2 Open-burning '!B132*'4C2 Open-burning '!$H$14*'4C2 Open-burning '!$C$5*'4C2 Open-burning '!$C$6*'4C2 Open-burning '!$C$7*H132</f>
        <v>0</v>
      </c>
      <c r="Q132" s="614">
        <f>'4C2 Open-burning '!B132*'4C2 Open-burning '!$I$14*'4C2 Open-burning '!$C$5*'4C2 Open-burning '!$C$6*'4C2 Open-burning '!$C$7*I132</f>
        <v>27.860664115079821</v>
      </c>
      <c r="R132" s="615">
        <f t="shared" si="8"/>
        <v>28.715350093465986</v>
      </c>
      <c r="S132" s="613">
        <f>B132*C132*'4C2 Open-burning '!$C$9*'4C2 Open-burning '!$C$11*$C$5</f>
        <v>1.4067197661346642</v>
      </c>
      <c r="T132" s="614">
        <f>B132*D132*'4C2 Open-burning '!$C$9*'4C2 Open-burning '!$C$11*$C$5</f>
        <v>1.8800521934368366</v>
      </c>
      <c r="U132" s="614">
        <f>B132*E132*'4C2 Open-burning '!$C$9*'4C2 Open-burning '!$C$11*$C$5</f>
        <v>0.63098664980124419</v>
      </c>
      <c r="V132" s="614">
        <f>B132*F132*'4C2 Open-burning '!$C$9*'4C2 Open-burning '!$C$11*$C$5</f>
        <v>0</v>
      </c>
      <c r="W132" s="614">
        <f>B132*G132*'4C2 Open-burning '!$C$9*'4C2 Open-burning '!$C$11*$C$5</f>
        <v>0</v>
      </c>
      <c r="X132" s="614">
        <f>B132*H132*'4C2 Open-burning '!$C$9*'4C2 Open-burning '!$C$11*$C$5</f>
        <v>0</v>
      </c>
      <c r="Y132" s="614">
        <f>B132*I132*'4C2 Open-burning '!$C$9*'4C2 Open-burning '!$C$11*$C$5</f>
        <v>3.1538543494952775</v>
      </c>
      <c r="Z132" s="615">
        <f t="shared" si="9"/>
        <v>7.0716129588680232</v>
      </c>
      <c r="AA132" s="616">
        <f>B132*C132*'4C2 Open-burning '!$C$10*'4C2 Open-burning '!$C$11*$C$5*$C$15</f>
        <v>1.2985105533550749E-2</v>
      </c>
      <c r="AB132" s="617">
        <f>B132*D132*'4C2 Open-burning '!$C$10*'4C2 Open-burning '!$C$11*$C$5*$D$15</f>
        <v>1.7354327939416953E-2</v>
      </c>
      <c r="AC132" s="617">
        <f>B132*E132*'4C2 Open-burning '!$C$10*'4C2 Open-burning '!$C$11*$C$5*$E$15</f>
        <v>1.3105107342025841E-2</v>
      </c>
      <c r="AD132" s="617">
        <f>B132*F132*'4C2 Open-burning '!$C$10*'4C2 Open-burning '!$C$11*$C$5*$F$15</f>
        <v>0</v>
      </c>
      <c r="AE132" s="617">
        <f>B132*G132*'4C2 Open-burning '!$C$10*'4C2 Open-burning '!$C$11*$C$5*$G$15</f>
        <v>0</v>
      </c>
      <c r="AF132" s="617">
        <f>B132*H132*'4C2 Open-burning '!$C$10*'4C2 Open-burning '!$C$11*$C$5*$H$15</f>
        <v>0</v>
      </c>
      <c r="AG132" s="617">
        <f>B132*I132*'4C2 Open-burning '!$C$10*'4C2 Open-burning '!$C$11*$C$5*$I$15</f>
        <v>6.5503128797209612E-2</v>
      </c>
      <c r="AH132" s="618">
        <f t="shared" si="10"/>
        <v>0.10894766961220315</v>
      </c>
      <c r="AI132" s="104"/>
    </row>
    <row r="133" spans="1:35">
      <c r="A133" s="157">
        <f>'Input data'!A126</f>
        <v>2028</v>
      </c>
      <c r="B133" s="658">
        <f>'Recycling - Case 2'!AP106</f>
        <v>0.12146828085607689</v>
      </c>
      <c r="C133" s="672">
        <f>'Recycling - Case 2'!BM106*'Recycling - Case 2'!AF106*'Recycling - Case 2'!B106</f>
        <v>2781.2515317655875</v>
      </c>
      <c r="D133" s="672">
        <f>'Recycling - Case 2'!BN106*'Recycling - Case 2'!AF106*'Recycling - Case 2'!B106</f>
        <v>3717.0857825956605</v>
      </c>
      <c r="E133" s="672">
        <f>'Recycling - Case 2'!BO106*'Recycling - Case 2'!AF106*'Recycling - Case 2'!B106</f>
        <v>1247.5353148022432</v>
      </c>
      <c r="F133" s="672">
        <f>'Recycling - Case 2'!BP106*'Recycling - Case 2'!AF106*'Recycling - Case 2'!B106</f>
        <v>0</v>
      </c>
      <c r="G133" s="672">
        <f>'Recycling - Case 2'!BQ106*'Recycling - Case 2'!AF106*'Recycling - Case 2'!B106</f>
        <v>0</v>
      </c>
      <c r="H133" s="672">
        <f>'Recycling - Case 2'!BR106*'Recycling - Case 2'!AF106*'Recycling - Case 2'!B106</f>
        <v>0</v>
      </c>
      <c r="I133" s="672">
        <f>'Recycling - Case 2'!BS106*'Recycling - Case 2'!AF106*'Recycling - Case 2'!B106</f>
        <v>6235.5434619375319</v>
      </c>
      <c r="J133" s="945">
        <f t="shared" si="11"/>
        <v>13981.416091101022</v>
      </c>
      <c r="K133" s="613">
        <f>'4C2 Open-burning '!B133*'4C2 Open-burning '!$C$14*'4C2 Open-burning '!$C$5*'4C2 Open-burning '!$C$6*'4C2 Open-burning '!$C$7*C133</f>
        <v>0</v>
      </c>
      <c r="L133" s="614">
        <f>'4C2 Open-burning '!B133*'4C2 Open-burning '!$D$14*'4C2 Open-burning '!$C$5*'4C2 Open-burning '!$C$6*'4C2 Open-burning '!$C$7*D133</f>
        <v>0</v>
      </c>
      <c r="M133" s="614">
        <f>'4C2 Open-burning '!B133*'4C2 Open-burning '!$E$14*'4C2 Open-burning '!$C$5*'4C2 Open-burning '!$C$6*'4C2 Open-burning '!$C$7*E133</f>
        <v>0.80050997654111244</v>
      </c>
      <c r="N133" s="614">
        <f>'4C2 Open-burning '!B133*'4C2 Open-burning '!$F$14*'4C2 Open-burning '!$C$5*'4C2 Open-burning '!$C$6*'4C2 Open-burning '!$C$7*F133</f>
        <v>0</v>
      </c>
      <c r="O133" s="614">
        <f>'4C2 Open-burning '!B133*'4C2 Open-burning '!$G$14*'4C2 Open-burning '!$C$5*'4C2 Open-burning '!$C$6*'4C2 Open-burning '!$C$7*G133</f>
        <v>0</v>
      </c>
      <c r="P133" s="614">
        <f>'4C2 Open-burning '!B133*'4C2 Open-burning '!$H$14*'4C2 Open-burning '!$C$5*'4C2 Open-burning '!$C$6*'4C2 Open-burning '!$C$7*H133</f>
        <v>0</v>
      </c>
      <c r="Q133" s="614">
        <f>'4C2 Open-burning '!B133*'4C2 Open-burning '!$I$14*'4C2 Open-burning '!$C$5*'4C2 Open-burning '!$C$6*'4C2 Open-burning '!$C$7*I133</f>
        <v>26.094659490371921</v>
      </c>
      <c r="R133" s="615">
        <f t="shared" si="8"/>
        <v>26.895169466913032</v>
      </c>
      <c r="S133" s="613">
        <f>B133*C133*'4C2 Open-burning '!$C$9*'4C2 Open-burning '!$C$11*$C$5</f>
        <v>1.3175519845483961</v>
      </c>
      <c r="T133" s="614">
        <f>B133*D133*'4C2 Open-burning '!$C$9*'4C2 Open-burning '!$C$11*$C$5</f>
        <v>1.7608812772451941</v>
      </c>
      <c r="U133" s="614">
        <f>B133*E133*'4C2 Open-burning '!$C$9*'4C2 Open-burning '!$C$11*$C$5</f>
        <v>0.5909902829854653</v>
      </c>
      <c r="V133" s="614">
        <f>B133*F133*'4C2 Open-burning '!$C$9*'4C2 Open-burning '!$C$11*$C$5</f>
        <v>0</v>
      </c>
      <c r="W133" s="614">
        <f>B133*G133*'4C2 Open-burning '!$C$9*'4C2 Open-burning '!$C$11*$C$5</f>
        <v>0</v>
      </c>
      <c r="X133" s="614">
        <f>B133*H133*'4C2 Open-burning '!$C$9*'4C2 Open-burning '!$C$11*$C$5</f>
        <v>0</v>
      </c>
      <c r="Y133" s="614">
        <f>B133*I133*'4C2 Open-burning '!$C$9*'4C2 Open-burning '!$C$11*$C$5</f>
        <v>2.9539409036471178</v>
      </c>
      <c r="Z133" s="615">
        <f t="shared" si="9"/>
        <v>6.6233644484261731</v>
      </c>
      <c r="AA133" s="616">
        <f>B133*C133*'4C2 Open-burning '!$C$10*'4C2 Open-burning '!$C$11*$C$5*$C$15</f>
        <v>1.2162018318908271E-2</v>
      </c>
      <c r="AB133" s="617">
        <f>B133*D133*'4C2 Open-burning '!$C$10*'4C2 Open-burning '!$C$11*$C$5*$D$15</f>
        <v>1.6254288713032566E-2</v>
      </c>
      <c r="AC133" s="617">
        <f>B133*E133*'4C2 Open-burning '!$C$10*'4C2 Open-burning '!$C$11*$C$5*$E$15</f>
        <v>1.2274413569698125E-2</v>
      </c>
      <c r="AD133" s="617">
        <f>B133*F133*'4C2 Open-burning '!$C$10*'4C2 Open-burning '!$C$11*$C$5*$F$15</f>
        <v>0</v>
      </c>
      <c r="AE133" s="617">
        <f>B133*G133*'4C2 Open-burning '!$C$10*'4C2 Open-burning '!$C$11*$C$5*$G$15</f>
        <v>0</v>
      </c>
      <c r="AF133" s="617">
        <f>B133*H133*'4C2 Open-burning '!$C$10*'4C2 Open-burning '!$C$11*$C$5*$H$15</f>
        <v>0</v>
      </c>
      <c r="AG133" s="617">
        <f>B133*I133*'4C2 Open-burning '!$C$10*'4C2 Open-burning '!$C$11*$C$5*$I$15</f>
        <v>6.1351080306517071E-2</v>
      </c>
      <c r="AH133" s="618">
        <f t="shared" si="10"/>
        <v>0.10204180090815604</v>
      </c>
      <c r="AI133" s="104"/>
    </row>
    <row r="134" spans="1:35">
      <c r="A134" s="157">
        <f>'Input data'!A127</f>
        <v>2029</v>
      </c>
      <c r="B134" s="658">
        <f>'Recycling - Case 2'!AP107</f>
        <v>0.1214682808560769</v>
      </c>
      <c r="C134" s="672">
        <f>'Recycling - Case 2'!BM107*'Recycling - Case 2'!AF107*'Recycling - Case 2'!B107</f>
        <v>2582.6315291570913</v>
      </c>
      <c r="D134" s="672">
        <f>'Recycling - Case 2'!BN107*'Recycling - Case 2'!AF107*'Recycling - Case 2'!B107</f>
        <v>3451.6342118179273</v>
      </c>
      <c r="E134" s="672">
        <f>'Recycling - Case 2'!BO107*'Recycling - Case 2'!AF107*'Recycling - Case 2'!B107</f>
        <v>1158.4439598312265</v>
      </c>
      <c r="F134" s="672">
        <f>'Recycling - Case 2'!BP107*'Recycling - Case 2'!AF107*'Recycling - Case 2'!B107</f>
        <v>0</v>
      </c>
      <c r="G134" s="672">
        <f>'Recycling - Case 2'!BQ107*'Recycling - Case 2'!AF107*'Recycling - Case 2'!B107</f>
        <v>0</v>
      </c>
      <c r="H134" s="672">
        <f>'Recycling - Case 2'!BR107*'Recycling - Case 2'!AF107*'Recycling - Case 2'!B107</f>
        <v>0</v>
      </c>
      <c r="I134" s="672">
        <f>'Recycling - Case 2'!BS107*'Recycling - Case 2'!AF107*'Recycling - Case 2'!B107</f>
        <v>5790.2390209223759</v>
      </c>
      <c r="J134" s="945">
        <f t="shared" si="11"/>
        <v>12982.948721728622</v>
      </c>
      <c r="K134" s="613">
        <f>'4C2 Open-burning '!B134*'4C2 Open-burning '!$C$14*'4C2 Open-burning '!$C$5*'4C2 Open-burning '!$C$6*'4C2 Open-burning '!$C$7*C134</f>
        <v>0</v>
      </c>
      <c r="L134" s="614">
        <f>'4C2 Open-burning '!B134*'4C2 Open-burning '!$D$14*'4C2 Open-burning '!$C$5*'4C2 Open-burning '!$C$6*'4C2 Open-burning '!$C$7*D134</f>
        <v>0</v>
      </c>
      <c r="M134" s="614">
        <f>'4C2 Open-burning '!B134*'4C2 Open-burning '!$E$14*'4C2 Open-burning '!$C$5*'4C2 Open-burning '!$C$6*'4C2 Open-burning '!$C$7*E134</f>
        <v>0.74334244177744146</v>
      </c>
      <c r="N134" s="614">
        <f>'4C2 Open-burning '!B134*'4C2 Open-burning '!$F$14*'4C2 Open-burning '!$C$5*'4C2 Open-burning '!$C$6*'4C2 Open-burning '!$C$7*F134</f>
        <v>0</v>
      </c>
      <c r="O134" s="614">
        <f>'4C2 Open-burning '!B134*'4C2 Open-burning '!$G$14*'4C2 Open-burning '!$C$5*'4C2 Open-burning '!$C$6*'4C2 Open-burning '!$C$7*G134</f>
        <v>0</v>
      </c>
      <c r="P134" s="614">
        <f>'4C2 Open-burning '!B134*'4C2 Open-burning '!$H$14*'4C2 Open-burning '!$C$5*'4C2 Open-burning '!$C$6*'4C2 Open-burning '!$C$7*H134</f>
        <v>0</v>
      </c>
      <c r="Q134" s="614">
        <f>'4C2 Open-burning '!B134*'4C2 Open-burning '!$I$14*'4C2 Open-burning '!$C$5*'4C2 Open-burning '!$C$6*'4C2 Open-burning '!$C$7*I134</f>
        <v>24.231138238572285</v>
      </c>
      <c r="R134" s="615">
        <f t="shared" si="8"/>
        <v>24.974480680349728</v>
      </c>
      <c r="S134" s="613">
        <f>B134*C134*'4C2 Open-burning '!$C$9*'4C2 Open-burning '!$C$11*$C$5</f>
        <v>1.2234604665325104</v>
      </c>
      <c r="T134" s="614">
        <f>B134*D134*'4C2 Open-burning '!$C$9*'4C2 Open-burning '!$C$11*$C$5</f>
        <v>1.6351298880288201</v>
      </c>
      <c r="U134" s="614">
        <f>B134*E134*'4C2 Open-burning '!$C$9*'4C2 Open-burning '!$C$11*$C$5</f>
        <v>0.54878536544834067</v>
      </c>
      <c r="V134" s="614">
        <f>B134*F134*'4C2 Open-burning '!$C$9*'4C2 Open-burning '!$C$11*$C$5</f>
        <v>0</v>
      </c>
      <c r="W134" s="614">
        <f>B134*G134*'4C2 Open-burning '!$C$9*'4C2 Open-burning '!$C$11*$C$5</f>
        <v>0</v>
      </c>
      <c r="X134" s="614">
        <f>B134*H134*'4C2 Open-burning '!$C$9*'4C2 Open-burning '!$C$11*$C$5</f>
        <v>0</v>
      </c>
      <c r="Y134" s="614">
        <f>B134*I134*'4C2 Open-burning '!$C$9*'4C2 Open-burning '!$C$11*$C$5</f>
        <v>2.7429884805071381</v>
      </c>
      <c r="Z134" s="615">
        <f t="shared" si="9"/>
        <v>6.1503642005168091</v>
      </c>
      <c r="AA134" s="616">
        <f>B134*C134*'4C2 Open-burning '!$C$10*'4C2 Open-burning '!$C$11*$C$5*$C$15</f>
        <v>1.1293481229530868E-2</v>
      </c>
      <c r="AB134" s="617">
        <f>B134*D134*'4C2 Open-burning '!$C$10*'4C2 Open-burning '!$C$11*$C$5*$D$15</f>
        <v>1.5093506658727569E-2</v>
      </c>
      <c r="AC134" s="617">
        <f>B134*E134*'4C2 Open-burning '!$C$10*'4C2 Open-burning '!$C$11*$C$5*$E$15</f>
        <v>1.1397849897773227E-2</v>
      </c>
      <c r="AD134" s="617">
        <f>B134*F134*'4C2 Open-burning '!$C$10*'4C2 Open-burning '!$C$11*$C$5*$F$15</f>
        <v>0</v>
      </c>
      <c r="AE134" s="617">
        <f>B134*G134*'4C2 Open-burning '!$C$10*'4C2 Open-burning '!$C$11*$C$5*$G$15</f>
        <v>0</v>
      </c>
      <c r="AF134" s="617">
        <f>B134*H134*'4C2 Open-burning '!$C$10*'4C2 Open-burning '!$C$11*$C$5*$H$15</f>
        <v>0</v>
      </c>
      <c r="AG134" s="617">
        <f>B134*I134*'4C2 Open-burning '!$C$10*'4C2 Open-burning '!$C$11*$C$5*$I$15</f>
        <v>5.6969760748994416E-2</v>
      </c>
      <c r="AH134" s="618">
        <f t="shared" si="10"/>
        <v>9.4754598535026074E-2</v>
      </c>
      <c r="AI134" s="104"/>
    </row>
    <row r="135" spans="1:35">
      <c r="A135" s="157">
        <f>'Input data'!A128</f>
        <v>2030</v>
      </c>
      <c r="B135" s="658">
        <f>'Recycling - Case 2'!AP108</f>
        <v>0.1214682808560769</v>
      </c>
      <c r="C135" s="672">
        <f>'Recycling - Case 2'!BM108*'Recycling - Case 2'!AF108*'Recycling - Case 2'!B108</f>
        <v>2373.0310380185606</v>
      </c>
      <c r="D135" s="672">
        <f>'Recycling - Case 2'!BN108*'Recycling - Case 2'!AF108*'Recycling - Case 2'!B108</f>
        <v>3171.5074427221771</v>
      </c>
      <c r="E135" s="672">
        <f>'Recycling - Case 2'!BO108*'Recycling - Case 2'!AF108*'Recycling - Case 2'!B108</f>
        <v>1064.4272872258484</v>
      </c>
      <c r="F135" s="672">
        <f>'Recycling - Case 2'!BP108*'Recycling - Case 2'!AF108*'Recycling - Case 2'!B108</f>
        <v>0</v>
      </c>
      <c r="G135" s="672">
        <f>'Recycling - Case 2'!BQ108*'Recycling - Case 2'!AF108*'Recycling - Case 2'!B108</f>
        <v>0</v>
      </c>
      <c r="H135" s="672">
        <f>'Recycling - Case 2'!BR108*'Recycling - Case 2'!AF108*'Recycling - Case 2'!B108</f>
        <v>0</v>
      </c>
      <c r="I135" s="672">
        <f>'Recycling - Case 2'!BS108*'Recycling - Case 2'!AF108*'Recycling - Case 2'!B108</f>
        <v>5320.3164133443142</v>
      </c>
      <c r="J135" s="945">
        <f t="shared" si="11"/>
        <v>11929.2821813109</v>
      </c>
      <c r="K135" s="613">
        <f>'4C2 Open-burning '!B135*'4C2 Open-burning '!$C$14*'4C2 Open-burning '!$C$5*'4C2 Open-burning '!$C$6*'4C2 Open-burning '!$C$7*C135</f>
        <v>0</v>
      </c>
      <c r="L135" s="614">
        <f>'4C2 Open-burning '!B135*'4C2 Open-burning '!$D$14*'4C2 Open-burning '!$C$5*'4C2 Open-burning '!$C$6*'4C2 Open-burning '!$C$7*D135</f>
        <v>0</v>
      </c>
      <c r="M135" s="614">
        <f>'4C2 Open-burning '!B135*'4C2 Open-burning '!$E$14*'4C2 Open-burning '!$C$5*'4C2 Open-burning '!$C$6*'4C2 Open-burning '!$C$7*E135</f>
        <v>0.68301446269034449</v>
      </c>
      <c r="N135" s="614">
        <f>'4C2 Open-burning '!B135*'4C2 Open-burning '!$F$14*'4C2 Open-burning '!$C$5*'4C2 Open-burning '!$C$6*'4C2 Open-burning '!$C$7*F135</f>
        <v>0</v>
      </c>
      <c r="O135" s="614">
        <f>'4C2 Open-burning '!B135*'4C2 Open-burning '!$G$14*'4C2 Open-burning '!$C$5*'4C2 Open-burning '!$C$6*'4C2 Open-burning '!$C$7*G135</f>
        <v>0</v>
      </c>
      <c r="P135" s="614">
        <f>'4C2 Open-burning '!B135*'4C2 Open-burning '!$H$14*'4C2 Open-burning '!$C$5*'4C2 Open-burning '!$C$6*'4C2 Open-burning '!$C$7*H135</f>
        <v>0</v>
      </c>
      <c r="Q135" s="614">
        <f>'4C2 Open-burning '!B135*'4C2 Open-burning '!$I$14*'4C2 Open-burning '!$C$5*'4C2 Open-burning '!$C$6*'4C2 Open-burning '!$C$7*I135</f>
        <v>22.264594262665661</v>
      </c>
      <c r="R135" s="615">
        <f t="shared" si="8"/>
        <v>22.947608725356005</v>
      </c>
      <c r="S135" s="613">
        <f>B135*C135*'4C2 Open-burning '!$C$9*'4C2 Open-burning '!$C$11*$C$5</f>
        <v>1.1241672023642821</v>
      </c>
      <c r="T135" s="614">
        <f>B135*D135*'4C2 Open-burning '!$C$9*'4C2 Open-burning '!$C$11*$C$5</f>
        <v>1.5024264714798907</v>
      </c>
      <c r="U135" s="614">
        <f>B135*E135*'4C2 Open-burning '!$C$9*'4C2 Open-burning '!$C$11*$C$5</f>
        <v>0.50424719543492347</v>
      </c>
      <c r="V135" s="614">
        <f>B135*F135*'4C2 Open-burning '!$C$9*'4C2 Open-burning '!$C$11*$C$5</f>
        <v>0</v>
      </c>
      <c r="W135" s="614">
        <f>B135*G135*'4C2 Open-burning '!$C$9*'4C2 Open-burning '!$C$11*$C$5</f>
        <v>0</v>
      </c>
      <c r="X135" s="614">
        <f>B135*H135*'4C2 Open-burning '!$C$9*'4C2 Open-burning '!$C$11*$C$5</f>
        <v>0</v>
      </c>
      <c r="Y135" s="614">
        <f>B135*I135*'4C2 Open-burning '!$C$9*'4C2 Open-burning '!$C$11*$C$5</f>
        <v>2.5203737845232808</v>
      </c>
      <c r="Z135" s="615">
        <f t="shared" si="9"/>
        <v>5.6512146538023771</v>
      </c>
      <c r="AA135" s="616">
        <f>B135*C135*'4C2 Open-burning '!$C$10*'4C2 Open-burning '!$C$11*$C$5*$C$15</f>
        <v>1.0376928021824144E-2</v>
      </c>
      <c r="AB135" s="617">
        <f>B135*D135*'4C2 Open-burning '!$C$10*'4C2 Open-burning '!$C$11*$C$5*$D$15</f>
        <v>1.3868552044429761E-2</v>
      </c>
      <c r="AC135" s="617">
        <f>B135*E135*'4C2 Open-burning '!$C$10*'4C2 Open-burning '!$C$11*$C$5*$E$15</f>
        <v>1.0472826366725333E-2</v>
      </c>
      <c r="AD135" s="617">
        <f>B135*F135*'4C2 Open-burning '!$C$10*'4C2 Open-burning '!$C$11*$C$5*$F$15</f>
        <v>0</v>
      </c>
      <c r="AE135" s="617">
        <f>B135*G135*'4C2 Open-burning '!$C$10*'4C2 Open-burning '!$C$11*$C$5*$G$15</f>
        <v>0</v>
      </c>
      <c r="AF135" s="617">
        <f>B135*H135*'4C2 Open-burning '!$C$10*'4C2 Open-burning '!$C$11*$C$5*$H$15</f>
        <v>0</v>
      </c>
      <c r="AG135" s="617">
        <f>B135*I135*'4C2 Open-burning '!$C$10*'4C2 Open-burning '!$C$11*$C$5*$I$15</f>
        <v>5.2346224755483527E-2</v>
      </c>
      <c r="AH135" s="618">
        <f t="shared" si="10"/>
        <v>8.7064531188462774E-2</v>
      </c>
      <c r="AI135" s="104"/>
    </row>
    <row r="136" spans="1:35">
      <c r="A136" s="157">
        <f>'Input data'!A129</f>
        <v>2031</v>
      </c>
      <c r="B136" s="658">
        <f>'Recycling - Case 2'!AP109</f>
        <v>0.12146828085607692</v>
      </c>
      <c r="C136" s="672">
        <f>'Recycling - Case 2'!BM109*'Recycling - Case 2'!AF109*'Recycling - Case 2'!B109</f>
        <v>2117.1386910696888</v>
      </c>
      <c r="D136" s="672">
        <f>'Recycling - Case 2'!BN109*'Recycling - Case 2'!AF109*'Recycling - Case 2'!B109</f>
        <v>2829.5125552209852</v>
      </c>
      <c r="E136" s="672">
        <f>'Recycling - Case 2'!BO109*'Recycling - Case 2'!AF109*'Recycling - Case 2'!B109</f>
        <v>949.6463204703208</v>
      </c>
      <c r="F136" s="672">
        <f>'Recycling - Case 2'!BP109*'Recycling - Case 2'!AF109*'Recycling - Case 2'!B109</f>
        <v>0</v>
      </c>
      <c r="G136" s="672">
        <f>'Recycling - Case 2'!BQ109*'Recycling - Case 2'!AF109*'Recycling - Case 2'!B109</f>
        <v>0</v>
      </c>
      <c r="H136" s="672">
        <f>'Recycling - Case 2'!BR109*'Recycling - Case 2'!AF109*'Recycling - Case 2'!B109</f>
        <v>0</v>
      </c>
      <c r="I136" s="672">
        <f>'Recycling - Case 2'!BS109*'Recycling - Case 2'!AF109*'Recycling - Case 2'!B109</f>
        <v>4746.6078390738112</v>
      </c>
      <c r="J136" s="945">
        <f t="shared" si="11"/>
        <v>10642.905405834805</v>
      </c>
      <c r="K136" s="613">
        <f>'4C2 Open-burning '!B136*'4C2 Open-burning '!$C$14*'4C2 Open-burning '!$C$5*'4C2 Open-burning '!$C$6*'4C2 Open-burning '!$C$7*C136</f>
        <v>0</v>
      </c>
      <c r="L136" s="614">
        <f>'4C2 Open-burning '!B136*'4C2 Open-burning '!$D$14*'4C2 Open-burning '!$C$5*'4C2 Open-burning '!$C$6*'4C2 Open-burning '!$C$7*D136</f>
        <v>0</v>
      </c>
      <c r="M136" s="614">
        <f>'4C2 Open-burning '!B136*'4C2 Open-burning '!$E$14*'4C2 Open-burning '!$C$5*'4C2 Open-burning '!$C$6*'4C2 Open-burning '!$C$7*E136</f>
        <v>0.60936259254717462</v>
      </c>
      <c r="N136" s="614">
        <f>'4C2 Open-burning '!B136*'4C2 Open-burning '!$F$14*'4C2 Open-burning '!$C$5*'4C2 Open-burning '!$C$6*'4C2 Open-burning '!$C$7*F136</f>
        <v>0</v>
      </c>
      <c r="O136" s="614">
        <f>'4C2 Open-burning '!B136*'4C2 Open-burning '!$G$14*'4C2 Open-burning '!$C$5*'4C2 Open-burning '!$C$6*'4C2 Open-burning '!$C$7*G136</f>
        <v>0</v>
      </c>
      <c r="P136" s="614">
        <f>'4C2 Open-burning '!B136*'4C2 Open-burning '!$H$14*'4C2 Open-burning '!$C$5*'4C2 Open-burning '!$C$6*'4C2 Open-burning '!$C$7*H136</f>
        <v>0</v>
      </c>
      <c r="Q136" s="614">
        <f>'4C2 Open-burning '!B136*'4C2 Open-burning '!$I$14*'4C2 Open-burning '!$C$5*'4C2 Open-burning '!$C$6*'4C2 Open-burning '!$C$7*I136</f>
        <v>19.863724156687155</v>
      </c>
      <c r="R136" s="615">
        <f t="shared" si="8"/>
        <v>20.47308674923433</v>
      </c>
      <c r="S136" s="613">
        <f>B136*C136*'4C2 Open-burning '!$C$9*'4C2 Open-burning '!$C$11*$C$5</f>
        <v>1.0029442688386678</v>
      </c>
      <c r="T136" s="614">
        <f>B136*D136*'4C2 Open-burning '!$C$9*'4C2 Open-burning '!$C$11*$C$5</f>
        <v>1.3404145003991761</v>
      </c>
      <c r="U136" s="614">
        <f>B136*E136*'4C2 Open-burning '!$C$9*'4C2 Open-burning '!$C$11*$C$5</f>
        <v>0.44987243327843285</v>
      </c>
      <c r="V136" s="614">
        <f>B136*F136*'4C2 Open-burning '!$C$9*'4C2 Open-burning '!$C$11*$C$5</f>
        <v>0</v>
      </c>
      <c r="W136" s="614">
        <f>B136*G136*'4C2 Open-burning '!$C$9*'4C2 Open-burning '!$C$11*$C$5</f>
        <v>0</v>
      </c>
      <c r="X136" s="614">
        <f>B136*H136*'4C2 Open-burning '!$C$9*'4C2 Open-burning '!$C$11*$C$5</f>
        <v>0</v>
      </c>
      <c r="Y136" s="614">
        <f>B136*I136*'4C2 Open-burning '!$C$9*'4C2 Open-burning '!$C$11*$C$5</f>
        <v>2.2485929470300685</v>
      </c>
      <c r="Z136" s="615">
        <f t="shared" si="9"/>
        <v>5.0418241495463452</v>
      </c>
      <c r="AA136" s="616">
        <f>B136*C136*'4C2 Open-burning '!$C$10*'4C2 Open-burning '!$C$11*$C$5*$C$15</f>
        <v>9.2579470969723198E-3</v>
      </c>
      <c r="AB136" s="617">
        <f>B136*D136*'4C2 Open-burning '!$C$10*'4C2 Open-burning '!$C$11*$C$5*$D$15</f>
        <v>1.2373056926761624E-2</v>
      </c>
      <c r="AC136" s="617">
        <f>B136*E136*'4C2 Open-burning '!$C$10*'4C2 Open-burning '!$C$11*$C$5*$E$15</f>
        <v>9.3435043834751447E-3</v>
      </c>
      <c r="AD136" s="617">
        <f>B136*F136*'4C2 Open-burning '!$C$10*'4C2 Open-burning '!$C$11*$C$5*$F$15</f>
        <v>0</v>
      </c>
      <c r="AE136" s="617">
        <f>B136*G136*'4C2 Open-burning '!$C$10*'4C2 Open-burning '!$C$11*$C$5*$G$15</f>
        <v>0</v>
      </c>
      <c r="AF136" s="617">
        <f>B136*H136*'4C2 Open-burning '!$C$10*'4C2 Open-burning '!$C$11*$C$5*$H$15</f>
        <v>0</v>
      </c>
      <c r="AG136" s="617">
        <f>B136*I136*'4C2 Open-burning '!$C$10*'4C2 Open-burning '!$C$11*$C$5*$I$15</f>
        <v>4.6701545822932199E-2</v>
      </c>
      <c r="AH136" s="618">
        <f t="shared" si="10"/>
        <v>7.7676054230141289E-2</v>
      </c>
      <c r="AI136" s="104"/>
    </row>
    <row r="137" spans="1:35">
      <c r="A137" s="157">
        <f>'Input data'!A130</f>
        <v>2032</v>
      </c>
      <c r="B137" s="658">
        <f>'Recycling - Case 2'!AP110</f>
        <v>0.1214682808560769</v>
      </c>
      <c r="C137" s="672">
        <f>'Recycling - Case 2'!BM110*'Recycling - Case 2'!AF110*'Recycling - Case 2'!B110</f>
        <v>1856.7102222874823</v>
      </c>
      <c r="D137" s="672">
        <f>'Recycling - Case 2'!BN110*'Recycling - Case 2'!AF110*'Recycling - Case 2'!B110</f>
        <v>2481.4552336744619</v>
      </c>
      <c r="E137" s="672">
        <f>'Recycling - Case 2'!BO110*'Recycling - Case 2'!AF110*'Recycling - Case 2'!B110</f>
        <v>832.83066820911461</v>
      </c>
      <c r="F137" s="672">
        <f>'Recycling - Case 2'!BP110*'Recycling - Case 2'!AF110*'Recycling - Case 2'!B110</f>
        <v>0</v>
      </c>
      <c r="G137" s="672">
        <f>'Recycling - Case 2'!BQ110*'Recycling - Case 2'!AF110*'Recycling - Case 2'!B110</f>
        <v>0</v>
      </c>
      <c r="H137" s="672">
        <f>'Recycling - Case 2'!BR110*'Recycling - Case 2'!AF110*'Recycling - Case 2'!B110</f>
        <v>0</v>
      </c>
      <c r="I137" s="672">
        <f>'Recycling - Case 2'!BS110*'Recycling - Case 2'!AF110*'Recycling - Case 2'!B110</f>
        <v>4162.7293163044587</v>
      </c>
      <c r="J137" s="945">
        <f t="shared" si="11"/>
        <v>9333.7254404755167</v>
      </c>
      <c r="K137" s="613">
        <f>'4C2 Open-burning '!B137*'4C2 Open-burning '!$C$14*'4C2 Open-burning '!$C$5*'4C2 Open-burning '!$C$6*'4C2 Open-burning '!$C$7*C137</f>
        <v>0</v>
      </c>
      <c r="L137" s="614">
        <f>'4C2 Open-burning '!B137*'4C2 Open-burning '!$D$14*'4C2 Open-burning '!$C$5*'4C2 Open-burning '!$C$6*'4C2 Open-burning '!$C$7*D137</f>
        <v>0</v>
      </c>
      <c r="M137" s="614">
        <f>'4C2 Open-burning '!B137*'4C2 Open-burning '!$E$14*'4C2 Open-burning '!$C$5*'4C2 Open-burning '!$C$6*'4C2 Open-burning '!$C$7*E137</f>
        <v>0.53440511924624723</v>
      </c>
      <c r="N137" s="614">
        <f>'4C2 Open-burning '!B137*'4C2 Open-burning '!$F$14*'4C2 Open-burning '!$C$5*'4C2 Open-burning '!$C$6*'4C2 Open-burning '!$C$7*F137</f>
        <v>0</v>
      </c>
      <c r="O137" s="614">
        <f>'4C2 Open-burning '!B137*'4C2 Open-burning '!$G$14*'4C2 Open-burning '!$C$5*'4C2 Open-burning '!$C$6*'4C2 Open-burning '!$C$7*G137</f>
        <v>0</v>
      </c>
      <c r="P137" s="614">
        <f>'4C2 Open-burning '!B137*'4C2 Open-burning '!$H$14*'4C2 Open-burning '!$C$5*'4C2 Open-burning '!$C$6*'4C2 Open-burning '!$C$7*H137</f>
        <v>0</v>
      </c>
      <c r="Q137" s="614">
        <f>'4C2 Open-burning '!B137*'4C2 Open-burning '!$I$14*'4C2 Open-burning '!$C$5*'4C2 Open-burning '!$C$6*'4C2 Open-burning '!$C$7*I137</f>
        <v>17.420294593825382</v>
      </c>
      <c r="R137" s="615">
        <f t="shared" si="8"/>
        <v>17.95469971307163</v>
      </c>
      <c r="S137" s="613">
        <f>B137*C137*'4C2 Open-burning '!$C$9*'4C2 Open-burning '!$C$11*$C$5</f>
        <v>0.87957245512174298</v>
      </c>
      <c r="T137" s="614">
        <f>B137*D137*'4C2 Open-burning '!$C$9*'4C2 Open-burning '!$C$11*$C$5</f>
        <v>1.1755305948974306</v>
      </c>
      <c r="U137" s="614">
        <f>B137*E137*'4C2 Open-burning '!$C$9*'4C2 Open-burning '!$C$11*$C$5</f>
        <v>0.39453378709515785</v>
      </c>
      <c r="V137" s="614">
        <f>B137*F137*'4C2 Open-burning '!$C$9*'4C2 Open-burning '!$C$11*$C$5</f>
        <v>0</v>
      </c>
      <c r="W137" s="614">
        <f>B137*G137*'4C2 Open-burning '!$C$9*'4C2 Open-burning '!$C$11*$C$5</f>
        <v>0</v>
      </c>
      <c r="X137" s="614">
        <f>B137*H137*'4C2 Open-burning '!$C$9*'4C2 Open-burning '!$C$11*$C$5</f>
        <v>0</v>
      </c>
      <c r="Y137" s="614">
        <f>B137*I137*'4C2 Open-burning '!$C$9*'4C2 Open-burning '!$C$11*$C$5</f>
        <v>1.9719943375107101</v>
      </c>
      <c r="Z137" s="615">
        <f t="shared" si="9"/>
        <v>4.4216311746250412</v>
      </c>
      <c r="AA137" s="616">
        <f>B137*C137*'4C2 Open-burning '!$C$10*'4C2 Open-burning '!$C$11*$C$5*$C$15</f>
        <v>8.1191303549699358E-3</v>
      </c>
      <c r="AB137" s="617">
        <f>B137*D137*'4C2 Open-burning '!$C$10*'4C2 Open-burning '!$C$11*$C$5*$D$15</f>
        <v>1.0851051645207055E-2</v>
      </c>
      <c r="AC137" s="617">
        <f>B137*E137*'4C2 Open-burning '!$C$10*'4C2 Open-burning '!$C$11*$C$5*$E$15</f>
        <v>8.1941632704378934E-3</v>
      </c>
      <c r="AD137" s="617">
        <f>B137*F137*'4C2 Open-burning '!$C$10*'4C2 Open-burning '!$C$11*$C$5*$F$15</f>
        <v>0</v>
      </c>
      <c r="AE137" s="617">
        <f>B137*G137*'4C2 Open-burning '!$C$10*'4C2 Open-burning '!$C$11*$C$5*$G$15</f>
        <v>0</v>
      </c>
      <c r="AF137" s="617">
        <f>B137*H137*'4C2 Open-burning '!$C$10*'4C2 Open-burning '!$C$11*$C$5*$H$15</f>
        <v>0</v>
      </c>
      <c r="AG137" s="617">
        <f>B137*I137*'4C2 Open-burning '!$C$10*'4C2 Open-burning '!$C$11*$C$5*$I$15</f>
        <v>4.0956805471376284E-2</v>
      </c>
      <c r="AH137" s="618">
        <f t="shared" si="10"/>
        <v>6.8121150741991168E-2</v>
      </c>
      <c r="AI137" s="104"/>
    </row>
    <row r="138" spans="1:35">
      <c r="A138" s="157">
        <f>'Input data'!A131</f>
        <v>2033</v>
      </c>
      <c r="B138" s="658">
        <f>'Recycling - Case 2'!AP111</f>
        <v>0.1214682808560769</v>
      </c>
      <c r="C138" s="672">
        <f>'Recycling - Case 2'!BM111*'Recycling - Case 2'!AF111*'Recycling - Case 2'!B111</f>
        <v>1872.540983048113</v>
      </c>
      <c r="D138" s="672">
        <f>'Recycling - Case 2'!BN111*'Recycling - Case 2'!AF111*'Recycling - Case 2'!B111</f>
        <v>2502.6127216179052</v>
      </c>
      <c r="E138" s="672">
        <f>'Recycling - Case 2'!BO111*'Recycling - Case 2'!AF111*'Recycling - Case 2'!B111</f>
        <v>839.93158406785938</v>
      </c>
      <c r="F138" s="672">
        <f>'Recycling - Case 2'!BP111*'Recycling - Case 2'!AF111*'Recycling - Case 2'!B111</f>
        <v>0</v>
      </c>
      <c r="G138" s="672">
        <f>'Recycling - Case 2'!BQ111*'Recycling - Case 2'!AF111*'Recycling - Case 2'!B111</f>
        <v>0</v>
      </c>
      <c r="H138" s="672">
        <f>'Recycling - Case 2'!BR111*'Recycling - Case 2'!AF111*'Recycling - Case 2'!B111</f>
        <v>0</v>
      </c>
      <c r="I138" s="672">
        <f>'Recycling - Case 2'!BS111*'Recycling - Case 2'!AF111*'Recycling - Case 2'!B111</f>
        <v>4198.2217540185638</v>
      </c>
      <c r="J138" s="945">
        <f t="shared" si="11"/>
        <v>9413.3070427524399</v>
      </c>
      <c r="K138" s="613">
        <f>'4C2 Open-burning '!B138*'4C2 Open-burning '!$C$14*'4C2 Open-burning '!$C$5*'4C2 Open-burning '!$C$6*'4C2 Open-burning '!$C$7*C138</f>
        <v>0</v>
      </c>
      <c r="L138" s="614">
        <f>'4C2 Open-burning '!B138*'4C2 Open-burning '!$D$14*'4C2 Open-burning '!$C$5*'4C2 Open-burning '!$C$6*'4C2 Open-burning '!$C$7*D138</f>
        <v>0</v>
      </c>
      <c r="M138" s="614">
        <f>'4C2 Open-burning '!B138*'4C2 Open-burning '!$E$14*'4C2 Open-burning '!$C$5*'4C2 Open-burning '!$C$6*'4C2 Open-burning '!$C$7*E138</f>
        <v>0.53896158664244698</v>
      </c>
      <c r="N138" s="614">
        <f>'4C2 Open-burning '!B138*'4C2 Open-burning '!$F$14*'4C2 Open-burning '!$C$5*'4C2 Open-burning '!$C$6*'4C2 Open-burning '!$C$7*F138</f>
        <v>0</v>
      </c>
      <c r="O138" s="614">
        <f>'4C2 Open-burning '!B138*'4C2 Open-burning '!$G$14*'4C2 Open-burning '!$C$5*'4C2 Open-burning '!$C$6*'4C2 Open-burning '!$C$7*G138</f>
        <v>0</v>
      </c>
      <c r="P138" s="614">
        <f>'4C2 Open-burning '!B138*'4C2 Open-burning '!$H$14*'4C2 Open-burning '!$C$5*'4C2 Open-burning '!$C$6*'4C2 Open-burning '!$C$7*H138</f>
        <v>0</v>
      </c>
      <c r="Q138" s="614">
        <f>'4C2 Open-burning '!B138*'4C2 Open-burning '!$I$14*'4C2 Open-burning '!$C$5*'4C2 Open-burning '!$C$6*'4C2 Open-burning '!$C$7*I138</f>
        <v>17.56882424200861</v>
      </c>
      <c r="R138" s="615">
        <f t="shared" si="8"/>
        <v>18.107785828651057</v>
      </c>
      <c r="S138" s="613">
        <f>B138*C138*'4C2 Open-burning '!$C$9*'4C2 Open-burning '!$C$11*$C$5</f>
        <v>0.88707190276926973</v>
      </c>
      <c r="T138" s="614">
        <f>B138*D138*'4C2 Open-burning '!$C$9*'4C2 Open-burning '!$C$11*$C$5</f>
        <v>1.1855534532795511</v>
      </c>
      <c r="U138" s="614">
        <f>B138*E138*'4C2 Open-burning '!$C$9*'4C2 Open-burning '!$C$11*$C$5</f>
        <v>0.39789767765843281</v>
      </c>
      <c r="V138" s="614">
        <f>B138*F138*'4C2 Open-burning '!$C$9*'4C2 Open-burning '!$C$11*$C$5</f>
        <v>0</v>
      </c>
      <c r="W138" s="614">
        <f>B138*G138*'4C2 Open-burning '!$C$9*'4C2 Open-burning '!$C$11*$C$5</f>
        <v>0</v>
      </c>
      <c r="X138" s="614">
        <f>B138*H138*'4C2 Open-burning '!$C$9*'4C2 Open-burning '!$C$11*$C$5</f>
        <v>0</v>
      </c>
      <c r="Y138" s="614">
        <f>B138*I138*'4C2 Open-burning '!$C$9*'4C2 Open-burning '!$C$11*$C$5</f>
        <v>1.9888080385415527</v>
      </c>
      <c r="Z138" s="615">
        <f t="shared" si="9"/>
        <v>4.4593310722488066</v>
      </c>
      <c r="AA138" s="616">
        <f>B138*C138*'4C2 Open-burning '!$C$10*'4C2 Open-burning '!$C$11*$C$5*$C$15</f>
        <v>8.1883560255624904E-3</v>
      </c>
      <c r="AB138" s="617">
        <f>B138*D138*'4C2 Open-burning '!$C$10*'4C2 Open-burning '!$C$11*$C$5*$D$15</f>
        <v>1.0943570337965088E-2</v>
      </c>
      <c r="AC138" s="617">
        <f>B138*E138*'4C2 Open-burning '!$C$10*'4C2 Open-burning '!$C$11*$C$5*$E$15</f>
        <v>8.2640286898289887E-3</v>
      </c>
      <c r="AD138" s="617">
        <f>B138*F138*'4C2 Open-burning '!$C$10*'4C2 Open-burning '!$C$11*$C$5*$F$15</f>
        <v>0</v>
      </c>
      <c r="AE138" s="617">
        <f>B138*G138*'4C2 Open-burning '!$C$10*'4C2 Open-burning '!$C$11*$C$5*$G$15</f>
        <v>0</v>
      </c>
      <c r="AF138" s="617">
        <f>B138*H138*'4C2 Open-burning '!$C$10*'4C2 Open-burning '!$C$11*$C$5*$H$15</f>
        <v>0</v>
      </c>
      <c r="AG138" s="617">
        <f>B138*I138*'4C2 Open-burning '!$C$10*'4C2 Open-burning '!$C$11*$C$5*$I$15</f>
        <v>4.1306013108170711E-2</v>
      </c>
      <c r="AH138" s="618">
        <f t="shared" si="10"/>
        <v>6.870196816152728E-2</v>
      </c>
      <c r="AI138" s="104"/>
    </row>
    <row r="139" spans="1:35">
      <c r="A139" s="157">
        <f>'Input data'!A132</f>
        <v>2034</v>
      </c>
      <c r="B139" s="658">
        <f>'Recycling - Case 2'!AP112</f>
        <v>0.1214682808560769</v>
      </c>
      <c r="C139" s="672">
        <f>'Recycling - Case 2'!BM112*'Recycling - Case 2'!AF112*'Recycling - Case 2'!B112</f>
        <v>1888.5378007397992</v>
      </c>
      <c r="D139" s="672">
        <f>'Recycling - Case 2'!BN112*'Recycling - Case 2'!AF112*'Recycling - Case 2'!B112</f>
        <v>2523.9921412530625</v>
      </c>
      <c r="E139" s="672">
        <f>'Recycling - Case 2'!BO112*'Recycling - Case 2'!AF112*'Recycling - Case 2'!B112</f>
        <v>847.1069850579895</v>
      </c>
      <c r="F139" s="672">
        <f>'Recycling - Case 2'!BP112*'Recycling - Case 2'!AF112*'Recycling - Case 2'!B112</f>
        <v>0</v>
      </c>
      <c r="G139" s="672">
        <f>'Recycling - Case 2'!BQ112*'Recycling - Case 2'!AF112*'Recycling - Case 2'!B112</f>
        <v>0</v>
      </c>
      <c r="H139" s="672">
        <f>'Recycling - Case 2'!BR112*'Recycling - Case 2'!AF112*'Recycling - Case 2'!B112</f>
        <v>0</v>
      </c>
      <c r="I139" s="672">
        <f>'Recycling - Case 2'!BS112*'Recycling - Case 2'!AF112*'Recycling - Case 2'!B112</f>
        <v>4234.0864900303677</v>
      </c>
      <c r="J139" s="945">
        <f t="shared" si="11"/>
        <v>9493.7234170812189</v>
      </c>
      <c r="K139" s="613">
        <f>'4C2 Open-burning '!B139*'4C2 Open-burning '!$C$14*'4C2 Open-burning '!$C$5*'4C2 Open-burning '!$C$6*'4C2 Open-burning '!$C$7*C139</f>
        <v>0</v>
      </c>
      <c r="L139" s="614">
        <f>'4C2 Open-burning '!B139*'4C2 Open-burning '!$D$14*'4C2 Open-burning '!$C$5*'4C2 Open-burning '!$C$6*'4C2 Open-burning '!$C$7*D139</f>
        <v>0</v>
      </c>
      <c r="M139" s="614">
        <f>'4C2 Open-burning '!B139*'4C2 Open-burning '!$E$14*'4C2 Open-burning '!$C$5*'4C2 Open-burning '!$C$6*'4C2 Open-burning '!$C$7*E139</f>
        <v>0.54356584915119421</v>
      </c>
      <c r="N139" s="614">
        <f>'4C2 Open-burning '!B139*'4C2 Open-burning '!$F$14*'4C2 Open-burning '!$C$5*'4C2 Open-burning '!$C$6*'4C2 Open-burning '!$C$7*F139</f>
        <v>0</v>
      </c>
      <c r="O139" s="614">
        <f>'4C2 Open-burning '!B139*'4C2 Open-burning '!$G$14*'4C2 Open-burning '!$C$5*'4C2 Open-burning '!$C$6*'4C2 Open-burning '!$C$7*G139</f>
        <v>0</v>
      </c>
      <c r="P139" s="614">
        <f>'4C2 Open-burning '!B139*'4C2 Open-burning '!$H$14*'4C2 Open-burning '!$C$5*'4C2 Open-burning '!$C$6*'4C2 Open-burning '!$C$7*H139</f>
        <v>0</v>
      </c>
      <c r="Q139" s="614">
        <f>'4C2 Open-burning '!B139*'4C2 Open-burning '!$I$14*'4C2 Open-burning '!$C$5*'4C2 Open-burning '!$C$6*'4C2 Open-burning '!$C$7*I139</f>
        <v>17.71891189349445</v>
      </c>
      <c r="R139" s="615">
        <f t="shared" si="8"/>
        <v>18.262477742645643</v>
      </c>
      <c r="S139" s="613">
        <f>B139*C139*'4C2 Open-burning '!$C$9*'4C2 Open-burning '!$C$11*$C$5</f>
        <v>0.8946500159515608</v>
      </c>
      <c r="T139" s="614">
        <f>B139*D139*'4C2 Open-burning '!$C$9*'4C2 Open-burning '!$C$11*$C$5</f>
        <v>1.1956814465398058</v>
      </c>
      <c r="U139" s="614">
        <f>B139*E139*'4C2 Open-burning '!$C$9*'4C2 Open-burning '!$C$11*$C$5</f>
        <v>0.40129685378705671</v>
      </c>
      <c r="V139" s="614">
        <f>B139*F139*'4C2 Open-burning '!$C$9*'4C2 Open-burning '!$C$11*$C$5</f>
        <v>0</v>
      </c>
      <c r="W139" s="614">
        <f>B139*G139*'4C2 Open-burning '!$C$9*'4C2 Open-burning '!$C$11*$C$5</f>
        <v>0</v>
      </c>
      <c r="X139" s="614">
        <f>B139*H139*'4C2 Open-burning '!$C$9*'4C2 Open-burning '!$C$11*$C$5</f>
        <v>0</v>
      </c>
      <c r="Y139" s="614">
        <f>B139*I139*'4C2 Open-burning '!$C$9*'4C2 Open-burning '!$C$11*$C$5</f>
        <v>2.0057981070657251</v>
      </c>
      <c r="Z139" s="615">
        <f t="shared" si="9"/>
        <v>4.4974264233441481</v>
      </c>
      <c r="AA139" s="616">
        <f>B139*C139*'4C2 Open-burning '!$C$10*'4C2 Open-burning '!$C$11*$C$5*$C$15</f>
        <v>8.2583078395528694E-3</v>
      </c>
      <c r="AB139" s="617">
        <f>B139*D139*'4C2 Open-burning '!$C$10*'4C2 Open-burning '!$C$11*$C$5*$D$15</f>
        <v>1.1037059506521285E-2</v>
      </c>
      <c r="AC139" s="617">
        <f>B139*E139*'4C2 Open-burning '!$C$10*'4C2 Open-burning '!$C$11*$C$5*$E$15</f>
        <v>8.3346269632696389E-3</v>
      </c>
      <c r="AD139" s="617">
        <f>B139*F139*'4C2 Open-burning '!$C$10*'4C2 Open-burning '!$C$11*$C$5*$F$15</f>
        <v>0</v>
      </c>
      <c r="AE139" s="617">
        <f>B139*G139*'4C2 Open-burning '!$C$10*'4C2 Open-burning '!$C$11*$C$5*$G$15</f>
        <v>0</v>
      </c>
      <c r="AF139" s="617">
        <f>B139*H139*'4C2 Open-burning '!$C$10*'4C2 Open-burning '!$C$11*$C$5*$H$15</f>
        <v>0</v>
      </c>
      <c r="AG139" s="617">
        <f>B139*I139*'4C2 Open-burning '!$C$10*'4C2 Open-burning '!$C$11*$C$5*$I$15</f>
        <v>4.1658883762134294E-2</v>
      </c>
      <c r="AH139" s="618">
        <f t="shared" si="10"/>
        <v>6.9288878071478086E-2</v>
      </c>
      <c r="AI139" s="104"/>
    </row>
    <row r="140" spans="1:35">
      <c r="A140" s="157">
        <f>'Input data'!A133</f>
        <v>2035</v>
      </c>
      <c r="B140" s="658">
        <f>'Recycling - Case 2'!AP113</f>
        <v>0.1214682808560769</v>
      </c>
      <c r="C140" s="672">
        <f>'Recycling - Case 2'!BM113*'Recycling - Case 2'!AF113*'Recycling - Case 2'!B113</f>
        <v>1904.6453230521895</v>
      </c>
      <c r="D140" s="672">
        <f>'Recycling - Case 2'!BN113*'Recycling - Case 2'!AF113*'Recycling - Case 2'!B113</f>
        <v>2545.5195153493637</v>
      </c>
      <c r="E140" s="672">
        <f>'Recycling - Case 2'!BO113*'Recycling - Case 2'!AF113*'Recycling - Case 2'!B113</f>
        <v>854.3320428023768</v>
      </c>
      <c r="F140" s="672">
        <f>'Recycling - Case 2'!BP113*'Recycling - Case 2'!AF113*'Recycling - Case 2'!B113</f>
        <v>0</v>
      </c>
      <c r="G140" s="672">
        <f>'Recycling - Case 2'!BQ113*'Recycling - Case 2'!AF113*'Recycling - Case 2'!B113</f>
        <v>0</v>
      </c>
      <c r="H140" s="672">
        <f>'Recycling - Case 2'!BR113*'Recycling - Case 2'!AF113*'Recycling - Case 2'!B113</f>
        <v>0</v>
      </c>
      <c r="I140" s="672">
        <f>'Recycling - Case 2'!BS113*'Recycling - Case 2'!AF113*'Recycling - Case 2'!B113</f>
        <v>4270.1994249073077</v>
      </c>
      <c r="J140" s="945">
        <f t="shared" si="11"/>
        <v>9574.6963061112383</v>
      </c>
      <c r="K140" s="613">
        <f>'4C2 Open-burning '!B140*'4C2 Open-burning '!$C$14*'4C2 Open-burning '!$C$5*'4C2 Open-burning '!$C$6*'4C2 Open-burning '!$C$7*C140</f>
        <v>0</v>
      </c>
      <c r="L140" s="614">
        <f>'4C2 Open-burning '!B140*'4C2 Open-burning '!$D$14*'4C2 Open-burning '!$C$5*'4C2 Open-burning '!$C$6*'4C2 Open-burning '!$C$7*D140</f>
        <v>0</v>
      </c>
      <c r="M140" s="614">
        <f>'4C2 Open-burning '!B140*'4C2 Open-burning '!$E$14*'4C2 Open-burning '!$C$5*'4C2 Open-burning '!$C$6*'4C2 Open-burning '!$C$7*E140</f>
        <v>0.54820197506830659</v>
      </c>
      <c r="N140" s="614">
        <f>'4C2 Open-burning '!B140*'4C2 Open-burning '!$F$14*'4C2 Open-burning '!$C$5*'4C2 Open-burning '!$C$6*'4C2 Open-burning '!$C$7*F140</f>
        <v>0</v>
      </c>
      <c r="O140" s="614">
        <f>'4C2 Open-burning '!B140*'4C2 Open-burning '!$G$14*'4C2 Open-burning '!$C$5*'4C2 Open-burning '!$C$6*'4C2 Open-burning '!$C$7*G140</f>
        <v>0</v>
      </c>
      <c r="P140" s="614">
        <f>'4C2 Open-burning '!B140*'4C2 Open-burning '!$H$14*'4C2 Open-burning '!$C$5*'4C2 Open-burning '!$C$6*'4C2 Open-burning '!$C$7*H140</f>
        <v>0</v>
      </c>
      <c r="Q140" s="614">
        <f>'4C2 Open-burning '!B140*'4C2 Open-burning '!$I$14*'4C2 Open-burning '!$C$5*'4C2 Open-burning '!$C$6*'4C2 Open-burning '!$C$7*I140</f>
        <v>17.870038213848719</v>
      </c>
      <c r="R140" s="615">
        <f t="shared" si="8"/>
        <v>18.418240188917025</v>
      </c>
      <c r="S140" s="613">
        <f>B140*C140*'4C2 Open-burning '!$C$9*'4C2 Open-burning '!$C$11*$C$5</f>
        <v>0.90228057282369489</v>
      </c>
      <c r="T140" s="614">
        <f>B140*D140*'4C2 Open-burning '!$C$9*'4C2 Open-burning '!$C$11*$C$5</f>
        <v>1.2058795297188167</v>
      </c>
      <c r="U140" s="614">
        <f>B140*E140*'4C2 Open-burning '!$C$9*'4C2 Open-burning '!$C$11*$C$5</f>
        <v>0.4047195536259135</v>
      </c>
      <c r="V140" s="614">
        <f>B140*F140*'4C2 Open-burning '!$C$9*'4C2 Open-burning '!$C$11*$C$5</f>
        <v>0</v>
      </c>
      <c r="W140" s="614">
        <f>B140*G140*'4C2 Open-burning '!$C$9*'4C2 Open-burning '!$C$11*$C$5</f>
        <v>0</v>
      </c>
      <c r="X140" s="614">
        <f>B140*H140*'4C2 Open-burning '!$C$9*'4C2 Open-burning '!$C$11*$C$5</f>
        <v>0</v>
      </c>
      <c r="Y140" s="614">
        <f>B140*I140*'4C2 Open-burning '!$C$9*'4C2 Open-burning '!$C$11*$C$5</f>
        <v>2.0229057539187858</v>
      </c>
      <c r="Z140" s="615">
        <f t="shared" si="9"/>
        <v>4.535785410087211</v>
      </c>
      <c r="AA140" s="616">
        <f>B140*C140*'4C2 Open-burning '!$C$10*'4C2 Open-burning '!$C$11*$C$5*$C$15</f>
        <v>8.3287437491418002E-3</v>
      </c>
      <c r="AB140" s="617">
        <f>B140*D140*'4C2 Open-burning '!$C$10*'4C2 Open-burning '!$C$11*$C$5*$D$15</f>
        <v>1.1131195658942926E-2</v>
      </c>
      <c r="AC140" s="617">
        <f>B140*E140*'4C2 Open-burning '!$C$10*'4C2 Open-burning '!$C$11*$C$5*$E$15</f>
        <v>8.4057138060766659E-3</v>
      </c>
      <c r="AD140" s="617">
        <f>B140*F140*'4C2 Open-burning '!$C$10*'4C2 Open-burning '!$C$11*$C$5*$F$15</f>
        <v>0</v>
      </c>
      <c r="AE140" s="617">
        <f>B140*G140*'4C2 Open-burning '!$C$10*'4C2 Open-burning '!$C$11*$C$5*$G$15</f>
        <v>0</v>
      </c>
      <c r="AF140" s="617">
        <f>B140*H140*'4C2 Open-burning '!$C$10*'4C2 Open-burning '!$C$11*$C$5*$H$15</f>
        <v>0</v>
      </c>
      <c r="AG140" s="617">
        <f>B140*I140*'4C2 Open-burning '!$C$10*'4C2 Open-burning '!$C$11*$C$5*$I$15</f>
        <v>4.2014196427544011E-2</v>
      </c>
      <c r="AH140" s="618">
        <f t="shared" si="10"/>
        <v>6.9879849641705405E-2</v>
      </c>
      <c r="AI140" s="104"/>
    </row>
    <row r="141" spans="1:35">
      <c r="A141" s="157">
        <f>'Input data'!A134</f>
        <v>2036</v>
      </c>
      <c r="B141" s="658">
        <f>'Recycling - Case 2'!AP114</f>
        <v>0.1214682808560769</v>
      </c>
      <c r="C141" s="672">
        <f>'Recycling - Case 2'!BM114*'Recycling - Case 2'!AF114*'Recycling - Case 2'!B114</f>
        <v>1918.5941052608571</v>
      </c>
      <c r="D141" s="672">
        <f>'Recycling - Case 2'!BN114*'Recycling - Case 2'!AF114*'Recycling - Case 2'!B114</f>
        <v>2564.1617774533765</v>
      </c>
      <c r="E141" s="672">
        <f>'Recycling - Case 2'!BO114*'Recycling - Case 2'!AF114*'Recycling - Case 2'!B114</f>
        <v>860.5887938387533</v>
      </c>
      <c r="F141" s="672">
        <f>'Recycling - Case 2'!BP114*'Recycling - Case 2'!AF114*'Recycling - Case 2'!B114</f>
        <v>0</v>
      </c>
      <c r="G141" s="672">
        <f>'Recycling - Case 2'!BQ114*'Recycling - Case 2'!AF114*'Recycling - Case 2'!B114</f>
        <v>0</v>
      </c>
      <c r="H141" s="672">
        <f>'Recycling - Case 2'!BR114*'Recycling - Case 2'!AF114*'Recycling - Case 2'!B114</f>
        <v>0</v>
      </c>
      <c r="I141" s="672">
        <f>'Recycling - Case 2'!BS114*'Recycling - Case 2'!AF114*'Recycling - Case 2'!B114</f>
        <v>4301.4724819141402</v>
      </c>
      <c r="J141" s="945">
        <f t="shared" si="11"/>
        <v>9644.8171584671272</v>
      </c>
      <c r="K141" s="613">
        <f>'4C2 Open-burning '!B141*'4C2 Open-burning '!$C$14*'4C2 Open-burning '!$C$5*'4C2 Open-burning '!$C$6*'4C2 Open-burning '!$C$7*C141</f>
        <v>0</v>
      </c>
      <c r="L141" s="614">
        <f>'4C2 Open-burning '!B141*'4C2 Open-burning '!$D$14*'4C2 Open-burning '!$C$5*'4C2 Open-burning '!$C$6*'4C2 Open-burning '!$C$7*D141</f>
        <v>0</v>
      </c>
      <c r="M141" s="614">
        <f>'4C2 Open-burning '!B141*'4C2 Open-burning '!$E$14*'4C2 Open-burning '!$C$5*'4C2 Open-burning '!$C$6*'4C2 Open-burning '!$C$7*E141</f>
        <v>0.55221676452230073</v>
      </c>
      <c r="N141" s="614">
        <f>'4C2 Open-burning '!B141*'4C2 Open-burning '!$F$14*'4C2 Open-burning '!$C$5*'4C2 Open-burning '!$C$6*'4C2 Open-burning '!$C$7*F141</f>
        <v>0</v>
      </c>
      <c r="O141" s="614">
        <f>'4C2 Open-burning '!B141*'4C2 Open-burning '!$G$14*'4C2 Open-burning '!$C$5*'4C2 Open-burning '!$C$6*'4C2 Open-burning '!$C$7*G141</f>
        <v>0</v>
      </c>
      <c r="P141" s="614">
        <f>'4C2 Open-burning '!B141*'4C2 Open-burning '!$H$14*'4C2 Open-burning '!$C$5*'4C2 Open-burning '!$C$6*'4C2 Open-burning '!$C$7*H141</f>
        <v>0</v>
      </c>
      <c r="Q141" s="614">
        <f>'4C2 Open-burning '!B141*'4C2 Open-burning '!$I$14*'4C2 Open-burning '!$C$5*'4C2 Open-burning '!$C$6*'4C2 Open-burning '!$C$7*I141</f>
        <v>18.0009104912689</v>
      </c>
      <c r="R141" s="615">
        <f t="shared" si="8"/>
        <v>18.5531272557912</v>
      </c>
      <c r="S141" s="613">
        <f>B141*C141*'4C2 Open-burning '!$C$9*'4C2 Open-burning '!$C$11*$C$5</f>
        <v>0.90888847774389336</v>
      </c>
      <c r="T141" s="614">
        <f>B141*D141*'4C2 Open-burning '!$C$9*'4C2 Open-burning '!$C$11*$C$5</f>
        <v>1.2147108594820837</v>
      </c>
      <c r="U141" s="614">
        <f>B141*E141*'4C2 Open-burning '!$C$9*'4C2 Open-burning '!$C$11*$C$5</f>
        <v>0.40768354111523275</v>
      </c>
      <c r="V141" s="614">
        <f>B141*F141*'4C2 Open-burning '!$C$9*'4C2 Open-burning '!$C$11*$C$5</f>
        <v>0</v>
      </c>
      <c r="W141" s="614">
        <f>B141*G141*'4C2 Open-burning '!$C$9*'4C2 Open-burning '!$C$11*$C$5</f>
        <v>0</v>
      </c>
      <c r="X141" s="614">
        <f>B141*H141*'4C2 Open-burning '!$C$9*'4C2 Open-burning '!$C$11*$C$5</f>
        <v>0</v>
      </c>
      <c r="Y141" s="614">
        <f>B141*I141*'4C2 Open-burning '!$C$9*'4C2 Open-burning '!$C$11*$C$5</f>
        <v>2.0377206233585481</v>
      </c>
      <c r="Z141" s="615">
        <f t="shared" si="9"/>
        <v>4.5690035016997577</v>
      </c>
      <c r="AA141" s="616">
        <f>B141*C141*'4C2 Open-burning '!$C$10*'4C2 Open-burning '!$C$11*$C$5*$C$15</f>
        <v>8.389739794559016E-3</v>
      </c>
      <c r="AB141" s="617">
        <f>B141*D141*'4C2 Open-burning '!$C$10*'4C2 Open-burning '!$C$11*$C$5*$D$15</f>
        <v>1.1212715625988467E-2</v>
      </c>
      <c r="AC141" s="617">
        <f>B141*E141*'4C2 Open-burning '!$C$10*'4C2 Open-burning '!$C$11*$C$5*$E$15</f>
        <v>8.4672735462394504E-3</v>
      </c>
      <c r="AD141" s="617">
        <f>B141*F141*'4C2 Open-burning '!$C$10*'4C2 Open-burning '!$C$11*$C$5*$F$15</f>
        <v>0</v>
      </c>
      <c r="AE141" s="617">
        <f>B141*G141*'4C2 Open-burning '!$C$10*'4C2 Open-burning '!$C$11*$C$5*$G$15</f>
        <v>0</v>
      </c>
      <c r="AF141" s="617">
        <f>B141*H141*'4C2 Open-burning '!$C$10*'4C2 Open-burning '!$C$11*$C$5*$H$15</f>
        <v>0</v>
      </c>
      <c r="AG141" s="617">
        <f>B141*I141*'4C2 Open-burning '!$C$10*'4C2 Open-burning '!$C$11*$C$5*$I$15</f>
        <v>4.2321889869754464E-2</v>
      </c>
      <c r="AH141" s="618">
        <f t="shared" si="10"/>
        <v>7.0391618836541395E-2</v>
      </c>
      <c r="AI141" s="104"/>
    </row>
    <row r="142" spans="1:35">
      <c r="A142" s="157">
        <f>'Input data'!A135</f>
        <v>2037</v>
      </c>
      <c r="B142" s="658">
        <f>'Recycling - Case 2'!AP115</f>
        <v>0.1214682808560769</v>
      </c>
      <c r="C142" s="672">
        <f>'Recycling - Case 2'!BM115*'Recycling - Case 2'!AF115*'Recycling - Case 2'!B115</f>
        <v>1932.6259159350527</v>
      </c>
      <c r="D142" s="672">
        <f>'Recycling - Case 2'!BN115*'Recycling - Case 2'!AF115*'Recycling - Case 2'!B115</f>
        <v>2582.9150054032471</v>
      </c>
      <c r="E142" s="672">
        <f>'Recycling - Case 2'!BO115*'Recycling - Case 2'!AF115*'Recycling - Case 2'!B115</f>
        <v>866.88278744082265</v>
      </c>
      <c r="F142" s="672">
        <f>'Recycling - Case 2'!BP115*'Recycling - Case 2'!AF115*'Recycling - Case 2'!B115</f>
        <v>0</v>
      </c>
      <c r="G142" s="672">
        <f>'Recycling - Case 2'!BQ115*'Recycling - Case 2'!AF115*'Recycling - Case 2'!B115</f>
        <v>0</v>
      </c>
      <c r="H142" s="672">
        <f>'Recycling - Case 2'!BR115*'Recycling - Case 2'!AF115*'Recycling - Case 2'!B115</f>
        <v>0</v>
      </c>
      <c r="I142" s="672">
        <f>'Recycling - Case 2'!BS115*'Recycling - Case 2'!AF115*'Recycling - Case 2'!B115</f>
        <v>4332.9316880698243</v>
      </c>
      <c r="J142" s="945">
        <f t="shared" si="11"/>
        <v>9715.3553968489468</v>
      </c>
      <c r="K142" s="613">
        <f>'4C2 Open-burning '!B142*'4C2 Open-burning '!$C$14*'4C2 Open-burning '!$C$5*'4C2 Open-burning '!$C$6*'4C2 Open-burning '!$C$7*C142</f>
        <v>0</v>
      </c>
      <c r="L142" s="614">
        <f>'4C2 Open-burning '!B142*'4C2 Open-burning '!$D$14*'4C2 Open-burning '!$C$5*'4C2 Open-burning '!$C$6*'4C2 Open-burning '!$C$7*D142</f>
        <v>0</v>
      </c>
      <c r="M142" s="614">
        <f>'4C2 Open-burning '!B142*'4C2 Open-burning '!$E$14*'4C2 Open-burning '!$C$5*'4C2 Open-burning '!$C$6*'4C2 Open-burning '!$C$7*E142</f>
        <v>0.55625545153256883</v>
      </c>
      <c r="N142" s="614">
        <f>'4C2 Open-burning '!B142*'4C2 Open-burning '!$F$14*'4C2 Open-burning '!$C$5*'4C2 Open-burning '!$C$6*'4C2 Open-burning '!$C$7*F142</f>
        <v>0</v>
      </c>
      <c r="O142" s="614">
        <f>'4C2 Open-burning '!B142*'4C2 Open-burning '!$G$14*'4C2 Open-burning '!$C$5*'4C2 Open-burning '!$C$6*'4C2 Open-burning '!$C$7*G142</f>
        <v>0</v>
      </c>
      <c r="P142" s="614">
        <f>'4C2 Open-burning '!B142*'4C2 Open-burning '!$H$14*'4C2 Open-burning '!$C$5*'4C2 Open-burning '!$C$6*'4C2 Open-burning '!$C$7*H142</f>
        <v>0</v>
      </c>
      <c r="Q142" s="614">
        <f>'4C2 Open-burning '!B142*'4C2 Open-burning '!$I$14*'4C2 Open-burning '!$C$5*'4C2 Open-burning '!$C$6*'4C2 Open-burning '!$C$7*I142</f>
        <v>18.132561770340395</v>
      </c>
      <c r="R142" s="615">
        <f t="shared" si="8"/>
        <v>18.688817221872963</v>
      </c>
      <c r="S142" s="613">
        <f>B142*C142*'4C2 Open-burning '!$C$9*'4C2 Open-burning '!$C$11*$C$5</f>
        <v>0.91553571543147405</v>
      </c>
      <c r="T142" s="614">
        <f>B142*D142*'4C2 Open-burning '!$C$9*'4C2 Open-burning '!$C$11*$C$5</f>
        <v>1.2235947566844183</v>
      </c>
      <c r="U142" s="614">
        <f>B142*E142*'4C2 Open-burning '!$C$9*'4C2 Open-burning '!$C$11*$C$5</f>
        <v>0.41066517138722658</v>
      </c>
      <c r="V142" s="614">
        <f>B142*F142*'4C2 Open-burning '!$C$9*'4C2 Open-burning '!$C$11*$C$5</f>
        <v>0</v>
      </c>
      <c r="W142" s="614">
        <f>B142*G142*'4C2 Open-burning '!$C$9*'4C2 Open-burning '!$C$11*$C$5</f>
        <v>0</v>
      </c>
      <c r="X142" s="614">
        <f>B142*H142*'4C2 Open-burning '!$C$9*'4C2 Open-burning '!$C$11*$C$5</f>
        <v>0</v>
      </c>
      <c r="Y142" s="614">
        <f>B142*I142*'4C2 Open-burning '!$C$9*'4C2 Open-burning '!$C$11*$C$5</f>
        <v>2.052623676544977</v>
      </c>
      <c r="Z142" s="615">
        <f t="shared" si="9"/>
        <v>4.6024193200480958</v>
      </c>
      <c r="AA142" s="616">
        <f>B142*C142*'4C2 Open-burning '!$C$10*'4C2 Open-burning '!$C$11*$C$5*$C$15</f>
        <v>8.4510989116751457E-3</v>
      </c>
      <c r="AB142" s="617">
        <f>B142*D142*'4C2 Open-burning '!$C$10*'4C2 Open-burning '!$C$11*$C$5*$D$15</f>
        <v>1.1294720830933094E-2</v>
      </c>
      <c r="AC142" s="617">
        <f>B142*E142*'4C2 Open-burning '!$C$10*'4C2 Open-burning '!$C$11*$C$5*$E$15</f>
        <v>8.5291997134270114E-3</v>
      </c>
      <c r="AD142" s="617">
        <f>B142*F142*'4C2 Open-burning '!$C$10*'4C2 Open-burning '!$C$11*$C$5*$F$15</f>
        <v>0</v>
      </c>
      <c r="AE142" s="617">
        <f>B142*G142*'4C2 Open-burning '!$C$10*'4C2 Open-burning '!$C$11*$C$5*$G$15</f>
        <v>0</v>
      </c>
      <c r="AF142" s="617">
        <f>B142*H142*'4C2 Open-burning '!$C$10*'4C2 Open-burning '!$C$11*$C$5*$H$15</f>
        <v>0</v>
      </c>
      <c r="AG142" s="617">
        <f>B142*I142*'4C2 Open-burning '!$C$10*'4C2 Open-burning '!$C$11*$C$5*$I$15</f>
        <v>4.2631414820549531E-2</v>
      </c>
      <c r="AH142" s="618">
        <f t="shared" si="10"/>
        <v>7.0906434276584773E-2</v>
      </c>
      <c r="AI142" s="104"/>
    </row>
    <row r="143" spans="1:35">
      <c r="A143" s="157">
        <f>'Input data'!A136</f>
        <v>2038</v>
      </c>
      <c r="B143" s="658">
        <f>'Recycling - Case 2'!AP116</f>
        <v>0.1214682808560769</v>
      </c>
      <c r="C143" s="672">
        <f>'Recycling - Case 2'!BM116*'Recycling - Case 2'!AF116*'Recycling - Case 2'!B116</f>
        <v>1946.7961073851277</v>
      </c>
      <c r="D143" s="672">
        <f>'Recycling - Case 2'!BN116*'Recycling - Case 2'!AF116*'Recycling - Case 2'!B116</f>
        <v>2601.8531764295462</v>
      </c>
      <c r="E143" s="672">
        <f>'Recycling - Case 2'!BO116*'Recycling - Case 2'!AF116*'Recycling - Case 2'!B116</f>
        <v>873.23885198571304</v>
      </c>
      <c r="F143" s="672">
        <f>'Recycling - Case 2'!BP116*'Recycling - Case 2'!AF116*'Recycling - Case 2'!B116</f>
        <v>0</v>
      </c>
      <c r="G143" s="672">
        <f>'Recycling - Case 2'!BQ116*'Recycling - Case 2'!AF116*'Recycling - Case 2'!B116</f>
        <v>0</v>
      </c>
      <c r="H143" s="672">
        <f>'Recycling - Case 2'!BR116*'Recycling - Case 2'!AF116*'Recycling - Case 2'!B116</f>
        <v>0</v>
      </c>
      <c r="I143" s="672">
        <f>'Recycling - Case 2'!BS116*'Recycling - Case 2'!AF116*'Recycling - Case 2'!B116</f>
        <v>4364.7011428069254</v>
      </c>
      <c r="J143" s="945">
        <f t="shared" si="11"/>
        <v>9786.5892786073127</v>
      </c>
      <c r="K143" s="613">
        <f>'4C2 Open-burning '!B143*'4C2 Open-burning '!$C$14*'4C2 Open-burning '!$C$5*'4C2 Open-burning '!$C$6*'4C2 Open-burning '!$C$7*C143</f>
        <v>0</v>
      </c>
      <c r="L143" s="614">
        <f>'4C2 Open-burning '!B143*'4C2 Open-burning '!$D$14*'4C2 Open-burning '!$C$5*'4C2 Open-burning '!$C$6*'4C2 Open-burning '!$C$7*D143</f>
        <v>0</v>
      </c>
      <c r="M143" s="614">
        <f>'4C2 Open-burning '!B143*'4C2 Open-burning '!$E$14*'4C2 Open-burning '!$C$5*'4C2 Open-burning '!$C$6*'4C2 Open-burning '!$C$7*E143</f>
        <v>0.56033396780329303</v>
      </c>
      <c r="N143" s="614">
        <f>'4C2 Open-burning '!B143*'4C2 Open-burning '!$F$14*'4C2 Open-burning '!$C$5*'4C2 Open-burning '!$C$6*'4C2 Open-burning '!$C$7*F143</f>
        <v>0</v>
      </c>
      <c r="O143" s="614">
        <f>'4C2 Open-burning '!B143*'4C2 Open-burning '!$G$14*'4C2 Open-burning '!$C$5*'4C2 Open-burning '!$C$6*'4C2 Open-burning '!$C$7*G143</f>
        <v>0</v>
      </c>
      <c r="P143" s="614">
        <f>'4C2 Open-burning '!B143*'4C2 Open-burning '!$H$14*'4C2 Open-burning '!$C$5*'4C2 Open-burning '!$C$6*'4C2 Open-burning '!$C$7*H143</f>
        <v>0</v>
      </c>
      <c r="Q143" s="614">
        <f>'4C2 Open-burning '!B143*'4C2 Open-burning '!$I$14*'4C2 Open-burning '!$C$5*'4C2 Open-burning '!$C$6*'4C2 Open-burning '!$C$7*I143</f>
        <v>18.265511385497412</v>
      </c>
      <c r="R143" s="615">
        <f t="shared" si="8"/>
        <v>18.825845353300704</v>
      </c>
      <c r="S143" s="613">
        <f>B143*C143*'4C2 Open-burning '!$C$9*'4C2 Open-burning '!$C$11*$C$5</f>
        <v>0.92224850773135825</v>
      </c>
      <c r="T143" s="614">
        <f>B143*D143*'4C2 Open-burning '!$C$9*'4C2 Open-burning '!$C$11*$C$5</f>
        <v>1.2325662662851977</v>
      </c>
      <c r="U143" s="614">
        <f>B143*E143*'4C2 Open-burning '!$C$9*'4C2 Open-burning '!$C$11*$C$5</f>
        <v>0.41367620629701113</v>
      </c>
      <c r="V143" s="614">
        <f>B143*F143*'4C2 Open-burning '!$C$9*'4C2 Open-burning '!$C$11*$C$5</f>
        <v>0</v>
      </c>
      <c r="W143" s="614">
        <f>B143*G143*'4C2 Open-burning '!$C$9*'4C2 Open-burning '!$C$11*$C$5</f>
        <v>0</v>
      </c>
      <c r="X143" s="614">
        <f>B143*H143*'4C2 Open-burning '!$C$9*'4C2 Open-burning '!$C$11*$C$5</f>
        <v>0</v>
      </c>
      <c r="Y143" s="614">
        <f>B143*I143*'4C2 Open-burning '!$C$9*'4C2 Open-burning '!$C$11*$C$5</f>
        <v>2.0676737026425145</v>
      </c>
      <c r="Z143" s="615">
        <f t="shared" si="9"/>
        <v>4.6361646829560819</v>
      </c>
      <c r="AA143" s="616">
        <f>B143*C143*'4C2 Open-burning '!$C$10*'4C2 Open-burning '!$C$11*$C$5*$C$15</f>
        <v>8.5130631482894618E-3</v>
      </c>
      <c r="AB143" s="617">
        <f>B143*D143*'4C2 Open-burning '!$C$10*'4C2 Open-burning '!$C$11*$C$5*$D$15</f>
        <v>1.1377534765709518E-2</v>
      </c>
      <c r="AC143" s="617">
        <f>B143*E143*'4C2 Open-burning '!$C$10*'4C2 Open-burning '!$C$11*$C$5*$E$15</f>
        <v>8.5917365923225391E-3</v>
      </c>
      <c r="AD143" s="617">
        <f>B143*F143*'4C2 Open-burning '!$C$10*'4C2 Open-burning '!$C$11*$C$5*$F$15</f>
        <v>0</v>
      </c>
      <c r="AE143" s="617">
        <f>B143*G143*'4C2 Open-burning '!$C$10*'4C2 Open-burning '!$C$11*$C$5*$G$15</f>
        <v>0</v>
      </c>
      <c r="AF143" s="617">
        <f>B143*H143*'4C2 Open-burning '!$C$10*'4C2 Open-burning '!$C$11*$C$5*$H$15</f>
        <v>0</v>
      </c>
      <c r="AG143" s="617">
        <f>B143*I143*'4C2 Open-burning '!$C$10*'4C2 Open-burning '!$C$11*$C$5*$I$15</f>
        <v>4.2943992285652224E-2</v>
      </c>
      <c r="AH143" s="618">
        <f t="shared" si="10"/>
        <v>7.1426326791973749E-2</v>
      </c>
      <c r="AI143" s="104"/>
    </row>
    <row r="144" spans="1:35">
      <c r="A144" s="157">
        <f>'Input data'!A137</f>
        <v>2039</v>
      </c>
      <c r="B144" s="658">
        <f>'Recycling - Case 2'!AP117</f>
        <v>0.1214682808560769</v>
      </c>
      <c r="C144" s="672">
        <f>'Recycling - Case 2'!BM117*'Recycling - Case 2'!AF117*'Recycling - Case 2'!B117</f>
        <v>1961.0493273007307</v>
      </c>
      <c r="D144" s="672">
        <f>'Recycling - Case 2'!BN117*'Recycling - Case 2'!AF117*'Recycling - Case 2'!B117</f>
        <v>2620.9023133017026</v>
      </c>
      <c r="E144" s="672">
        <f>'Recycling - Case 2'!BO117*'Recycling - Case 2'!AF117*'Recycling - Case 2'!B117</f>
        <v>879.63215909629628</v>
      </c>
      <c r="F144" s="672">
        <f>'Recycling - Case 2'!BP117*'Recycling - Case 2'!AF117*'Recycling - Case 2'!B117</f>
        <v>0</v>
      </c>
      <c r="G144" s="672">
        <f>'Recycling - Case 2'!BQ117*'Recycling - Case 2'!AF117*'Recycling - Case 2'!B117</f>
        <v>0</v>
      </c>
      <c r="H144" s="672">
        <f>'Recycling - Case 2'!BR117*'Recycling - Case 2'!AF117*'Recycling - Case 2'!B117</f>
        <v>0</v>
      </c>
      <c r="I144" s="672">
        <f>'Recycling - Case 2'!BS117*'Recycling - Case 2'!AF117*'Recycling - Case 2'!B117</f>
        <v>4396.6567466928764</v>
      </c>
      <c r="J144" s="945">
        <f t="shared" si="11"/>
        <v>9858.2405463916057</v>
      </c>
      <c r="K144" s="613">
        <f>'4C2 Open-burning '!B144*'4C2 Open-burning '!$C$14*'4C2 Open-burning '!$C$5*'4C2 Open-burning '!$C$6*'4C2 Open-burning '!$C$7*C144</f>
        <v>0</v>
      </c>
      <c r="L144" s="614">
        <f>'4C2 Open-burning '!B144*'4C2 Open-burning '!$D$14*'4C2 Open-burning '!$C$5*'4C2 Open-burning '!$C$6*'4C2 Open-burning '!$C$7*D144</f>
        <v>0</v>
      </c>
      <c r="M144" s="614">
        <f>'4C2 Open-burning '!B144*'4C2 Open-burning '!$E$14*'4C2 Open-burning '!$C$5*'4C2 Open-burning '!$C$6*'4C2 Open-burning '!$C$7*E144</f>
        <v>0.56443638163029108</v>
      </c>
      <c r="N144" s="614">
        <f>'4C2 Open-burning '!B144*'4C2 Open-burning '!$F$14*'4C2 Open-burning '!$C$5*'4C2 Open-burning '!$C$6*'4C2 Open-burning '!$C$7*F144</f>
        <v>0</v>
      </c>
      <c r="O144" s="614">
        <f>'4C2 Open-burning '!B144*'4C2 Open-burning '!$G$14*'4C2 Open-burning '!$C$5*'4C2 Open-burning '!$C$6*'4C2 Open-burning '!$C$7*G144</f>
        <v>0</v>
      </c>
      <c r="P144" s="614">
        <f>'4C2 Open-burning '!B144*'4C2 Open-burning '!$H$14*'4C2 Open-burning '!$C$5*'4C2 Open-burning '!$C$6*'4C2 Open-burning '!$C$7*H144</f>
        <v>0</v>
      </c>
      <c r="Q144" s="614">
        <f>'4C2 Open-burning '!B144*'4C2 Open-burning '!$I$14*'4C2 Open-burning '!$C$5*'4C2 Open-burning '!$C$6*'4C2 Open-burning '!$C$7*I144</f>
        <v>18.399240002305735</v>
      </c>
      <c r="R144" s="615">
        <f t="shared" si="8"/>
        <v>18.963676383936026</v>
      </c>
      <c r="S144" s="613">
        <f>B144*C144*'4C2 Open-burning '!$C$9*'4C2 Open-burning '!$C$11*$C$5</f>
        <v>0.92900063279862466</v>
      </c>
      <c r="T144" s="614">
        <f>B144*D144*'4C2 Open-burning '!$C$9*'4C2 Open-burning '!$C$11*$C$5</f>
        <v>1.2415903433250441</v>
      </c>
      <c r="U144" s="614">
        <f>B144*E144*'4C2 Open-burning '!$C$9*'4C2 Open-burning '!$C$11*$C$5</f>
        <v>0.41670488398947031</v>
      </c>
      <c r="V144" s="614">
        <f>B144*F144*'4C2 Open-burning '!$C$9*'4C2 Open-burning '!$C$11*$C$5</f>
        <v>0</v>
      </c>
      <c r="W144" s="614">
        <f>B144*G144*'4C2 Open-burning '!$C$9*'4C2 Open-burning '!$C$11*$C$5</f>
        <v>0</v>
      </c>
      <c r="X144" s="614">
        <f>B144*H144*'4C2 Open-burning '!$C$9*'4C2 Open-burning '!$C$11*$C$5</f>
        <v>0</v>
      </c>
      <c r="Y144" s="614">
        <f>B144*I144*'4C2 Open-burning '!$C$9*'4C2 Open-burning '!$C$11*$C$5</f>
        <v>2.0828119124867168</v>
      </c>
      <c r="Z144" s="615">
        <f t="shared" si="9"/>
        <v>4.6701077725998559</v>
      </c>
      <c r="AA144" s="616">
        <f>B144*C144*'4C2 Open-burning '!$C$10*'4C2 Open-burning '!$C$11*$C$5*$C$15</f>
        <v>8.5753904566026901E-3</v>
      </c>
      <c r="AB144" s="617">
        <f>B144*D144*'4C2 Open-burning '!$C$10*'4C2 Open-burning '!$C$11*$C$5*$D$15</f>
        <v>1.1460833938385023E-2</v>
      </c>
      <c r="AC144" s="617">
        <f>B144*E144*'4C2 Open-burning '!$C$10*'4C2 Open-burning '!$C$11*$C$5*$E$15</f>
        <v>8.6546398982428434E-3</v>
      </c>
      <c r="AD144" s="617">
        <f>B144*F144*'4C2 Open-burning '!$C$10*'4C2 Open-burning '!$C$11*$C$5*$F$15</f>
        <v>0</v>
      </c>
      <c r="AE144" s="617">
        <f>B144*G144*'4C2 Open-burning '!$C$10*'4C2 Open-burning '!$C$11*$C$5*$G$15</f>
        <v>0</v>
      </c>
      <c r="AF144" s="617">
        <f>B144*H144*'4C2 Open-burning '!$C$10*'4C2 Open-burning '!$C$11*$C$5*$H$15</f>
        <v>0</v>
      </c>
      <c r="AG144" s="617">
        <f>B144*I144*'4C2 Open-burning '!$C$10*'4C2 Open-burning '!$C$11*$C$5*$I$15</f>
        <v>4.3258401259339503E-2</v>
      </c>
      <c r="AH144" s="618">
        <f t="shared" si="10"/>
        <v>7.1949265552570058E-2</v>
      </c>
      <c r="AI144" s="104"/>
    </row>
    <row r="145" spans="1:39">
      <c r="A145" s="157">
        <f>'Input data'!A138</f>
        <v>2040</v>
      </c>
      <c r="B145" s="658">
        <f>'Recycling - Case 2'!AP118</f>
        <v>0.1214682808560769</v>
      </c>
      <c r="C145" s="672">
        <f>'Recycling - Case 2'!BM118*'Recycling - Case 2'!AF118*'Recycling - Case 2'!B118</f>
        <v>1975.3855756818614</v>
      </c>
      <c r="D145" s="672">
        <f>'Recycling - Case 2'!BN118*'Recycling - Case 2'!AF118*'Recycling - Case 2'!B118</f>
        <v>2640.0624160197162</v>
      </c>
      <c r="E145" s="672">
        <f>'Recycling - Case 2'!BO118*'Recycling - Case 2'!AF118*'Recycling - Case 2'!B118</f>
        <v>886.06270877257214</v>
      </c>
      <c r="F145" s="672">
        <f>'Recycling - Case 2'!BP118*'Recycling - Case 2'!AF118*'Recycling - Case 2'!B118</f>
        <v>0</v>
      </c>
      <c r="G145" s="672">
        <f>'Recycling - Case 2'!BQ118*'Recycling - Case 2'!AF118*'Recycling - Case 2'!B118</f>
        <v>0</v>
      </c>
      <c r="H145" s="672">
        <f>'Recycling - Case 2'!BR118*'Recycling - Case 2'!AF118*'Recycling - Case 2'!B118</f>
        <v>0</v>
      </c>
      <c r="I145" s="672">
        <f>'Recycling - Case 2'!BS118*'Recycling - Case 2'!AF118*'Recycling - Case 2'!B118</f>
        <v>4428.7984997276781</v>
      </c>
      <c r="J145" s="945">
        <f t="shared" si="11"/>
        <v>9930.3092002018275</v>
      </c>
      <c r="K145" s="613">
        <f>'4C2 Open-burning '!B145*'4C2 Open-burning '!$C$14*'4C2 Open-burning '!$C$5*'4C2 Open-burning '!$C$6*'4C2 Open-burning '!$C$7*C145</f>
        <v>0</v>
      </c>
      <c r="L145" s="614">
        <f>'4C2 Open-burning '!B145*'4C2 Open-burning '!$D$14*'4C2 Open-burning '!$C$5*'4C2 Open-burning '!$C$6*'4C2 Open-burning '!$C$7*D145</f>
        <v>0</v>
      </c>
      <c r="M145" s="614">
        <f>'4C2 Open-burning '!B145*'4C2 Open-burning '!$E$14*'4C2 Open-burning '!$C$5*'4C2 Open-burning '!$C$6*'4C2 Open-burning '!$C$7*E145</f>
        <v>0.56856269301356288</v>
      </c>
      <c r="N145" s="614">
        <f>'4C2 Open-burning '!B145*'4C2 Open-burning '!$F$14*'4C2 Open-burning '!$C$5*'4C2 Open-burning '!$C$6*'4C2 Open-burning '!$C$7*F145</f>
        <v>0</v>
      </c>
      <c r="O145" s="614">
        <f>'4C2 Open-burning '!B145*'4C2 Open-burning '!$G$14*'4C2 Open-burning '!$C$5*'4C2 Open-burning '!$C$6*'4C2 Open-burning '!$C$7*G145</f>
        <v>0</v>
      </c>
      <c r="P145" s="614">
        <f>'4C2 Open-burning '!B145*'4C2 Open-burning '!$H$14*'4C2 Open-burning '!$C$5*'4C2 Open-burning '!$C$6*'4C2 Open-burning '!$C$7*H145</f>
        <v>0</v>
      </c>
      <c r="Q145" s="614">
        <f>'4C2 Open-burning '!B145*'4C2 Open-burning '!$I$14*'4C2 Open-burning '!$C$5*'4C2 Open-burning '!$C$6*'4C2 Open-burning '!$C$7*I145</f>
        <v>18.533747620765372</v>
      </c>
      <c r="R145" s="615">
        <f t="shared" si="8"/>
        <v>19.102310313778933</v>
      </c>
      <c r="S145" s="613">
        <f>B145*C145*'4C2 Open-burning '!$C$9*'4C2 Open-burning '!$C$11*$C$5</f>
        <v>0.93579209063327307</v>
      </c>
      <c r="T145" s="614">
        <f>B145*D145*'4C2 Open-burning '!$C$9*'4C2 Open-burning '!$C$11*$C$5</f>
        <v>1.2506669878039578</v>
      </c>
      <c r="U145" s="614">
        <f>B145*E145*'4C2 Open-burning '!$C$9*'4C2 Open-burning '!$C$11*$C$5</f>
        <v>0.4197512044646039</v>
      </c>
      <c r="V145" s="614">
        <f>B145*F145*'4C2 Open-burning '!$C$9*'4C2 Open-burning '!$C$11*$C$5</f>
        <v>0</v>
      </c>
      <c r="W145" s="614">
        <f>B145*G145*'4C2 Open-burning '!$C$9*'4C2 Open-burning '!$C$11*$C$5</f>
        <v>0</v>
      </c>
      <c r="X145" s="614">
        <f>B145*H145*'4C2 Open-burning '!$C$9*'4C2 Open-burning '!$C$11*$C$5</f>
        <v>0</v>
      </c>
      <c r="Y145" s="614">
        <f>B145*I145*'4C2 Open-burning '!$C$9*'4C2 Open-burning '!$C$11*$C$5</f>
        <v>2.0980383060775849</v>
      </c>
      <c r="Z145" s="615">
        <f t="shared" si="9"/>
        <v>4.7042485889794197</v>
      </c>
      <c r="AA145" s="616">
        <f>B145*C145*'4C2 Open-burning '!$C$10*'4C2 Open-burning '!$C$11*$C$5*$C$15</f>
        <v>8.6380808366148306E-3</v>
      </c>
      <c r="AB145" s="617">
        <f>B145*D145*'4C2 Open-burning '!$C$10*'4C2 Open-burning '!$C$11*$C$5*$D$15</f>
        <v>1.1544618348959609E-2</v>
      </c>
      <c r="AC145" s="617">
        <f>B145*E145*'4C2 Open-burning '!$C$10*'4C2 Open-burning '!$C$11*$C$5*$E$15</f>
        <v>8.7179096311879294E-3</v>
      </c>
      <c r="AD145" s="617">
        <f>B145*F145*'4C2 Open-burning '!$C$10*'4C2 Open-burning '!$C$11*$C$5*$F$15</f>
        <v>0</v>
      </c>
      <c r="AE145" s="617">
        <f>B145*G145*'4C2 Open-burning '!$C$10*'4C2 Open-burning '!$C$11*$C$5*$G$15</f>
        <v>0</v>
      </c>
      <c r="AF145" s="617">
        <f>B145*H145*'4C2 Open-burning '!$C$10*'4C2 Open-burning '!$C$11*$C$5*$H$15</f>
        <v>0</v>
      </c>
      <c r="AG145" s="617">
        <f>B145*I145*'4C2 Open-burning '!$C$10*'4C2 Open-burning '!$C$11*$C$5*$I$15</f>
        <v>4.3574641741611381E-2</v>
      </c>
      <c r="AH145" s="618">
        <f t="shared" si="10"/>
        <v>7.2475250558373755E-2</v>
      </c>
      <c r="AI145" s="104"/>
    </row>
    <row r="146" spans="1:39">
      <c r="A146" s="157">
        <f>'Input data'!A139</f>
        <v>2041</v>
      </c>
      <c r="B146" s="658">
        <f>'Recycling - Case 2'!AP119</f>
        <v>0.1214682808560769</v>
      </c>
      <c r="C146" s="672">
        <f>'Recycling - Case 2'!BM119*'Recycling - Case 2'!AF119*'Recycling - Case 2'!B119</f>
        <v>1987.6737885799735</v>
      </c>
      <c r="D146" s="672">
        <f>'Recycling - Case 2'!BN119*'Recycling - Case 2'!AF119*'Recycling - Case 2'!B119</f>
        <v>2656.4853612065849</v>
      </c>
      <c r="E146" s="672">
        <f>'Recycling - Case 2'!BO119*'Recycling - Case 2'!AF119*'Recycling - Case 2'!B119</f>
        <v>891.57460849509437</v>
      </c>
      <c r="F146" s="672">
        <f>'Recycling - Case 2'!BP119*'Recycling - Case 2'!AF119*'Recycling - Case 2'!B119</f>
        <v>0</v>
      </c>
      <c r="G146" s="672">
        <f>'Recycling - Case 2'!BQ119*'Recycling - Case 2'!AF119*'Recycling - Case 2'!B119</f>
        <v>0</v>
      </c>
      <c r="H146" s="672">
        <f>'Recycling - Case 2'!BR119*'Recycling - Case 2'!AF119*'Recycling - Case 2'!B119</f>
        <v>0</v>
      </c>
      <c r="I146" s="672">
        <f>'Recycling - Case 2'!BS119*'Recycling - Case 2'!AF119*'Recycling - Case 2'!B119</f>
        <v>4456.3485737575074</v>
      </c>
      <c r="J146" s="945">
        <f t="shared" si="11"/>
        <v>9992.082332039161</v>
      </c>
      <c r="K146" s="613">
        <f>'4C2 Open-burning '!B146*'4C2 Open-burning '!$C$14*'4C2 Open-burning '!$C$5*'4C2 Open-burning '!$C$6*'4C2 Open-burning '!$C$7*C146</f>
        <v>0</v>
      </c>
      <c r="L146" s="614">
        <f>'4C2 Open-burning '!B146*'4C2 Open-burning '!$D$14*'4C2 Open-burning '!$C$5*'4C2 Open-burning '!$C$6*'4C2 Open-burning '!$C$7*D146</f>
        <v>0</v>
      </c>
      <c r="M146" s="614">
        <f>'4C2 Open-burning '!B146*'4C2 Open-burning '!$E$14*'4C2 Open-burning '!$C$5*'4C2 Open-burning '!$C$6*'4C2 Open-burning '!$C$7*E146</f>
        <v>0.57209953134208158</v>
      </c>
      <c r="N146" s="614">
        <f>'4C2 Open-burning '!B146*'4C2 Open-burning '!$F$14*'4C2 Open-burning '!$C$5*'4C2 Open-burning '!$C$6*'4C2 Open-burning '!$C$7*F146</f>
        <v>0</v>
      </c>
      <c r="O146" s="614">
        <f>'4C2 Open-burning '!B146*'4C2 Open-burning '!$G$14*'4C2 Open-burning '!$C$5*'4C2 Open-burning '!$C$6*'4C2 Open-burning '!$C$7*G146</f>
        <v>0</v>
      </c>
      <c r="P146" s="614">
        <f>'4C2 Open-burning '!B146*'4C2 Open-burning '!$H$14*'4C2 Open-burning '!$C$5*'4C2 Open-burning '!$C$6*'4C2 Open-burning '!$C$7*H146</f>
        <v>0</v>
      </c>
      <c r="Q146" s="614">
        <f>'4C2 Open-burning '!B146*'4C2 Open-burning '!$I$14*'4C2 Open-burning '!$C$5*'4C2 Open-burning '!$C$6*'4C2 Open-burning '!$C$7*I146</f>
        <v>18.649039865159345</v>
      </c>
      <c r="R146" s="615">
        <f t="shared" si="8"/>
        <v>19.221139396501428</v>
      </c>
      <c r="S146" s="613">
        <f>B146*C146*'4C2 Open-burning '!$C$9*'4C2 Open-burning '!$C$11*$C$5</f>
        <v>0.94161334020582899</v>
      </c>
      <c r="T146" s="614">
        <f>B146*D146*'4C2 Open-burning '!$C$9*'4C2 Open-burning '!$C$11*$C$5</f>
        <v>1.2584469687858835</v>
      </c>
      <c r="U146" s="614">
        <f>B146*E146*'4C2 Open-burning '!$C$9*'4C2 Open-burning '!$C$11*$C$5</f>
        <v>0.42236233630043279</v>
      </c>
      <c r="V146" s="614">
        <f>B146*F146*'4C2 Open-burning '!$C$9*'4C2 Open-burning '!$C$11*$C$5</f>
        <v>0</v>
      </c>
      <c r="W146" s="614">
        <f>B146*G146*'4C2 Open-burning '!$C$9*'4C2 Open-burning '!$C$11*$C$5</f>
        <v>0</v>
      </c>
      <c r="X146" s="614">
        <f>B146*H146*'4C2 Open-burning '!$C$9*'4C2 Open-burning '!$C$11*$C$5</f>
        <v>0</v>
      </c>
      <c r="Y146" s="614">
        <f>B146*I146*'4C2 Open-burning '!$C$9*'4C2 Open-burning '!$C$11*$C$5</f>
        <v>2.1110895005840429</v>
      </c>
      <c r="Z146" s="615">
        <f t="shared" si="9"/>
        <v>4.7335121458761886</v>
      </c>
      <c r="AA146" s="616">
        <f>B146*C146*'4C2 Open-burning '!$C$10*'4C2 Open-burning '!$C$11*$C$5*$C$15</f>
        <v>8.6918154480538062E-3</v>
      </c>
      <c r="AB146" s="617">
        <f>B146*D146*'4C2 Open-burning '!$C$10*'4C2 Open-burning '!$C$11*$C$5*$D$15</f>
        <v>1.1616433558023539E-2</v>
      </c>
      <c r="AC146" s="617">
        <f>B146*E146*'4C2 Open-burning '!$C$10*'4C2 Open-burning '!$C$11*$C$5*$E$15</f>
        <v>8.7721408308551428E-3</v>
      </c>
      <c r="AD146" s="617">
        <f>B146*F146*'4C2 Open-burning '!$C$10*'4C2 Open-burning '!$C$11*$C$5*$F$15</f>
        <v>0</v>
      </c>
      <c r="AE146" s="617">
        <f>B146*G146*'4C2 Open-burning '!$C$10*'4C2 Open-burning '!$C$11*$C$5*$G$15</f>
        <v>0</v>
      </c>
      <c r="AF146" s="617">
        <f>B146*H146*'4C2 Open-burning '!$C$10*'4C2 Open-burning '!$C$11*$C$5*$H$15</f>
        <v>0</v>
      </c>
      <c r="AG146" s="617">
        <f>B146*I146*'4C2 Open-burning '!$C$10*'4C2 Open-burning '!$C$11*$C$5*$I$15</f>
        <v>4.3845705012130122E-2</v>
      </c>
      <c r="AH146" s="618">
        <f t="shared" si="10"/>
        <v>7.2926094849062609E-2</v>
      </c>
      <c r="AI146" s="104"/>
    </row>
    <row r="147" spans="1:39">
      <c r="A147" s="157">
        <f>'Input data'!A140</f>
        <v>2042</v>
      </c>
      <c r="B147" s="658">
        <f>'Recycling - Case 2'!AP120</f>
        <v>0.1214682808560769</v>
      </c>
      <c r="C147" s="672">
        <f>'Recycling - Case 2'!BM120*'Recycling - Case 2'!AF120*'Recycling - Case 2'!B120</f>
        <v>2000.0173537884373</v>
      </c>
      <c r="D147" s="672">
        <f>'Recycling - Case 2'!BN120*'Recycling - Case 2'!AF120*'Recycling - Case 2'!B120</f>
        <v>2672.9822836240251</v>
      </c>
      <c r="E147" s="672">
        <f>'Recycling - Case 2'!BO120*'Recycling - Case 2'!AF120*'Recycling - Case 2'!B120</f>
        <v>897.11133659474501</v>
      </c>
      <c r="F147" s="672">
        <f>'Recycling - Case 2'!BP120*'Recycling - Case 2'!AF120*'Recycling - Case 2'!B120</f>
        <v>0</v>
      </c>
      <c r="G147" s="672">
        <f>'Recycling - Case 2'!BQ120*'Recycling - Case 2'!AF120*'Recycling - Case 2'!B120</f>
        <v>0</v>
      </c>
      <c r="H147" s="672">
        <f>'Recycling - Case 2'!BR120*'Recycling - Case 2'!AF120*'Recycling - Case 2'!B120</f>
        <v>0</v>
      </c>
      <c r="I147" s="672">
        <f>'Recycling - Case 2'!BS120*'Recycling - Case 2'!AF120*'Recycling - Case 2'!B120</f>
        <v>4484.022747219904</v>
      </c>
      <c r="J147" s="945">
        <f t="shared" si="11"/>
        <v>10054.13372122711</v>
      </c>
      <c r="K147" s="613">
        <f>'4C2 Open-burning '!B147*'4C2 Open-burning '!$C$14*'4C2 Open-burning '!$C$5*'4C2 Open-burning '!$C$6*'4C2 Open-burning '!$C$7*C147</f>
        <v>0</v>
      </c>
      <c r="L147" s="614">
        <f>'4C2 Open-burning '!B147*'4C2 Open-burning '!$D$14*'4C2 Open-burning '!$C$5*'4C2 Open-burning '!$C$6*'4C2 Open-burning '!$C$7*D147</f>
        <v>0</v>
      </c>
      <c r="M147" s="614">
        <f>'4C2 Open-burning '!B147*'4C2 Open-burning '!$E$14*'4C2 Open-burning '!$C$5*'4C2 Open-burning '!$C$6*'4C2 Open-burning '!$C$7*E147</f>
        <v>0.57565230137478274</v>
      </c>
      <c r="N147" s="614">
        <f>'4C2 Open-burning '!B147*'4C2 Open-burning '!$F$14*'4C2 Open-burning '!$C$5*'4C2 Open-burning '!$C$6*'4C2 Open-burning '!$C$7*F147</f>
        <v>0</v>
      </c>
      <c r="O147" s="614">
        <f>'4C2 Open-burning '!B147*'4C2 Open-burning '!$G$14*'4C2 Open-burning '!$C$5*'4C2 Open-burning '!$C$6*'4C2 Open-burning '!$C$7*G147</f>
        <v>0</v>
      </c>
      <c r="P147" s="614">
        <f>'4C2 Open-burning '!B147*'4C2 Open-burning '!$H$14*'4C2 Open-burning '!$C$5*'4C2 Open-burning '!$C$6*'4C2 Open-burning '!$C$7*H147</f>
        <v>0</v>
      </c>
      <c r="Q147" s="614">
        <f>'4C2 Open-burning '!B147*'4C2 Open-burning '!$I$14*'4C2 Open-burning '!$C$5*'4C2 Open-burning '!$C$6*'4C2 Open-burning '!$C$7*I147</f>
        <v>18.764851443987524</v>
      </c>
      <c r="R147" s="615">
        <f t="shared" si="8"/>
        <v>19.340503745362305</v>
      </c>
      <c r="S147" s="613">
        <f>B147*C147*'4C2 Open-burning '!$C$9*'4C2 Open-burning '!$C$11*$C$5</f>
        <v>0.9474608116233062</v>
      </c>
      <c r="T147" s="614">
        <f>B147*D147*'4C2 Open-burning '!$C$9*'4C2 Open-burning '!$C$11*$C$5</f>
        <v>1.2662619947271874</v>
      </c>
      <c r="U147" s="614">
        <f>B147*E147*'4C2 Open-burning '!$C$9*'4C2 Open-burning '!$C$11*$C$5</f>
        <v>0.424985229991378</v>
      </c>
      <c r="V147" s="614">
        <f>B147*F147*'4C2 Open-burning '!$C$9*'4C2 Open-burning '!$C$11*$C$5</f>
        <v>0</v>
      </c>
      <c r="W147" s="614">
        <f>B147*G147*'4C2 Open-burning '!$C$9*'4C2 Open-burning '!$C$11*$C$5</f>
        <v>0</v>
      </c>
      <c r="X147" s="614">
        <f>B147*H147*'4C2 Open-burning '!$C$9*'4C2 Open-burning '!$C$11*$C$5</f>
        <v>0</v>
      </c>
      <c r="Y147" s="614">
        <f>B147*I147*'4C2 Open-burning '!$C$9*'4C2 Open-burning '!$C$11*$C$5</f>
        <v>2.1241994842549445</v>
      </c>
      <c r="Z147" s="615">
        <f t="shared" si="9"/>
        <v>4.7629075205968157</v>
      </c>
      <c r="AA147" s="616">
        <f>B147*C147*'4C2 Open-burning '!$C$10*'4C2 Open-burning '!$C$11*$C$5*$C$15</f>
        <v>8.7457921072920577E-3</v>
      </c>
      <c r="AB147" s="617">
        <f>B147*D147*'4C2 Open-burning '!$C$10*'4C2 Open-burning '!$C$11*$C$5*$D$15</f>
        <v>1.168857225902019E-2</v>
      </c>
      <c r="AC147" s="617">
        <f>B147*E147*'4C2 Open-burning '!$C$10*'4C2 Open-burning '!$C$11*$C$5*$E$15</f>
        <v>8.8266163152055446E-3</v>
      </c>
      <c r="AD147" s="617">
        <f>B147*F147*'4C2 Open-burning '!$C$10*'4C2 Open-burning '!$C$11*$C$5*$F$15</f>
        <v>0</v>
      </c>
      <c r="AE147" s="617">
        <f>B147*G147*'4C2 Open-burning '!$C$10*'4C2 Open-burning '!$C$11*$C$5*$G$15</f>
        <v>0</v>
      </c>
      <c r="AF147" s="617">
        <f>B147*H147*'4C2 Open-burning '!$C$10*'4C2 Open-burning '!$C$11*$C$5*$H$15</f>
        <v>0</v>
      </c>
      <c r="AG147" s="617">
        <f>B147*I147*'4C2 Open-burning '!$C$10*'4C2 Open-burning '!$C$11*$C$5*$I$15</f>
        <v>4.4117989288371927E-2</v>
      </c>
      <c r="AH147" s="618">
        <f t="shared" si="10"/>
        <v>7.3378969969889712E-2</v>
      </c>
      <c r="AI147" s="104"/>
    </row>
    <row r="148" spans="1:39">
      <c r="A148" s="157">
        <f>'Input data'!A141</f>
        <v>2043</v>
      </c>
      <c r="B148" s="658">
        <f>'Recycling - Case 2'!AP121</f>
        <v>0.1214682808560769</v>
      </c>
      <c r="C148" s="672">
        <f>'Recycling - Case 2'!BM121*'Recycling - Case 2'!AF121*'Recycling - Case 2'!B121</f>
        <v>2012.4439474624289</v>
      </c>
      <c r="D148" s="672">
        <f>'Recycling - Case 2'!BN121*'Recycling - Case 2'!AF121*'Recycling - Case 2'!B121</f>
        <v>2689.5901718873224</v>
      </c>
      <c r="E148" s="672">
        <f>'Recycling - Case 2'!BO121*'Recycling - Case 2'!AF121*'Recycling - Case 2'!B121</f>
        <v>902.68530726008839</v>
      </c>
      <c r="F148" s="672">
        <f>'Recycling - Case 2'!BP121*'Recycling - Case 2'!AF121*'Recycling - Case 2'!B121</f>
        <v>0</v>
      </c>
      <c r="G148" s="672">
        <f>'Recycling - Case 2'!BQ121*'Recycling - Case 2'!AF121*'Recycling - Case 2'!B121</f>
        <v>0</v>
      </c>
      <c r="H148" s="672">
        <f>'Recycling - Case 2'!BR121*'Recycling - Case 2'!AF121*'Recycling - Case 2'!B121</f>
        <v>0</v>
      </c>
      <c r="I148" s="672">
        <f>'Recycling - Case 2'!BS121*'Recycling - Case 2'!AF121*'Recycling - Case 2'!B121</f>
        <v>4511.8830698311504</v>
      </c>
      <c r="J148" s="945">
        <f t="shared" si="11"/>
        <v>10116.60249644099</v>
      </c>
      <c r="K148" s="613">
        <f>'4C2 Open-burning '!B148*'4C2 Open-burning '!$C$14*'4C2 Open-burning '!$C$5*'4C2 Open-burning '!$C$6*'4C2 Open-burning '!$C$7*C148</f>
        <v>0</v>
      </c>
      <c r="L148" s="614">
        <f>'4C2 Open-burning '!B148*'4C2 Open-burning '!$D$14*'4C2 Open-burning '!$C$5*'4C2 Open-burning '!$C$6*'4C2 Open-burning '!$C$7*D148</f>
        <v>0</v>
      </c>
      <c r="M148" s="614">
        <f>'4C2 Open-burning '!B148*'4C2 Open-burning '!$E$14*'4C2 Open-burning '!$C$5*'4C2 Open-burning '!$C$6*'4C2 Open-burning '!$C$7*E148</f>
        <v>0.57922896896375775</v>
      </c>
      <c r="N148" s="614">
        <f>'4C2 Open-burning '!B148*'4C2 Open-burning '!$F$14*'4C2 Open-burning '!$C$5*'4C2 Open-burning '!$C$6*'4C2 Open-burning '!$C$7*F148</f>
        <v>0</v>
      </c>
      <c r="O148" s="614">
        <f>'4C2 Open-burning '!B148*'4C2 Open-burning '!$G$14*'4C2 Open-burning '!$C$5*'4C2 Open-burning '!$C$6*'4C2 Open-burning '!$C$7*G148</f>
        <v>0</v>
      </c>
      <c r="P148" s="614">
        <f>'4C2 Open-burning '!B148*'4C2 Open-burning '!$H$14*'4C2 Open-burning '!$C$5*'4C2 Open-burning '!$C$6*'4C2 Open-burning '!$C$7*H148</f>
        <v>0</v>
      </c>
      <c r="Q148" s="614">
        <f>'4C2 Open-burning '!B148*'4C2 Open-burning '!$I$14*'4C2 Open-burning '!$C$5*'4C2 Open-burning '!$C$6*'4C2 Open-burning '!$C$7*I148</f>
        <v>18.881442024467017</v>
      </c>
      <c r="R148" s="615">
        <f t="shared" si="8"/>
        <v>19.460670993430774</v>
      </c>
      <c r="S148" s="613">
        <f>B148*C148*'4C2 Open-burning '!$C$9*'4C2 Open-burning '!$C$11*$C$5</f>
        <v>0.95334761580816552</v>
      </c>
      <c r="T148" s="614">
        <f>B148*D148*'4C2 Open-burning '!$C$9*'4C2 Open-burning '!$C$11*$C$5</f>
        <v>1.2741295881075583</v>
      </c>
      <c r="U148" s="614">
        <f>B148*E148*'4C2 Open-burning '!$C$9*'4C2 Open-burning '!$C$11*$C$5</f>
        <v>0.42762576646499761</v>
      </c>
      <c r="V148" s="614">
        <f>B148*F148*'4C2 Open-burning '!$C$9*'4C2 Open-burning '!$C$11*$C$5</f>
        <v>0</v>
      </c>
      <c r="W148" s="614">
        <f>B148*G148*'4C2 Open-burning '!$C$9*'4C2 Open-burning '!$C$11*$C$5</f>
        <v>0</v>
      </c>
      <c r="X148" s="614">
        <f>B148*H148*'4C2 Open-burning '!$C$9*'4C2 Open-burning '!$C$11*$C$5</f>
        <v>0</v>
      </c>
      <c r="Y148" s="614">
        <f>B148*I148*'4C2 Open-burning '!$C$9*'4C2 Open-burning '!$C$11*$C$5</f>
        <v>2.1373976516725115</v>
      </c>
      <c r="Z148" s="615">
        <f t="shared" si="9"/>
        <v>4.7925006220532325</v>
      </c>
      <c r="AA148" s="616">
        <f>B148*C148*'4C2 Open-burning '!$C$10*'4C2 Open-burning '!$C$11*$C$5*$C$15</f>
        <v>8.8001318382292231E-3</v>
      </c>
      <c r="AB148" s="617">
        <f>B148*D148*'4C2 Open-burning '!$C$10*'4C2 Open-burning '!$C$11*$C$5*$D$15</f>
        <v>1.1761196197915921E-2</v>
      </c>
      <c r="AC148" s="617">
        <f>B148*E148*'4C2 Open-burning '!$C$10*'4C2 Open-burning '!$C$11*$C$5*$E$15</f>
        <v>8.8814582265807178E-3</v>
      </c>
      <c r="AD148" s="617">
        <f>B148*F148*'4C2 Open-burning '!$C$10*'4C2 Open-burning '!$C$11*$C$5*$F$15</f>
        <v>0</v>
      </c>
      <c r="AE148" s="617">
        <f>B148*G148*'4C2 Open-burning '!$C$10*'4C2 Open-burning '!$C$11*$C$5*$G$15</f>
        <v>0</v>
      </c>
      <c r="AF148" s="617">
        <f>B148*H148*'4C2 Open-burning '!$C$10*'4C2 Open-burning '!$C$11*$C$5*$H$15</f>
        <v>0</v>
      </c>
      <c r="AG148" s="617">
        <f>B148*I148*'4C2 Open-burning '!$C$10*'4C2 Open-burning '!$C$11*$C$5*$I$15</f>
        <v>4.439210507319831E-2</v>
      </c>
      <c r="AH148" s="618">
        <f t="shared" si="10"/>
        <v>7.3834891335924177E-2</v>
      </c>
      <c r="AI148" s="104"/>
    </row>
    <row r="149" spans="1:39">
      <c r="A149" s="157">
        <f>'Input data'!A142</f>
        <v>2044</v>
      </c>
      <c r="B149" s="658">
        <f>'Recycling - Case 2'!AP122</f>
        <v>0.1214682808560769</v>
      </c>
      <c r="C149" s="672">
        <f>'Recycling - Case 2'!BM122*'Recycling - Case 2'!AF122*'Recycling - Case 2'!B122</f>
        <v>2024.9258934467728</v>
      </c>
      <c r="D149" s="672">
        <f>'Recycling - Case 2'!BN122*'Recycling - Case 2'!AF122*'Recycling - Case 2'!B122</f>
        <v>2706.2720373811917</v>
      </c>
      <c r="E149" s="672">
        <f>'Recycling - Case 2'!BO122*'Recycling - Case 2'!AF122*'Recycling - Case 2'!B122</f>
        <v>908.28410630256042</v>
      </c>
      <c r="F149" s="672">
        <f>'Recycling - Case 2'!BP122*'Recycling - Case 2'!AF122*'Recycling - Case 2'!B122</f>
        <v>0</v>
      </c>
      <c r="G149" s="672">
        <f>'Recycling - Case 2'!BQ122*'Recycling - Case 2'!AF122*'Recycling - Case 2'!B122</f>
        <v>0</v>
      </c>
      <c r="H149" s="672">
        <f>'Recycling - Case 2'!BR122*'Recycling - Case 2'!AF122*'Recycling - Case 2'!B122</f>
        <v>0</v>
      </c>
      <c r="I149" s="672">
        <f>'Recycling - Case 2'!BS122*'Recycling - Case 2'!AF122*'Recycling - Case 2'!B122</f>
        <v>4539.8674918749639</v>
      </c>
      <c r="J149" s="945">
        <f t="shared" si="11"/>
        <v>10179.349529005489</v>
      </c>
      <c r="K149" s="613">
        <f>'4C2 Open-burning '!B149*'4C2 Open-burning '!$C$14*'4C2 Open-burning '!$C$5*'4C2 Open-burning '!$C$6*'4C2 Open-burning '!$C$7*C149</f>
        <v>0</v>
      </c>
      <c r="L149" s="614">
        <f>'4C2 Open-burning '!B149*'4C2 Open-burning '!$D$14*'4C2 Open-burning '!$C$5*'4C2 Open-burning '!$C$6*'4C2 Open-burning '!$C$7*D149</f>
        <v>0</v>
      </c>
      <c r="M149" s="614">
        <f>'4C2 Open-burning '!B149*'4C2 Open-burning '!$E$14*'4C2 Open-burning '!$C$5*'4C2 Open-burning '!$C$6*'4C2 Open-burning '!$C$7*E149</f>
        <v>0.58282156825691533</v>
      </c>
      <c r="N149" s="614">
        <f>'4C2 Open-burning '!B149*'4C2 Open-burning '!$F$14*'4C2 Open-burning '!$C$5*'4C2 Open-burning '!$C$6*'4C2 Open-burning '!$C$7*F149</f>
        <v>0</v>
      </c>
      <c r="O149" s="614">
        <f>'4C2 Open-burning '!B149*'4C2 Open-burning '!$G$14*'4C2 Open-burning '!$C$5*'4C2 Open-burning '!$C$6*'4C2 Open-burning '!$C$7*G149</f>
        <v>0</v>
      </c>
      <c r="P149" s="614">
        <f>'4C2 Open-burning '!B149*'4C2 Open-burning '!$H$14*'4C2 Open-burning '!$C$5*'4C2 Open-burning '!$C$6*'4C2 Open-burning '!$C$7*H149</f>
        <v>0</v>
      </c>
      <c r="Q149" s="614">
        <f>'4C2 Open-burning '!B149*'4C2 Open-burning '!$I$14*'4C2 Open-burning '!$C$5*'4C2 Open-burning '!$C$6*'4C2 Open-burning '!$C$7*I149</f>
        <v>18.998551939380715</v>
      </c>
      <c r="R149" s="615">
        <f t="shared" si="8"/>
        <v>19.581373507637629</v>
      </c>
      <c r="S149" s="613">
        <f>B149*C149*'4C2 Open-burning '!$C$9*'4C2 Open-burning '!$C$11*$C$5</f>
        <v>0.95926064183794657</v>
      </c>
      <c r="T149" s="614">
        <f>B149*D149*'4C2 Open-burning '!$C$9*'4C2 Open-burning '!$C$11*$C$5</f>
        <v>1.2820322264473072</v>
      </c>
      <c r="U149" s="614">
        <f>B149*E149*'4C2 Open-burning '!$C$9*'4C2 Open-burning '!$C$11*$C$5</f>
        <v>0.43027806479373382</v>
      </c>
      <c r="V149" s="614">
        <f>B149*F149*'4C2 Open-burning '!$C$9*'4C2 Open-burning '!$C$11*$C$5</f>
        <v>0</v>
      </c>
      <c r="W149" s="614">
        <f>B149*G149*'4C2 Open-burning '!$C$9*'4C2 Open-burning '!$C$11*$C$5</f>
        <v>0</v>
      </c>
      <c r="X149" s="614">
        <f>B149*H149*'4C2 Open-burning '!$C$9*'4C2 Open-burning '!$C$11*$C$5</f>
        <v>0</v>
      </c>
      <c r="Y149" s="614">
        <f>B149*I149*'4C2 Open-burning '!$C$9*'4C2 Open-burning '!$C$11*$C$5</f>
        <v>2.1506546082545217</v>
      </c>
      <c r="Z149" s="615">
        <f t="shared" si="9"/>
        <v>4.8222255413335091</v>
      </c>
      <c r="AA149" s="616">
        <f>B149*C149*'4C2 Open-burning '!$C$10*'4C2 Open-burning '!$C$11*$C$5*$C$15</f>
        <v>8.8547136169656628E-3</v>
      </c>
      <c r="AB149" s="617">
        <f>B149*D149*'4C2 Open-burning '!$C$10*'4C2 Open-burning '!$C$11*$C$5*$D$15</f>
        <v>1.1834143628744374E-2</v>
      </c>
      <c r="AC149" s="617">
        <f>B149*E149*'4C2 Open-burning '!$C$10*'4C2 Open-burning '!$C$11*$C$5*$E$15</f>
        <v>8.9365444226390863E-3</v>
      </c>
      <c r="AD149" s="617">
        <f>B149*F149*'4C2 Open-burning '!$C$10*'4C2 Open-burning '!$C$11*$C$5*$F$15</f>
        <v>0</v>
      </c>
      <c r="AE149" s="617">
        <f>B149*G149*'4C2 Open-burning '!$C$10*'4C2 Open-burning '!$C$11*$C$5*$G$15</f>
        <v>0</v>
      </c>
      <c r="AF149" s="617">
        <f>B149*H149*'4C2 Open-burning '!$C$10*'4C2 Open-burning '!$C$11*$C$5*$H$15</f>
        <v>0</v>
      </c>
      <c r="AG149" s="617">
        <f>B149*I149*'4C2 Open-burning '!$C$10*'4C2 Open-burning '!$C$11*$C$5*$I$15</f>
        <v>4.4667441863747763E-2</v>
      </c>
      <c r="AH149" s="618">
        <f t="shared" si="10"/>
        <v>7.4292843532096892E-2</v>
      </c>
      <c r="AI149" s="104"/>
    </row>
    <row r="150" spans="1:39">
      <c r="A150" s="157">
        <f>'Input data'!A143</f>
        <v>2045</v>
      </c>
      <c r="B150" s="658">
        <f>'Recycling - Case 2'!AP123</f>
        <v>0.1214682808560769</v>
      </c>
      <c r="C150" s="672">
        <f>'Recycling - Case 2'!BM123*'Recycling - Case 2'!AF123*'Recycling - Case 2'!B123</f>
        <v>2037.5185440518198</v>
      </c>
      <c r="D150" s="672">
        <f>'Recycling - Case 2'!BN123*'Recycling - Case 2'!AF123*'Recycling - Case 2'!B123</f>
        <v>2723.1018573362035</v>
      </c>
      <c r="E150" s="672">
        <f>'Recycling - Case 2'!BO123*'Recycling - Case 2'!AF123*'Recycling - Case 2'!B123</f>
        <v>913.93256209928916</v>
      </c>
      <c r="F150" s="672">
        <f>'Recycling - Case 2'!BP123*'Recycling - Case 2'!AF123*'Recycling - Case 2'!B123</f>
        <v>0</v>
      </c>
      <c r="G150" s="672">
        <f>'Recycling - Case 2'!BQ123*'Recycling - Case 2'!AF123*'Recycling - Case 2'!B123</f>
        <v>0</v>
      </c>
      <c r="H150" s="672">
        <f>'Recycling - Case 2'!BR123*'Recycling - Case 2'!AF123*'Recycling - Case 2'!B123</f>
        <v>0</v>
      </c>
      <c r="I150" s="672">
        <f>'Recycling - Case 2'!BS123*'Recycling - Case 2'!AF123*'Recycling - Case 2'!B123</f>
        <v>4568.1001127839108</v>
      </c>
      <c r="J150" s="945">
        <f t="shared" si="11"/>
        <v>10242.653076271225</v>
      </c>
      <c r="K150" s="613">
        <f>'4C2 Open-burning '!B150*'4C2 Open-burning '!$C$14*'4C2 Open-burning '!$C$5*'4C2 Open-burning '!$C$6*'4C2 Open-burning '!$C$7*C150</f>
        <v>0</v>
      </c>
      <c r="L150" s="614">
        <f>'4C2 Open-burning '!B150*'4C2 Open-burning '!$D$14*'4C2 Open-burning '!$C$5*'4C2 Open-burning '!$C$6*'4C2 Open-burning '!$C$7*D150</f>
        <v>0</v>
      </c>
      <c r="M150" s="614">
        <f>'4C2 Open-burning '!B150*'4C2 Open-burning '!$E$14*'4C2 Open-burning '!$C$5*'4C2 Open-burning '!$C$6*'4C2 Open-burning '!$C$7*E150</f>
        <v>0.58644603095843784</v>
      </c>
      <c r="N150" s="614">
        <f>'4C2 Open-burning '!B150*'4C2 Open-burning '!$F$14*'4C2 Open-burning '!$C$5*'4C2 Open-burning '!$C$6*'4C2 Open-burning '!$C$7*F150</f>
        <v>0</v>
      </c>
      <c r="O150" s="614">
        <f>'4C2 Open-burning '!B150*'4C2 Open-burning '!$G$14*'4C2 Open-burning '!$C$5*'4C2 Open-burning '!$C$6*'4C2 Open-burning '!$C$7*G150</f>
        <v>0</v>
      </c>
      <c r="P150" s="614">
        <f>'4C2 Open-burning '!B150*'4C2 Open-burning '!$H$14*'4C2 Open-burning '!$C$5*'4C2 Open-burning '!$C$6*'4C2 Open-burning '!$C$7*H150</f>
        <v>0</v>
      </c>
      <c r="Q150" s="614">
        <f>'4C2 Open-burning '!B150*'4C2 Open-burning '!$I$14*'4C2 Open-burning '!$C$5*'4C2 Open-burning '!$C$6*'4C2 Open-burning '!$C$7*I150</f>
        <v>19.116700523162827</v>
      </c>
      <c r="R150" s="615">
        <f t="shared" si="8"/>
        <v>19.703146554121265</v>
      </c>
      <c r="S150" s="613">
        <f>B150*C150*'4C2 Open-burning '!$C$9*'4C2 Open-burning '!$C$11*$C$5</f>
        <v>0.9652261115575701</v>
      </c>
      <c r="T150" s="614">
        <f>B150*D150*'4C2 Open-burning '!$C$9*'4C2 Open-burning '!$C$11*$C$5</f>
        <v>1.2900049547058128</v>
      </c>
      <c r="U150" s="614">
        <f>B150*E150*'4C2 Open-burning '!$C$9*'4C2 Open-burning '!$C$11*$C$5</f>
        <v>0.43295388683270258</v>
      </c>
      <c r="V150" s="614">
        <f>B150*F150*'4C2 Open-burning '!$C$9*'4C2 Open-burning '!$C$11*$C$5</f>
        <v>0</v>
      </c>
      <c r="W150" s="614">
        <f>B150*G150*'4C2 Open-burning '!$C$9*'4C2 Open-burning '!$C$11*$C$5</f>
        <v>0</v>
      </c>
      <c r="X150" s="614">
        <f>B150*H150*'4C2 Open-burning '!$C$9*'4C2 Open-burning '!$C$11*$C$5</f>
        <v>0</v>
      </c>
      <c r="Y150" s="614">
        <f>B150*I150*'4C2 Open-burning '!$C$9*'4C2 Open-burning '!$C$11*$C$5</f>
        <v>2.1640291431654188</v>
      </c>
      <c r="Z150" s="615">
        <f t="shared" si="9"/>
        <v>4.8522140962615046</v>
      </c>
      <c r="AA150" s="616">
        <f>B150*C150*'4C2 Open-burning '!$C$10*'4C2 Open-burning '!$C$11*$C$5*$C$15</f>
        <v>8.9097794913006473E-3</v>
      </c>
      <c r="AB150" s="617">
        <f>B150*D150*'4C2 Open-burning '!$C$10*'4C2 Open-burning '!$C$11*$C$5*$D$15</f>
        <v>1.190773804343827E-2</v>
      </c>
      <c r="AC150" s="617">
        <f>B150*E150*'4C2 Open-burning '!$C$10*'4C2 Open-burning '!$C$11*$C$5*$E$15</f>
        <v>8.992119188063823E-3</v>
      </c>
      <c r="AD150" s="617">
        <f>B150*F150*'4C2 Open-burning '!$C$10*'4C2 Open-burning '!$C$11*$C$5*$F$15</f>
        <v>0</v>
      </c>
      <c r="AE150" s="617">
        <f>B150*G150*'4C2 Open-burning '!$C$10*'4C2 Open-burning '!$C$11*$C$5*$G$15</f>
        <v>0</v>
      </c>
      <c r="AF150" s="617">
        <f>B150*H150*'4C2 Open-burning '!$C$10*'4C2 Open-burning '!$C$11*$C$5*$H$15</f>
        <v>0</v>
      </c>
      <c r="AG150" s="617">
        <f>B150*I150*'4C2 Open-burning '!$C$10*'4C2 Open-burning '!$C$11*$C$5*$I$15</f>
        <v>4.4945220665743323E-2</v>
      </c>
      <c r="AH150" s="618">
        <f t="shared" si="10"/>
        <v>7.4754857388546064E-2</v>
      </c>
      <c r="AI150" s="104"/>
    </row>
    <row r="151" spans="1:39">
      <c r="A151" s="157">
        <f>'Input data'!A144</f>
        <v>2046</v>
      </c>
      <c r="B151" s="658">
        <f>'Recycling - Case 2'!AP124</f>
        <v>0.1214682808560769</v>
      </c>
      <c r="C151" s="672">
        <f>'Recycling - Case 2'!BM124*'Recycling - Case 2'!AF124*'Recycling - Case 2'!B124</f>
        <v>2047.8971022427929</v>
      </c>
      <c r="D151" s="672">
        <f>'Recycling - Case 2'!BN124*'Recycling - Case 2'!AF124*'Recycling - Case 2'!B124</f>
        <v>2736.9725880683559</v>
      </c>
      <c r="E151" s="672">
        <f>'Recycling - Case 2'!BO124*'Recycling - Case 2'!AF124*'Recycling - Case 2'!B124</f>
        <v>918.58788281087891</v>
      </c>
      <c r="F151" s="672">
        <f>'Recycling - Case 2'!BP124*'Recycling - Case 2'!AF124*'Recycling - Case 2'!B124</f>
        <v>0</v>
      </c>
      <c r="G151" s="672">
        <f>'Recycling - Case 2'!BQ124*'Recycling - Case 2'!AF124*'Recycling - Case 2'!B124</f>
        <v>0</v>
      </c>
      <c r="H151" s="672">
        <f>'Recycling - Case 2'!BR124*'Recycling - Case 2'!AF124*'Recycling - Case 2'!B124</f>
        <v>0</v>
      </c>
      <c r="I151" s="672">
        <f>'Recycling - Case 2'!BS124*'Recycling - Case 2'!AF124*'Recycling - Case 2'!B124</f>
        <v>4591.3687563901858</v>
      </c>
      <c r="J151" s="945">
        <f t="shared" si="11"/>
        <v>10294.826329512212</v>
      </c>
      <c r="K151" s="613">
        <f>'4C2 Open-burning '!B151*'4C2 Open-burning '!$C$14*'4C2 Open-burning '!$C$5*'4C2 Open-burning '!$C$6*'4C2 Open-burning '!$C$7*C151</f>
        <v>0</v>
      </c>
      <c r="L151" s="614">
        <f>'4C2 Open-burning '!B151*'4C2 Open-burning '!$D$14*'4C2 Open-burning '!$C$5*'4C2 Open-burning '!$C$6*'4C2 Open-burning '!$C$7*D151</f>
        <v>0</v>
      </c>
      <c r="M151" s="614">
        <f>'4C2 Open-burning '!B151*'4C2 Open-burning '!$E$14*'4C2 Open-burning '!$C$5*'4C2 Open-burning '!$C$6*'4C2 Open-burning '!$C$7*E151</f>
        <v>0.58943322549265975</v>
      </c>
      <c r="N151" s="614">
        <f>'4C2 Open-burning '!B151*'4C2 Open-burning '!$F$14*'4C2 Open-burning '!$C$5*'4C2 Open-burning '!$C$6*'4C2 Open-burning '!$C$7*F151</f>
        <v>0</v>
      </c>
      <c r="O151" s="614">
        <f>'4C2 Open-burning '!B151*'4C2 Open-burning '!$G$14*'4C2 Open-burning '!$C$5*'4C2 Open-burning '!$C$6*'4C2 Open-burning '!$C$7*G151</f>
        <v>0</v>
      </c>
      <c r="P151" s="614">
        <f>'4C2 Open-burning '!B151*'4C2 Open-burning '!$H$14*'4C2 Open-burning '!$C$5*'4C2 Open-burning '!$C$6*'4C2 Open-burning '!$C$7*H151</f>
        <v>0</v>
      </c>
      <c r="Q151" s="614">
        <f>'4C2 Open-burning '!B151*'4C2 Open-burning '!$I$14*'4C2 Open-burning '!$C$5*'4C2 Open-burning '!$C$6*'4C2 Open-burning '!$C$7*I151</f>
        <v>19.214075729576653</v>
      </c>
      <c r="R151" s="615">
        <f t="shared" si="8"/>
        <v>19.803508955069312</v>
      </c>
      <c r="S151" s="613">
        <f>B151*C151*'4C2 Open-burning '!$C$9*'4C2 Open-burning '!$C$11*$C$5</f>
        <v>0.97014270748033693</v>
      </c>
      <c r="T151" s="614">
        <f>B151*D151*'4C2 Open-burning '!$C$9*'4C2 Open-burning '!$C$11*$C$5</f>
        <v>1.2965758845891957</v>
      </c>
      <c r="U151" s="614">
        <f>B151*E151*'4C2 Open-burning '!$C$9*'4C2 Open-burning '!$C$11*$C$5</f>
        <v>0.43515923466701745</v>
      </c>
      <c r="V151" s="614">
        <f>B151*F151*'4C2 Open-burning '!$C$9*'4C2 Open-burning '!$C$11*$C$5</f>
        <v>0</v>
      </c>
      <c r="W151" s="614">
        <f>B151*G151*'4C2 Open-burning '!$C$9*'4C2 Open-burning '!$C$11*$C$5</f>
        <v>0</v>
      </c>
      <c r="X151" s="614">
        <f>B151*H151*'4C2 Open-burning '!$C$9*'4C2 Open-burning '!$C$11*$C$5</f>
        <v>0</v>
      </c>
      <c r="Y151" s="614">
        <f>B151*I151*'4C2 Open-burning '!$C$9*'4C2 Open-burning '!$C$11*$C$5</f>
        <v>2.1750521114985761</v>
      </c>
      <c r="Z151" s="615">
        <f t="shared" si="9"/>
        <v>4.8769299382351257</v>
      </c>
      <c r="AA151" s="616">
        <f>B151*C151*'4C2 Open-burning '!$C$10*'4C2 Open-burning '!$C$11*$C$5*$C$15</f>
        <v>8.9551634536646496E-3</v>
      </c>
      <c r="AB151" s="617">
        <f>B151*D151*'4C2 Open-burning '!$C$10*'4C2 Open-burning '!$C$11*$C$5*$D$15</f>
        <v>1.1968392780823345E-2</v>
      </c>
      <c r="AC151" s="617">
        <f>B151*E151*'4C2 Open-burning '!$C$10*'4C2 Open-burning '!$C$11*$C$5*$E$15</f>
        <v>9.0379225661611304E-3</v>
      </c>
      <c r="AD151" s="617">
        <f>B151*F151*'4C2 Open-burning '!$C$10*'4C2 Open-burning '!$C$11*$C$5*$F$15</f>
        <v>0</v>
      </c>
      <c r="AE151" s="617">
        <f>B151*G151*'4C2 Open-burning '!$C$10*'4C2 Open-burning '!$C$11*$C$5*$G$15</f>
        <v>0</v>
      </c>
      <c r="AF151" s="617">
        <f>B151*H151*'4C2 Open-burning '!$C$10*'4C2 Open-burning '!$C$11*$C$5*$H$15</f>
        <v>0</v>
      </c>
      <c r="AG151" s="617">
        <f>B151*I151*'4C2 Open-burning '!$C$10*'4C2 Open-burning '!$C$11*$C$5*$I$15</f>
        <v>4.5174159238816583E-2</v>
      </c>
      <c r="AH151" s="618">
        <f t="shared" si="10"/>
        <v>7.5135638039465713E-2</v>
      </c>
      <c r="AI151" s="104"/>
    </row>
    <row r="152" spans="1:39">
      <c r="A152" s="157">
        <f>'Input data'!A145</f>
        <v>2047</v>
      </c>
      <c r="B152" s="658">
        <f>'Recycling - Case 2'!AP125</f>
        <v>0.1214682808560769</v>
      </c>
      <c r="C152" s="672">
        <f>'Recycling - Case 2'!BM125*'Recycling - Case 2'!AF125*'Recycling - Case 2'!B125</f>
        <v>2058.3586888992936</v>
      </c>
      <c r="D152" s="672">
        <f>'Recycling - Case 2'!BN125*'Recycling - Case 2'!AF125*'Recycling - Case 2'!B125</f>
        <v>2750.954284646366</v>
      </c>
      <c r="E152" s="672">
        <f>'Recycling - Case 2'!BO125*'Recycling - Case 2'!AF125*'Recycling - Case 2'!B125</f>
        <v>923.28044608816128</v>
      </c>
      <c r="F152" s="672">
        <f>'Recycling - Case 2'!BP125*'Recycling - Case 2'!AF125*'Recycling - Case 2'!B125</f>
        <v>0</v>
      </c>
      <c r="G152" s="672">
        <f>'Recycling - Case 2'!BQ125*'Recycling - Case 2'!AF125*'Recycling - Case 2'!B125</f>
        <v>0</v>
      </c>
      <c r="H152" s="672">
        <f>'Recycling - Case 2'!BR125*'Recycling - Case 2'!AF125*'Recycling - Case 2'!B125</f>
        <v>0</v>
      </c>
      <c r="I152" s="672">
        <f>'Recycling - Case 2'!BS125*'Recycling - Case 2'!AF125*'Recycling - Case 2'!B125</f>
        <v>4614.8235491453115</v>
      </c>
      <c r="J152" s="945">
        <f t="shared" si="11"/>
        <v>10347.416968779133</v>
      </c>
      <c r="K152" s="613">
        <f>'4C2 Open-burning '!B152*'4C2 Open-burning '!$C$14*'4C2 Open-burning '!$C$5*'4C2 Open-burning '!$C$6*'4C2 Open-burning '!$C$7*C152</f>
        <v>0</v>
      </c>
      <c r="L152" s="614">
        <f>'4C2 Open-burning '!B152*'4C2 Open-burning '!$D$14*'4C2 Open-burning '!$C$5*'4C2 Open-burning '!$C$6*'4C2 Open-burning '!$C$7*D152</f>
        <v>0</v>
      </c>
      <c r="M152" s="614">
        <f>'4C2 Open-burning '!B152*'4C2 Open-burning '!$E$14*'4C2 Open-burning '!$C$5*'4C2 Open-burning '!$C$6*'4C2 Open-burning '!$C$7*E152</f>
        <v>0.5924443175831553</v>
      </c>
      <c r="N152" s="614">
        <f>'4C2 Open-burning '!B152*'4C2 Open-burning '!$F$14*'4C2 Open-burning '!$C$5*'4C2 Open-burning '!$C$6*'4C2 Open-burning '!$C$7*F152</f>
        <v>0</v>
      </c>
      <c r="O152" s="614">
        <f>'4C2 Open-burning '!B152*'4C2 Open-burning '!$G$14*'4C2 Open-burning '!$C$5*'4C2 Open-burning '!$C$6*'4C2 Open-burning '!$C$7*G152</f>
        <v>0</v>
      </c>
      <c r="P152" s="614">
        <f>'4C2 Open-burning '!B152*'4C2 Open-burning '!$H$14*'4C2 Open-burning '!$C$5*'4C2 Open-burning '!$C$6*'4C2 Open-burning '!$C$7*H152</f>
        <v>0</v>
      </c>
      <c r="Q152" s="614">
        <f>'4C2 Open-burning '!B152*'4C2 Open-burning '!$I$14*'4C2 Open-burning '!$C$5*'4C2 Open-burning '!$C$6*'4C2 Open-burning '!$C$7*I152</f>
        <v>19.312229937641796</v>
      </c>
      <c r="R152" s="615">
        <f t="shared" si="8"/>
        <v>19.90467425522495</v>
      </c>
      <c r="S152" s="613">
        <f>B152*C152*'4C2 Open-burning '!$C$9*'4C2 Open-burning '!$C$11*$C$5</f>
        <v>0.97509863617048564</v>
      </c>
      <c r="T152" s="614">
        <f>B152*D152*'4C2 Open-burning '!$C$9*'4C2 Open-burning '!$C$11*$C$5</f>
        <v>1.3031993819116465</v>
      </c>
      <c r="U152" s="614">
        <f>B152*E152*'4C2 Open-burning '!$C$9*'4C2 Open-burning '!$C$11*$C$5</f>
        <v>0.43738222528400689</v>
      </c>
      <c r="V152" s="614">
        <f>B152*F152*'4C2 Open-burning '!$C$9*'4C2 Open-burning '!$C$11*$C$5</f>
        <v>0</v>
      </c>
      <c r="W152" s="614">
        <f>B152*G152*'4C2 Open-burning '!$C$9*'4C2 Open-burning '!$C$11*$C$5</f>
        <v>0</v>
      </c>
      <c r="X152" s="614">
        <f>B152*H152*'4C2 Open-burning '!$C$9*'4C2 Open-burning '!$C$11*$C$5</f>
        <v>0</v>
      </c>
      <c r="Y152" s="614">
        <f>B152*I152*'4C2 Open-burning '!$C$9*'4C2 Open-burning '!$C$11*$C$5</f>
        <v>2.1861632635783992</v>
      </c>
      <c r="Z152" s="615">
        <f t="shared" si="9"/>
        <v>4.9018435069445383</v>
      </c>
      <c r="AA152" s="616">
        <f>B152*C152*'4C2 Open-burning '!$C$10*'4C2 Open-burning '!$C$11*$C$5*$C$15</f>
        <v>9.0009104877275623E-3</v>
      </c>
      <c r="AB152" s="617">
        <f>B152*D152*'4C2 Open-burning '!$C$10*'4C2 Open-burning '!$C$11*$C$5*$D$15</f>
        <v>1.2029532756107504E-2</v>
      </c>
      <c r="AC152" s="617">
        <f>B152*E152*'4C2 Open-burning '!$C$10*'4C2 Open-burning '!$C$11*$C$5*$E$15</f>
        <v>9.0840923712832197E-3</v>
      </c>
      <c r="AD152" s="617">
        <f>B152*F152*'4C2 Open-burning '!$C$10*'4C2 Open-burning '!$C$11*$C$5*$F$15</f>
        <v>0</v>
      </c>
      <c r="AE152" s="617">
        <f>B152*G152*'4C2 Open-burning '!$C$10*'4C2 Open-burning '!$C$11*$C$5*$G$15</f>
        <v>0</v>
      </c>
      <c r="AF152" s="617">
        <f>B152*H152*'4C2 Open-burning '!$C$10*'4C2 Open-burning '!$C$11*$C$5*$H$15</f>
        <v>0</v>
      </c>
      <c r="AG152" s="617">
        <f>B152*I152*'4C2 Open-burning '!$C$10*'4C2 Open-burning '!$C$11*$C$5*$I$15</f>
        <v>4.5404929320474442E-2</v>
      </c>
      <c r="AH152" s="618">
        <f t="shared" si="10"/>
        <v>7.5519464935592723E-2</v>
      </c>
      <c r="AI152" s="104"/>
    </row>
    <row r="153" spans="1:39">
      <c r="A153" s="157">
        <f>'Input data'!A146</f>
        <v>2048</v>
      </c>
      <c r="B153" s="658">
        <f>'Recycling - Case 2'!AP126</f>
        <v>0.1214682808560769</v>
      </c>
      <c r="C153" s="672">
        <f>'Recycling - Case 2'!BM126*'Recycling - Case 2'!AF126*'Recycling - Case 2'!B126</f>
        <v>2068.8756278661463</v>
      </c>
      <c r="D153" s="672">
        <f>'Recycling - Case 2'!BN126*'Recycling - Case 2'!AF126*'Recycling - Case 2'!B126</f>
        <v>2765.0099584549471</v>
      </c>
      <c r="E153" s="672">
        <f>'Recycling - Case 2'!BO126*'Recycling - Case 2'!AF126*'Recycling - Case 2'!B126</f>
        <v>927.99783774257219</v>
      </c>
      <c r="F153" s="672">
        <f>'Recycling - Case 2'!BP126*'Recycling - Case 2'!AF126*'Recycling - Case 2'!B126</f>
        <v>0</v>
      </c>
      <c r="G153" s="672">
        <f>'Recycling - Case 2'!BQ126*'Recycling - Case 2'!AF126*'Recycling - Case 2'!B126</f>
        <v>0</v>
      </c>
      <c r="H153" s="672">
        <f>'Recycling - Case 2'!BR126*'Recycling - Case 2'!AF126*'Recycling - Case 2'!B126</f>
        <v>0</v>
      </c>
      <c r="I153" s="672">
        <f>'Recycling - Case 2'!BS126*'Recycling - Case 2'!AF126*'Recycling - Case 2'!B126</f>
        <v>4638.4024413330035</v>
      </c>
      <c r="J153" s="945">
        <f t="shared" ref="J153:J155" si="12">SUM(C153:I153)</f>
        <v>10400.285865396669</v>
      </c>
      <c r="K153" s="613">
        <f>'4C2 Open-burning '!B153*'4C2 Open-burning '!$C$14*'4C2 Open-burning '!$C$5*'4C2 Open-burning '!$C$6*'4C2 Open-burning '!$C$7*C153</f>
        <v>0</v>
      </c>
      <c r="L153" s="614">
        <f>'4C2 Open-burning '!B153*'4C2 Open-burning '!$D$14*'4C2 Open-burning '!$C$5*'4C2 Open-burning '!$C$6*'4C2 Open-burning '!$C$7*D153</f>
        <v>0</v>
      </c>
      <c r="M153" s="614">
        <f>'4C2 Open-burning '!B153*'4C2 Open-burning '!$E$14*'4C2 Open-burning '!$C$5*'4C2 Open-burning '!$C$6*'4C2 Open-burning '!$C$7*E153</f>
        <v>0.59547134137783353</v>
      </c>
      <c r="N153" s="614">
        <f>'4C2 Open-burning '!B153*'4C2 Open-burning '!$F$14*'4C2 Open-burning '!$C$5*'4C2 Open-burning '!$C$6*'4C2 Open-burning '!$C$7*F153</f>
        <v>0</v>
      </c>
      <c r="O153" s="614">
        <f>'4C2 Open-burning '!B153*'4C2 Open-burning '!$G$14*'4C2 Open-burning '!$C$5*'4C2 Open-burning '!$C$6*'4C2 Open-burning '!$C$7*G153</f>
        <v>0</v>
      </c>
      <c r="P153" s="614">
        <f>'4C2 Open-burning '!B153*'4C2 Open-burning '!$H$14*'4C2 Open-burning '!$C$5*'4C2 Open-burning '!$C$6*'4C2 Open-burning '!$C$7*H153</f>
        <v>0</v>
      </c>
      <c r="Q153" s="614">
        <f>'4C2 Open-burning '!B153*'4C2 Open-burning '!$I$14*'4C2 Open-burning '!$C$5*'4C2 Open-burning '!$C$6*'4C2 Open-burning '!$C$7*I153</f>
        <v>19.41090348014114</v>
      </c>
      <c r="R153" s="615">
        <f t="shared" ref="R153:R155" si="13">SUM(K153:Q153)</f>
        <v>20.006374821518975</v>
      </c>
      <c r="S153" s="613">
        <f>B153*C153*'4C2 Open-burning '!$C$9*'4C2 Open-burning '!$C$11*$C$5</f>
        <v>0.98008078670555621</v>
      </c>
      <c r="T153" s="614">
        <f>B153*D153*'4C2 Open-burning '!$C$9*'4C2 Open-burning '!$C$11*$C$5</f>
        <v>1.3098579241934745</v>
      </c>
      <c r="U153" s="614">
        <f>B153*E153*'4C2 Open-burning '!$C$9*'4C2 Open-burning '!$C$11*$C$5</f>
        <v>0.43961697775611258</v>
      </c>
      <c r="V153" s="614">
        <f>B153*F153*'4C2 Open-burning '!$C$9*'4C2 Open-burning '!$C$11*$C$5</f>
        <v>0</v>
      </c>
      <c r="W153" s="614">
        <f>B153*G153*'4C2 Open-burning '!$C$9*'4C2 Open-burning '!$C$11*$C$5</f>
        <v>0</v>
      </c>
      <c r="X153" s="614">
        <f>B153*H153*'4C2 Open-burning '!$C$9*'4C2 Open-burning '!$C$11*$C$5</f>
        <v>0</v>
      </c>
      <c r="Y153" s="614">
        <f>B153*I153*'4C2 Open-burning '!$C$9*'4C2 Open-burning '!$C$11*$C$5</f>
        <v>2.1973332048226646</v>
      </c>
      <c r="Z153" s="615">
        <f t="shared" ref="Z153:Z155" si="14">SUM(S153:Y153)</f>
        <v>4.9268888934778072</v>
      </c>
      <c r="AA153" s="616">
        <f>B153*C153*'4C2 Open-burning '!$C$10*'4C2 Open-burning '!$C$11*$C$5*$C$15</f>
        <v>9.0468995695897492E-3</v>
      </c>
      <c r="AB153" s="617">
        <f>B153*D153*'4C2 Open-burning '!$C$10*'4C2 Open-burning '!$C$11*$C$5*$D$15</f>
        <v>1.209099622332438E-2</v>
      </c>
      <c r="AC153" s="617">
        <f>B153*E153*'4C2 Open-burning '!$C$10*'4C2 Open-burning '!$C$11*$C$5*$E$15</f>
        <v>9.1305064610884938E-3</v>
      </c>
      <c r="AD153" s="617">
        <f>B153*F153*'4C2 Open-burning '!$C$10*'4C2 Open-burning '!$C$11*$C$5*$F$15</f>
        <v>0</v>
      </c>
      <c r="AE153" s="617">
        <f>B153*G153*'4C2 Open-burning '!$C$10*'4C2 Open-burning '!$C$11*$C$5*$G$15</f>
        <v>0</v>
      </c>
      <c r="AF153" s="617">
        <f>B153*H153*'4C2 Open-burning '!$C$10*'4C2 Open-burning '!$C$11*$C$5*$H$15</f>
        <v>0</v>
      </c>
      <c r="AG153" s="617">
        <f>B153*I153*'4C2 Open-burning '!$C$10*'4C2 Open-burning '!$C$11*$C$5*$I$15</f>
        <v>4.5636920407855351E-2</v>
      </c>
      <c r="AH153" s="618">
        <f t="shared" ref="AH153:AH155" si="15">SUM(AA153:AG153)</f>
        <v>7.5905322661857969E-2</v>
      </c>
      <c r="AI153" s="104"/>
    </row>
    <row r="154" spans="1:39">
      <c r="A154" s="157">
        <f>'Input data'!A147</f>
        <v>2049</v>
      </c>
      <c r="B154" s="658">
        <f>'Recycling - Case 2'!AP127</f>
        <v>0.1214682808560769</v>
      </c>
      <c r="C154" s="672">
        <f>'Recycling - Case 2'!BM127*'Recycling - Case 2'!AF127*'Recycling - Case 2'!B127</f>
        <v>2079.4202429881748</v>
      </c>
      <c r="D154" s="672">
        <f>'Recycling - Case 2'!BN127*'Recycling - Case 2'!AF127*'Recycling - Case 2'!B127</f>
        <v>2779.1026208788139</v>
      </c>
      <c r="E154" s="672">
        <f>'Recycling - Case 2'!BO127*'Recycling - Case 2'!AF127*'Recycling - Case 2'!B127</f>
        <v>932.7276435855473</v>
      </c>
      <c r="F154" s="672">
        <f>'Recycling - Case 2'!BP127*'Recycling - Case 2'!AF127*'Recycling - Case 2'!B127</f>
        <v>0</v>
      </c>
      <c r="G154" s="672">
        <f>'Recycling - Case 2'!BQ127*'Recycling - Case 2'!AF127*'Recycling - Case 2'!B127</f>
        <v>0</v>
      </c>
      <c r="H154" s="672">
        <f>'Recycling - Case 2'!BR127*'Recycling - Case 2'!AF127*'Recycling - Case 2'!B127</f>
        <v>0</v>
      </c>
      <c r="I154" s="672">
        <f>'Recycling - Case 2'!BS127*'Recycling - Case 2'!AF127*'Recycling - Case 2'!B127</f>
        <v>4662.0433832369781</v>
      </c>
      <c r="J154" s="945">
        <f t="shared" si="12"/>
        <v>10453.293890689514</v>
      </c>
      <c r="K154" s="613">
        <f>'4C2 Open-burning '!B154*'4C2 Open-burning '!$C$14*'4C2 Open-burning '!$C$5*'4C2 Open-burning '!$C$6*'4C2 Open-burning '!$C$7*C154</f>
        <v>0</v>
      </c>
      <c r="L154" s="614">
        <f>'4C2 Open-burning '!B154*'4C2 Open-burning '!$D$14*'4C2 Open-burning '!$C$5*'4C2 Open-burning '!$C$6*'4C2 Open-burning '!$C$7*D154</f>
        <v>0</v>
      </c>
      <c r="M154" s="614">
        <f>'4C2 Open-burning '!B154*'4C2 Open-burning '!$E$14*'4C2 Open-burning '!$C$5*'4C2 Open-burning '!$C$6*'4C2 Open-burning '!$C$7*E154</f>
        <v>0.59850633102460293</v>
      </c>
      <c r="N154" s="614">
        <f>'4C2 Open-burning '!B154*'4C2 Open-burning '!$F$14*'4C2 Open-burning '!$C$5*'4C2 Open-burning '!$C$6*'4C2 Open-burning '!$C$7*F154</f>
        <v>0</v>
      </c>
      <c r="O154" s="614">
        <f>'4C2 Open-burning '!B154*'4C2 Open-burning '!$G$14*'4C2 Open-burning '!$C$5*'4C2 Open-burning '!$C$6*'4C2 Open-burning '!$C$7*G154</f>
        <v>0</v>
      </c>
      <c r="P154" s="614">
        <f>'4C2 Open-burning '!B154*'4C2 Open-burning '!$H$14*'4C2 Open-burning '!$C$5*'4C2 Open-burning '!$C$6*'4C2 Open-burning '!$C$7*H154</f>
        <v>0</v>
      </c>
      <c r="Q154" s="614">
        <f>'4C2 Open-burning '!B154*'4C2 Open-burning '!$I$14*'4C2 Open-burning '!$C$5*'4C2 Open-burning '!$C$6*'4C2 Open-burning '!$C$7*I154</f>
        <v>19.509836689857586</v>
      </c>
      <c r="R154" s="615">
        <f t="shared" si="13"/>
        <v>20.108343020882188</v>
      </c>
      <c r="S154" s="613">
        <f>B154*C154*'4C2 Open-burning '!$C$9*'4C2 Open-burning '!$C$11*$C$5</f>
        <v>0.98507604816308714</v>
      </c>
      <c r="T154" s="614">
        <f>B154*D154*'4C2 Open-burning '!$C$9*'4C2 Open-burning '!$C$11*$C$5</f>
        <v>1.3165339889549919</v>
      </c>
      <c r="U154" s="614">
        <f>B154*E154*'4C2 Open-burning '!$C$9*'4C2 Open-burning '!$C$11*$C$5</f>
        <v>0.4418576111557766</v>
      </c>
      <c r="V154" s="614">
        <f>B154*F154*'4C2 Open-burning '!$C$9*'4C2 Open-burning '!$C$11*$C$5</f>
        <v>0</v>
      </c>
      <c r="W154" s="614">
        <f>B154*G154*'4C2 Open-burning '!$C$9*'4C2 Open-burning '!$C$11*$C$5</f>
        <v>0</v>
      </c>
      <c r="X154" s="614">
        <f>B154*H154*'4C2 Open-burning '!$C$9*'4C2 Open-burning '!$C$11*$C$5</f>
        <v>0</v>
      </c>
      <c r="Y154" s="614">
        <f>B154*I154*'4C2 Open-burning '!$C$9*'4C2 Open-burning '!$C$11*$C$5</f>
        <v>2.2085325406491525</v>
      </c>
      <c r="Z154" s="615">
        <f t="shared" si="14"/>
        <v>4.9520001889230087</v>
      </c>
      <c r="AA154" s="616">
        <f>B154*C154*'4C2 Open-burning '!$C$10*'4C2 Open-burning '!$C$11*$C$5*$C$15</f>
        <v>9.0930096753515759E-3</v>
      </c>
      <c r="AB154" s="617">
        <f>B154*D154*'4C2 Open-burning '!$C$10*'4C2 Open-burning '!$C$11*$C$5*$D$15</f>
        <v>1.2152621436507619E-2</v>
      </c>
      <c r="AC154" s="617">
        <f>B154*E154*'4C2 Open-burning '!$C$10*'4C2 Open-burning '!$C$11*$C$5*$E$15</f>
        <v>9.1770426932353596E-3</v>
      </c>
      <c r="AD154" s="617">
        <f>B154*F154*'4C2 Open-burning '!$C$10*'4C2 Open-burning '!$C$11*$C$5*$F$15</f>
        <v>0</v>
      </c>
      <c r="AE154" s="617">
        <f>B154*G154*'4C2 Open-burning '!$C$10*'4C2 Open-burning '!$C$11*$C$5*$G$15</f>
        <v>0</v>
      </c>
      <c r="AF154" s="617">
        <f>B154*H154*'4C2 Open-burning '!$C$10*'4C2 Open-burning '!$C$11*$C$5*$H$15</f>
        <v>0</v>
      </c>
      <c r="AG154" s="617">
        <f>B154*I154*'4C2 Open-burning '!$C$10*'4C2 Open-burning '!$C$11*$C$5*$I$15</f>
        <v>4.5869521998097781E-2</v>
      </c>
      <c r="AH154" s="618">
        <f t="shared" si="15"/>
        <v>7.6292195803192339E-2</v>
      </c>
      <c r="AI154" s="104"/>
    </row>
    <row r="155" spans="1:39" ht="15.75" thickBot="1">
      <c r="A155" s="157">
        <f>'Input data'!A148</f>
        <v>2050</v>
      </c>
      <c r="B155" s="658">
        <f>'Recycling - Case 2'!AP128</f>
        <v>0.1214682808560769</v>
      </c>
      <c r="C155" s="672">
        <f>'Recycling - Case 2'!BM128*'Recycling - Case 2'!AF128*'Recycling - Case 2'!B128</f>
        <v>2090.0478865757314</v>
      </c>
      <c r="D155" s="672">
        <f>'Recycling - Case 2'!BN128*'Recycling - Case 2'!AF128*'Recycling - Case 2'!B128</f>
        <v>2793.3062491485384</v>
      </c>
      <c r="E155" s="672">
        <f>'Recycling - Case 2'!BO128*'Recycling - Case 2'!AF128*'Recycling - Case 2'!B128</f>
        <v>937.49469199421515</v>
      </c>
      <c r="F155" s="672">
        <f>'Recycling - Case 2'!BP128*'Recycling - Case 2'!AF128*'Recycling - Case 2'!B128</f>
        <v>0</v>
      </c>
      <c r="G155" s="672">
        <f>'Recycling - Case 2'!BQ128*'Recycling - Case 2'!AF128*'Recycling - Case 2'!B128</f>
        <v>0</v>
      </c>
      <c r="H155" s="672">
        <f>'Recycling - Case 2'!BR128*'Recycling - Case 2'!AF128*'Recycling - Case 2'!B128</f>
        <v>0</v>
      </c>
      <c r="I155" s="672">
        <f>'Recycling - Case 2'!BS128*'Recycling - Case 2'!AF128*'Recycling - Case 2'!B128</f>
        <v>4685.8704742898044</v>
      </c>
      <c r="J155" s="945">
        <f t="shared" si="12"/>
        <v>10506.719302008289</v>
      </c>
      <c r="K155" s="613">
        <f>'4C2 Open-burning '!B155*'4C2 Open-burning '!$C$14*'4C2 Open-burning '!$C$5*'4C2 Open-burning '!$C$6*'4C2 Open-burning '!$C$7*C155</f>
        <v>0</v>
      </c>
      <c r="L155" s="614">
        <f>'4C2 Open-burning '!B155*'4C2 Open-burning '!$D$14*'4C2 Open-burning '!$C$5*'4C2 Open-burning '!$C$6*'4C2 Open-burning '!$C$7*D155</f>
        <v>0</v>
      </c>
      <c r="M155" s="614">
        <f>'4C2 Open-burning '!B155*'4C2 Open-burning '!$E$14*'4C2 Open-burning '!$C$5*'4C2 Open-burning '!$C$6*'4C2 Open-burning '!$C$7*E155</f>
        <v>0.60156521822764608</v>
      </c>
      <c r="N155" s="614">
        <f>'4C2 Open-burning '!B155*'4C2 Open-burning '!$F$14*'4C2 Open-burning '!$C$5*'4C2 Open-burning '!$C$6*'4C2 Open-burning '!$C$7*F155</f>
        <v>0</v>
      </c>
      <c r="O155" s="614">
        <f>'4C2 Open-burning '!B155*'4C2 Open-burning '!$G$14*'4C2 Open-burning '!$C$5*'4C2 Open-burning '!$C$6*'4C2 Open-burning '!$C$7*G155</f>
        <v>0</v>
      </c>
      <c r="P155" s="614">
        <f>'4C2 Open-burning '!B155*'4C2 Open-burning '!$H$14*'4C2 Open-burning '!$C$5*'4C2 Open-burning '!$C$6*'4C2 Open-burning '!$C$7*H155</f>
        <v>0</v>
      </c>
      <c r="Q155" s="614">
        <f>'4C2 Open-burning '!B155*'4C2 Open-burning '!$I$14*'4C2 Open-burning '!$C$5*'4C2 Open-burning '!$C$6*'4C2 Open-burning '!$C$7*I155</f>
        <v>19.609548901225352</v>
      </c>
      <c r="R155" s="615">
        <f t="shared" si="13"/>
        <v>20.211114119452997</v>
      </c>
      <c r="S155" s="613">
        <f>B155*C155*'4C2 Open-burning '!$C$9*'4C2 Open-burning '!$C$11*$C$5</f>
        <v>0.99011064238800051</v>
      </c>
      <c r="T155" s="614">
        <f>B155*D155*'4C2 Open-burning '!$C$9*'4C2 Open-burning '!$C$11*$C$5</f>
        <v>1.3232626211555765</v>
      </c>
      <c r="U155" s="614">
        <f>B155*E155*'4C2 Open-burning '!$C$9*'4C2 Open-burning '!$C$11*$C$5</f>
        <v>0.44411588733811508</v>
      </c>
      <c r="V155" s="614">
        <f>B155*F155*'4C2 Open-burning '!$C$9*'4C2 Open-burning '!$C$11*$C$5</f>
        <v>0</v>
      </c>
      <c r="W155" s="614">
        <f>B155*G155*'4C2 Open-burning '!$C$9*'4C2 Open-burning '!$C$11*$C$5</f>
        <v>0</v>
      </c>
      <c r="X155" s="614">
        <f>B155*H155*'4C2 Open-burning '!$C$9*'4C2 Open-burning '!$C$11*$C$5</f>
        <v>0</v>
      </c>
      <c r="Y155" s="614">
        <f>B155*I155*'4C2 Open-burning '!$C$9*'4C2 Open-burning '!$C$11*$C$5</f>
        <v>2.2198200602223053</v>
      </c>
      <c r="Z155" s="615">
        <f t="shared" si="14"/>
        <v>4.9773092111039974</v>
      </c>
      <c r="AA155" s="616">
        <f>B155*C155*'4C2 Open-burning '!$C$10*'4C2 Open-burning '!$C$11*$C$5*$C$15</f>
        <v>9.1394828528123112E-3</v>
      </c>
      <c r="AB155" s="617">
        <f>B155*D155*'4C2 Open-burning '!$C$10*'4C2 Open-burning '!$C$11*$C$5*$D$15</f>
        <v>1.2214731887589939E-2</v>
      </c>
      <c r="AC155" s="617">
        <f>B155*E155*'4C2 Open-burning '!$C$10*'4C2 Open-burning '!$C$11*$C$5*$E$15</f>
        <v>9.2239453524070036E-3</v>
      </c>
      <c r="AD155" s="617">
        <f>B155*F155*'4C2 Open-burning '!$C$10*'4C2 Open-burning '!$C$11*$C$5*$F$15</f>
        <v>0</v>
      </c>
      <c r="AE155" s="617">
        <f>B155*G155*'4C2 Open-burning '!$C$10*'4C2 Open-burning '!$C$11*$C$5*$G$15</f>
        <v>0</v>
      </c>
      <c r="AF155" s="617">
        <f>B155*H155*'4C2 Open-burning '!$C$10*'4C2 Open-burning '!$C$11*$C$5*$H$15</f>
        <v>0</v>
      </c>
      <c r="AG155" s="617">
        <f>B155*I155*'4C2 Open-burning '!$C$10*'4C2 Open-burning '!$C$11*$C$5*$I$15</f>
        <v>4.6103955096924804E-2</v>
      </c>
      <c r="AH155" s="618">
        <f t="shared" si="15"/>
        <v>7.6682115189734057E-2</v>
      </c>
      <c r="AI155" s="104"/>
    </row>
    <row r="156" spans="1:39" ht="21.75" thickBot="1">
      <c r="A156" s="1182" t="s">
        <v>712</v>
      </c>
      <c r="B156" s="1173"/>
      <c r="C156" s="1174"/>
      <c r="D156" s="1174"/>
      <c r="E156" s="1174"/>
      <c r="F156" s="1174"/>
      <c r="G156" s="1174"/>
      <c r="H156" s="1174"/>
      <c r="I156" s="1174"/>
      <c r="J156" s="1175"/>
      <c r="K156" s="1176"/>
      <c r="L156" s="1176"/>
      <c r="M156" s="1176"/>
      <c r="N156" s="1176"/>
      <c r="O156" s="1176"/>
      <c r="P156" s="1176"/>
      <c r="Q156" s="1176"/>
      <c r="R156" s="1177"/>
      <c r="S156" s="1176"/>
      <c r="T156" s="1176"/>
      <c r="U156" s="1176"/>
      <c r="V156" s="1176"/>
      <c r="W156" s="1176"/>
      <c r="X156" s="1176"/>
      <c r="Y156" s="1176"/>
      <c r="Z156" s="1177"/>
      <c r="AA156" s="1178"/>
      <c r="AB156" s="1178"/>
      <c r="AC156" s="1178"/>
      <c r="AD156" s="1178"/>
      <c r="AE156" s="1178"/>
      <c r="AF156" s="1178"/>
      <c r="AG156" s="1178"/>
      <c r="AH156" s="1179"/>
      <c r="AI156" s="99"/>
      <c r="AJ156" s="4"/>
      <c r="AK156" s="4"/>
      <c r="AL156" s="4"/>
      <c r="AM156" s="4"/>
    </row>
    <row r="157" spans="1:39">
      <c r="A157" s="1188">
        <f>'Input data'!A116</f>
        <v>2018</v>
      </c>
      <c r="B157" s="1029">
        <f>'Recycling - Case 3'!AP96</f>
        <v>0.12146828085607692</v>
      </c>
      <c r="C157" s="1189">
        <f>'Recycling - Case 3'!BM96*'Recycling - Case 3'!AK96*'Recycling - Case 3'!B96</f>
        <v>4728.1396132220361</v>
      </c>
      <c r="D157" s="1190">
        <f>'Recycling - Case 3'!BN96*'Recycling - Case 3'!AK96*'Recycling - Case 3'!B96</f>
        <v>6319.0618804902269</v>
      </c>
      <c r="E157" s="1190">
        <f>'Recycling - Case 3'!BO96*'Recycling - Case 3'!AK96*'Recycling - Case 3'!B96</f>
        <v>2120.8154219210173</v>
      </c>
      <c r="F157" s="1190">
        <f>'Recycling - Case 3'!BP96*'Recycling - Case 3'!AK96*'Recycling - Case 3'!B96</f>
        <v>0</v>
      </c>
      <c r="G157" s="1190">
        <f>'Recycling - Case 3'!BQ96*'Recycling - Case 3'!AK96*'Recycling - Case 3'!B96</f>
        <v>0</v>
      </c>
      <c r="H157" s="1190">
        <f>'Recycling - Case 3'!BR96*'Recycling - Case 3'!AK96*'Recycling - Case 3'!B96</f>
        <v>0</v>
      </c>
      <c r="I157" s="1190">
        <f>'Recycling - Case 3'!BS96*'Recycling - Case 3'!AK96*'Recycling - Case 3'!B96</f>
        <v>10600.450809869217</v>
      </c>
      <c r="J157" s="1191">
        <f t="shared" ref="J157:J189" si="16">SUM(C157:I157)</f>
        <v>23768.467725502494</v>
      </c>
      <c r="K157" s="613">
        <f>'4C2 Open-burning '!B157*'4C2 Open-burning '!$C$14*'4C2 Open-burning '!$C$5*'4C2 Open-burning '!$C$6*'4C2 Open-burning '!$C$7*C157</f>
        <v>0</v>
      </c>
      <c r="L157" s="614">
        <f>'4C2 Open-burning '!B157*'4C2 Open-burning '!$D$14*'4C2 Open-burning '!$C$5*'4C2 Open-burning '!$C$6*'4C2 Open-burning '!$C$7*D157</f>
        <v>0</v>
      </c>
      <c r="M157" s="614">
        <f>'4C2 Open-burning '!B157*'4C2 Open-burning '!$E$14*'4C2 Open-burning '!$C$5*'4C2 Open-burning '!$C$6*'4C2 Open-burning '!$C$7*E157</f>
        <v>1.36087041665762</v>
      </c>
      <c r="N157" s="614">
        <f>'4C2 Open-burning '!B157*'4C2 Open-burning '!$F$14*'4C2 Open-burning '!$C$5*'4C2 Open-burning '!$C$6*'4C2 Open-burning '!$C$7*F157</f>
        <v>0</v>
      </c>
      <c r="O157" s="614">
        <f>'4C2 Open-burning '!B157*'4C2 Open-burning '!$G$14*'4C2 Open-burning '!$C$5*'4C2 Open-burning '!$C$6*'4C2 Open-burning '!$C$7*G157</f>
        <v>0</v>
      </c>
      <c r="P157" s="614">
        <f>'4C2 Open-burning '!B157*'4C2 Open-burning '!$H$14*'4C2 Open-burning '!$C$5*'4C2 Open-burning '!$C$6*'4C2 Open-burning '!$C$7*H157</f>
        <v>0</v>
      </c>
      <c r="Q157" s="614">
        <f>'4C2 Open-burning '!B157*'4C2 Open-burning '!$I$14*'4C2 Open-burning '!$C$5*'4C2 Open-burning '!$C$6*'4C2 Open-burning '!$C$7*I157</f>
        <v>44.361033808274286</v>
      </c>
      <c r="R157" s="615">
        <f t="shared" ref="R157:R189" si="17">SUM(K157:Q157)</f>
        <v>45.721904224931905</v>
      </c>
      <c r="S157" s="614">
        <f>B157*C157*'4C2 Open-burning '!$C$9*'4C2 Open-burning '!$C$11*$C$5</f>
        <v>2.2398440628158287</v>
      </c>
      <c r="T157" s="614">
        <f>B157*D157*'4C2 Open-burning '!$C$9*'4C2 Open-burning '!$C$11*$C$5</f>
        <v>2.9935057746606337</v>
      </c>
      <c r="U157" s="614">
        <f>B157*E157*'4C2 Open-burning '!$C$9*'4C2 Open-burning '!$C$11*$C$5</f>
        <v>1.0046860329238254</v>
      </c>
      <c r="V157" s="614">
        <f>B157*F157*'4C2 Open-burning '!$C$9*'4C2 Open-burning '!$C$11*$C$5</f>
        <v>0</v>
      </c>
      <c r="W157" s="614">
        <f>B157*G157*'4C2 Open-burning '!$C$9*'4C2 Open-burning '!$C$11*$C$5</f>
        <v>0</v>
      </c>
      <c r="X157" s="614">
        <f>B157*H157*'4C2 Open-burning '!$C$9*'4C2 Open-burning '!$C$11*$C$5</f>
        <v>0</v>
      </c>
      <c r="Y157" s="614">
        <f>B157*I157*'4C2 Open-burning '!$C$9*'4C2 Open-burning '!$C$11*$C$5</f>
        <v>5.0217122910794663</v>
      </c>
      <c r="Z157" s="615">
        <f t="shared" ref="Z157:Z189" si="18">SUM(S157:Y157)</f>
        <v>11.259748161479752</v>
      </c>
      <c r="AA157" s="617">
        <f>B157*C157*'4C2 Open-burning '!$C$10*'4C2 Open-burning '!$C$11*$C$5*$C$15</f>
        <v>2.0675483656761497E-2</v>
      </c>
      <c r="AB157" s="617">
        <f>B157*D157*'4C2 Open-burning '!$C$10*'4C2 Open-burning '!$C$11*$C$5*$D$15</f>
        <v>2.7632360996867389E-2</v>
      </c>
      <c r="AC157" s="617">
        <f>B157*E157*'4C2 Open-burning '!$C$10*'4C2 Open-burning '!$C$11*$C$5*$E$15</f>
        <v>2.0866556068417908E-2</v>
      </c>
      <c r="AD157" s="617">
        <f>B157*F157*'4C2 Open-burning '!$C$10*'4C2 Open-burning '!$C$11*$C$5*$F$15</f>
        <v>0</v>
      </c>
      <c r="AE157" s="617">
        <f>B157*G157*'4C2 Open-burning '!$C$10*'4C2 Open-burning '!$C$11*$C$5*$G$15</f>
        <v>0</v>
      </c>
      <c r="AF157" s="617">
        <f>B157*H157*'4C2 Open-burning '!$C$10*'4C2 Open-burning '!$C$11*$C$5*$H$15</f>
        <v>0</v>
      </c>
      <c r="AG157" s="617">
        <f>B157*I157*'4C2 Open-burning '!$C$10*'4C2 Open-burning '!$C$11*$C$5*$I$15</f>
        <v>0.10429710143011198</v>
      </c>
      <c r="AH157" s="618">
        <f t="shared" ref="AH157:AH189" si="19">SUM(AA157:AG157)</f>
        <v>0.17347150215215879</v>
      </c>
      <c r="AI157" s="99"/>
      <c r="AJ157" s="4"/>
      <c r="AK157" s="4"/>
      <c r="AL157" s="4"/>
      <c r="AM157" s="4"/>
    </row>
    <row r="158" spans="1:39">
      <c r="A158" s="1192">
        <f>'Input data'!A117</f>
        <v>2019</v>
      </c>
      <c r="B158" s="713">
        <f>'Recycling - Case 3'!AP97</f>
        <v>0.1214682808560769</v>
      </c>
      <c r="C158" s="671">
        <f>'Recycling - Case 3'!BM97*'Recycling - Case 3'!AK97*'Recycling - Case 3'!B97</f>
        <v>4727.0575266704054</v>
      </c>
      <c r="D158" s="672">
        <f>'Recycling - Case 3'!BN97*'Recycling - Case 3'!AK97*'Recycling - Case 3'!B97</f>
        <v>6317.6156939477069</v>
      </c>
      <c r="E158" s="672">
        <f>'Recycling - Case 3'!BO97*'Recycling - Case 3'!AK97*'Recycling - Case 3'!B97</f>
        <v>2120.3300500762152</v>
      </c>
      <c r="F158" s="672">
        <f>'Recycling - Case 3'!BP97*'Recycling - Case 3'!AK97*'Recycling - Case 3'!B97</f>
        <v>0</v>
      </c>
      <c r="G158" s="672">
        <f>'Recycling - Case 3'!BQ97*'Recycling - Case 3'!AK97*'Recycling - Case 3'!B97</f>
        <v>0</v>
      </c>
      <c r="H158" s="672">
        <f>'Recycling - Case 3'!BR97*'Recycling - Case 3'!AK97*'Recycling - Case 3'!B97</f>
        <v>0</v>
      </c>
      <c r="I158" s="672">
        <f>'Recycling - Case 3'!BS97*'Recycling - Case 3'!AK97*'Recycling - Case 3'!B97</f>
        <v>10598.02478056363</v>
      </c>
      <c r="J158" s="945">
        <f t="shared" si="16"/>
        <v>23763.028051257956</v>
      </c>
      <c r="K158" s="613">
        <f>'4C2 Open-burning '!B158*'4C2 Open-burning '!$C$14*'4C2 Open-burning '!$C$5*'4C2 Open-burning '!$C$6*'4C2 Open-burning '!$C$7*C158</f>
        <v>0</v>
      </c>
      <c r="L158" s="614">
        <f>'4C2 Open-burning '!B158*'4C2 Open-burning '!$D$14*'4C2 Open-burning '!$C$5*'4C2 Open-burning '!$C$6*'4C2 Open-burning '!$C$7*D158</f>
        <v>0</v>
      </c>
      <c r="M158" s="614">
        <f>'4C2 Open-burning '!B158*'4C2 Open-burning '!$E$14*'4C2 Open-burning '!$C$5*'4C2 Open-burning '!$C$6*'4C2 Open-burning '!$C$7*E158</f>
        <v>1.3605589665531725</v>
      </c>
      <c r="N158" s="614">
        <f>'4C2 Open-burning '!B158*'4C2 Open-burning '!$F$14*'4C2 Open-burning '!$C$5*'4C2 Open-burning '!$C$6*'4C2 Open-burning '!$C$7*F158</f>
        <v>0</v>
      </c>
      <c r="O158" s="614">
        <f>'4C2 Open-burning '!B158*'4C2 Open-burning '!$G$14*'4C2 Open-burning '!$C$5*'4C2 Open-burning '!$C$6*'4C2 Open-burning '!$C$7*G158</f>
        <v>0</v>
      </c>
      <c r="P158" s="614">
        <f>'4C2 Open-burning '!B158*'4C2 Open-burning '!$H$14*'4C2 Open-burning '!$C$5*'4C2 Open-burning '!$C$6*'4C2 Open-burning '!$C$7*H158</f>
        <v>0</v>
      </c>
      <c r="Q158" s="614">
        <f>'4C2 Open-burning '!B158*'4C2 Open-burning '!$I$14*'4C2 Open-burning '!$C$5*'4C2 Open-burning '!$C$6*'4C2 Open-burning '!$C$7*I158</f>
        <v>44.350881299671087</v>
      </c>
      <c r="R158" s="615">
        <f t="shared" si="17"/>
        <v>45.711440266224258</v>
      </c>
      <c r="S158" s="614">
        <f>B158*C158*'4C2 Open-burning '!$C$9*'4C2 Open-burning '!$C$11*$C$5</f>
        <v>2.2393314499624881</v>
      </c>
      <c r="T158" s="614">
        <f>B158*D158*'4C2 Open-burning '!$C$9*'4C2 Open-burning '!$C$11*$C$5</f>
        <v>2.9928206780674764</v>
      </c>
      <c r="U158" s="614">
        <f>B158*E158*'4C2 Open-burning '!$C$9*'4C2 Open-burning '!$C$11*$C$5</f>
        <v>1.0044560995179255</v>
      </c>
      <c r="V158" s="614">
        <f>B158*F158*'4C2 Open-burning '!$C$9*'4C2 Open-burning '!$C$11*$C$5</f>
        <v>0</v>
      </c>
      <c r="W158" s="614">
        <f>B158*G158*'4C2 Open-burning '!$C$9*'4C2 Open-burning '!$C$11*$C$5</f>
        <v>0</v>
      </c>
      <c r="X158" s="614">
        <f>B158*H158*'4C2 Open-burning '!$C$9*'4C2 Open-burning '!$C$11*$C$5</f>
        <v>0</v>
      </c>
      <c r="Y158" s="614">
        <f>B158*I158*'4C2 Open-burning '!$C$9*'4C2 Open-burning '!$C$11*$C$5</f>
        <v>5.0205630172041458</v>
      </c>
      <c r="Z158" s="615">
        <f t="shared" si="18"/>
        <v>11.257171244752037</v>
      </c>
      <c r="AA158" s="617">
        <f>B158*C158*'4C2 Open-burning '!$C$10*'4C2 Open-burning '!$C$11*$C$5*$C$15</f>
        <v>2.0670751845807588E-2</v>
      </c>
      <c r="AB158" s="617">
        <f>B158*D158*'4C2 Open-burning '!$C$10*'4C2 Open-burning '!$C$11*$C$5*$D$15</f>
        <v>2.7626037028315172E-2</v>
      </c>
      <c r="AC158" s="617">
        <f>B158*E158*'4C2 Open-burning '!$C$10*'4C2 Open-burning '!$C$11*$C$5*$E$15</f>
        <v>2.0861780528449222E-2</v>
      </c>
      <c r="AD158" s="617">
        <f>B158*F158*'4C2 Open-burning '!$C$10*'4C2 Open-burning '!$C$11*$C$5*$F$15</f>
        <v>0</v>
      </c>
      <c r="AE158" s="617">
        <f>B158*G158*'4C2 Open-burning '!$C$10*'4C2 Open-burning '!$C$11*$C$5*$G$15</f>
        <v>0</v>
      </c>
      <c r="AF158" s="617">
        <f>B158*H158*'4C2 Open-burning '!$C$10*'4C2 Open-burning '!$C$11*$C$5*$H$15</f>
        <v>0</v>
      </c>
      <c r="AG158" s="617">
        <f>B158*I158*'4C2 Open-burning '!$C$10*'4C2 Open-burning '!$C$11*$C$5*$I$15</f>
        <v>0.1042732318957784</v>
      </c>
      <c r="AH158" s="618">
        <f t="shared" si="19"/>
        <v>0.1734318012983504</v>
      </c>
      <c r="AI158" s="99"/>
      <c r="AJ158" s="4"/>
      <c r="AK158" s="4"/>
      <c r="AL158" s="4"/>
      <c r="AM158" s="4"/>
    </row>
    <row r="159" spans="1:39">
      <c r="A159" s="1192">
        <f>'Input data'!A118</f>
        <v>2020</v>
      </c>
      <c r="B159" s="713">
        <f>'Recycling - Case 3'!AP98</f>
        <v>0.1214682808560769</v>
      </c>
      <c r="C159" s="671">
        <f>'Recycling - Case 3'!BM98*'Recycling - Case 3'!AK98*'Recycling - Case 3'!B98</f>
        <v>4693.1301805069088</v>
      </c>
      <c r="D159" s="672">
        <f>'Recycling - Case 3'!BN98*'Recycling - Case 3'!AK98*'Recycling - Case 3'!B98</f>
        <v>6272.2724897731905</v>
      </c>
      <c r="E159" s="672">
        <f>'Recycling - Case 3'!BO98*'Recycling - Case 3'!AK98*'Recycling - Case 3'!B98</f>
        <v>2105.111878690755</v>
      </c>
      <c r="F159" s="672">
        <f>'Recycling - Case 3'!BP98*'Recycling - Case 3'!AK98*'Recycling - Case 3'!B98</f>
        <v>0</v>
      </c>
      <c r="G159" s="672">
        <f>'Recycling - Case 3'!BQ98*'Recycling - Case 3'!AK98*'Recycling - Case 3'!B98</f>
        <v>0</v>
      </c>
      <c r="H159" s="672">
        <f>'Recycling - Case 3'!BR98*'Recycling - Case 3'!AK98*'Recycling - Case 3'!B98</f>
        <v>0</v>
      </c>
      <c r="I159" s="672">
        <f>'Recycling - Case 3'!BS98*'Recycling - Case 3'!AK98*'Recycling - Case 3'!B98</f>
        <v>10521.959944595204</v>
      </c>
      <c r="J159" s="945">
        <f t="shared" si="16"/>
        <v>23592.474493566056</v>
      </c>
      <c r="K159" s="613">
        <f>'4C2 Open-burning '!B159*'4C2 Open-burning '!$C$14*'4C2 Open-burning '!$C$5*'4C2 Open-burning '!$C$6*'4C2 Open-burning '!$C$7*C159</f>
        <v>0</v>
      </c>
      <c r="L159" s="614">
        <f>'4C2 Open-burning '!B159*'4C2 Open-burning '!$D$14*'4C2 Open-burning '!$C$5*'4C2 Open-burning '!$C$6*'4C2 Open-burning '!$C$7*D159</f>
        <v>0</v>
      </c>
      <c r="M159" s="614">
        <f>'4C2 Open-burning '!B159*'4C2 Open-burning '!$E$14*'4C2 Open-burning '!$C$5*'4C2 Open-burning '!$C$6*'4C2 Open-burning '!$C$7*E159</f>
        <v>1.3507938738345713</v>
      </c>
      <c r="N159" s="614">
        <f>'4C2 Open-burning '!B159*'4C2 Open-burning '!$F$14*'4C2 Open-burning '!$C$5*'4C2 Open-burning '!$C$6*'4C2 Open-burning '!$C$7*F159</f>
        <v>0</v>
      </c>
      <c r="O159" s="614">
        <f>'4C2 Open-burning '!B159*'4C2 Open-burning '!$G$14*'4C2 Open-burning '!$C$5*'4C2 Open-burning '!$C$6*'4C2 Open-burning '!$C$7*G159</f>
        <v>0</v>
      </c>
      <c r="P159" s="614">
        <f>'4C2 Open-burning '!B159*'4C2 Open-burning '!$H$14*'4C2 Open-burning '!$C$5*'4C2 Open-burning '!$C$6*'4C2 Open-burning '!$C$7*H159</f>
        <v>0</v>
      </c>
      <c r="Q159" s="614">
        <f>'4C2 Open-burning '!B159*'4C2 Open-burning '!$I$14*'4C2 Open-burning '!$C$5*'4C2 Open-burning '!$C$6*'4C2 Open-burning '!$C$7*I159</f>
        <v>44.032563256359701</v>
      </c>
      <c r="R159" s="615">
        <f t="shared" si="17"/>
        <v>45.38335713019427</v>
      </c>
      <c r="S159" s="614">
        <f>B159*C159*'4C2 Open-burning '!$C$9*'4C2 Open-burning '!$C$11*$C$5</f>
        <v>2.2232591739537817</v>
      </c>
      <c r="T159" s="614">
        <f>B159*D159*'4C2 Open-burning '!$C$9*'4C2 Open-burning '!$C$11*$C$5</f>
        <v>2.9713404099350966</v>
      </c>
      <c r="U159" s="614">
        <f>B159*E159*'4C2 Open-burning '!$C$9*'4C2 Open-burning '!$C$11*$C$5</f>
        <v>0.99724685156566195</v>
      </c>
      <c r="V159" s="614">
        <f>B159*F159*'4C2 Open-burning '!$C$9*'4C2 Open-burning '!$C$11*$C$5</f>
        <v>0</v>
      </c>
      <c r="W159" s="614">
        <f>B159*G159*'4C2 Open-burning '!$C$9*'4C2 Open-burning '!$C$11*$C$5</f>
        <v>0</v>
      </c>
      <c r="X159" s="614">
        <f>B159*H159*'4C2 Open-burning '!$C$9*'4C2 Open-burning '!$C$11*$C$5</f>
        <v>0</v>
      </c>
      <c r="Y159" s="614">
        <f>B159*I159*'4C2 Open-burning '!$C$9*'4C2 Open-burning '!$C$11*$C$5</f>
        <v>4.9845291042552784</v>
      </c>
      <c r="Z159" s="615">
        <f t="shared" si="18"/>
        <v>11.17637553970982</v>
      </c>
      <c r="AA159" s="617">
        <f>B159*C159*'4C2 Open-burning '!$C$10*'4C2 Open-burning '!$C$11*$C$5*$C$15</f>
        <v>2.0522392374957985E-2</v>
      </c>
      <c r="AB159" s="617">
        <f>B159*D159*'4C2 Open-burning '!$C$10*'4C2 Open-burning '!$C$11*$C$5*$D$15</f>
        <v>2.7427757630170125E-2</v>
      </c>
      <c r="AC159" s="617">
        <f>B159*E159*'4C2 Open-burning '!$C$10*'4C2 Open-burning '!$C$11*$C$5*$E$15</f>
        <v>2.0712049994056063E-2</v>
      </c>
      <c r="AD159" s="617">
        <f>B159*F159*'4C2 Open-burning '!$C$10*'4C2 Open-burning '!$C$11*$C$5*$F$15</f>
        <v>0</v>
      </c>
      <c r="AE159" s="617">
        <f>B159*G159*'4C2 Open-burning '!$C$10*'4C2 Open-burning '!$C$11*$C$5*$G$15</f>
        <v>0</v>
      </c>
      <c r="AF159" s="617">
        <f>B159*H159*'4C2 Open-burning '!$C$10*'4C2 Open-burning '!$C$11*$C$5*$H$15</f>
        <v>0</v>
      </c>
      <c r="AG159" s="617">
        <f>B159*I159*'4C2 Open-burning '!$C$10*'4C2 Open-burning '!$C$11*$C$5*$I$15</f>
        <v>0.10352483524222503</v>
      </c>
      <c r="AH159" s="618">
        <f t="shared" si="19"/>
        <v>0.17218703524140921</v>
      </c>
      <c r="AI159" s="99"/>
      <c r="AJ159" s="4"/>
      <c r="AK159" s="4"/>
      <c r="AL159" s="4"/>
      <c r="AM159" s="4"/>
    </row>
    <row r="160" spans="1:39">
      <c r="A160" s="1192">
        <f>'Input data'!A119</f>
        <v>2021</v>
      </c>
      <c r="B160" s="713">
        <f>'Recycling - Case 3'!AP99</f>
        <v>0.12146828085607689</v>
      </c>
      <c r="C160" s="671">
        <f>'Recycling - Case 3'!BM99*'Recycling - Case 3'!AK99*'Recycling - Case 3'!B99</f>
        <v>4411.8256565109032</v>
      </c>
      <c r="D160" s="672">
        <f>'Recycling - Case 3'!BN99*'Recycling - Case 3'!AK99*'Recycling - Case 3'!B99</f>
        <v>5896.3147474464431</v>
      </c>
      <c r="E160" s="672">
        <f>'Recycling - Case 3'!BO99*'Recycling - Case 3'!AK99*'Recycling - Case 3'!B99</f>
        <v>1978.9322347820748</v>
      </c>
      <c r="F160" s="672">
        <f>'Recycling - Case 3'!BP99*'Recycling - Case 3'!AK99*'Recycling - Case 3'!B99</f>
        <v>0</v>
      </c>
      <c r="G160" s="672">
        <f>'Recycling - Case 3'!BQ99*'Recycling - Case 3'!AK99*'Recycling - Case 3'!B99</f>
        <v>0</v>
      </c>
      <c r="H160" s="672">
        <f>'Recycling - Case 3'!BR99*'Recycling - Case 3'!AK99*'Recycling - Case 3'!B99</f>
        <v>0</v>
      </c>
      <c r="I160" s="672">
        <f>'Recycling - Case 3'!BS99*'Recycling - Case 3'!AK99*'Recycling - Case 3'!B99</f>
        <v>9891.2774747133008</v>
      </c>
      <c r="J160" s="945">
        <f t="shared" si="16"/>
        <v>22178.350113452721</v>
      </c>
      <c r="K160" s="613">
        <f>'4C2 Open-burning '!B160*'4C2 Open-burning '!$C$14*'4C2 Open-burning '!$C$5*'4C2 Open-burning '!$C$6*'4C2 Open-burning '!$C$7*C160</f>
        <v>0</v>
      </c>
      <c r="L160" s="614">
        <f>'4C2 Open-burning '!B160*'4C2 Open-burning '!$D$14*'4C2 Open-burning '!$C$5*'4C2 Open-burning '!$C$6*'4C2 Open-burning '!$C$7*D160</f>
        <v>0</v>
      </c>
      <c r="M160" s="614">
        <f>'4C2 Open-burning '!B160*'4C2 Open-burning '!$E$14*'4C2 Open-burning '!$C$5*'4C2 Open-burning '!$C$6*'4C2 Open-burning '!$C$7*E160</f>
        <v>1.2698277780561003</v>
      </c>
      <c r="N160" s="614">
        <f>'4C2 Open-burning '!B160*'4C2 Open-burning '!$F$14*'4C2 Open-burning '!$C$5*'4C2 Open-burning '!$C$6*'4C2 Open-burning '!$C$7*F160</f>
        <v>0</v>
      </c>
      <c r="O160" s="614">
        <f>'4C2 Open-burning '!B160*'4C2 Open-burning '!$G$14*'4C2 Open-burning '!$C$5*'4C2 Open-burning '!$C$6*'4C2 Open-burning '!$C$7*G160</f>
        <v>0</v>
      </c>
      <c r="P160" s="614">
        <f>'4C2 Open-burning '!B160*'4C2 Open-burning '!$H$14*'4C2 Open-burning '!$C$5*'4C2 Open-burning '!$C$6*'4C2 Open-burning '!$C$7*H160</f>
        <v>0</v>
      </c>
      <c r="Q160" s="614">
        <f>'4C2 Open-burning '!B160*'4C2 Open-burning '!$I$14*'4C2 Open-burning '!$C$5*'4C2 Open-burning '!$C$6*'4C2 Open-burning '!$C$7*I160</f>
        <v>41.393267355597693</v>
      </c>
      <c r="R160" s="615">
        <f t="shared" si="17"/>
        <v>42.66309513365379</v>
      </c>
      <c r="S160" s="614">
        <f>B160*C160*'4C2 Open-burning '!$C$9*'4C2 Open-burning '!$C$11*$C$5</f>
        <v>2.0899978239391368</v>
      </c>
      <c r="T160" s="614">
        <f>B160*D160*'4C2 Open-burning '!$C$9*'4C2 Open-burning '!$C$11*$C$5</f>
        <v>2.7932393414587442</v>
      </c>
      <c r="U160" s="614">
        <f>B160*E160*'4C2 Open-burning '!$C$9*'4C2 Open-burning '!$C$11*$C$5</f>
        <v>0.93747223630964627</v>
      </c>
      <c r="V160" s="614">
        <f>B160*F160*'4C2 Open-burning '!$C$9*'4C2 Open-burning '!$C$11*$C$5</f>
        <v>0</v>
      </c>
      <c r="W160" s="614">
        <f>B160*G160*'4C2 Open-burning '!$C$9*'4C2 Open-burning '!$C$11*$C$5</f>
        <v>0</v>
      </c>
      <c r="X160" s="614">
        <f>B160*H160*'4C2 Open-burning '!$C$9*'4C2 Open-burning '!$C$11*$C$5</f>
        <v>0</v>
      </c>
      <c r="Y160" s="614">
        <f>B160*I160*'4C2 Open-burning '!$C$9*'4C2 Open-burning '!$C$11*$C$5</f>
        <v>4.6857582342630621</v>
      </c>
      <c r="Z160" s="615">
        <f t="shared" si="18"/>
        <v>10.506467635970591</v>
      </c>
      <c r="AA160" s="617">
        <f>B160*C160*'4C2 Open-burning '!$C$10*'4C2 Open-burning '!$C$11*$C$5*$C$15</f>
        <v>1.9292287605592037E-2</v>
      </c>
      <c r="AB160" s="617">
        <f>B160*D160*'4C2 Open-burning '!$C$10*'4C2 Open-burning '!$C$11*$C$5*$D$15</f>
        <v>2.5783747767311495E-2</v>
      </c>
      <c r="AC160" s="617">
        <f>B160*E160*'4C2 Open-burning '!$C$10*'4C2 Open-burning '!$C$11*$C$5*$E$15</f>
        <v>1.9470577215661884E-2</v>
      </c>
      <c r="AD160" s="617">
        <f>B160*F160*'4C2 Open-burning '!$C$10*'4C2 Open-burning '!$C$11*$C$5*$F$15</f>
        <v>0</v>
      </c>
      <c r="AE160" s="617">
        <f>B160*G160*'4C2 Open-burning '!$C$10*'4C2 Open-burning '!$C$11*$C$5*$G$15</f>
        <v>0</v>
      </c>
      <c r="AF160" s="617">
        <f>B160*H160*'4C2 Open-burning '!$C$10*'4C2 Open-burning '!$C$11*$C$5*$H$15</f>
        <v>0</v>
      </c>
      <c r="AG160" s="617">
        <f>B160*I160*'4C2 Open-burning '!$C$10*'4C2 Open-burning '!$C$11*$C$5*$I$15</f>
        <v>9.7319594096232837E-2</v>
      </c>
      <c r="AH160" s="618">
        <f t="shared" si="19"/>
        <v>0.16186620668479823</v>
      </c>
      <c r="AI160" s="99"/>
      <c r="AJ160" s="4"/>
      <c r="AK160" s="4"/>
      <c r="AL160" s="4"/>
      <c r="AM160" s="4"/>
    </row>
    <row r="161" spans="1:39">
      <c r="A161" s="1192">
        <f>'Input data'!A120</f>
        <v>2022</v>
      </c>
      <c r="B161" s="713">
        <f>'Recycling - Case 3'!AP100</f>
        <v>0.12146828085607693</v>
      </c>
      <c r="C161" s="671">
        <f>'Recycling - Case 3'!BM100*'Recycling - Case 3'!AK100*'Recycling - Case 3'!B100</f>
        <v>3752.2110378607172</v>
      </c>
      <c r="D161" s="672">
        <f>'Recycling - Case 3'!BN100*'Recycling - Case 3'!AK100*'Recycling - Case 3'!B100</f>
        <v>5014.7533018261729</v>
      </c>
      <c r="E161" s="672">
        <f>'Recycling - Case 3'!BO100*'Recycling - Case 3'!AK100*'Recycling - Case 3'!B100</f>
        <v>1683.0609259387736</v>
      </c>
      <c r="F161" s="672">
        <f>'Recycling - Case 3'!BP100*'Recycling - Case 3'!AK100*'Recycling - Case 3'!B100</f>
        <v>0</v>
      </c>
      <c r="G161" s="672">
        <f>'Recycling - Case 3'!BQ100*'Recycling - Case 3'!AK100*'Recycling - Case 3'!B100</f>
        <v>0</v>
      </c>
      <c r="H161" s="672">
        <f>'Recycling - Case 3'!BR100*'Recycling - Case 3'!AK100*'Recycling - Case 3'!B100</f>
        <v>0</v>
      </c>
      <c r="I161" s="672">
        <f>'Recycling - Case 3'!BS100*'Recycling - Case 3'!AK100*'Recycling - Case 3'!B100</f>
        <v>8412.4268293308087</v>
      </c>
      <c r="J161" s="945">
        <f t="shared" si="16"/>
        <v>18862.452094956472</v>
      </c>
      <c r="K161" s="613">
        <f>'4C2 Open-burning '!B161*'4C2 Open-burning '!$C$14*'4C2 Open-burning '!$C$5*'4C2 Open-burning '!$C$6*'4C2 Open-burning '!$C$7*C161</f>
        <v>0</v>
      </c>
      <c r="L161" s="614">
        <f>'4C2 Open-burning '!B161*'4C2 Open-burning '!$D$14*'4C2 Open-burning '!$C$5*'4C2 Open-burning '!$C$6*'4C2 Open-burning '!$C$7*D161</f>
        <v>0</v>
      </c>
      <c r="M161" s="614">
        <f>'4C2 Open-burning '!B161*'4C2 Open-burning '!$E$14*'4C2 Open-burning '!$C$5*'4C2 Open-burning '!$C$6*'4C2 Open-burning '!$C$7*E161</f>
        <v>1.0799750887645883</v>
      </c>
      <c r="N161" s="614">
        <f>'4C2 Open-burning '!B161*'4C2 Open-burning '!$F$14*'4C2 Open-burning '!$C$5*'4C2 Open-burning '!$C$6*'4C2 Open-burning '!$C$7*F161</f>
        <v>0</v>
      </c>
      <c r="O161" s="614">
        <f>'4C2 Open-burning '!B161*'4C2 Open-burning '!$G$14*'4C2 Open-burning '!$C$5*'4C2 Open-burning '!$C$6*'4C2 Open-burning '!$C$7*G161</f>
        <v>0</v>
      </c>
      <c r="P161" s="614">
        <f>'4C2 Open-burning '!B161*'4C2 Open-burning '!$H$14*'4C2 Open-burning '!$C$5*'4C2 Open-burning '!$C$6*'4C2 Open-burning '!$C$7*H161</f>
        <v>0</v>
      </c>
      <c r="Q161" s="614">
        <f>'4C2 Open-burning '!B161*'4C2 Open-burning '!$I$14*'4C2 Open-burning '!$C$5*'4C2 Open-burning '!$C$6*'4C2 Open-burning '!$C$7*I161</f>
        <v>35.204535889939372</v>
      </c>
      <c r="R161" s="615">
        <f t="shared" si="17"/>
        <v>36.284510978703963</v>
      </c>
      <c r="S161" s="614">
        <f>B161*C161*'4C2 Open-burning '!$C$9*'4C2 Open-burning '!$C$11*$C$5</f>
        <v>1.7775210342947361</v>
      </c>
      <c r="T161" s="614">
        <f>B161*D161*'4C2 Open-burning '!$C$9*'4C2 Open-burning '!$C$11*$C$5</f>
        <v>2.3756205037116263</v>
      </c>
      <c r="U161" s="614">
        <f>B161*E161*'4C2 Open-burning '!$C$9*'4C2 Open-burning '!$C$11*$C$5</f>
        <v>0.79731021727429741</v>
      </c>
      <c r="V161" s="614">
        <f>B161*F161*'4C2 Open-burning '!$C$9*'4C2 Open-burning '!$C$11*$C$5</f>
        <v>0</v>
      </c>
      <c r="W161" s="614">
        <f>B161*G161*'4C2 Open-burning '!$C$9*'4C2 Open-burning '!$C$11*$C$5</f>
        <v>0</v>
      </c>
      <c r="X161" s="614">
        <f>B161*H161*'4C2 Open-burning '!$C$9*'4C2 Open-burning '!$C$11*$C$5</f>
        <v>0</v>
      </c>
      <c r="Y161" s="614">
        <f>B161*I161*'4C2 Open-burning '!$C$9*'4C2 Open-burning '!$C$11*$C$5</f>
        <v>3.9851877966667701</v>
      </c>
      <c r="Z161" s="615">
        <f t="shared" si="18"/>
        <v>8.9356395519474301</v>
      </c>
      <c r="AA161" s="617">
        <f>B161*C161*'4C2 Open-burning '!$C$10*'4C2 Open-burning '!$C$11*$C$5*$C$15</f>
        <v>1.6407886470412952E-2</v>
      </c>
      <c r="AB161" s="617">
        <f>B161*D161*'4C2 Open-burning '!$C$10*'4C2 Open-burning '!$C$11*$C$5*$D$15</f>
        <v>2.1928804649645785E-2</v>
      </c>
      <c r="AC161" s="617">
        <f>B161*E161*'4C2 Open-burning '!$C$10*'4C2 Open-burning '!$C$11*$C$5*$E$15</f>
        <v>1.6559519897235406E-2</v>
      </c>
      <c r="AD161" s="617">
        <f>B161*F161*'4C2 Open-burning '!$C$10*'4C2 Open-burning '!$C$11*$C$5*$F$15</f>
        <v>0</v>
      </c>
      <c r="AE161" s="617">
        <f>B161*G161*'4C2 Open-burning '!$C$10*'4C2 Open-burning '!$C$11*$C$5*$G$15</f>
        <v>0</v>
      </c>
      <c r="AF161" s="617">
        <f>B161*H161*'4C2 Open-burning '!$C$10*'4C2 Open-burning '!$C$11*$C$5*$H$15</f>
        <v>0</v>
      </c>
      <c r="AG161" s="617">
        <f>B161*I161*'4C2 Open-burning '!$C$10*'4C2 Open-burning '!$C$11*$C$5*$I$15</f>
        <v>8.2769285007694454E-2</v>
      </c>
      <c r="AH161" s="618">
        <f t="shared" si="19"/>
        <v>0.13766549602498859</v>
      </c>
      <c r="AI161" s="99"/>
      <c r="AJ161" s="4"/>
      <c r="AK161" s="4"/>
      <c r="AL161" s="4"/>
      <c r="AM161" s="4"/>
    </row>
    <row r="162" spans="1:39">
      <c r="A162" s="1192">
        <f>'Input data'!A121</f>
        <v>2023</v>
      </c>
      <c r="B162" s="713">
        <f>'Recycling - Case 3'!AP101</f>
        <v>0.12146828085607689</v>
      </c>
      <c r="C162" s="671">
        <f>'Recycling - Case 3'!BM101*'Recycling - Case 3'!AK101*'Recycling - Case 3'!B101</f>
        <v>3615.7608921316937</v>
      </c>
      <c r="D162" s="672">
        <f>'Recycling - Case 3'!BN101*'Recycling - Case 3'!AK101*'Recycling - Case 3'!B101</f>
        <v>4832.390473103349</v>
      </c>
      <c r="E162" s="672">
        <f>'Recycling - Case 3'!BO101*'Recycling - Case 3'!AK101*'Recycling - Case 3'!B101</f>
        <v>1621.8559707009399</v>
      </c>
      <c r="F162" s="672">
        <f>'Recycling - Case 3'!BP101*'Recycling - Case 3'!AK101*'Recycling - Case 3'!B101</f>
        <v>0</v>
      </c>
      <c r="G162" s="672">
        <f>'Recycling - Case 3'!BQ101*'Recycling - Case 3'!AK101*'Recycling - Case 3'!B101</f>
        <v>0</v>
      </c>
      <c r="H162" s="672">
        <f>'Recycling - Case 3'!BR101*'Recycling - Case 3'!AK101*'Recycling - Case 3'!B101</f>
        <v>0</v>
      </c>
      <c r="I162" s="672">
        <f>'Recycling - Case 3'!BS101*'Recycling - Case 3'!AK101*'Recycling - Case 3'!B101</f>
        <v>8106.5067051121605</v>
      </c>
      <c r="J162" s="945">
        <f t="shared" si="16"/>
        <v>18176.51404104814</v>
      </c>
      <c r="K162" s="613">
        <f>'4C2 Open-burning '!B162*'4C2 Open-burning '!$C$14*'4C2 Open-burning '!$C$5*'4C2 Open-burning '!$C$6*'4C2 Open-burning '!$C$7*C162</f>
        <v>0</v>
      </c>
      <c r="L162" s="614">
        <f>'4C2 Open-burning '!B162*'4C2 Open-burning '!$D$14*'4C2 Open-burning '!$C$5*'4C2 Open-burning '!$C$6*'4C2 Open-burning '!$C$7*D162</f>
        <v>0</v>
      </c>
      <c r="M162" s="614">
        <f>'4C2 Open-burning '!B162*'4C2 Open-burning '!$E$14*'4C2 Open-burning '!$C$5*'4C2 Open-burning '!$C$6*'4C2 Open-burning '!$C$7*E162</f>
        <v>1.0407015093313638</v>
      </c>
      <c r="N162" s="614">
        <f>'4C2 Open-burning '!B162*'4C2 Open-burning '!$F$14*'4C2 Open-burning '!$C$5*'4C2 Open-burning '!$C$6*'4C2 Open-burning '!$C$7*F162</f>
        <v>0</v>
      </c>
      <c r="O162" s="614">
        <f>'4C2 Open-burning '!B162*'4C2 Open-burning '!$G$14*'4C2 Open-burning '!$C$5*'4C2 Open-burning '!$C$6*'4C2 Open-burning '!$C$7*G162</f>
        <v>0</v>
      </c>
      <c r="P162" s="614">
        <f>'4C2 Open-burning '!B162*'4C2 Open-burning '!$H$14*'4C2 Open-burning '!$C$5*'4C2 Open-burning '!$C$6*'4C2 Open-burning '!$C$7*H162</f>
        <v>0</v>
      </c>
      <c r="Q162" s="614">
        <f>'4C2 Open-burning '!B162*'4C2 Open-burning '!$I$14*'4C2 Open-burning '!$C$5*'4C2 Open-burning '!$C$6*'4C2 Open-burning '!$C$7*I162</f>
        <v>33.924313641234605</v>
      </c>
      <c r="R162" s="615">
        <f t="shared" si="17"/>
        <v>34.965015150565968</v>
      </c>
      <c r="S162" s="614">
        <f>B162*C162*'4C2 Open-burning '!$C$9*'4C2 Open-burning '!$C$11*$C$5</f>
        <v>1.7128810122600995</v>
      </c>
      <c r="T162" s="614">
        <f>B162*D162*'4C2 Open-burning '!$C$9*'4C2 Open-burning '!$C$11*$C$5</f>
        <v>2.2892304364532765</v>
      </c>
      <c r="U162" s="614">
        <f>B162*E162*'4C2 Open-burning '!$C$9*'4C2 Open-burning '!$C$11*$C$5</f>
        <v>0.7683158205731071</v>
      </c>
      <c r="V162" s="614">
        <f>B162*F162*'4C2 Open-burning '!$C$9*'4C2 Open-burning '!$C$11*$C$5</f>
        <v>0</v>
      </c>
      <c r="W162" s="614">
        <f>B162*G162*'4C2 Open-burning '!$C$9*'4C2 Open-burning '!$C$11*$C$5</f>
        <v>0</v>
      </c>
      <c r="X162" s="614">
        <f>B162*H162*'4C2 Open-burning '!$C$9*'4C2 Open-burning '!$C$11*$C$5</f>
        <v>0</v>
      </c>
      <c r="Y162" s="614">
        <f>B162*I162*'4C2 Open-burning '!$C$9*'4C2 Open-burning '!$C$11*$C$5</f>
        <v>3.8402653895511136</v>
      </c>
      <c r="Z162" s="615">
        <f t="shared" si="18"/>
        <v>8.6106926588375963</v>
      </c>
      <c r="AA162" s="617">
        <f>B162*C162*'4C2 Open-burning '!$C$10*'4C2 Open-burning '!$C$11*$C$5*$C$15</f>
        <v>1.581120934393938E-2</v>
      </c>
      <c r="AB162" s="617">
        <f>B162*D162*'4C2 Open-burning '!$C$10*'4C2 Open-burning '!$C$11*$C$5*$D$15</f>
        <v>2.1131357874953322E-2</v>
      </c>
      <c r="AC162" s="617">
        <f>B162*E162*'4C2 Open-burning '!$C$10*'4C2 Open-burning '!$C$11*$C$5*$E$15</f>
        <v>1.5957328581133762E-2</v>
      </c>
      <c r="AD162" s="617">
        <f>B162*F162*'4C2 Open-burning '!$C$10*'4C2 Open-burning '!$C$11*$C$5*$F$15</f>
        <v>0</v>
      </c>
      <c r="AE162" s="617">
        <f>B162*G162*'4C2 Open-burning '!$C$10*'4C2 Open-burning '!$C$11*$C$5*$G$15</f>
        <v>0</v>
      </c>
      <c r="AF162" s="617">
        <f>B162*H162*'4C2 Open-burning '!$C$10*'4C2 Open-burning '!$C$11*$C$5*$H$15</f>
        <v>0</v>
      </c>
      <c r="AG162" s="617">
        <f>B162*I162*'4C2 Open-burning '!$C$10*'4C2 Open-burning '!$C$11*$C$5*$I$15</f>
        <v>7.9759358090676982E-2</v>
      </c>
      <c r="AH162" s="618">
        <f t="shared" si="19"/>
        <v>0.13265925389070343</v>
      </c>
      <c r="AI162" s="99"/>
      <c r="AJ162" s="4"/>
      <c r="AK162" s="4"/>
      <c r="AL162" s="4"/>
      <c r="AM162" s="4"/>
    </row>
    <row r="163" spans="1:39">
      <c r="A163" s="1192">
        <f>'Input data'!A122</f>
        <v>2024</v>
      </c>
      <c r="B163" s="713">
        <f>'Recycling - Case 3'!AP102</f>
        <v>0.12146828085607689</v>
      </c>
      <c r="C163" s="671">
        <f>'Recycling - Case 3'!BM102*'Recycling - Case 3'!AK102*'Recycling - Case 3'!B102</f>
        <v>3470.7037708644971</v>
      </c>
      <c r="D163" s="672">
        <f>'Recycling - Case 3'!BN102*'Recycling - Case 3'!AK102*'Recycling - Case 3'!B102</f>
        <v>4638.5245976266851</v>
      </c>
      <c r="E163" s="672">
        <f>'Recycling - Case 3'!BO102*'Recycling - Case 3'!AK102*'Recycling - Case 3'!B102</f>
        <v>1556.7903412972234</v>
      </c>
      <c r="F163" s="672">
        <f>'Recycling - Case 3'!BP102*'Recycling - Case 3'!AK102*'Recycling - Case 3'!B102</f>
        <v>0</v>
      </c>
      <c r="G163" s="672">
        <f>'Recycling - Case 3'!BQ102*'Recycling - Case 3'!AK102*'Recycling - Case 3'!B102</f>
        <v>0</v>
      </c>
      <c r="H163" s="672">
        <f>'Recycling - Case 3'!BR102*'Recycling - Case 3'!AK102*'Recycling - Case 3'!B102</f>
        <v>0</v>
      </c>
      <c r="I163" s="672">
        <f>'Recycling - Case 3'!BS102*'Recycling - Case 3'!AK102*'Recycling - Case 3'!B102</f>
        <v>7781.2898112805742</v>
      </c>
      <c r="J163" s="945">
        <f t="shared" si="16"/>
        <v>17447.308521068979</v>
      </c>
      <c r="K163" s="613">
        <f>'4C2 Open-burning '!B163*'4C2 Open-burning '!$C$14*'4C2 Open-burning '!$C$5*'4C2 Open-burning '!$C$6*'4C2 Open-burning '!$C$7*C163</f>
        <v>0</v>
      </c>
      <c r="L163" s="614">
        <f>'4C2 Open-burning '!B163*'4C2 Open-burning '!$D$14*'4C2 Open-burning '!$C$5*'4C2 Open-burning '!$C$6*'4C2 Open-burning '!$C$7*D163</f>
        <v>0</v>
      </c>
      <c r="M163" s="614">
        <f>'4C2 Open-burning '!B163*'4C2 Open-burning '!$E$14*'4C2 Open-burning '!$C$5*'4C2 Open-burning '!$C$6*'4C2 Open-burning '!$C$7*E163</f>
        <v>0.99895063875512025</v>
      </c>
      <c r="N163" s="614">
        <f>'4C2 Open-burning '!B163*'4C2 Open-burning '!$F$14*'4C2 Open-burning '!$C$5*'4C2 Open-burning '!$C$6*'4C2 Open-burning '!$C$7*F163</f>
        <v>0</v>
      </c>
      <c r="O163" s="614">
        <f>'4C2 Open-burning '!B163*'4C2 Open-burning '!$G$14*'4C2 Open-burning '!$C$5*'4C2 Open-burning '!$C$6*'4C2 Open-burning '!$C$7*G163</f>
        <v>0</v>
      </c>
      <c r="P163" s="614">
        <f>'4C2 Open-burning '!B163*'4C2 Open-burning '!$H$14*'4C2 Open-burning '!$C$5*'4C2 Open-burning '!$C$6*'4C2 Open-burning '!$C$7*H163</f>
        <v>0</v>
      </c>
      <c r="Q163" s="614">
        <f>'4C2 Open-burning '!B163*'4C2 Open-burning '!$I$14*'4C2 Open-burning '!$C$5*'4C2 Open-burning '!$C$6*'4C2 Open-burning '!$C$7*I163</f>
        <v>32.563337784542433</v>
      </c>
      <c r="R163" s="615">
        <f t="shared" si="17"/>
        <v>33.562288423297552</v>
      </c>
      <c r="S163" s="614">
        <f>B163*C163*'4C2 Open-burning '!$C$9*'4C2 Open-burning '!$C$11*$C$5</f>
        <v>1.6441636395896939</v>
      </c>
      <c r="T163" s="614">
        <f>B163*D163*'4C2 Open-burning '!$C$9*'4C2 Open-burning '!$C$11*$C$5</f>
        <v>2.1973910734711231</v>
      </c>
      <c r="U163" s="614">
        <f>B163*E163*'4C2 Open-burning '!$C$9*'4C2 Open-burning '!$C$11*$C$5</f>
        <v>0.73749252100180362</v>
      </c>
      <c r="V163" s="614">
        <f>B163*F163*'4C2 Open-burning '!$C$9*'4C2 Open-burning '!$C$11*$C$5</f>
        <v>0</v>
      </c>
      <c r="W163" s="614">
        <f>B163*G163*'4C2 Open-burning '!$C$9*'4C2 Open-burning '!$C$11*$C$5</f>
        <v>0</v>
      </c>
      <c r="X163" s="614">
        <f>B163*H163*'4C2 Open-burning '!$C$9*'4C2 Open-burning '!$C$11*$C$5</f>
        <v>0</v>
      </c>
      <c r="Y163" s="614">
        <f>B163*I163*'4C2 Open-burning '!$C$9*'4C2 Open-burning '!$C$11*$C$5</f>
        <v>3.6862015952547167</v>
      </c>
      <c r="Z163" s="615">
        <f t="shared" si="18"/>
        <v>8.2652488293173381</v>
      </c>
      <c r="AA163" s="617">
        <f>B163*C163*'4C2 Open-burning '!$C$10*'4C2 Open-burning '!$C$11*$C$5*$C$15</f>
        <v>1.5176895134674099E-2</v>
      </c>
      <c r="AB163" s="617">
        <f>B163*D163*'4C2 Open-burning '!$C$10*'4C2 Open-burning '!$C$11*$C$5*$D$15</f>
        <v>2.0283609908964217E-2</v>
      </c>
      <c r="AC163" s="617">
        <f>B163*E163*'4C2 Open-burning '!$C$10*'4C2 Open-burning '!$C$11*$C$5*$E$15</f>
        <v>1.5317152359268234E-2</v>
      </c>
      <c r="AD163" s="617">
        <f>B163*F163*'4C2 Open-burning '!$C$10*'4C2 Open-burning '!$C$11*$C$5*$F$15</f>
        <v>0</v>
      </c>
      <c r="AE163" s="617">
        <f>B163*G163*'4C2 Open-burning '!$C$10*'4C2 Open-burning '!$C$11*$C$5*$G$15</f>
        <v>0</v>
      </c>
      <c r="AF163" s="617">
        <f>B163*H163*'4C2 Open-burning '!$C$10*'4C2 Open-burning '!$C$11*$C$5*$H$15</f>
        <v>0</v>
      </c>
      <c r="AG163" s="617">
        <f>B163*I163*'4C2 Open-burning '!$C$10*'4C2 Open-burning '!$C$11*$C$5*$I$15</f>
        <v>7.6559571593751818E-2</v>
      </c>
      <c r="AH163" s="618">
        <f t="shared" si="19"/>
        <v>0.12733722899665836</v>
      </c>
      <c r="AI163" s="99"/>
      <c r="AJ163" s="4"/>
      <c r="AK163" s="4"/>
      <c r="AL163" s="4"/>
      <c r="AM163" s="4"/>
    </row>
    <row r="164" spans="1:39">
      <c r="A164" s="1192">
        <f>'Input data'!A123</f>
        <v>2025</v>
      </c>
      <c r="B164" s="713">
        <f>'Recycling - Case 3'!AP103</f>
        <v>0.1214682808560769</v>
      </c>
      <c r="C164" s="671">
        <f>'Recycling - Case 3'!BM103*'Recycling - Case 3'!AK103*'Recycling - Case 3'!B103</f>
        <v>3316.5895223993248</v>
      </c>
      <c r="D164" s="672">
        <f>'Recycling - Case 3'!BN103*'Recycling - Case 3'!AK103*'Recycling - Case 3'!B103</f>
        <v>4432.5540569105606</v>
      </c>
      <c r="E164" s="672">
        <f>'Recycling - Case 3'!BO103*'Recycling - Case 3'!AK103*'Recycling - Case 3'!B103</f>
        <v>1487.6621214010322</v>
      </c>
      <c r="F164" s="672">
        <f>'Recycling - Case 3'!BP103*'Recycling - Case 3'!AK103*'Recycling - Case 3'!B103</f>
        <v>0</v>
      </c>
      <c r="G164" s="672">
        <f>'Recycling - Case 3'!BQ103*'Recycling - Case 3'!AK103*'Recycling - Case 3'!B103</f>
        <v>0</v>
      </c>
      <c r="H164" s="672">
        <f>'Recycling - Case 3'!BR103*'Recycling - Case 3'!AK103*'Recycling - Case 3'!B103</f>
        <v>0</v>
      </c>
      <c r="I164" s="672">
        <f>'Recycling - Case 3'!BS103*'Recycling - Case 3'!AK103*'Recycling - Case 3'!B103</f>
        <v>7435.7669114519595</v>
      </c>
      <c r="J164" s="945">
        <f t="shared" si="16"/>
        <v>16672.572612162876</v>
      </c>
      <c r="K164" s="613">
        <f>'4C2 Open-burning '!B164*'4C2 Open-burning '!$C$14*'4C2 Open-burning '!$C$5*'4C2 Open-burning '!$C$6*'4C2 Open-burning '!$C$7*C164</f>
        <v>0</v>
      </c>
      <c r="L164" s="614">
        <f>'4C2 Open-burning '!B164*'4C2 Open-burning '!$D$14*'4C2 Open-burning '!$C$5*'4C2 Open-burning '!$C$6*'4C2 Open-burning '!$C$7*D164</f>
        <v>0</v>
      </c>
      <c r="M164" s="614">
        <f>'4C2 Open-burning '!B164*'4C2 Open-burning '!$E$14*'4C2 Open-burning '!$C$5*'4C2 Open-burning '!$C$6*'4C2 Open-burning '!$C$7*E164</f>
        <v>0.95459291274060576</v>
      </c>
      <c r="N164" s="614">
        <f>'4C2 Open-burning '!B164*'4C2 Open-burning '!$F$14*'4C2 Open-burning '!$C$5*'4C2 Open-burning '!$C$6*'4C2 Open-burning '!$C$7*F164</f>
        <v>0</v>
      </c>
      <c r="O164" s="614">
        <f>'4C2 Open-burning '!B164*'4C2 Open-burning '!$G$14*'4C2 Open-burning '!$C$5*'4C2 Open-burning '!$C$6*'4C2 Open-burning '!$C$7*G164</f>
        <v>0</v>
      </c>
      <c r="P164" s="614">
        <f>'4C2 Open-burning '!B164*'4C2 Open-burning '!$H$14*'4C2 Open-burning '!$C$5*'4C2 Open-burning '!$C$6*'4C2 Open-burning '!$C$7*H164</f>
        <v>0</v>
      </c>
      <c r="Q164" s="614">
        <f>'4C2 Open-burning '!B164*'4C2 Open-burning '!$I$14*'4C2 Open-burning '!$C$5*'4C2 Open-burning '!$C$6*'4C2 Open-burning '!$C$7*I164</f>
        <v>31.117384841997797</v>
      </c>
      <c r="R164" s="615">
        <f t="shared" si="17"/>
        <v>32.071977754738406</v>
      </c>
      <c r="S164" s="614">
        <f>B164*C164*'4C2 Open-burning '!$C$9*'4C2 Open-burning '!$C$11*$C$5</f>
        <v>1.5711556676053799</v>
      </c>
      <c r="T164" s="614">
        <f>B164*D164*'4C2 Open-burning '!$C$9*'4C2 Open-burning '!$C$11*$C$5</f>
        <v>2.0998174122687643</v>
      </c>
      <c r="U164" s="614">
        <f>B164*E164*'4C2 Open-burning '!$C$9*'4C2 Open-burning '!$C$11*$C$5</f>
        <v>0.70474466548702219</v>
      </c>
      <c r="V164" s="614">
        <f>B164*F164*'4C2 Open-burning '!$C$9*'4C2 Open-burning '!$C$11*$C$5</f>
        <v>0</v>
      </c>
      <c r="W164" s="614">
        <f>B164*G164*'4C2 Open-burning '!$C$9*'4C2 Open-burning '!$C$11*$C$5</f>
        <v>0</v>
      </c>
      <c r="X164" s="614">
        <f>B164*H164*'4C2 Open-burning '!$C$9*'4C2 Open-burning '!$C$11*$C$5</f>
        <v>0</v>
      </c>
      <c r="Y164" s="614">
        <f>B164*I164*'4C2 Open-burning '!$C$9*'4C2 Open-burning '!$C$11*$C$5</f>
        <v>3.5225183119642236</v>
      </c>
      <c r="Z164" s="615">
        <f t="shared" si="18"/>
        <v>7.8982360573253896</v>
      </c>
      <c r="AA164" s="617">
        <f>B164*C164*'4C2 Open-burning '!$C$10*'4C2 Open-burning '!$C$11*$C$5*$C$15</f>
        <v>1.4502975393280432E-2</v>
      </c>
      <c r="AB164" s="617">
        <f>B164*D164*'4C2 Open-burning '!$C$10*'4C2 Open-burning '!$C$11*$C$5*$D$15</f>
        <v>1.938292995940398E-2</v>
      </c>
      <c r="AC164" s="617">
        <f>B164*E164*'4C2 Open-burning '!$C$10*'4C2 Open-burning '!$C$11*$C$5*$E$15</f>
        <v>1.4637004590884309E-2</v>
      </c>
      <c r="AD164" s="617">
        <f>B164*F164*'4C2 Open-burning '!$C$10*'4C2 Open-burning '!$C$11*$C$5*$F$15</f>
        <v>0</v>
      </c>
      <c r="AE164" s="617">
        <f>B164*G164*'4C2 Open-burning '!$C$10*'4C2 Open-burning '!$C$11*$C$5*$G$15</f>
        <v>0</v>
      </c>
      <c r="AF164" s="617">
        <f>B164*H164*'4C2 Open-burning '!$C$10*'4C2 Open-burning '!$C$11*$C$5*$H$15</f>
        <v>0</v>
      </c>
      <c r="AG164" s="617">
        <f>B164*I164*'4C2 Open-burning '!$C$10*'4C2 Open-burning '!$C$11*$C$5*$I$15</f>
        <v>7.3159995710026168E-2</v>
      </c>
      <c r="AH164" s="618">
        <f t="shared" si="19"/>
        <v>0.12168290565359488</v>
      </c>
      <c r="AI164" s="99"/>
      <c r="AJ164" s="4"/>
      <c r="AK164" s="4"/>
      <c r="AL164" s="4"/>
      <c r="AM164" s="4"/>
    </row>
    <row r="165" spans="1:39">
      <c r="A165" s="1192">
        <f>'Input data'!A124</f>
        <v>2026</v>
      </c>
      <c r="B165" s="713">
        <f>'Recycling - Case 3'!AP104</f>
        <v>0.12146828085607689</v>
      </c>
      <c r="C165" s="671">
        <f>'Recycling - Case 3'!BM104*'Recycling - Case 3'!AK104*'Recycling - Case 3'!B104</f>
        <v>3147.7313277096105</v>
      </c>
      <c r="D165" s="672">
        <f>'Recycling - Case 3'!BN104*'Recycling - Case 3'!AK104*'Recycling - Case 3'!B104</f>
        <v>4206.8785336480314</v>
      </c>
      <c r="E165" s="672">
        <f>'Recycling - Case 3'!BO104*'Recycling - Case 3'!AK104*'Recycling - Case 3'!B104</f>
        <v>1411.9204782367251</v>
      </c>
      <c r="F165" s="672">
        <f>'Recycling - Case 3'!BP104*'Recycling - Case 3'!AK104*'Recycling - Case 3'!B104</f>
        <v>0</v>
      </c>
      <c r="G165" s="672">
        <f>'Recycling - Case 3'!BQ104*'Recycling - Case 3'!AK104*'Recycling - Case 3'!B104</f>
        <v>0</v>
      </c>
      <c r="H165" s="672">
        <f>'Recycling - Case 3'!BR104*'Recycling - Case 3'!AK104*'Recycling - Case 3'!B104</f>
        <v>0</v>
      </c>
      <c r="I165" s="672">
        <f>'Recycling - Case 3'!BS104*'Recycling - Case 3'!AK104*'Recycling - Case 3'!B104</f>
        <v>7057.1882033177799</v>
      </c>
      <c r="J165" s="945">
        <f t="shared" si="16"/>
        <v>15823.718542912145</v>
      </c>
      <c r="K165" s="613">
        <f>'4C2 Open-burning '!B165*'4C2 Open-burning '!$C$14*'4C2 Open-burning '!$C$5*'4C2 Open-burning '!$C$6*'4C2 Open-burning '!$C$7*C165</f>
        <v>0</v>
      </c>
      <c r="L165" s="614">
        <f>'4C2 Open-burning '!B165*'4C2 Open-burning '!$D$14*'4C2 Open-burning '!$C$5*'4C2 Open-burning '!$C$6*'4C2 Open-burning '!$C$7*D165</f>
        <v>0</v>
      </c>
      <c r="M165" s="614">
        <f>'4C2 Open-burning '!B165*'4C2 Open-burning '!$E$14*'4C2 Open-burning '!$C$5*'4C2 Open-burning '!$C$6*'4C2 Open-burning '!$C$7*E165</f>
        <v>0.90599153026009771</v>
      </c>
      <c r="N165" s="614">
        <f>'4C2 Open-burning '!B165*'4C2 Open-burning '!$F$14*'4C2 Open-burning '!$C$5*'4C2 Open-burning '!$C$6*'4C2 Open-burning '!$C$7*F165</f>
        <v>0</v>
      </c>
      <c r="O165" s="614">
        <f>'4C2 Open-burning '!B165*'4C2 Open-burning '!$G$14*'4C2 Open-burning '!$C$5*'4C2 Open-burning '!$C$6*'4C2 Open-burning '!$C$7*G165</f>
        <v>0</v>
      </c>
      <c r="P165" s="614">
        <f>'4C2 Open-burning '!B165*'4C2 Open-burning '!$H$14*'4C2 Open-burning '!$C$5*'4C2 Open-burning '!$C$6*'4C2 Open-burning '!$C$7*H165</f>
        <v>0</v>
      </c>
      <c r="Q165" s="614">
        <f>'4C2 Open-burning '!B165*'4C2 Open-burning '!$I$14*'4C2 Open-burning '!$C$5*'4C2 Open-burning '!$C$6*'4C2 Open-burning '!$C$7*I165</f>
        <v>29.533099119451212</v>
      </c>
      <c r="R165" s="615">
        <f t="shared" si="17"/>
        <v>30.439090649711311</v>
      </c>
      <c r="S165" s="614">
        <f>B165*C165*'4C2 Open-burning '!$C$9*'4C2 Open-burning '!$C$11*$C$5</f>
        <v>1.4911631005974406</v>
      </c>
      <c r="T165" s="614">
        <f>B165*D165*'4C2 Open-burning '!$C$9*'4C2 Open-burning '!$C$11*$C$5</f>
        <v>1.9929089826849837</v>
      </c>
      <c r="U165" s="614">
        <f>B165*E165*'4C2 Open-burning '!$C$9*'4C2 Open-burning '!$C$11*$C$5</f>
        <v>0.6688638574679292</v>
      </c>
      <c r="V165" s="614">
        <f>B165*F165*'4C2 Open-burning '!$C$9*'4C2 Open-burning '!$C$11*$C$5</f>
        <v>0</v>
      </c>
      <c r="W165" s="614">
        <f>B165*G165*'4C2 Open-burning '!$C$9*'4C2 Open-burning '!$C$11*$C$5</f>
        <v>0</v>
      </c>
      <c r="X165" s="614">
        <f>B165*H165*'4C2 Open-burning '!$C$9*'4C2 Open-burning '!$C$11*$C$5</f>
        <v>0</v>
      </c>
      <c r="Y165" s="614">
        <f>B165*I165*'4C2 Open-burning '!$C$9*'4C2 Open-burning '!$C$11*$C$5</f>
        <v>3.343175623065707</v>
      </c>
      <c r="Z165" s="615">
        <f t="shared" si="18"/>
        <v>7.4961115638160605</v>
      </c>
      <c r="AA165" s="617">
        <f>B165*C165*'4C2 Open-burning '!$C$10*'4C2 Open-burning '!$C$11*$C$5*$C$15</f>
        <v>1.37645824670533E-2</v>
      </c>
      <c r="AB165" s="617">
        <f>B165*D165*'4C2 Open-burning '!$C$10*'4C2 Open-burning '!$C$11*$C$5*$D$15</f>
        <v>1.8396082917092157E-2</v>
      </c>
      <c r="AC165" s="617">
        <f>B165*E165*'4C2 Open-burning '!$C$10*'4C2 Open-burning '!$C$11*$C$5*$E$15</f>
        <v>1.3891787808949299E-2</v>
      </c>
      <c r="AD165" s="617">
        <f>B165*F165*'4C2 Open-burning '!$C$10*'4C2 Open-burning '!$C$11*$C$5*$F$15</f>
        <v>0</v>
      </c>
      <c r="AE165" s="617">
        <f>B165*G165*'4C2 Open-burning '!$C$10*'4C2 Open-burning '!$C$11*$C$5*$G$15</f>
        <v>0</v>
      </c>
      <c r="AF165" s="617">
        <f>B165*H165*'4C2 Open-burning '!$C$10*'4C2 Open-burning '!$C$11*$C$5*$H$15</f>
        <v>0</v>
      </c>
      <c r="AG165" s="617">
        <f>B165*I165*'4C2 Open-burning '!$C$10*'4C2 Open-burning '!$C$11*$C$5*$I$15</f>
        <v>6.9435186017518524E-2</v>
      </c>
      <c r="AH165" s="618">
        <f t="shared" si="19"/>
        <v>0.11548763921061328</v>
      </c>
      <c r="AI165" s="99"/>
      <c r="AJ165" s="4"/>
      <c r="AK165" s="4"/>
      <c r="AL165" s="4"/>
      <c r="AM165" s="4"/>
    </row>
    <row r="166" spans="1:39">
      <c r="A166" s="1192">
        <f>'Input data'!A125</f>
        <v>2027</v>
      </c>
      <c r="B166" s="713">
        <f>'Recycling - Case 3'!AP105</f>
        <v>0.1214682808560769</v>
      </c>
      <c r="C166" s="671">
        <f>'Recycling - Case 3'!BM105*'Recycling - Case 3'!AK105*'Recycling - Case 3'!B105</f>
        <v>2969.4779031189364</v>
      </c>
      <c r="D166" s="672">
        <f>'Recycling - Case 3'!BN105*'Recycling - Case 3'!AK105*'Recycling - Case 3'!B105</f>
        <v>3968.6464777992887</v>
      </c>
      <c r="E166" s="672">
        <f>'Recycling - Case 3'!BO105*'Recycling - Case 3'!AK105*'Recycling - Case 3'!B105</f>
        <v>1331.9645880119617</v>
      </c>
      <c r="F166" s="672">
        <f>'Recycling - Case 3'!BP105*'Recycling - Case 3'!AK105*'Recycling - Case 3'!B105</f>
        <v>0</v>
      </c>
      <c r="G166" s="672">
        <f>'Recycling - Case 3'!BQ105*'Recycling - Case 3'!AK105*'Recycling - Case 3'!B105</f>
        <v>0</v>
      </c>
      <c r="H166" s="672">
        <f>'Recycling - Case 3'!BR105*'Recycling - Case 3'!AK105*'Recycling - Case 3'!B105</f>
        <v>0</v>
      </c>
      <c r="I166" s="672">
        <f>'Recycling - Case 3'!BS105*'Recycling - Case 3'!AK105*'Recycling - Case 3'!B105</f>
        <v>6657.5454656583252</v>
      </c>
      <c r="J166" s="945">
        <f t="shared" si="16"/>
        <v>14927.634434588512</v>
      </c>
      <c r="K166" s="613">
        <f>'4C2 Open-burning '!B166*'4C2 Open-burning '!$C$14*'4C2 Open-burning '!$C$5*'4C2 Open-burning '!$C$6*'4C2 Open-burning '!$C$7*C166</f>
        <v>0</v>
      </c>
      <c r="L166" s="614">
        <f>'4C2 Open-burning '!B166*'4C2 Open-burning '!$D$14*'4C2 Open-burning '!$C$5*'4C2 Open-burning '!$C$6*'4C2 Open-burning '!$C$7*D166</f>
        <v>0</v>
      </c>
      <c r="M166" s="614">
        <f>'4C2 Open-burning '!B166*'4C2 Open-burning '!$E$14*'4C2 Open-burning '!$C$5*'4C2 Open-burning '!$C$6*'4C2 Open-burning '!$C$7*E166</f>
        <v>0.85468597838616533</v>
      </c>
      <c r="N166" s="614">
        <f>'4C2 Open-burning '!B166*'4C2 Open-burning '!$F$14*'4C2 Open-burning '!$C$5*'4C2 Open-burning '!$C$6*'4C2 Open-burning '!$C$7*F166</f>
        <v>0</v>
      </c>
      <c r="O166" s="614">
        <f>'4C2 Open-burning '!B166*'4C2 Open-burning '!$G$14*'4C2 Open-burning '!$C$5*'4C2 Open-burning '!$C$6*'4C2 Open-burning '!$C$7*G166</f>
        <v>0</v>
      </c>
      <c r="P166" s="614">
        <f>'4C2 Open-burning '!B166*'4C2 Open-burning '!$H$14*'4C2 Open-burning '!$C$5*'4C2 Open-burning '!$C$6*'4C2 Open-burning '!$C$7*H166</f>
        <v>0</v>
      </c>
      <c r="Q166" s="614">
        <f>'4C2 Open-burning '!B166*'4C2 Open-burning '!$I$14*'4C2 Open-burning '!$C$5*'4C2 Open-burning '!$C$6*'4C2 Open-burning '!$C$7*I166</f>
        <v>27.860664115079825</v>
      </c>
      <c r="R166" s="615">
        <f t="shared" si="17"/>
        <v>28.71535009346599</v>
      </c>
      <c r="S166" s="614">
        <f>B166*C166*'4C2 Open-burning '!$C$9*'4C2 Open-burning '!$C$11*$C$5</f>
        <v>1.4067197661346644</v>
      </c>
      <c r="T166" s="614">
        <f>B166*D166*'4C2 Open-burning '!$C$9*'4C2 Open-burning '!$C$11*$C$5</f>
        <v>1.8800521934368368</v>
      </c>
      <c r="U166" s="614">
        <f>B166*E166*'4C2 Open-burning '!$C$9*'4C2 Open-burning '!$C$11*$C$5</f>
        <v>0.63098664980124419</v>
      </c>
      <c r="V166" s="614">
        <f>B166*F166*'4C2 Open-burning '!$C$9*'4C2 Open-burning '!$C$11*$C$5</f>
        <v>0</v>
      </c>
      <c r="W166" s="614">
        <f>B166*G166*'4C2 Open-burning '!$C$9*'4C2 Open-burning '!$C$11*$C$5</f>
        <v>0</v>
      </c>
      <c r="X166" s="614">
        <f>B166*H166*'4C2 Open-burning '!$C$9*'4C2 Open-burning '!$C$11*$C$5</f>
        <v>0</v>
      </c>
      <c r="Y166" s="614">
        <f>B166*I166*'4C2 Open-burning '!$C$9*'4C2 Open-burning '!$C$11*$C$5</f>
        <v>3.153854349495278</v>
      </c>
      <c r="Z166" s="615">
        <f t="shared" si="18"/>
        <v>7.0716129588680232</v>
      </c>
      <c r="AA166" s="617">
        <f>B166*C166*'4C2 Open-burning '!$C$10*'4C2 Open-burning '!$C$11*$C$5*$C$15</f>
        <v>1.2985105533550749E-2</v>
      </c>
      <c r="AB166" s="617">
        <f>B166*D166*'4C2 Open-burning '!$C$10*'4C2 Open-burning '!$C$11*$C$5*$D$15</f>
        <v>1.7354327939416957E-2</v>
      </c>
      <c r="AC166" s="617">
        <f>B166*E166*'4C2 Open-burning '!$C$10*'4C2 Open-burning '!$C$11*$C$5*$E$15</f>
        <v>1.3105107342025841E-2</v>
      </c>
      <c r="AD166" s="617">
        <f>B166*F166*'4C2 Open-burning '!$C$10*'4C2 Open-burning '!$C$11*$C$5*$F$15</f>
        <v>0</v>
      </c>
      <c r="AE166" s="617">
        <f>B166*G166*'4C2 Open-burning '!$C$10*'4C2 Open-burning '!$C$11*$C$5*$G$15</f>
        <v>0</v>
      </c>
      <c r="AF166" s="617">
        <f>B166*H166*'4C2 Open-burning '!$C$10*'4C2 Open-burning '!$C$11*$C$5*$H$15</f>
        <v>0</v>
      </c>
      <c r="AG166" s="617">
        <f>B166*I166*'4C2 Open-burning '!$C$10*'4C2 Open-burning '!$C$11*$C$5*$I$15</f>
        <v>6.5503128797209625E-2</v>
      </c>
      <c r="AH166" s="618">
        <f t="shared" si="19"/>
        <v>0.10894766961220317</v>
      </c>
      <c r="AI166" s="99"/>
      <c r="AJ166" s="4"/>
      <c r="AK166" s="4"/>
      <c r="AL166" s="4"/>
      <c r="AM166" s="4"/>
    </row>
    <row r="167" spans="1:39">
      <c r="A167" s="1192">
        <f>'Input data'!A126</f>
        <v>2028</v>
      </c>
      <c r="B167" s="713">
        <f>'Recycling - Case 3'!AP106</f>
        <v>0.12146828085607689</v>
      </c>
      <c r="C167" s="671">
        <f>'Recycling - Case 3'!BM106*'Recycling - Case 3'!AK106*'Recycling - Case 3'!B106</f>
        <v>2781.2515317655875</v>
      </c>
      <c r="D167" s="672">
        <f>'Recycling - Case 3'!BN106*'Recycling - Case 3'!AK106*'Recycling - Case 3'!B106</f>
        <v>3717.0857825956614</v>
      </c>
      <c r="E167" s="672">
        <f>'Recycling - Case 3'!BO106*'Recycling - Case 3'!AK106*'Recycling - Case 3'!B106</f>
        <v>1247.5353148022434</v>
      </c>
      <c r="F167" s="672">
        <f>'Recycling - Case 3'!BP106*'Recycling - Case 3'!AK106*'Recycling - Case 3'!B106</f>
        <v>0</v>
      </c>
      <c r="G167" s="672">
        <f>'Recycling - Case 3'!BQ106*'Recycling - Case 3'!AK106*'Recycling - Case 3'!B106</f>
        <v>0</v>
      </c>
      <c r="H167" s="672">
        <f>'Recycling - Case 3'!BR106*'Recycling - Case 3'!AK106*'Recycling - Case 3'!B106</f>
        <v>0</v>
      </c>
      <c r="I167" s="672">
        <f>'Recycling - Case 3'!BS106*'Recycling - Case 3'!AK106*'Recycling - Case 3'!B106</f>
        <v>6235.5434619375328</v>
      </c>
      <c r="J167" s="945">
        <f t="shared" si="16"/>
        <v>13981.416091101026</v>
      </c>
      <c r="K167" s="613">
        <f>'4C2 Open-burning '!B167*'4C2 Open-burning '!$C$14*'4C2 Open-burning '!$C$5*'4C2 Open-burning '!$C$6*'4C2 Open-burning '!$C$7*C167</f>
        <v>0</v>
      </c>
      <c r="L167" s="614">
        <f>'4C2 Open-burning '!B167*'4C2 Open-burning '!$D$14*'4C2 Open-burning '!$C$5*'4C2 Open-burning '!$C$6*'4C2 Open-burning '!$C$7*D167</f>
        <v>0</v>
      </c>
      <c r="M167" s="614">
        <f>'4C2 Open-burning '!B167*'4C2 Open-burning '!$E$14*'4C2 Open-burning '!$C$5*'4C2 Open-burning '!$C$6*'4C2 Open-burning '!$C$7*E167</f>
        <v>0.80050997654111256</v>
      </c>
      <c r="N167" s="614">
        <f>'4C2 Open-burning '!B167*'4C2 Open-burning '!$F$14*'4C2 Open-burning '!$C$5*'4C2 Open-burning '!$C$6*'4C2 Open-burning '!$C$7*F167</f>
        <v>0</v>
      </c>
      <c r="O167" s="614">
        <f>'4C2 Open-burning '!B167*'4C2 Open-burning '!$G$14*'4C2 Open-burning '!$C$5*'4C2 Open-burning '!$C$6*'4C2 Open-burning '!$C$7*G167</f>
        <v>0</v>
      </c>
      <c r="P167" s="614">
        <f>'4C2 Open-burning '!B167*'4C2 Open-burning '!$H$14*'4C2 Open-burning '!$C$5*'4C2 Open-burning '!$C$6*'4C2 Open-burning '!$C$7*H167</f>
        <v>0</v>
      </c>
      <c r="Q167" s="614">
        <f>'4C2 Open-burning '!B167*'4C2 Open-burning '!$I$14*'4C2 Open-burning '!$C$5*'4C2 Open-burning '!$C$6*'4C2 Open-burning '!$C$7*I167</f>
        <v>26.094659490371924</v>
      </c>
      <c r="R167" s="615">
        <f t="shared" si="17"/>
        <v>26.895169466913035</v>
      </c>
      <c r="S167" s="614">
        <f>B167*C167*'4C2 Open-burning '!$C$9*'4C2 Open-burning '!$C$11*$C$5</f>
        <v>1.3175519845483961</v>
      </c>
      <c r="T167" s="614">
        <f>B167*D167*'4C2 Open-burning '!$C$9*'4C2 Open-burning '!$C$11*$C$5</f>
        <v>1.7608812772451945</v>
      </c>
      <c r="U167" s="614">
        <f>B167*E167*'4C2 Open-burning '!$C$9*'4C2 Open-burning '!$C$11*$C$5</f>
        <v>0.59099028298546541</v>
      </c>
      <c r="V167" s="614">
        <f>B167*F167*'4C2 Open-burning '!$C$9*'4C2 Open-burning '!$C$11*$C$5</f>
        <v>0</v>
      </c>
      <c r="W167" s="614">
        <f>B167*G167*'4C2 Open-burning '!$C$9*'4C2 Open-burning '!$C$11*$C$5</f>
        <v>0</v>
      </c>
      <c r="X167" s="614">
        <f>B167*H167*'4C2 Open-burning '!$C$9*'4C2 Open-burning '!$C$11*$C$5</f>
        <v>0</v>
      </c>
      <c r="Y167" s="614">
        <f>B167*I167*'4C2 Open-burning '!$C$9*'4C2 Open-burning '!$C$11*$C$5</f>
        <v>2.9539409036471187</v>
      </c>
      <c r="Z167" s="615">
        <f t="shared" si="18"/>
        <v>6.6233644484261749</v>
      </c>
      <c r="AA167" s="617">
        <f>B167*C167*'4C2 Open-burning '!$C$10*'4C2 Open-burning '!$C$11*$C$5*$C$15</f>
        <v>1.2162018318908271E-2</v>
      </c>
      <c r="AB167" s="617">
        <f>B167*D167*'4C2 Open-burning '!$C$10*'4C2 Open-burning '!$C$11*$C$5*$D$15</f>
        <v>1.6254288713032566E-2</v>
      </c>
      <c r="AC167" s="617">
        <f>B167*E167*'4C2 Open-burning '!$C$10*'4C2 Open-burning '!$C$11*$C$5*$E$15</f>
        <v>1.2274413569698129E-2</v>
      </c>
      <c r="AD167" s="617">
        <f>B167*F167*'4C2 Open-burning '!$C$10*'4C2 Open-burning '!$C$11*$C$5*$F$15</f>
        <v>0</v>
      </c>
      <c r="AE167" s="617">
        <f>B167*G167*'4C2 Open-burning '!$C$10*'4C2 Open-burning '!$C$11*$C$5*$G$15</f>
        <v>0</v>
      </c>
      <c r="AF167" s="617">
        <f>B167*H167*'4C2 Open-burning '!$C$10*'4C2 Open-burning '!$C$11*$C$5*$H$15</f>
        <v>0</v>
      </c>
      <c r="AG167" s="617">
        <f>B167*I167*'4C2 Open-burning '!$C$10*'4C2 Open-burning '!$C$11*$C$5*$I$15</f>
        <v>6.1351080306517085E-2</v>
      </c>
      <c r="AH167" s="618">
        <f t="shared" si="19"/>
        <v>0.10204180090815605</v>
      </c>
      <c r="AI167" s="99"/>
      <c r="AJ167" s="4"/>
      <c r="AK167" s="4"/>
      <c r="AL167" s="4"/>
      <c r="AM167" s="4"/>
    </row>
    <row r="168" spans="1:39">
      <c r="A168" s="1192">
        <f>'Input data'!A127</f>
        <v>2029</v>
      </c>
      <c r="B168" s="713">
        <f>'Recycling - Case 3'!AP107</f>
        <v>0.1214682808560769</v>
      </c>
      <c r="C168" s="671">
        <f>'Recycling - Case 3'!BM107*'Recycling - Case 3'!AK107*'Recycling - Case 3'!B107</f>
        <v>2582.6315291570913</v>
      </c>
      <c r="D168" s="672">
        <f>'Recycling - Case 3'!BN107*'Recycling - Case 3'!AK107*'Recycling - Case 3'!B107</f>
        <v>3451.6342118179277</v>
      </c>
      <c r="E168" s="672">
        <f>'Recycling - Case 3'!BO107*'Recycling - Case 3'!AK107*'Recycling - Case 3'!B107</f>
        <v>1158.4439598312267</v>
      </c>
      <c r="F168" s="672">
        <f>'Recycling - Case 3'!BP107*'Recycling - Case 3'!AK107*'Recycling - Case 3'!B107</f>
        <v>0</v>
      </c>
      <c r="G168" s="672">
        <f>'Recycling - Case 3'!BQ107*'Recycling - Case 3'!AK107*'Recycling - Case 3'!B107</f>
        <v>0</v>
      </c>
      <c r="H168" s="672">
        <f>'Recycling - Case 3'!BR107*'Recycling - Case 3'!AK107*'Recycling - Case 3'!B107</f>
        <v>0</v>
      </c>
      <c r="I168" s="672">
        <f>'Recycling - Case 3'!BS107*'Recycling - Case 3'!AK107*'Recycling - Case 3'!B107</f>
        <v>5790.2390209223768</v>
      </c>
      <c r="J168" s="945">
        <f t="shared" si="16"/>
        <v>12982.948721728622</v>
      </c>
      <c r="K168" s="613">
        <f>'4C2 Open-burning '!B168*'4C2 Open-burning '!$C$14*'4C2 Open-burning '!$C$5*'4C2 Open-burning '!$C$6*'4C2 Open-burning '!$C$7*C168</f>
        <v>0</v>
      </c>
      <c r="L168" s="614">
        <f>'4C2 Open-burning '!B168*'4C2 Open-burning '!$D$14*'4C2 Open-burning '!$C$5*'4C2 Open-burning '!$C$6*'4C2 Open-burning '!$C$7*D168</f>
        <v>0</v>
      </c>
      <c r="M168" s="614">
        <f>'4C2 Open-burning '!B168*'4C2 Open-burning '!$E$14*'4C2 Open-burning '!$C$5*'4C2 Open-burning '!$C$6*'4C2 Open-burning '!$C$7*E168</f>
        <v>0.74334244177744158</v>
      </c>
      <c r="N168" s="614">
        <f>'4C2 Open-burning '!B168*'4C2 Open-burning '!$F$14*'4C2 Open-burning '!$C$5*'4C2 Open-burning '!$C$6*'4C2 Open-burning '!$C$7*F168</f>
        <v>0</v>
      </c>
      <c r="O168" s="614">
        <f>'4C2 Open-burning '!B168*'4C2 Open-burning '!$G$14*'4C2 Open-burning '!$C$5*'4C2 Open-burning '!$C$6*'4C2 Open-burning '!$C$7*G168</f>
        <v>0</v>
      </c>
      <c r="P168" s="614">
        <f>'4C2 Open-burning '!B168*'4C2 Open-burning '!$H$14*'4C2 Open-burning '!$C$5*'4C2 Open-burning '!$C$6*'4C2 Open-burning '!$C$7*H168</f>
        <v>0</v>
      </c>
      <c r="Q168" s="614">
        <f>'4C2 Open-burning '!B168*'4C2 Open-burning '!$I$14*'4C2 Open-burning '!$C$5*'4C2 Open-burning '!$C$6*'4C2 Open-burning '!$C$7*I168</f>
        <v>24.231138238572289</v>
      </c>
      <c r="R168" s="615">
        <f t="shared" si="17"/>
        <v>24.974480680349732</v>
      </c>
      <c r="S168" s="614">
        <f>B168*C168*'4C2 Open-burning '!$C$9*'4C2 Open-burning '!$C$11*$C$5</f>
        <v>1.2234604665325104</v>
      </c>
      <c r="T168" s="614">
        <f>B168*D168*'4C2 Open-burning '!$C$9*'4C2 Open-burning '!$C$11*$C$5</f>
        <v>1.6351298880288203</v>
      </c>
      <c r="U168" s="614">
        <f>B168*E168*'4C2 Open-burning '!$C$9*'4C2 Open-burning '!$C$11*$C$5</f>
        <v>0.54878536544834067</v>
      </c>
      <c r="V168" s="614">
        <f>B168*F168*'4C2 Open-burning '!$C$9*'4C2 Open-burning '!$C$11*$C$5</f>
        <v>0</v>
      </c>
      <c r="W168" s="614">
        <f>B168*G168*'4C2 Open-burning '!$C$9*'4C2 Open-burning '!$C$11*$C$5</f>
        <v>0</v>
      </c>
      <c r="X168" s="614">
        <f>B168*H168*'4C2 Open-burning '!$C$9*'4C2 Open-burning '!$C$11*$C$5</f>
        <v>0</v>
      </c>
      <c r="Y168" s="614">
        <f>B168*I168*'4C2 Open-burning '!$C$9*'4C2 Open-burning '!$C$11*$C$5</f>
        <v>2.7429884805071389</v>
      </c>
      <c r="Z168" s="615">
        <f t="shared" si="18"/>
        <v>6.15036420051681</v>
      </c>
      <c r="AA168" s="617">
        <f>B168*C168*'4C2 Open-burning '!$C$10*'4C2 Open-burning '!$C$11*$C$5*$C$15</f>
        <v>1.1293481229530868E-2</v>
      </c>
      <c r="AB168" s="617">
        <f>B168*D168*'4C2 Open-burning '!$C$10*'4C2 Open-burning '!$C$11*$C$5*$D$15</f>
        <v>1.5093506658727572E-2</v>
      </c>
      <c r="AC168" s="617">
        <f>B168*E168*'4C2 Open-burning '!$C$10*'4C2 Open-burning '!$C$11*$C$5*$E$15</f>
        <v>1.1397849897773229E-2</v>
      </c>
      <c r="AD168" s="617">
        <f>B168*F168*'4C2 Open-burning '!$C$10*'4C2 Open-burning '!$C$11*$C$5*$F$15</f>
        <v>0</v>
      </c>
      <c r="AE168" s="617">
        <f>B168*G168*'4C2 Open-burning '!$C$10*'4C2 Open-burning '!$C$11*$C$5*$G$15</f>
        <v>0</v>
      </c>
      <c r="AF168" s="617">
        <f>B168*H168*'4C2 Open-burning '!$C$10*'4C2 Open-burning '!$C$11*$C$5*$H$15</f>
        <v>0</v>
      </c>
      <c r="AG168" s="617">
        <f>B168*I168*'4C2 Open-burning '!$C$10*'4C2 Open-burning '!$C$11*$C$5*$I$15</f>
        <v>5.6969760748994416E-2</v>
      </c>
      <c r="AH168" s="618">
        <f t="shared" si="19"/>
        <v>9.4754598535026088E-2</v>
      </c>
      <c r="AI168" s="99"/>
      <c r="AJ168" s="4"/>
      <c r="AK168" s="4"/>
      <c r="AL168" s="4"/>
      <c r="AM168" s="4"/>
    </row>
    <row r="169" spans="1:39">
      <c r="A169" s="1192">
        <f>'Input data'!A128</f>
        <v>2030</v>
      </c>
      <c r="B169" s="713">
        <f>'Recycling - Case 3'!AP108</f>
        <v>0.1214682808560769</v>
      </c>
      <c r="C169" s="671">
        <f>'Recycling - Case 3'!BM108*'Recycling - Case 3'!AK108*'Recycling - Case 3'!B108</f>
        <v>2373.031038018561</v>
      </c>
      <c r="D169" s="672">
        <f>'Recycling - Case 3'!BN108*'Recycling - Case 3'!AK108*'Recycling - Case 3'!B108</f>
        <v>3171.5074427221775</v>
      </c>
      <c r="E169" s="672">
        <f>'Recycling - Case 3'!BO108*'Recycling - Case 3'!AK108*'Recycling - Case 3'!B108</f>
        <v>1064.4272872258484</v>
      </c>
      <c r="F169" s="672">
        <f>'Recycling - Case 3'!BP108*'Recycling - Case 3'!AK108*'Recycling - Case 3'!B108</f>
        <v>0</v>
      </c>
      <c r="G169" s="672">
        <f>'Recycling - Case 3'!BQ108*'Recycling - Case 3'!AK108*'Recycling - Case 3'!B108</f>
        <v>0</v>
      </c>
      <c r="H169" s="672">
        <f>'Recycling - Case 3'!BR108*'Recycling - Case 3'!AK108*'Recycling - Case 3'!B108</f>
        <v>0</v>
      </c>
      <c r="I169" s="672">
        <f>'Recycling - Case 3'!BS108*'Recycling - Case 3'!AK108*'Recycling - Case 3'!B108</f>
        <v>5320.3164133443152</v>
      </c>
      <c r="J169" s="945">
        <f t="shared" si="16"/>
        <v>11929.282181310902</v>
      </c>
      <c r="K169" s="613">
        <f>'4C2 Open-burning '!B169*'4C2 Open-burning '!$C$14*'4C2 Open-burning '!$C$5*'4C2 Open-burning '!$C$6*'4C2 Open-burning '!$C$7*C169</f>
        <v>0</v>
      </c>
      <c r="L169" s="614">
        <f>'4C2 Open-burning '!B169*'4C2 Open-burning '!$D$14*'4C2 Open-burning '!$C$5*'4C2 Open-burning '!$C$6*'4C2 Open-burning '!$C$7*D169</f>
        <v>0</v>
      </c>
      <c r="M169" s="614">
        <f>'4C2 Open-burning '!B169*'4C2 Open-burning '!$E$14*'4C2 Open-burning '!$C$5*'4C2 Open-burning '!$C$6*'4C2 Open-burning '!$C$7*E169</f>
        <v>0.68301446269034449</v>
      </c>
      <c r="N169" s="614">
        <f>'4C2 Open-burning '!B169*'4C2 Open-burning '!$F$14*'4C2 Open-burning '!$C$5*'4C2 Open-burning '!$C$6*'4C2 Open-burning '!$C$7*F169</f>
        <v>0</v>
      </c>
      <c r="O169" s="614">
        <f>'4C2 Open-burning '!B169*'4C2 Open-burning '!$G$14*'4C2 Open-burning '!$C$5*'4C2 Open-burning '!$C$6*'4C2 Open-burning '!$C$7*G169</f>
        <v>0</v>
      </c>
      <c r="P169" s="614">
        <f>'4C2 Open-burning '!B169*'4C2 Open-burning '!$H$14*'4C2 Open-burning '!$C$5*'4C2 Open-burning '!$C$6*'4C2 Open-burning '!$C$7*H169</f>
        <v>0</v>
      </c>
      <c r="Q169" s="614">
        <f>'4C2 Open-burning '!B169*'4C2 Open-burning '!$I$14*'4C2 Open-burning '!$C$5*'4C2 Open-burning '!$C$6*'4C2 Open-burning '!$C$7*I169</f>
        <v>22.264594262665664</v>
      </c>
      <c r="R169" s="615">
        <f t="shared" si="17"/>
        <v>22.947608725356009</v>
      </c>
      <c r="S169" s="614">
        <f>B169*C169*'4C2 Open-burning '!$C$9*'4C2 Open-burning '!$C$11*$C$5</f>
        <v>1.1241672023642826</v>
      </c>
      <c r="T169" s="614">
        <f>B169*D169*'4C2 Open-burning '!$C$9*'4C2 Open-burning '!$C$11*$C$5</f>
        <v>1.5024264714798912</v>
      </c>
      <c r="U169" s="614">
        <f>B169*E169*'4C2 Open-burning '!$C$9*'4C2 Open-burning '!$C$11*$C$5</f>
        <v>0.50424719543492347</v>
      </c>
      <c r="V169" s="614">
        <f>B169*F169*'4C2 Open-burning '!$C$9*'4C2 Open-burning '!$C$11*$C$5</f>
        <v>0</v>
      </c>
      <c r="W169" s="614">
        <f>B169*G169*'4C2 Open-burning '!$C$9*'4C2 Open-burning '!$C$11*$C$5</f>
        <v>0</v>
      </c>
      <c r="X169" s="614">
        <f>B169*H169*'4C2 Open-burning '!$C$9*'4C2 Open-burning '!$C$11*$C$5</f>
        <v>0</v>
      </c>
      <c r="Y169" s="614">
        <f>B169*I169*'4C2 Open-burning '!$C$9*'4C2 Open-burning '!$C$11*$C$5</f>
        <v>2.5203737845232816</v>
      </c>
      <c r="Z169" s="615">
        <f t="shared" si="18"/>
        <v>5.6512146538023789</v>
      </c>
      <c r="AA169" s="617">
        <f>B169*C169*'4C2 Open-burning '!$C$10*'4C2 Open-burning '!$C$11*$C$5*$C$15</f>
        <v>1.0376928021824147E-2</v>
      </c>
      <c r="AB169" s="617">
        <f>B169*D169*'4C2 Open-burning '!$C$10*'4C2 Open-burning '!$C$11*$C$5*$D$15</f>
        <v>1.3868552044429765E-2</v>
      </c>
      <c r="AC169" s="617">
        <f>B169*E169*'4C2 Open-burning '!$C$10*'4C2 Open-burning '!$C$11*$C$5*$E$15</f>
        <v>1.0472826366725333E-2</v>
      </c>
      <c r="AD169" s="617">
        <f>B169*F169*'4C2 Open-burning '!$C$10*'4C2 Open-burning '!$C$11*$C$5*$F$15</f>
        <v>0</v>
      </c>
      <c r="AE169" s="617">
        <f>B169*G169*'4C2 Open-burning '!$C$10*'4C2 Open-burning '!$C$11*$C$5*$G$15</f>
        <v>0</v>
      </c>
      <c r="AF169" s="617">
        <f>B169*H169*'4C2 Open-burning '!$C$10*'4C2 Open-burning '!$C$11*$C$5*$H$15</f>
        <v>0</v>
      </c>
      <c r="AG169" s="617">
        <f>B169*I169*'4C2 Open-burning '!$C$10*'4C2 Open-burning '!$C$11*$C$5*$I$15</f>
        <v>5.2346224755483541E-2</v>
      </c>
      <c r="AH169" s="618">
        <f t="shared" si="19"/>
        <v>8.7064531188462788E-2</v>
      </c>
      <c r="AI169" s="99"/>
      <c r="AJ169" s="4"/>
      <c r="AK169" s="4"/>
      <c r="AL169" s="4"/>
      <c r="AM169" s="4"/>
    </row>
    <row r="170" spans="1:39">
      <c r="A170" s="1192">
        <f>'Input data'!A129</f>
        <v>2031</v>
      </c>
      <c r="B170" s="713">
        <f>'Recycling - Case 3'!AP109</f>
        <v>0.12146828085607692</v>
      </c>
      <c r="C170" s="671">
        <f>'Recycling - Case 3'!BM109*'Recycling - Case 3'!AK109*'Recycling - Case 3'!B109</f>
        <v>2117.1386910696888</v>
      </c>
      <c r="D170" s="672">
        <f>'Recycling - Case 3'!BN109*'Recycling - Case 3'!AK109*'Recycling - Case 3'!B109</f>
        <v>2829.5125552209852</v>
      </c>
      <c r="E170" s="672">
        <f>'Recycling - Case 3'!BO109*'Recycling - Case 3'!AK109*'Recycling - Case 3'!B109</f>
        <v>949.6463204703208</v>
      </c>
      <c r="F170" s="672">
        <f>'Recycling - Case 3'!BP109*'Recycling - Case 3'!AK109*'Recycling - Case 3'!B109</f>
        <v>0</v>
      </c>
      <c r="G170" s="672">
        <f>'Recycling - Case 3'!BQ109*'Recycling - Case 3'!AK109*'Recycling - Case 3'!B109</f>
        <v>0</v>
      </c>
      <c r="H170" s="672">
        <f>'Recycling - Case 3'!BR109*'Recycling - Case 3'!AK109*'Recycling - Case 3'!B109</f>
        <v>0</v>
      </c>
      <c r="I170" s="672">
        <f>'Recycling - Case 3'!BS109*'Recycling - Case 3'!AK109*'Recycling - Case 3'!B109</f>
        <v>4746.6078390738112</v>
      </c>
      <c r="J170" s="945">
        <f t="shared" si="16"/>
        <v>10642.905405834805</v>
      </c>
      <c r="K170" s="613">
        <f>'4C2 Open-burning '!B170*'4C2 Open-burning '!$C$14*'4C2 Open-burning '!$C$5*'4C2 Open-burning '!$C$6*'4C2 Open-burning '!$C$7*C170</f>
        <v>0</v>
      </c>
      <c r="L170" s="614">
        <f>'4C2 Open-burning '!B170*'4C2 Open-burning '!$D$14*'4C2 Open-burning '!$C$5*'4C2 Open-burning '!$C$6*'4C2 Open-burning '!$C$7*D170</f>
        <v>0</v>
      </c>
      <c r="M170" s="614">
        <f>'4C2 Open-burning '!B170*'4C2 Open-burning '!$E$14*'4C2 Open-burning '!$C$5*'4C2 Open-burning '!$C$6*'4C2 Open-burning '!$C$7*E170</f>
        <v>0.60936259254717462</v>
      </c>
      <c r="N170" s="614">
        <f>'4C2 Open-burning '!B170*'4C2 Open-burning '!$F$14*'4C2 Open-burning '!$C$5*'4C2 Open-burning '!$C$6*'4C2 Open-burning '!$C$7*F170</f>
        <v>0</v>
      </c>
      <c r="O170" s="614">
        <f>'4C2 Open-burning '!B170*'4C2 Open-burning '!$G$14*'4C2 Open-burning '!$C$5*'4C2 Open-burning '!$C$6*'4C2 Open-burning '!$C$7*G170</f>
        <v>0</v>
      </c>
      <c r="P170" s="614">
        <f>'4C2 Open-burning '!B170*'4C2 Open-burning '!$H$14*'4C2 Open-burning '!$C$5*'4C2 Open-burning '!$C$6*'4C2 Open-burning '!$C$7*H170</f>
        <v>0</v>
      </c>
      <c r="Q170" s="614">
        <f>'4C2 Open-burning '!B170*'4C2 Open-burning '!$I$14*'4C2 Open-burning '!$C$5*'4C2 Open-burning '!$C$6*'4C2 Open-burning '!$C$7*I170</f>
        <v>19.863724156687155</v>
      </c>
      <c r="R170" s="615">
        <f t="shared" si="17"/>
        <v>20.47308674923433</v>
      </c>
      <c r="S170" s="614">
        <f>B170*C170*'4C2 Open-burning '!$C$9*'4C2 Open-burning '!$C$11*$C$5</f>
        <v>1.0029442688386678</v>
      </c>
      <c r="T170" s="614">
        <f>B170*D170*'4C2 Open-burning '!$C$9*'4C2 Open-burning '!$C$11*$C$5</f>
        <v>1.3404145003991761</v>
      </c>
      <c r="U170" s="614">
        <f>B170*E170*'4C2 Open-burning '!$C$9*'4C2 Open-burning '!$C$11*$C$5</f>
        <v>0.44987243327843285</v>
      </c>
      <c r="V170" s="614">
        <f>B170*F170*'4C2 Open-burning '!$C$9*'4C2 Open-burning '!$C$11*$C$5</f>
        <v>0</v>
      </c>
      <c r="W170" s="614">
        <f>B170*G170*'4C2 Open-burning '!$C$9*'4C2 Open-burning '!$C$11*$C$5</f>
        <v>0</v>
      </c>
      <c r="X170" s="614">
        <f>B170*H170*'4C2 Open-burning '!$C$9*'4C2 Open-burning '!$C$11*$C$5</f>
        <v>0</v>
      </c>
      <c r="Y170" s="614">
        <f>B170*I170*'4C2 Open-burning '!$C$9*'4C2 Open-burning '!$C$11*$C$5</f>
        <v>2.2485929470300685</v>
      </c>
      <c r="Z170" s="615">
        <f t="shared" si="18"/>
        <v>5.0418241495463452</v>
      </c>
      <c r="AA170" s="617">
        <f>B170*C170*'4C2 Open-burning '!$C$10*'4C2 Open-burning '!$C$11*$C$5*$C$15</f>
        <v>9.2579470969723198E-3</v>
      </c>
      <c r="AB170" s="617">
        <f>B170*D170*'4C2 Open-burning '!$C$10*'4C2 Open-burning '!$C$11*$C$5*$D$15</f>
        <v>1.2373056926761624E-2</v>
      </c>
      <c r="AC170" s="617">
        <f>B170*E170*'4C2 Open-burning '!$C$10*'4C2 Open-burning '!$C$11*$C$5*$E$15</f>
        <v>9.3435043834751447E-3</v>
      </c>
      <c r="AD170" s="617">
        <f>B170*F170*'4C2 Open-burning '!$C$10*'4C2 Open-burning '!$C$11*$C$5*$F$15</f>
        <v>0</v>
      </c>
      <c r="AE170" s="617">
        <f>B170*G170*'4C2 Open-burning '!$C$10*'4C2 Open-burning '!$C$11*$C$5*$G$15</f>
        <v>0</v>
      </c>
      <c r="AF170" s="617">
        <f>B170*H170*'4C2 Open-burning '!$C$10*'4C2 Open-burning '!$C$11*$C$5*$H$15</f>
        <v>0</v>
      </c>
      <c r="AG170" s="617">
        <f>B170*I170*'4C2 Open-burning '!$C$10*'4C2 Open-burning '!$C$11*$C$5*$I$15</f>
        <v>4.6701545822932199E-2</v>
      </c>
      <c r="AH170" s="618">
        <f t="shared" si="19"/>
        <v>7.7676054230141289E-2</v>
      </c>
      <c r="AI170" s="99"/>
      <c r="AJ170" s="4"/>
      <c r="AK170" s="4"/>
      <c r="AL170" s="4"/>
      <c r="AM170" s="4"/>
    </row>
    <row r="171" spans="1:39">
      <c r="A171" s="1192">
        <f>'Input data'!A130</f>
        <v>2032</v>
      </c>
      <c r="B171" s="713">
        <f>'Recycling - Case 3'!AP110</f>
        <v>0.1214682808560769</v>
      </c>
      <c r="C171" s="671">
        <f>'Recycling - Case 3'!BM110*'Recycling - Case 3'!AK110*'Recycling - Case 3'!B110</f>
        <v>1856.7102222874828</v>
      </c>
      <c r="D171" s="672">
        <f>'Recycling - Case 3'!BN110*'Recycling - Case 3'!AK110*'Recycling - Case 3'!B110</f>
        <v>2481.4552336744623</v>
      </c>
      <c r="E171" s="672">
        <f>'Recycling - Case 3'!BO110*'Recycling - Case 3'!AK110*'Recycling - Case 3'!B110</f>
        <v>832.83066820911472</v>
      </c>
      <c r="F171" s="672">
        <f>'Recycling - Case 3'!BP110*'Recycling - Case 3'!AK110*'Recycling - Case 3'!B110</f>
        <v>0</v>
      </c>
      <c r="G171" s="672">
        <f>'Recycling - Case 3'!BQ110*'Recycling - Case 3'!AK110*'Recycling - Case 3'!B110</f>
        <v>0</v>
      </c>
      <c r="H171" s="672">
        <f>'Recycling - Case 3'!BR110*'Recycling - Case 3'!AK110*'Recycling - Case 3'!B110</f>
        <v>0</v>
      </c>
      <c r="I171" s="672">
        <f>'Recycling - Case 3'!BS110*'Recycling - Case 3'!AK110*'Recycling - Case 3'!B110</f>
        <v>4162.7293163044596</v>
      </c>
      <c r="J171" s="945">
        <f t="shared" si="16"/>
        <v>9333.7254404755204</v>
      </c>
      <c r="K171" s="613">
        <f>'4C2 Open-burning '!B171*'4C2 Open-burning '!$C$14*'4C2 Open-burning '!$C$5*'4C2 Open-burning '!$C$6*'4C2 Open-burning '!$C$7*C171</f>
        <v>0</v>
      </c>
      <c r="L171" s="614">
        <f>'4C2 Open-burning '!B171*'4C2 Open-burning '!$D$14*'4C2 Open-burning '!$C$5*'4C2 Open-burning '!$C$6*'4C2 Open-burning '!$C$7*D171</f>
        <v>0</v>
      </c>
      <c r="M171" s="614">
        <f>'4C2 Open-burning '!B171*'4C2 Open-burning '!$E$14*'4C2 Open-burning '!$C$5*'4C2 Open-burning '!$C$6*'4C2 Open-burning '!$C$7*E171</f>
        <v>0.53440511924624734</v>
      </c>
      <c r="N171" s="614">
        <f>'4C2 Open-burning '!B171*'4C2 Open-burning '!$F$14*'4C2 Open-burning '!$C$5*'4C2 Open-burning '!$C$6*'4C2 Open-burning '!$C$7*F171</f>
        <v>0</v>
      </c>
      <c r="O171" s="614">
        <f>'4C2 Open-burning '!B171*'4C2 Open-burning '!$G$14*'4C2 Open-burning '!$C$5*'4C2 Open-burning '!$C$6*'4C2 Open-burning '!$C$7*G171</f>
        <v>0</v>
      </c>
      <c r="P171" s="614">
        <f>'4C2 Open-burning '!B171*'4C2 Open-burning '!$H$14*'4C2 Open-burning '!$C$5*'4C2 Open-burning '!$C$6*'4C2 Open-burning '!$C$7*H171</f>
        <v>0</v>
      </c>
      <c r="Q171" s="614">
        <f>'4C2 Open-burning '!B171*'4C2 Open-burning '!$I$14*'4C2 Open-burning '!$C$5*'4C2 Open-burning '!$C$6*'4C2 Open-burning '!$C$7*I171</f>
        <v>17.420294593825385</v>
      </c>
      <c r="R171" s="615">
        <f t="shared" si="17"/>
        <v>17.954699713071633</v>
      </c>
      <c r="S171" s="614">
        <f>B171*C171*'4C2 Open-burning '!$C$9*'4C2 Open-burning '!$C$11*$C$5</f>
        <v>0.87957245512174331</v>
      </c>
      <c r="T171" s="614">
        <f>B171*D171*'4C2 Open-burning '!$C$9*'4C2 Open-burning '!$C$11*$C$5</f>
        <v>1.1755305948974308</v>
      </c>
      <c r="U171" s="614">
        <f>B171*E171*'4C2 Open-burning '!$C$9*'4C2 Open-burning '!$C$11*$C$5</f>
        <v>0.39453378709515791</v>
      </c>
      <c r="V171" s="614">
        <f>B171*F171*'4C2 Open-burning '!$C$9*'4C2 Open-burning '!$C$11*$C$5</f>
        <v>0</v>
      </c>
      <c r="W171" s="614">
        <f>B171*G171*'4C2 Open-burning '!$C$9*'4C2 Open-burning '!$C$11*$C$5</f>
        <v>0</v>
      </c>
      <c r="X171" s="614">
        <f>B171*H171*'4C2 Open-burning '!$C$9*'4C2 Open-burning '!$C$11*$C$5</f>
        <v>0</v>
      </c>
      <c r="Y171" s="614">
        <f>B171*I171*'4C2 Open-burning '!$C$9*'4C2 Open-burning '!$C$11*$C$5</f>
        <v>1.9719943375107107</v>
      </c>
      <c r="Z171" s="615">
        <f t="shared" si="18"/>
        <v>4.421631174625043</v>
      </c>
      <c r="AA171" s="617">
        <f>B171*C171*'4C2 Open-burning '!$C$10*'4C2 Open-burning '!$C$11*$C$5*$C$15</f>
        <v>8.1191303549699376E-3</v>
      </c>
      <c r="AB171" s="617">
        <f>B171*D171*'4C2 Open-burning '!$C$10*'4C2 Open-burning '!$C$11*$C$5*$D$15</f>
        <v>1.0851051645207055E-2</v>
      </c>
      <c r="AC171" s="617">
        <f>B171*E171*'4C2 Open-burning '!$C$10*'4C2 Open-burning '!$C$11*$C$5*$E$15</f>
        <v>8.1941632704378951E-3</v>
      </c>
      <c r="AD171" s="617">
        <f>B171*F171*'4C2 Open-burning '!$C$10*'4C2 Open-burning '!$C$11*$C$5*$F$15</f>
        <v>0</v>
      </c>
      <c r="AE171" s="617">
        <f>B171*G171*'4C2 Open-burning '!$C$10*'4C2 Open-burning '!$C$11*$C$5*$G$15</f>
        <v>0</v>
      </c>
      <c r="AF171" s="617">
        <f>B171*H171*'4C2 Open-burning '!$C$10*'4C2 Open-burning '!$C$11*$C$5*$H$15</f>
        <v>0</v>
      </c>
      <c r="AG171" s="617">
        <f>B171*I171*'4C2 Open-burning '!$C$10*'4C2 Open-burning '!$C$11*$C$5*$I$15</f>
        <v>4.0956805471376291E-2</v>
      </c>
      <c r="AH171" s="618">
        <f t="shared" si="19"/>
        <v>6.8121150741991182E-2</v>
      </c>
      <c r="AI171" s="99"/>
      <c r="AJ171" s="4"/>
      <c r="AK171" s="4"/>
      <c r="AL171" s="4"/>
      <c r="AM171" s="4"/>
    </row>
    <row r="172" spans="1:39">
      <c r="A172" s="1192">
        <f>'Input data'!A131</f>
        <v>2033</v>
      </c>
      <c r="B172" s="713">
        <f>'Recycling - Case 3'!AP111</f>
        <v>0.1214682808560769</v>
      </c>
      <c r="C172" s="671">
        <f>'Recycling - Case 3'!BM111*'Recycling - Case 3'!AK111*'Recycling - Case 3'!B111</f>
        <v>1872.5409830481135</v>
      </c>
      <c r="D172" s="672">
        <f>'Recycling - Case 3'!BN111*'Recycling - Case 3'!AK111*'Recycling - Case 3'!B111</f>
        <v>2502.6127216179057</v>
      </c>
      <c r="E172" s="672">
        <f>'Recycling - Case 3'!BO111*'Recycling - Case 3'!AK111*'Recycling - Case 3'!B111</f>
        <v>839.93158406785949</v>
      </c>
      <c r="F172" s="672">
        <f>'Recycling - Case 3'!BP111*'Recycling - Case 3'!AK111*'Recycling - Case 3'!B111</f>
        <v>0</v>
      </c>
      <c r="G172" s="672">
        <f>'Recycling - Case 3'!BQ111*'Recycling - Case 3'!AK111*'Recycling - Case 3'!B111</f>
        <v>0</v>
      </c>
      <c r="H172" s="672">
        <f>'Recycling - Case 3'!BR111*'Recycling - Case 3'!AK111*'Recycling - Case 3'!B111</f>
        <v>0</v>
      </c>
      <c r="I172" s="672">
        <f>'Recycling - Case 3'!BS111*'Recycling - Case 3'!AK111*'Recycling - Case 3'!B111</f>
        <v>4198.2217540185648</v>
      </c>
      <c r="J172" s="945">
        <f t="shared" si="16"/>
        <v>9413.3070427524435</v>
      </c>
      <c r="K172" s="613">
        <f>'4C2 Open-burning '!B172*'4C2 Open-burning '!$C$14*'4C2 Open-burning '!$C$5*'4C2 Open-burning '!$C$6*'4C2 Open-burning '!$C$7*C172</f>
        <v>0</v>
      </c>
      <c r="L172" s="614">
        <f>'4C2 Open-burning '!B172*'4C2 Open-burning '!$D$14*'4C2 Open-burning '!$C$5*'4C2 Open-burning '!$C$6*'4C2 Open-burning '!$C$7*D172</f>
        <v>0</v>
      </c>
      <c r="M172" s="614">
        <f>'4C2 Open-burning '!B172*'4C2 Open-burning '!$E$14*'4C2 Open-burning '!$C$5*'4C2 Open-burning '!$C$6*'4C2 Open-burning '!$C$7*E172</f>
        <v>0.53896158664244709</v>
      </c>
      <c r="N172" s="614">
        <f>'4C2 Open-burning '!B172*'4C2 Open-burning '!$F$14*'4C2 Open-burning '!$C$5*'4C2 Open-burning '!$C$6*'4C2 Open-burning '!$C$7*F172</f>
        <v>0</v>
      </c>
      <c r="O172" s="614">
        <f>'4C2 Open-burning '!B172*'4C2 Open-burning '!$G$14*'4C2 Open-burning '!$C$5*'4C2 Open-burning '!$C$6*'4C2 Open-burning '!$C$7*G172</f>
        <v>0</v>
      </c>
      <c r="P172" s="614">
        <f>'4C2 Open-burning '!B172*'4C2 Open-burning '!$H$14*'4C2 Open-burning '!$C$5*'4C2 Open-burning '!$C$6*'4C2 Open-burning '!$C$7*H172</f>
        <v>0</v>
      </c>
      <c r="Q172" s="614">
        <f>'4C2 Open-burning '!B172*'4C2 Open-burning '!$I$14*'4C2 Open-burning '!$C$5*'4C2 Open-burning '!$C$6*'4C2 Open-burning '!$C$7*I172</f>
        <v>17.568824242008613</v>
      </c>
      <c r="R172" s="615">
        <f t="shared" si="17"/>
        <v>18.10778582865106</v>
      </c>
      <c r="S172" s="614">
        <f>B172*C172*'4C2 Open-burning '!$C$9*'4C2 Open-burning '!$C$11*$C$5</f>
        <v>0.88707190276927006</v>
      </c>
      <c r="T172" s="614">
        <f>B172*D172*'4C2 Open-burning '!$C$9*'4C2 Open-burning '!$C$11*$C$5</f>
        <v>1.1855534532795513</v>
      </c>
      <c r="U172" s="614">
        <f>B172*E172*'4C2 Open-burning '!$C$9*'4C2 Open-burning '!$C$11*$C$5</f>
        <v>0.39789767765843287</v>
      </c>
      <c r="V172" s="614">
        <f>B172*F172*'4C2 Open-burning '!$C$9*'4C2 Open-burning '!$C$11*$C$5</f>
        <v>0</v>
      </c>
      <c r="W172" s="614">
        <f>B172*G172*'4C2 Open-burning '!$C$9*'4C2 Open-burning '!$C$11*$C$5</f>
        <v>0</v>
      </c>
      <c r="X172" s="614">
        <f>B172*H172*'4C2 Open-burning '!$C$9*'4C2 Open-burning '!$C$11*$C$5</f>
        <v>0</v>
      </c>
      <c r="Y172" s="614">
        <f>B172*I172*'4C2 Open-burning '!$C$9*'4C2 Open-burning '!$C$11*$C$5</f>
        <v>1.9888080385415534</v>
      </c>
      <c r="Z172" s="615">
        <f t="shared" si="18"/>
        <v>4.4593310722488075</v>
      </c>
      <c r="AA172" s="617">
        <f>B172*C172*'4C2 Open-burning '!$C$10*'4C2 Open-burning '!$C$11*$C$5*$C$15</f>
        <v>8.1883560255624922E-3</v>
      </c>
      <c r="AB172" s="617">
        <f>B172*D172*'4C2 Open-burning '!$C$10*'4C2 Open-burning '!$C$11*$C$5*$D$15</f>
        <v>1.0943570337965091E-2</v>
      </c>
      <c r="AC172" s="617">
        <f>B172*E172*'4C2 Open-burning '!$C$10*'4C2 Open-burning '!$C$11*$C$5*$E$15</f>
        <v>8.2640286898289905E-3</v>
      </c>
      <c r="AD172" s="617">
        <f>B172*F172*'4C2 Open-burning '!$C$10*'4C2 Open-burning '!$C$11*$C$5*$F$15</f>
        <v>0</v>
      </c>
      <c r="AE172" s="617">
        <f>B172*G172*'4C2 Open-burning '!$C$10*'4C2 Open-burning '!$C$11*$C$5*$G$15</f>
        <v>0</v>
      </c>
      <c r="AF172" s="617">
        <f>B172*H172*'4C2 Open-burning '!$C$10*'4C2 Open-burning '!$C$11*$C$5*$H$15</f>
        <v>0</v>
      </c>
      <c r="AG172" s="617">
        <f>B172*I172*'4C2 Open-burning '!$C$10*'4C2 Open-burning '!$C$11*$C$5*$I$15</f>
        <v>4.1306013108170718E-2</v>
      </c>
      <c r="AH172" s="618">
        <f t="shared" si="19"/>
        <v>6.8701968161527294E-2</v>
      </c>
      <c r="AI172" s="99"/>
      <c r="AJ172" s="4"/>
      <c r="AK172" s="4"/>
      <c r="AL172" s="4"/>
      <c r="AM172" s="4"/>
    </row>
    <row r="173" spans="1:39">
      <c r="A173" s="1192">
        <f>'Input data'!A132</f>
        <v>2034</v>
      </c>
      <c r="B173" s="713">
        <f>'Recycling - Case 3'!AP112</f>
        <v>0.1214682808560769</v>
      </c>
      <c r="C173" s="671">
        <f>'Recycling - Case 3'!BM112*'Recycling - Case 3'!AK112*'Recycling - Case 3'!B112</f>
        <v>1888.5378007397996</v>
      </c>
      <c r="D173" s="672">
        <f>'Recycling - Case 3'!BN112*'Recycling - Case 3'!AK112*'Recycling - Case 3'!B112</f>
        <v>2523.9921412530634</v>
      </c>
      <c r="E173" s="672">
        <f>'Recycling - Case 3'!BO112*'Recycling - Case 3'!AK112*'Recycling - Case 3'!B112</f>
        <v>847.10698505798962</v>
      </c>
      <c r="F173" s="672">
        <f>'Recycling - Case 3'!BP112*'Recycling - Case 3'!AK112*'Recycling - Case 3'!B112</f>
        <v>0</v>
      </c>
      <c r="G173" s="672">
        <f>'Recycling - Case 3'!BQ112*'Recycling - Case 3'!AK112*'Recycling - Case 3'!B112</f>
        <v>0</v>
      </c>
      <c r="H173" s="672">
        <f>'Recycling - Case 3'!BR112*'Recycling - Case 3'!AK112*'Recycling - Case 3'!B112</f>
        <v>0</v>
      </c>
      <c r="I173" s="672">
        <f>'Recycling - Case 3'!BS112*'Recycling - Case 3'!AK112*'Recycling - Case 3'!B112</f>
        <v>4234.0864900303686</v>
      </c>
      <c r="J173" s="945">
        <f t="shared" si="16"/>
        <v>9493.7234170812226</v>
      </c>
      <c r="K173" s="613">
        <f>'4C2 Open-burning '!B173*'4C2 Open-burning '!$C$14*'4C2 Open-burning '!$C$5*'4C2 Open-burning '!$C$6*'4C2 Open-burning '!$C$7*C173</f>
        <v>0</v>
      </c>
      <c r="L173" s="614">
        <f>'4C2 Open-burning '!B173*'4C2 Open-burning '!$D$14*'4C2 Open-burning '!$C$5*'4C2 Open-burning '!$C$6*'4C2 Open-burning '!$C$7*D173</f>
        <v>0</v>
      </c>
      <c r="M173" s="614">
        <f>'4C2 Open-burning '!B173*'4C2 Open-burning '!$E$14*'4C2 Open-burning '!$C$5*'4C2 Open-burning '!$C$6*'4C2 Open-burning '!$C$7*E173</f>
        <v>0.54356584915119421</v>
      </c>
      <c r="N173" s="614">
        <f>'4C2 Open-burning '!B173*'4C2 Open-burning '!$F$14*'4C2 Open-burning '!$C$5*'4C2 Open-burning '!$C$6*'4C2 Open-burning '!$C$7*F173</f>
        <v>0</v>
      </c>
      <c r="O173" s="614">
        <f>'4C2 Open-burning '!B173*'4C2 Open-burning '!$G$14*'4C2 Open-burning '!$C$5*'4C2 Open-burning '!$C$6*'4C2 Open-burning '!$C$7*G173</f>
        <v>0</v>
      </c>
      <c r="P173" s="614">
        <f>'4C2 Open-burning '!B173*'4C2 Open-burning '!$H$14*'4C2 Open-burning '!$C$5*'4C2 Open-burning '!$C$6*'4C2 Open-burning '!$C$7*H173</f>
        <v>0</v>
      </c>
      <c r="Q173" s="614">
        <f>'4C2 Open-burning '!B173*'4C2 Open-burning '!$I$14*'4C2 Open-burning '!$C$5*'4C2 Open-burning '!$C$6*'4C2 Open-burning '!$C$7*I173</f>
        <v>17.718911893494454</v>
      </c>
      <c r="R173" s="615">
        <f t="shared" si="17"/>
        <v>18.262477742645647</v>
      </c>
      <c r="S173" s="614">
        <f>B173*C173*'4C2 Open-burning '!$C$9*'4C2 Open-burning '!$C$11*$C$5</f>
        <v>0.89465001595156113</v>
      </c>
      <c r="T173" s="614">
        <f>B173*D173*'4C2 Open-burning '!$C$9*'4C2 Open-burning '!$C$11*$C$5</f>
        <v>1.195681446539806</v>
      </c>
      <c r="U173" s="614">
        <f>B173*E173*'4C2 Open-burning '!$C$9*'4C2 Open-burning '!$C$11*$C$5</f>
        <v>0.40129685378705676</v>
      </c>
      <c r="V173" s="614">
        <f>B173*F173*'4C2 Open-burning '!$C$9*'4C2 Open-burning '!$C$11*$C$5</f>
        <v>0</v>
      </c>
      <c r="W173" s="614">
        <f>B173*G173*'4C2 Open-burning '!$C$9*'4C2 Open-burning '!$C$11*$C$5</f>
        <v>0</v>
      </c>
      <c r="X173" s="614">
        <f>B173*H173*'4C2 Open-burning '!$C$9*'4C2 Open-burning '!$C$11*$C$5</f>
        <v>0</v>
      </c>
      <c r="Y173" s="614">
        <f>B173*I173*'4C2 Open-burning '!$C$9*'4C2 Open-burning '!$C$11*$C$5</f>
        <v>2.0057981070657256</v>
      </c>
      <c r="Z173" s="615">
        <f t="shared" si="18"/>
        <v>4.4974264233441499</v>
      </c>
      <c r="AA173" s="617">
        <f>B173*C173*'4C2 Open-burning '!$C$10*'4C2 Open-burning '!$C$11*$C$5*$C$15</f>
        <v>8.2583078395528711E-3</v>
      </c>
      <c r="AB173" s="617">
        <f>B173*D173*'4C2 Open-burning '!$C$10*'4C2 Open-burning '!$C$11*$C$5*$D$15</f>
        <v>1.1037059506521287E-2</v>
      </c>
      <c r="AC173" s="617">
        <f>B173*E173*'4C2 Open-burning '!$C$10*'4C2 Open-burning '!$C$11*$C$5*$E$15</f>
        <v>8.3346269632696406E-3</v>
      </c>
      <c r="AD173" s="617">
        <f>B173*F173*'4C2 Open-burning '!$C$10*'4C2 Open-burning '!$C$11*$C$5*$F$15</f>
        <v>0</v>
      </c>
      <c r="AE173" s="617">
        <f>B173*G173*'4C2 Open-burning '!$C$10*'4C2 Open-burning '!$C$11*$C$5*$G$15</f>
        <v>0</v>
      </c>
      <c r="AF173" s="617">
        <f>B173*H173*'4C2 Open-burning '!$C$10*'4C2 Open-burning '!$C$11*$C$5*$H$15</f>
        <v>0</v>
      </c>
      <c r="AG173" s="617">
        <f>B173*I173*'4C2 Open-burning '!$C$10*'4C2 Open-burning '!$C$11*$C$5*$I$15</f>
        <v>4.1658883762134294E-2</v>
      </c>
      <c r="AH173" s="618">
        <f t="shared" si="19"/>
        <v>6.9288878071478099E-2</v>
      </c>
      <c r="AI173" s="99"/>
      <c r="AJ173" s="4"/>
      <c r="AK173" s="4"/>
      <c r="AL173" s="4"/>
      <c r="AM173" s="4"/>
    </row>
    <row r="174" spans="1:39">
      <c r="A174" s="1192">
        <f>'Input data'!A133</f>
        <v>2035</v>
      </c>
      <c r="B174" s="713">
        <f>'Recycling - Case 3'!AP113</f>
        <v>0.1214682808560769</v>
      </c>
      <c r="C174" s="671">
        <f>'Recycling - Case 3'!BM113*'Recycling - Case 3'!AK113*'Recycling - Case 3'!B113</f>
        <v>1904.64532305219</v>
      </c>
      <c r="D174" s="672">
        <f>'Recycling - Case 3'!BN113*'Recycling - Case 3'!AK113*'Recycling - Case 3'!B113</f>
        <v>2545.5195153493642</v>
      </c>
      <c r="E174" s="672">
        <f>'Recycling - Case 3'!BO113*'Recycling - Case 3'!AK113*'Recycling - Case 3'!B113</f>
        <v>854.33204280237692</v>
      </c>
      <c r="F174" s="672">
        <f>'Recycling - Case 3'!BP113*'Recycling - Case 3'!AK113*'Recycling - Case 3'!B113</f>
        <v>0</v>
      </c>
      <c r="G174" s="672">
        <f>'Recycling - Case 3'!BQ113*'Recycling - Case 3'!AK113*'Recycling - Case 3'!B113</f>
        <v>0</v>
      </c>
      <c r="H174" s="672">
        <f>'Recycling - Case 3'!BR113*'Recycling - Case 3'!AK113*'Recycling - Case 3'!B113</f>
        <v>0</v>
      </c>
      <c r="I174" s="672">
        <f>'Recycling - Case 3'!BS113*'Recycling - Case 3'!AK113*'Recycling - Case 3'!B113</f>
        <v>4270.1994249073086</v>
      </c>
      <c r="J174" s="945">
        <f t="shared" si="16"/>
        <v>9574.6963061112401</v>
      </c>
      <c r="K174" s="613">
        <f>'4C2 Open-burning '!B174*'4C2 Open-burning '!$C$14*'4C2 Open-burning '!$C$5*'4C2 Open-burning '!$C$6*'4C2 Open-burning '!$C$7*C174</f>
        <v>0</v>
      </c>
      <c r="L174" s="614">
        <f>'4C2 Open-burning '!B174*'4C2 Open-burning '!$D$14*'4C2 Open-burning '!$C$5*'4C2 Open-burning '!$C$6*'4C2 Open-burning '!$C$7*D174</f>
        <v>0</v>
      </c>
      <c r="M174" s="614">
        <f>'4C2 Open-burning '!B174*'4C2 Open-burning '!$E$14*'4C2 Open-burning '!$C$5*'4C2 Open-burning '!$C$6*'4C2 Open-burning '!$C$7*E174</f>
        <v>0.5482019750683067</v>
      </c>
      <c r="N174" s="614">
        <f>'4C2 Open-burning '!B174*'4C2 Open-burning '!$F$14*'4C2 Open-burning '!$C$5*'4C2 Open-burning '!$C$6*'4C2 Open-burning '!$C$7*F174</f>
        <v>0</v>
      </c>
      <c r="O174" s="614">
        <f>'4C2 Open-burning '!B174*'4C2 Open-burning '!$G$14*'4C2 Open-burning '!$C$5*'4C2 Open-burning '!$C$6*'4C2 Open-burning '!$C$7*G174</f>
        <v>0</v>
      </c>
      <c r="P174" s="614">
        <f>'4C2 Open-burning '!B174*'4C2 Open-burning '!$H$14*'4C2 Open-burning '!$C$5*'4C2 Open-burning '!$C$6*'4C2 Open-burning '!$C$7*H174</f>
        <v>0</v>
      </c>
      <c r="Q174" s="614">
        <f>'4C2 Open-burning '!B174*'4C2 Open-burning '!$I$14*'4C2 Open-burning '!$C$5*'4C2 Open-burning '!$C$6*'4C2 Open-burning '!$C$7*I174</f>
        <v>17.870038213848723</v>
      </c>
      <c r="R174" s="615">
        <f t="shared" si="17"/>
        <v>18.418240188917029</v>
      </c>
      <c r="S174" s="614">
        <f>B174*C174*'4C2 Open-burning '!$C$9*'4C2 Open-burning '!$C$11*$C$5</f>
        <v>0.90228057282369512</v>
      </c>
      <c r="T174" s="614">
        <f>B174*D174*'4C2 Open-burning '!$C$9*'4C2 Open-burning '!$C$11*$C$5</f>
        <v>1.205879529718817</v>
      </c>
      <c r="U174" s="614">
        <f>B174*E174*'4C2 Open-burning '!$C$9*'4C2 Open-burning '!$C$11*$C$5</f>
        <v>0.40471955362591361</v>
      </c>
      <c r="V174" s="614">
        <f>B174*F174*'4C2 Open-burning '!$C$9*'4C2 Open-burning '!$C$11*$C$5</f>
        <v>0</v>
      </c>
      <c r="W174" s="614">
        <f>B174*G174*'4C2 Open-burning '!$C$9*'4C2 Open-burning '!$C$11*$C$5</f>
        <v>0</v>
      </c>
      <c r="X174" s="614">
        <f>B174*H174*'4C2 Open-burning '!$C$9*'4C2 Open-burning '!$C$11*$C$5</f>
        <v>0</v>
      </c>
      <c r="Y174" s="614">
        <f>B174*I174*'4C2 Open-burning '!$C$9*'4C2 Open-burning '!$C$11*$C$5</f>
        <v>2.0229057539187858</v>
      </c>
      <c r="Z174" s="615">
        <f t="shared" si="18"/>
        <v>4.535785410087211</v>
      </c>
      <c r="AA174" s="617">
        <f>B174*C174*'4C2 Open-burning '!$C$10*'4C2 Open-burning '!$C$11*$C$5*$C$15</f>
        <v>8.328743749141802E-3</v>
      </c>
      <c r="AB174" s="617">
        <f>B174*D174*'4C2 Open-burning '!$C$10*'4C2 Open-burning '!$C$11*$C$5*$D$15</f>
        <v>1.1131195658942928E-2</v>
      </c>
      <c r="AC174" s="617">
        <f>B174*E174*'4C2 Open-burning '!$C$10*'4C2 Open-burning '!$C$11*$C$5*$E$15</f>
        <v>8.4057138060766659E-3</v>
      </c>
      <c r="AD174" s="617">
        <f>B174*F174*'4C2 Open-burning '!$C$10*'4C2 Open-burning '!$C$11*$C$5*$F$15</f>
        <v>0</v>
      </c>
      <c r="AE174" s="617">
        <f>B174*G174*'4C2 Open-burning '!$C$10*'4C2 Open-burning '!$C$11*$C$5*$G$15</f>
        <v>0</v>
      </c>
      <c r="AF174" s="617">
        <f>B174*H174*'4C2 Open-burning '!$C$10*'4C2 Open-burning '!$C$11*$C$5*$H$15</f>
        <v>0</v>
      </c>
      <c r="AG174" s="617">
        <f>B174*I174*'4C2 Open-burning '!$C$10*'4C2 Open-burning '!$C$11*$C$5*$I$15</f>
        <v>4.2014196427544018E-2</v>
      </c>
      <c r="AH174" s="618">
        <f t="shared" si="19"/>
        <v>6.9879849641705405E-2</v>
      </c>
      <c r="AI174" s="99"/>
      <c r="AJ174" s="4"/>
      <c r="AK174" s="4"/>
      <c r="AL174" s="4"/>
      <c r="AM174" s="4"/>
    </row>
    <row r="175" spans="1:39">
      <c r="A175" s="1192">
        <f>'Input data'!A134</f>
        <v>2036</v>
      </c>
      <c r="B175" s="713">
        <f>'Recycling - Case 3'!AP114</f>
        <v>0.1214682808560769</v>
      </c>
      <c r="C175" s="671">
        <f>'Recycling - Case 3'!BM114*'Recycling - Case 3'!AK114*'Recycling - Case 3'!B114</f>
        <v>1918.5941052608575</v>
      </c>
      <c r="D175" s="672">
        <f>'Recycling - Case 3'!BN114*'Recycling - Case 3'!AK114*'Recycling - Case 3'!B114</f>
        <v>2564.161777453377</v>
      </c>
      <c r="E175" s="672">
        <f>'Recycling - Case 3'!BO114*'Recycling - Case 3'!AK114*'Recycling - Case 3'!B114</f>
        <v>860.58879383875342</v>
      </c>
      <c r="F175" s="672">
        <f>'Recycling - Case 3'!BP114*'Recycling - Case 3'!AK114*'Recycling - Case 3'!B114</f>
        <v>0</v>
      </c>
      <c r="G175" s="672">
        <f>'Recycling - Case 3'!BQ114*'Recycling - Case 3'!AK114*'Recycling - Case 3'!B114</f>
        <v>0</v>
      </c>
      <c r="H175" s="672">
        <f>'Recycling - Case 3'!BR114*'Recycling - Case 3'!AK114*'Recycling - Case 3'!B114</f>
        <v>0</v>
      </c>
      <c r="I175" s="672">
        <f>'Recycling - Case 3'!BS114*'Recycling - Case 3'!AK114*'Recycling - Case 3'!B114</f>
        <v>4301.4724819141411</v>
      </c>
      <c r="J175" s="945">
        <f t="shared" si="16"/>
        <v>9644.817158467129</v>
      </c>
      <c r="K175" s="613">
        <f>'4C2 Open-burning '!B175*'4C2 Open-burning '!$C$14*'4C2 Open-burning '!$C$5*'4C2 Open-burning '!$C$6*'4C2 Open-burning '!$C$7*C175</f>
        <v>0</v>
      </c>
      <c r="L175" s="614">
        <f>'4C2 Open-burning '!B175*'4C2 Open-burning '!$D$14*'4C2 Open-burning '!$C$5*'4C2 Open-burning '!$C$6*'4C2 Open-burning '!$C$7*D175</f>
        <v>0</v>
      </c>
      <c r="M175" s="614">
        <f>'4C2 Open-burning '!B175*'4C2 Open-burning '!$E$14*'4C2 Open-burning '!$C$5*'4C2 Open-burning '!$C$6*'4C2 Open-burning '!$C$7*E175</f>
        <v>0.55221676452230084</v>
      </c>
      <c r="N175" s="614">
        <f>'4C2 Open-burning '!B175*'4C2 Open-burning '!$F$14*'4C2 Open-burning '!$C$5*'4C2 Open-burning '!$C$6*'4C2 Open-burning '!$C$7*F175</f>
        <v>0</v>
      </c>
      <c r="O175" s="614">
        <f>'4C2 Open-burning '!B175*'4C2 Open-burning '!$G$14*'4C2 Open-burning '!$C$5*'4C2 Open-burning '!$C$6*'4C2 Open-burning '!$C$7*G175</f>
        <v>0</v>
      </c>
      <c r="P175" s="614">
        <f>'4C2 Open-burning '!B175*'4C2 Open-burning '!$H$14*'4C2 Open-burning '!$C$5*'4C2 Open-burning '!$C$6*'4C2 Open-burning '!$C$7*H175</f>
        <v>0</v>
      </c>
      <c r="Q175" s="614">
        <f>'4C2 Open-burning '!B175*'4C2 Open-burning '!$I$14*'4C2 Open-burning '!$C$5*'4C2 Open-burning '!$C$6*'4C2 Open-burning '!$C$7*I175</f>
        <v>18.000910491268904</v>
      </c>
      <c r="R175" s="615">
        <f t="shared" si="17"/>
        <v>18.553127255791203</v>
      </c>
      <c r="S175" s="614">
        <f>B175*C175*'4C2 Open-burning '!$C$9*'4C2 Open-burning '!$C$11*$C$5</f>
        <v>0.90888847774389359</v>
      </c>
      <c r="T175" s="614">
        <f>B175*D175*'4C2 Open-burning '!$C$9*'4C2 Open-burning '!$C$11*$C$5</f>
        <v>1.2147108594820841</v>
      </c>
      <c r="U175" s="614">
        <f>B175*E175*'4C2 Open-burning '!$C$9*'4C2 Open-burning '!$C$11*$C$5</f>
        <v>0.40768354111523275</v>
      </c>
      <c r="V175" s="614">
        <f>B175*F175*'4C2 Open-burning '!$C$9*'4C2 Open-burning '!$C$11*$C$5</f>
        <v>0</v>
      </c>
      <c r="W175" s="614">
        <f>B175*G175*'4C2 Open-burning '!$C$9*'4C2 Open-burning '!$C$11*$C$5</f>
        <v>0</v>
      </c>
      <c r="X175" s="614">
        <f>B175*H175*'4C2 Open-burning '!$C$9*'4C2 Open-burning '!$C$11*$C$5</f>
        <v>0</v>
      </c>
      <c r="Y175" s="614">
        <f>B175*I175*'4C2 Open-burning '!$C$9*'4C2 Open-burning '!$C$11*$C$5</f>
        <v>2.0377206233585485</v>
      </c>
      <c r="Z175" s="615">
        <f t="shared" si="18"/>
        <v>4.5690035016997594</v>
      </c>
      <c r="AA175" s="617">
        <f>B175*C175*'4C2 Open-burning '!$C$10*'4C2 Open-burning '!$C$11*$C$5*$C$15</f>
        <v>8.3897397945590178E-3</v>
      </c>
      <c r="AB175" s="617">
        <f>B175*D175*'4C2 Open-burning '!$C$10*'4C2 Open-burning '!$C$11*$C$5*$D$15</f>
        <v>1.1212715625988469E-2</v>
      </c>
      <c r="AC175" s="617">
        <f>B175*E175*'4C2 Open-burning '!$C$10*'4C2 Open-burning '!$C$11*$C$5*$E$15</f>
        <v>8.4672735462394504E-3</v>
      </c>
      <c r="AD175" s="617">
        <f>B175*F175*'4C2 Open-burning '!$C$10*'4C2 Open-burning '!$C$11*$C$5*$F$15</f>
        <v>0</v>
      </c>
      <c r="AE175" s="617">
        <f>B175*G175*'4C2 Open-burning '!$C$10*'4C2 Open-burning '!$C$11*$C$5*$G$15</f>
        <v>0</v>
      </c>
      <c r="AF175" s="617">
        <f>B175*H175*'4C2 Open-burning '!$C$10*'4C2 Open-burning '!$C$11*$C$5*$H$15</f>
        <v>0</v>
      </c>
      <c r="AG175" s="617">
        <f>B175*I175*'4C2 Open-burning '!$C$10*'4C2 Open-burning '!$C$11*$C$5*$I$15</f>
        <v>4.2321889869754471E-2</v>
      </c>
      <c r="AH175" s="618">
        <f t="shared" si="19"/>
        <v>7.0391618836541409E-2</v>
      </c>
      <c r="AI175" s="99"/>
      <c r="AJ175" s="4"/>
      <c r="AK175" s="4"/>
      <c r="AL175" s="4"/>
      <c r="AM175" s="4"/>
    </row>
    <row r="176" spans="1:39">
      <c r="A176" s="1192">
        <f>'Input data'!A135</f>
        <v>2037</v>
      </c>
      <c r="B176" s="713">
        <f>'Recycling - Case 3'!AP115</f>
        <v>0.1214682808560769</v>
      </c>
      <c r="C176" s="671">
        <f>'Recycling - Case 3'!BM115*'Recycling - Case 3'!AK115*'Recycling - Case 3'!B115</f>
        <v>1932.6259159350532</v>
      </c>
      <c r="D176" s="672">
        <f>'Recycling - Case 3'!BN115*'Recycling - Case 3'!AK115*'Recycling - Case 3'!B115</f>
        <v>2582.9150054032475</v>
      </c>
      <c r="E176" s="672">
        <f>'Recycling - Case 3'!BO115*'Recycling - Case 3'!AK115*'Recycling - Case 3'!B115</f>
        <v>866.88278744082277</v>
      </c>
      <c r="F176" s="672">
        <f>'Recycling - Case 3'!BP115*'Recycling - Case 3'!AK115*'Recycling - Case 3'!B115</f>
        <v>0</v>
      </c>
      <c r="G176" s="672">
        <f>'Recycling - Case 3'!BQ115*'Recycling - Case 3'!AK115*'Recycling - Case 3'!B115</f>
        <v>0</v>
      </c>
      <c r="H176" s="672">
        <f>'Recycling - Case 3'!BR115*'Recycling - Case 3'!AK115*'Recycling - Case 3'!B115</f>
        <v>0</v>
      </c>
      <c r="I176" s="672">
        <f>'Recycling - Case 3'!BS115*'Recycling - Case 3'!AK115*'Recycling - Case 3'!B115</f>
        <v>4332.9316880698252</v>
      </c>
      <c r="J176" s="945">
        <f t="shared" si="16"/>
        <v>9715.3553968489487</v>
      </c>
      <c r="K176" s="613">
        <f>'4C2 Open-burning '!B176*'4C2 Open-burning '!$C$14*'4C2 Open-burning '!$C$5*'4C2 Open-burning '!$C$6*'4C2 Open-burning '!$C$7*C176</f>
        <v>0</v>
      </c>
      <c r="L176" s="614">
        <f>'4C2 Open-burning '!B176*'4C2 Open-burning '!$D$14*'4C2 Open-burning '!$C$5*'4C2 Open-burning '!$C$6*'4C2 Open-burning '!$C$7*D176</f>
        <v>0</v>
      </c>
      <c r="M176" s="614">
        <f>'4C2 Open-burning '!B176*'4C2 Open-burning '!$E$14*'4C2 Open-burning '!$C$5*'4C2 Open-burning '!$C$6*'4C2 Open-burning '!$C$7*E176</f>
        <v>0.55625545153256883</v>
      </c>
      <c r="N176" s="614">
        <f>'4C2 Open-burning '!B176*'4C2 Open-burning '!$F$14*'4C2 Open-burning '!$C$5*'4C2 Open-burning '!$C$6*'4C2 Open-burning '!$C$7*F176</f>
        <v>0</v>
      </c>
      <c r="O176" s="614">
        <f>'4C2 Open-burning '!B176*'4C2 Open-burning '!$G$14*'4C2 Open-burning '!$C$5*'4C2 Open-burning '!$C$6*'4C2 Open-burning '!$C$7*G176</f>
        <v>0</v>
      </c>
      <c r="P176" s="614">
        <f>'4C2 Open-burning '!B176*'4C2 Open-burning '!$H$14*'4C2 Open-burning '!$C$5*'4C2 Open-burning '!$C$6*'4C2 Open-burning '!$C$7*H176</f>
        <v>0</v>
      </c>
      <c r="Q176" s="614">
        <f>'4C2 Open-burning '!B176*'4C2 Open-burning '!$I$14*'4C2 Open-burning '!$C$5*'4C2 Open-burning '!$C$6*'4C2 Open-burning '!$C$7*I176</f>
        <v>18.132561770340402</v>
      </c>
      <c r="R176" s="615">
        <f t="shared" si="17"/>
        <v>18.68881722187297</v>
      </c>
      <c r="S176" s="614">
        <f>B176*C176*'4C2 Open-burning '!$C$9*'4C2 Open-burning '!$C$11*$C$5</f>
        <v>0.91553571543147438</v>
      </c>
      <c r="T176" s="614">
        <f>B176*D176*'4C2 Open-burning '!$C$9*'4C2 Open-burning '!$C$11*$C$5</f>
        <v>1.2235947566844183</v>
      </c>
      <c r="U176" s="614">
        <f>B176*E176*'4C2 Open-burning '!$C$9*'4C2 Open-burning '!$C$11*$C$5</f>
        <v>0.41066517138722664</v>
      </c>
      <c r="V176" s="614">
        <f>B176*F176*'4C2 Open-burning '!$C$9*'4C2 Open-burning '!$C$11*$C$5</f>
        <v>0</v>
      </c>
      <c r="W176" s="614">
        <f>B176*G176*'4C2 Open-burning '!$C$9*'4C2 Open-burning '!$C$11*$C$5</f>
        <v>0</v>
      </c>
      <c r="X176" s="614">
        <f>B176*H176*'4C2 Open-burning '!$C$9*'4C2 Open-burning '!$C$11*$C$5</f>
        <v>0</v>
      </c>
      <c r="Y176" s="614">
        <f>B176*I176*'4C2 Open-burning '!$C$9*'4C2 Open-burning '!$C$11*$C$5</f>
        <v>2.0526236765449775</v>
      </c>
      <c r="Z176" s="615">
        <f t="shared" si="18"/>
        <v>4.6024193200480967</v>
      </c>
      <c r="AA176" s="617">
        <f>B176*C176*'4C2 Open-burning '!$C$10*'4C2 Open-burning '!$C$11*$C$5*$C$15</f>
        <v>8.4510989116751475E-3</v>
      </c>
      <c r="AB176" s="617">
        <f>B176*D176*'4C2 Open-burning '!$C$10*'4C2 Open-burning '!$C$11*$C$5*$D$15</f>
        <v>1.1294720830933094E-2</v>
      </c>
      <c r="AC176" s="617">
        <f>B176*E176*'4C2 Open-burning '!$C$10*'4C2 Open-burning '!$C$11*$C$5*$E$15</f>
        <v>8.5291997134270148E-3</v>
      </c>
      <c r="AD176" s="617">
        <f>B176*F176*'4C2 Open-burning '!$C$10*'4C2 Open-burning '!$C$11*$C$5*$F$15</f>
        <v>0</v>
      </c>
      <c r="AE176" s="617">
        <f>B176*G176*'4C2 Open-burning '!$C$10*'4C2 Open-burning '!$C$11*$C$5*$G$15</f>
        <v>0</v>
      </c>
      <c r="AF176" s="617">
        <f>B176*H176*'4C2 Open-burning '!$C$10*'4C2 Open-burning '!$C$11*$C$5*$H$15</f>
        <v>0</v>
      </c>
      <c r="AG176" s="617">
        <f>B176*I176*'4C2 Open-burning '!$C$10*'4C2 Open-burning '!$C$11*$C$5*$I$15</f>
        <v>4.2631414820549537E-2</v>
      </c>
      <c r="AH176" s="618">
        <f t="shared" si="19"/>
        <v>7.0906434276584801E-2</v>
      </c>
      <c r="AI176" s="99"/>
      <c r="AJ176" s="4"/>
      <c r="AK176" s="4"/>
      <c r="AL176" s="4"/>
      <c r="AM176" s="4"/>
    </row>
    <row r="177" spans="1:39">
      <c r="A177" s="1192">
        <f>'Input data'!A136</f>
        <v>2038</v>
      </c>
      <c r="B177" s="713">
        <f>'Recycling - Case 3'!AP116</f>
        <v>0.1214682808560769</v>
      </c>
      <c r="C177" s="671">
        <f>'Recycling - Case 3'!BM116*'Recycling - Case 3'!AK116*'Recycling - Case 3'!B116</f>
        <v>1946.7961073851282</v>
      </c>
      <c r="D177" s="672">
        <f>'Recycling - Case 3'!BN116*'Recycling - Case 3'!AK116*'Recycling - Case 3'!B116</f>
        <v>2601.8531764295467</v>
      </c>
      <c r="E177" s="672">
        <f>'Recycling - Case 3'!BO116*'Recycling - Case 3'!AK116*'Recycling - Case 3'!B116</f>
        <v>873.23885198571315</v>
      </c>
      <c r="F177" s="672">
        <f>'Recycling - Case 3'!BP116*'Recycling - Case 3'!AK116*'Recycling - Case 3'!B116</f>
        <v>0</v>
      </c>
      <c r="G177" s="672">
        <f>'Recycling - Case 3'!BQ116*'Recycling - Case 3'!AK116*'Recycling - Case 3'!B116</f>
        <v>0</v>
      </c>
      <c r="H177" s="672">
        <f>'Recycling - Case 3'!BR116*'Recycling - Case 3'!AK116*'Recycling - Case 3'!B116</f>
        <v>0</v>
      </c>
      <c r="I177" s="672">
        <f>'Recycling - Case 3'!BS116*'Recycling - Case 3'!AK116*'Recycling - Case 3'!B116</f>
        <v>4364.7011428069263</v>
      </c>
      <c r="J177" s="945">
        <f t="shared" si="16"/>
        <v>9786.5892786073146</v>
      </c>
      <c r="K177" s="613">
        <f>'4C2 Open-burning '!B177*'4C2 Open-burning '!$C$14*'4C2 Open-burning '!$C$5*'4C2 Open-burning '!$C$6*'4C2 Open-burning '!$C$7*C177</f>
        <v>0</v>
      </c>
      <c r="L177" s="614">
        <f>'4C2 Open-burning '!B177*'4C2 Open-burning '!$D$14*'4C2 Open-burning '!$C$5*'4C2 Open-burning '!$C$6*'4C2 Open-burning '!$C$7*D177</f>
        <v>0</v>
      </c>
      <c r="M177" s="614">
        <f>'4C2 Open-burning '!B177*'4C2 Open-burning '!$E$14*'4C2 Open-burning '!$C$5*'4C2 Open-burning '!$C$6*'4C2 Open-burning '!$C$7*E177</f>
        <v>0.56033396780329303</v>
      </c>
      <c r="N177" s="614">
        <f>'4C2 Open-burning '!B177*'4C2 Open-burning '!$F$14*'4C2 Open-burning '!$C$5*'4C2 Open-burning '!$C$6*'4C2 Open-burning '!$C$7*F177</f>
        <v>0</v>
      </c>
      <c r="O177" s="614">
        <f>'4C2 Open-burning '!B177*'4C2 Open-burning '!$G$14*'4C2 Open-burning '!$C$5*'4C2 Open-burning '!$C$6*'4C2 Open-burning '!$C$7*G177</f>
        <v>0</v>
      </c>
      <c r="P177" s="614">
        <f>'4C2 Open-burning '!B177*'4C2 Open-burning '!$H$14*'4C2 Open-burning '!$C$5*'4C2 Open-burning '!$C$6*'4C2 Open-burning '!$C$7*H177</f>
        <v>0</v>
      </c>
      <c r="Q177" s="614">
        <f>'4C2 Open-burning '!B177*'4C2 Open-burning '!$I$14*'4C2 Open-burning '!$C$5*'4C2 Open-burning '!$C$6*'4C2 Open-burning '!$C$7*I177</f>
        <v>18.265511385497415</v>
      </c>
      <c r="R177" s="615">
        <f t="shared" si="17"/>
        <v>18.825845353300707</v>
      </c>
      <c r="S177" s="614">
        <f>B177*C177*'4C2 Open-burning '!$C$9*'4C2 Open-burning '!$C$11*$C$5</f>
        <v>0.92224850773135847</v>
      </c>
      <c r="T177" s="614">
        <f>B177*D177*'4C2 Open-burning '!$C$9*'4C2 Open-burning '!$C$11*$C$5</f>
        <v>1.2325662662851979</v>
      </c>
      <c r="U177" s="614">
        <f>B177*E177*'4C2 Open-burning '!$C$9*'4C2 Open-burning '!$C$11*$C$5</f>
        <v>0.41367620629701118</v>
      </c>
      <c r="V177" s="614">
        <f>B177*F177*'4C2 Open-burning '!$C$9*'4C2 Open-burning '!$C$11*$C$5</f>
        <v>0</v>
      </c>
      <c r="W177" s="614">
        <f>B177*G177*'4C2 Open-burning '!$C$9*'4C2 Open-burning '!$C$11*$C$5</f>
        <v>0</v>
      </c>
      <c r="X177" s="614">
        <f>B177*H177*'4C2 Open-burning '!$C$9*'4C2 Open-burning '!$C$11*$C$5</f>
        <v>0</v>
      </c>
      <c r="Y177" s="614">
        <f>B177*I177*'4C2 Open-burning '!$C$9*'4C2 Open-burning '!$C$11*$C$5</f>
        <v>2.0676737026425149</v>
      </c>
      <c r="Z177" s="615">
        <f t="shared" si="18"/>
        <v>4.6361646829560827</v>
      </c>
      <c r="AA177" s="617">
        <f>B177*C177*'4C2 Open-burning '!$C$10*'4C2 Open-burning '!$C$11*$C$5*$C$15</f>
        <v>8.5130631482894636E-3</v>
      </c>
      <c r="AB177" s="617">
        <f>B177*D177*'4C2 Open-burning '!$C$10*'4C2 Open-burning '!$C$11*$C$5*$D$15</f>
        <v>1.1377534765709518E-2</v>
      </c>
      <c r="AC177" s="617">
        <f>B177*E177*'4C2 Open-burning '!$C$10*'4C2 Open-burning '!$C$11*$C$5*$E$15</f>
        <v>8.5917365923225391E-3</v>
      </c>
      <c r="AD177" s="617">
        <f>B177*F177*'4C2 Open-burning '!$C$10*'4C2 Open-burning '!$C$11*$C$5*$F$15</f>
        <v>0</v>
      </c>
      <c r="AE177" s="617">
        <f>B177*G177*'4C2 Open-burning '!$C$10*'4C2 Open-burning '!$C$11*$C$5*$G$15</f>
        <v>0</v>
      </c>
      <c r="AF177" s="617">
        <f>B177*H177*'4C2 Open-burning '!$C$10*'4C2 Open-burning '!$C$11*$C$5*$H$15</f>
        <v>0</v>
      </c>
      <c r="AG177" s="617">
        <f>B177*I177*'4C2 Open-burning '!$C$10*'4C2 Open-burning '!$C$11*$C$5*$I$15</f>
        <v>4.2943992285652245E-2</v>
      </c>
      <c r="AH177" s="618">
        <f t="shared" si="19"/>
        <v>7.1426326791973777E-2</v>
      </c>
      <c r="AI177" s="99"/>
      <c r="AJ177" s="4"/>
      <c r="AK177" s="4"/>
      <c r="AL177" s="4"/>
      <c r="AM177" s="4"/>
    </row>
    <row r="178" spans="1:39">
      <c r="A178" s="1192">
        <f>'Input data'!A137</f>
        <v>2039</v>
      </c>
      <c r="B178" s="713">
        <f>'Recycling - Case 3'!AP117</f>
        <v>0.1214682808560769</v>
      </c>
      <c r="C178" s="671">
        <f>'Recycling - Case 3'!BM117*'Recycling - Case 3'!AK117*'Recycling - Case 3'!B117</f>
        <v>1961.0493273007312</v>
      </c>
      <c r="D178" s="672">
        <f>'Recycling - Case 3'!BN117*'Recycling - Case 3'!AK117*'Recycling - Case 3'!B117</f>
        <v>2620.9023133017031</v>
      </c>
      <c r="E178" s="672">
        <f>'Recycling - Case 3'!BO117*'Recycling - Case 3'!AK117*'Recycling - Case 3'!B117</f>
        <v>879.63215909629639</v>
      </c>
      <c r="F178" s="672">
        <f>'Recycling - Case 3'!BP117*'Recycling - Case 3'!AK117*'Recycling - Case 3'!B117</f>
        <v>0</v>
      </c>
      <c r="G178" s="672">
        <f>'Recycling - Case 3'!BQ117*'Recycling - Case 3'!AK117*'Recycling - Case 3'!B117</f>
        <v>0</v>
      </c>
      <c r="H178" s="672">
        <f>'Recycling - Case 3'!BR117*'Recycling - Case 3'!AK117*'Recycling - Case 3'!B117</f>
        <v>0</v>
      </c>
      <c r="I178" s="672">
        <f>'Recycling - Case 3'!BS117*'Recycling - Case 3'!AK117*'Recycling - Case 3'!B117</f>
        <v>4396.6567466928773</v>
      </c>
      <c r="J178" s="945">
        <f t="shared" si="16"/>
        <v>9858.2405463916075</v>
      </c>
      <c r="K178" s="613">
        <f>'4C2 Open-burning '!B178*'4C2 Open-burning '!$C$14*'4C2 Open-burning '!$C$5*'4C2 Open-burning '!$C$6*'4C2 Open-burning '!$C$7*C178</f>
        <v>0</v>
      </c>
      <c r="L178" s="614">
        <f>'4C2 Open-burning '!B178*'4C2 Open-burning '!$D$14*'4C2 Open-burning '!$C$5*'4C2 Open-burning '!$C$6*'4C2 Open-burning '!$C$7*D178</f>
        <v>0</v>
      </c>
      <c r="M178" s="614">
        <f>'4C2 Open-burning '!B178*'4C2 Open-burning '!$E$14*'4C2 Open-burning '!$C$5*'4C2 Open-burning '!$C$6*'4C2 Open-burning '!$C$7*E178</f>
        <v>0.56443638163029108</v>
      </c>
      <c r="N178" s="614">
        <f>'4C2 Open-burning '!B178*'4C2 Open-burning '!$F$14*'4C2 Open-burning '!$C$5*'4C2 Open-burning '!$C$6*'4C2 Open-burning '!$C$7*F178</f>
        <v>0</v>
      </c>
      <c r="O178" s="614">
        <f>'4C2 Open-burning '!B178*'4C2 Open-burning '!$G$14*'4C2 Open-burning '!$C$5*'4C2 Open-burning '!$C$6*'4C2 Open-burning '!$C$7*G178</f>
        <v>0</v>
      </c>
      <c r="P178" s="614">
        <f>'4C2 Open-burning '!B178*'4C2 Open-burning '!$H$14*'4C2 Open-burning '!$C$5*'4C2 Open-burning '!$C$6*'4C2 Open-burning '!$C$7*H178</f>
        <v>0</v>
      </c>
      <c r="Q178" s="614">
        <f>'4C2 Open-burning '!B178*'4C2 Open-burning '!$I$14*'4C2 Open-burning '!$C$5*'4C2 Open-burning '!$C$6*'4C2 Open-burning '!$C$7*I178</f>
        <v>18.399240002305739</v>
      </c>
      <c r="R178" s="615">
        <f t="shared" si="17"/>
        <v>18.963676383936029</v>
      </c>
      <c r="S178" s="614">
        <f>B178*C178*'4C2 Open-burning '!$C$9*'4C2 Open-burning '!$C$11*$C$5</f>
        <v>0.92900063279862488</v>
      </c>
      <c r="T178" s="614">
        <f>B178*D178*'4C2 Open-burning '!$C$9*'4C2 Open-burning '!$C$11*$C$5</f>
        <v>1.2415903433250441</v>
      </c>
      <c r="U178" s="614">
        <f>B178*E178*'4C2 Open-burning '!$C$9*'4C2 Open-burning '!$C$11*$C$5</f>
        <v>0.41670488398947036</v>
      </c>
      <c r="V178" s="614">
        <f>B178*F178*'4C2 Open-burning '!$C$9*'4C2 Open-burning '!$C$11*$C$5</f>
        <v>0</v>
      </c>
      <c r="W178" s="614">
        <f>B178*G178*'4C2 Open-burning '!$C$9*'4C2 Open-burning '!$C$11*$C$5</f>
        <v>0</v>
      </c>
      <c r="X178" s="614">
        <f>B178*H178*'4C2 Open-burning '!$C$9*'4C2 Open-burning '!$C$11*$C$5</f>
        <v>0</v>
      </c>
      <c r="Y178" s="614">
        <f>B178*I178*'4C2 Open-burning '!$C$9*'4C2 Open-burning '!$C$11*$C$5</f>
        <v>2.0828119124867173</v>
      </c>
      <c r="Z178" s="615">
        <f t="shared" si="18"/>
        <v>4.6701077725998559</v>
      </c>
      <c r="AA178" s="617">
        <f>B178*C178*'4C2 Open-burning '!$C$10*'4C2 Open-burning '!$C$11*$C$5*$C$15</f>
        <v>8.5753904566026919E-3</v>
      </c>
      <c r="AB178" s="617">
        <f>B178*D178*'4C2 Open-burning '!$C$10*'4C2 Open-burning '!$C$11*$C$5*$D$15</f>
        <v>1.1460833938385026E-2</v>
      </c>
      <c r="AC178" s="617">
        <f>B178*E178*'4C2 Open-burning '!$C$10*'4C2 Open-burning '!$C$11*$C$5*$E$15</f>
        <v>8.6546398982428451E-3</v>
      </c>
      <c r="AD178" s="617">
        <f>B178*F178*'4C2 Open-burning '!$C$10*'4C2 Open-burning '!$C$11*$C$5*$F$15</f>
        <v>0</v>
      </c>
      <c r="AE178" s="617">
        <f>B178*G178*'4C2 Open-burning '!$C$10*'4C2 Open-burning '!$C$11*$C$5*$G$15</f>
        <v>0</v>
      </c>
      <c r="AF178" s="617">
        <f>B178*H178*'4C2 Open-burning '!$C$10*'4C2 Open-burning '!$C$11*$C$5*$H$15</f>
        <v>0</v>
      </c>
      <c r="AG178" s="617">
        <f>B178*I178*'4C2 Open-burning '!$C$10*'4C2 Open-burning '!$C$11*$C$5*$I$15</f>
        <v>4.3258401259339517E-2</v>
      </c>
      <c r="AH178" s="618">
        <f t="shared" si="19"/>
        <v>7.1949265552570085E-2</v>
      </c>
      <c r="AI178" s="99"/>
      <c r="AJ178" s="4"/>
      <c r="AK178" s="4"/>
      <c r="AL178" s="4"/>
      <c r="AM178" s="4"/>
    </row>
    <row r="179" spans="1:39">
      <c r="A179" s="1192">
        <f>'Input data'!A138</f>
        <v>2040</v>
      </c>
      <c r="B179" s="713">
        <f>'Recycling - Case 3'!AP118</f>
        <v>0.1214682808560769</v>
      </c>
      <c r="C179" s="671">
        <f>'Recycling - Case 3'!BM118*'Recycling - Case 3'!AK118*'Recycling - Case 3'!B118</f>
        <v>1975.3855756818618</v>
      </c>
      <c r="D179" s="672">
        <f>'Recycling - Case 3'!BN118*'Recycling - Case 3'!AK118*'Recycling - Case 3'!B118</f>
        <v>2640.0624160197167</v>
      </c>
      <c r="E179" s="672">
        <f>'Recycling - Case 3'!BO118*'Recycling - Case 3'!AK118*'Recycling - Case 3'!B118</f>
        <v>886.06270877257225</v>
      </c>
      <c r="F179" s="672">
        <f>'Recycling - Case 3'!BP118*'Recycling - Case 3'!AK118*'Recycling - Case 3'!B118</f>
        <v>0</v>
      </c>
      <c r="G179" s="672">
        <f>'Recycling - Case 3'!BQ118*'Recycling - Case 3'!AK118*'Recycling - Case 3'!B118</f>
        <v>0</v>
      </c>
      <c r="H179" s="672">
        <f>'Recycling - Case 3'!BR118*'Recycling - Case 3'!AK118*'Recycling - Case 3'!B118</f>
        <v>0</v>
      </c>
      <c r="I179" s="672">
        <f>'Recycling - Case 3'!BS118*'Recycling - Case 3'!AK118*'Recycling - Case 3'!B118</f>
        <v>4428.798499727679</v>
      </c>
      <c r="J179" s="945">
        <f t="shared" si="16"/>
        <v>9930.3092002018311</v>
      </c>
      <c r="K179" s="613">
        <f>'4C2 Open-burning '!B179*'4C2 Open-burning '!$C$14*'4C2 Open-burning '!$C$5*'4C2 Open-burning '!$C$6*'4C2 Open-burning '!$C$7*C179</f>
        <v>0</v>
      </c>
      <c r="L179" s="614">
        <f>'4C2 Open-burning '!B179*'4C2 Open-burning '!$D$14*'4C2 Open-burning '!$C$5*'4C2 Open-burning '!$C$6*'4C2 Open-burning '!$C$7*D179</f>
        <v>0</v>
      </c>
      <c r="M179" s="614">
        <f>'4C2 Open-burning '!B179*'4C2 Open-burning '!$E$14*'4C2 Open-burning '!$C$5*'4C2 Open-burning '!$C$6*'4C2 Open-burning '!$C$7*E179</f>
        <v>0.56856269301356288</v>
      </c>
      <c r="N179" s="614">
        <f>'4C2 Open-burning '!B179*'4C2 Open-burning '!$F$14*'4C2 Open-burning '!$C$5*'4C2 Open-burning '!$C$6*'4C2 Open-burning '!$C$7*F179</f>
        <v>0</v>
      </c>
      <c r="O179" s="614">
        <f>'4C2 Open-burning '!B179*'4C2 Open-burning '!$G$14*'4C2 Open-burning '!$C$5*'4C2 Open-burning '!$C$6*'4C2 Open-burning '!$C$7*G179</f>
        <v>0</v>
      </c>
      <c r="P179" s="614">
        <f>'4C2 Open-burning '!B179*'4C2 Open-burning '!$H$14*'4C2 Open-burning '!$C$5*'4C2 Open-burning '!$C$6*'4C2 Open-burning '!$C$7*H179</f>
        <v>0</v>
      </c>
      <c r="Q179" s="614">
        <f>'4C2 Open-burning '!B179*'4C2 Open-burning '!$I$14*'4C2 Open-burning '!$C$5*'4C2 Open-burning '!$C$6*'4C2 Open-burning '!$C$7*I179</f>
        <v>18.533747620765379</v>
      </c>
      <c r="R179" s="615">
        <f t="shared" si="17"/>
        <v>19.10231031377894</v>
      </c>
      <c r="S179" s="614">
        <f>B179*C179*'4C2 Open-burning '!$C$9*'4C2 Open-burning '!$C$11*$C$5</f>
        <v>0.9357920906332734</v>
      </c>
      <c r="T179" s="614">
        <f>B179*D179*'4C2 Open-burning '!$C$9*'4C2 Open-burning '!$C$11*$C$5</f>
        <v>1.250666987803958</v>
      </c>
      <c r="U179" s="614">
        <f>B179*E179*'4C2 Open-burning '!$C$9*'4C2 Open-burning '!$C$11*$C$5</f>
        <v>0.41975120446460396</v>
      </c>
      <c r="V179" s="614">
        <f>B179*F179*'4C2 Open-burning '!$C$9*'4C2 Open-burning '!$C$11*$C$5</f>
        <v>0</v>
      </c>
      <c r="W179" s="614">
        <f>B179*G179*'4C2 Open-burning '!$C$9*'4C2 Open-burning '!$C$11*$C$5</f>
        <v>0</v>
      </c>
      <c r="X179" s="614">
        <f>B179*H179*'4C2 Open-burning '!$C$9*'4C2 Open-burning '!$C$11*$C$5</f>
        <v>0</v>
      </c>
      <c r="Y179" s="614">
        <f>B179*I179*'4C2 Open-burning '!$C$9*'4C2 Open-burning '!$C$11*$C$5</f>
        <v>2.0980383060775849</v>
      </c>
      <c r="Z179" s="615">
        <f t="shared" si="18"/>
        <v>4.7042485889794206</v>
      </c>
      <c r="AA179" s="617">
        <f>B179*C179*'4C2 Open-burning '!$C$10*'4C2 Open-burning '!$C$11*$C$5*$C$15</f>
        <v>8.6380808366148306E-3</v>
      </c>
      <c r="AB179" s="617">
        <f>B179*D179*'4C2 Open-burning '!$C$10*'4C2 Open-burning '!$C$11*$C$5*$D$15</f>
        <v>1.1544618348959611E-2</v>
      </c>
      <c r="AC179" s="617">
        <f>B179*E179*'4C2 Open-burning '!$C$10*'4C2 Open-burning '!$C$11*$C$5*$E$15</f>
        <v>8.7179096311879294E-3</v>
      </c>
      <c r="AD179" s="617">
        <f>B179*F179*'4C2 Open-burning '!$C$10*'4C2 Open-burning '!$C$11*$C$5*$F$15</f>
        <v>0</v>
      </c>
      <c r="AE179" s="617">
        <f>B179*G179*'4C2 Open-burning '!$C$10*'4C2 Open-burning '!$C$11*$C$5*$G$15</f>
        <v>0</v>
      </c>
      <c r="AF179" s="617">
        <f>B179*H179*'4C2 Open-burning '!$C$10*'4C2 Open-burning '!$C$11*$C$5*$H$15</f>
        <v>0</v>
      </c>
      <c r="AG179" s="617">
        <f>B179*I179*'4C2 Open-burning '!$C$10*'4C2 Open-burning '!$C$11*$C$5*$I$15</f>
        <v>4.3574641741611388E-2</v>
      </c>
      <c r="AH179" s="618">
        <f t="shared" si="19"/>
        <v>7.2475250558373755E-2</v>
      </c>
      <c r="AI179" s="99"/>
      <c r="AJ179" s="4"/>
      <c r="AK179" s="4"/>
      <c r="AL179" s="4"/>
      <c r="AM179" s="4"/>
    </row>
    <row r="180" spans="1:39">
      <c r="A180" s="1192">
        <f>'Input data'!A139</f>
        <v>2041</v>
      </c>
      <c r="B180" s="713">
        <f>'Recycling - Case 3'!AP119</f>
        <v>0.1214682808560769</v>
      </c>
      <c r="C180" s="671">
        <f>'Recycling - Case 3'!BM119*'Recycling - Case 3'!AK119*'Recycling - Case 3'!B119</f>
        <v>1987.6737885799741</v>
      </c>
      <c r="D180" s="672">
        <f>'Recycling - Case 3'!BN119*'Recycling - Case 3'!AK119*'Recycling - Case 3'!B119</f>
        <v>2656.4853612065854</v>
      </c>
      <c r="E180" s="672">
        <f>'Recycling - Case 3'!BO119*'Recycling - Case 3'!AK119*'Recycling - Case 3'!B119</f>
        <v>891.57460849509448</v>
      </c>
      <c r="F180" s="672">
        <f>'Recycling - Case 3'!BP119*'Recycling - Case 3'!AK119*'Recycling - Case 3'!B119</f>
        <v>0</v>
      </c>
      <c r="G180" s="672">
        <f>'Recycling - Case 3'!BQ119*'Recycling - Case 3'!AK119*'Recycling - Case 3'!B119</f>
        <v>0</v>
      </c>
      <c r="H180" s="672">
        <f>'Recycling - Case 3'!BR119*'Recycling - Case 3'!AK119*'Recycling - Case 3'!B119</f>
        <v>0</v>
      </c>
      <c r="I180" s="672">
        <f>'Recycling - Case 3'!BS119*'Recycling - Case 3'!AK119*'Recycling - Case 3'!B119</f>
        <v>4456.3485737575083</v>
      </c>
      <c r="J180" s="945">
        <f t="shared" si="16"/>
        <v>9992.082332039161</v>
      </c>
      <c r="K180" s="613">
        <f>'4C2 Open-burning '!B180*'4C2 Open-burning '!$C$14*'4C2 Open-burning '!$C$5*'4C2 Open-burning '!$C$6*'4C2 Open-burning '!$C$7*C180</f>
        <v>0</v>
      </c>
      <c r="L180" s="614">
        <f>'4C2 Open-burning '!B180*'4C2 Open-burning '!$D$14*'4C2 Open-burning '!$C$5*'4C2 Open-burning '!$C$6*'4C2 Open-burning '!$C$7*D180</f>
        <v>0</v>
      </c>
      <c r="M180" s="614">
        <f>'4C2 Open-burning '!B180*'4C2 Open-burning '!$E$14*'4C2 Open-burning '!$C$5*'4C2 Open-burning '!$C$6*'4C2 Open-burning '!$C$7*E180</f>
        <v>0.57209953134208169</v>
      </c>
      <c r="N180" s="614">
        <f>'4C2 Open-burning '!B180*'4C2 Open-burning '!$F$14*'4C2 Open-burning '!$C$5*'4C2 Open-burning '!$C$6*'4C2 Open-burning '!$C$7*F180</f>
        <v>0</v>
      </c>
      <c r="O180" s="614">
        <f>'4C2 Open-burning '!B180*'4C2 Open-burning '!$G$14*'4C2 Open-burning '!$C$5*'4C2 Open-burning '!$C$6*'4C2 Open-burning '!$C$7*G180</f>
        <v>0</v>
      </c>
      <c r="P180" s="614">
        <f>'4C2 Open-burning '!B180*'4C2 Open-burning '!$H$14*'4C2 Open-burning '!$C$5*'4C2 Open-burning '!$C$6*'4C2 Open-burning '!$C$7*H180</f>
        <v>0</v>
      </c>
      <c r="Q180" s="614">
        <f>'4C2 Open-burning '!B180*'4C2 Open-burning '!$I$14*'4C2 Open-burning '!$C$5*'4C2 Open-burning '!$C$6*'4C2 Open-burning '!$C$7*I180</f>
        <v>18.649039865159349</v>
      </c>
      <c r="R180" s="615">
        <f t="shared" si="17"/>
        <v>19.221139396501432</v>
      </c>
      <c r="S180" s="614">
        <f>B180*C180*'4C2 Open-burning '!$C$9*'4C2 Open-burning '!$C$11*$C$5</f>
        <v>0.94161334020582921</v>
      </c>
      <c r="T180" s="614">
        <f>B180*D180*'4C2 Open-burning '!$C$9*'4C2 Open-burning '!$C$11*$C$5</f>
        <v>1.2584469687858837</v>
      </c>
      <c r="U180" s="614">
        <f>B180*E180*'4C2 Open-burning '!$C$9*'4C2 Open-burning '!$C$11*$C$5</f>
        <v>0.42236233630043279</v>
      </c>
      <c r="V180" s="614">
        <f>B180*F180*'4C2 Open-burning '!$C$9*'4C2 Open-burning '!$C$11*$C$5</f>
        <v>0</v>
      </c>
      <c r="W180" s="614">
        <f>B180*G180*'4C2 Open-burning '!$C$9*'4C2 Open-burning '!$C$11*$C$5</f>
        <v>0</v>
      </c>
      <c r="X180" s="614">
        <f>B180*H180*'4C2 Open-burning '!$C$9*'4C2 Open-burning '!$C$11*$C$5</f>
        <v>0</v>
      </c>
      <c r="Y180" s="614">
        <f>B180*I180*'4C2 Open-burning '!$C$9*'4C2 Open-burning '!$C$11*$C$5</f>
        <v>2.1110895005840433</v>
      </c>
      <c r="Z180" s="615">
        <f t="shared" si="18"/>
        <v>4.7335121458761886</v>
      </c>
      <c r="AA180" s="617">
        <f>B180*C180*'4C2 Open-burning '!$C$10*'4C2 Open-burning '!$C$11*$C$5*$C$15</f>
        <v>8.6918154480538096E-3</v>
      </c>
      <c r="AB180" s="617">
        <f>B180*D180*'4C2 Open-burning '!$C$10*'4C2 Open-burning '!$C$11*$C$5*$D$15</f>
        <v>1.1616433558023543E-2</v>
      </c>
      <c r="AC180" s="617">
        <f>B180*E180*'4C2 Open-burning '!$C$10*'4C2 Open-burning '!$C$11*$C$5*$E$15</f>
        <v>8.7721408308551463E-3</v>
      </c>
      <c r="AD180" s="617">
        <f>B180*F180*'4C2 Open-burning '!$C$10*'4C2 Open-burning '!$C$11*$C$5*$F$15</f>
        <v>0</v>
      </c>
      <c r="AE180" s="617">
        <f>B180*G180*'4C2 Open-burning '!$C$10*'4C2 Open-burning '!$C$11*$C$5*$G$15</f>
        <v>0</v>
      </c>
      <c r="AF180" s="617">
        <f>B180*H180*'4C2 Open-burning '!$C$10*'4C2 Open-burning '!$C$11*$C$5*$H$15</f>
        <v>0</v>
      </c>
      <c r="AG180" s="617">
        <f>B180*I180*'4C2 Open-burning '!$C$10*'4C2 Open-burning '!$C$11*$C$5*$I$15</f>
        <v>4.3845705012130129E-2</v>
      </c>
      <c r="AH180" s="618">
        <f t="shared" si="19"/>
        <v>7.2926094849062623E-2</v>
      </c>
      <c r="AI180" s="99"/>
      <c r="AJ180" s="4"/>
      <c r="AK180" s="4"/>
      <c r="AL180" s="4"/>
      <c r="AM180" s="4"/>
    </row>
    <row r="181" spans="1:39">
      <c r="A181" s="1192">
        <f>'Input data'!A140</f>
        <v>2042</v>
      </c>
      <c r="B181" s="713">
        <f>'Recycling - Case 3'!AP120</f>
        <v>0.1214682808560769</v>
      </c>
      <c r="C181" s="671">
        <f>'Recycling - Case 3'!BM120*'Recycling - Case 3'!AK120*'Recycling - Case 3'!B120</f>
        <v>2000.017353788438</v>
      </c>
      <c r="D181" s="672">
        <f>'Recycling - Case 3'!BN120*'Recycling - Case 3'!AK120*'Recycling - Case 3'!B120</f>
        <v>2672.9822836240255</v>
      </c>
      <c r="E181" s="672">
        <f>'Recycling - Case 3'!BO120*'Recycling - Case 3'!AK120*'Recycling - Case 3'!B120</f>
        <v>897.11133659474524</v>
      </c>
      <c r="F181" s="672">
        <f>'Recycling - Case 3'!BP120*'Recycling - Case 3'!AK120*'Recycling - Case 3'!B120</f>
        <v>0</v>
      </c>
      <c r="G181" s="672">
        <f>'Recycling - Case 3'!BQ120*'Recycling - Case 3'!AK120*'Recycling - Case 3'!B120</f>
        <v>0</v>
      </c>
      <c r="H181" s="672">
        <f>'Recycling - Case 3'!BR120*'Recycling - Case 3'!AK120*'Recycling - Case 3'!B120</f>
        <v>0</v>
      </c>
      <c r="I181" s="672">
        <f>'Recycling - Case 3'!BS120*'Recycling - Case 3'!AK120*'Recycling - Case 3'!B120</f>
        <v>4484.0227472199049</v>
      </c>
      <c r="J181" s="945">
        <f t="shared" si="16"/>
        <v>10054.133721227114</v>
      </c>
      <c r="K181" s="613">
        <f>'4C2 Open-burning '!B181*'4C2 Open-burning '!$C$14*'4C2 Open-burning '!$C$5*'4C2 Open-burning '!$C$6*'4C2 Open-burning '!$C$7*C181</f>
        <v>0</v>
      </c>
      <c r="L181" s="614">
        <f>'4C2 Open-burning '!B181*'4C2 Open-burning '!$D$14*'4C2 Open-burning '!$C$5*'4C2 Open-burning '!$C$6*'4C2 Open-burning '!$C$7*D181</f>
        <v>0</v>
      </c>
      <c r="M181" s="614">
        <f>'4C2 Open-burning '!B181*'4C2 Open-burning '!$E$14*'4C2 Open-burning '!$C$5*'4C2 Open-burning '!$C$6*'4C2 Open-burning '!$C$7*E181</f>
        <v>0.57565230137478285</v>
      </c>
      <c r="N181" s="614">
        <f>'4C2 Open-burning '!B181*'4C2 Open-burning '!$F$14*'4C2 Open-burning '!$C$5*'4C2 Open-burning '!$C$6*'4C2 Open-burning '!$C$7*F181</f>
        <v>0</v>
      </c>
      <c r="O181" s="614">
        <f>'4C2 Open-burning '!B181*'4C2 Open-burning '!$G$14*'4C2 Open-burning '!$C$5*'4C2 Open-burning '!$C$6*'4C2 Open-burning '!$C$7*G181</f>
        <v>0</v>
      </c>
      <c r="P181" s="614">
        <f>'4C2 Open-burning '!B181*'4C2 Open-burning '!$H$14*'4C2 Open-burning '!$C$5*'4C2 Open-burning '!$C$6*'4C2 Open-burning '!$C$7*H181</f>
        <v>0</v>
      </c>
      <c r="Q181" s="614">
        <f>'4C2 Open-burning '!B181*'4C2 Open-burning '!$I$14*'4C2 Open-burning '!$C$5*'4C2 Open-burning '!$C$6*'4C2 Open-burning '!$C$7*I181</f>
        <v>18.764851443987531</v>
      </c>
      <c r="R181" s="615">
        <f t="shared" si="17"/>
        <v>19.340503745362316</v>
      </c>
      <c r="S181" s="614">
        <f>B181*C181*'4C2 Open-burning '!$C$9*'4C2 Open-burning '!$C$11*$C$5</f>
        <v>0.94746081162330653</v>
      </c>
      <c r="T181" s="614">
        <f>B181*D181*'4C2 Open-burning '!$C$9*'4C2 Open-burning '!$C$11*$C$5</f>
        <v>1.2662619947271876</v>
      </c>
      <c r="U181" s="614">
        <f>B181*E181*'4C2 Open-burning '!$C$9*'4C2 Open-burning '!$C$11*$C$5</f>
        <v>0.42498522999137811</v>
      </c>
      <c r="V181" s="614">
        <f>B181*F181*'4C2 Open-burning '!$C$9*'4C2 Open-burning '!$C$11*$C$5</f>
        <v>0</v>
      </c>
      <c r="W181" s="614">
        <f>B181*G181*'4C2 Open-burning '!$C$9*'4C2 Open-burning '!$C$11*$C$5</f>
        <v>0</v>
      </c>
      <c r="X181" s="614">
        <f>B181*H181*'4C2 Open-burning '!$C$9*'4C2 Open-burning '!$C$11*$C$5</f>
        <v>0</v>
      </c>
      <c r="Y181" s="614">
        <f>B181*I181*'4C2 Open-burning '!$C$9*'4C2 Open-burning '!$C$11*$C$5</f>
        <v>2.124199484254945</v>
      </c>
      <c r="Z181" s="615">
        <f t="shared" si="18"/>
        <v>4.7629075205968174</v>
      </c>
      <c r="AA181" s="617">
        <f>B181*C181*'4C2 Open-burning '!$C$10*'4C2 Open-burning '!$C$11*$C$5*$C$15</f>
        <v>8.7457921072920611E-3</v>
      </c>
      <c r="AB181" s="617">
        <f>B181*D181*'4C2 Open-burning '!$C$10*'4C2 Open-burning '!$C$11*$C$5*$D$15</f>
        <v>1.1688572259020192E-2</v>
      </c>
      <c r="AC181" s="617">
        <f>B181*E181*'4C2 Open-burning '!$C$10*'4C2 Open-burning '!$C$11*$C$5*$E$15</f>
        <v>8.8266163152055464E-3</v>
      </c>
      <c r="AD181" s="617">
        <f>B181*F181*'4C2 Open-burning '!$C$10*'4C2 Open-burning '!$C$11*$C$5*$F$15</f>
        <v>0</v>
      </c>
      <c r="AE181" s="617">
        <f>B181*G181*'4C2 Open-burning '!$C$10*'4C2 Open-burning '!$C$11*$C$5*$G$15</f>
        <v>0</v>
      </c>
      <c r="AF181" s="617">
        <f>B181*H181*'4C2 Open-burning '!$C$10*'4C2 Open-burning '!$C$11*$C$5*$H$15</f>
        <v>0</v>
      </c>
      <c r="AG181" s="617">
        <f>B181*I181*'4C2 Open-burning '!$C$10*'4C2 Open-burning '!$C$11*$C$5*$I$15</f>
        <v>4.4117989288371934E-2</v>
      </c>
      <c r="AH181" s="618">
        <f t="shared" si="19"/>
        <v>7.337896996988974E-2</v>
      </c>
      <c r="AI181" s="99"/>
      <c r="AJ181" s="4"/>
      <c r="AK181" s="4"/>
      <c r="AL181" s="4"/>
      <c r="AM181" s="4"/>
    </row>
    <row r="182" spans="1:39">
      <c r="A182" s="1192">
        <f>'Input data'!A141</f>
        <v>2043</v>
      </c>
      <c r="B182" s="713">
        <f>'Recycling - Case 3'!AP121</f>
        <v>0.1214682808560769</v>
      </c>
      <c r="C182" s="671">
        <f>'Recycling - Case 3'!BM121*'Recycling - Case 3'!AK121*'Recycling - Case 3'!B121</f>
        <v>2012.4439474624296</v>
      </c>
      <c r="D182" s="672">
        <f>'Recycling - Case 3'!BN121*'Recycling - Case 3'!AK121*'Recycling - Case 3'!B121</f>
        <v>2689.5901718873229</v>
      </c>
      <c r="E182" s="672">
        <f>'Recycling - Case 3'!BO121*'Recycling - Case 3'!AK121*'Recycling - Case 3'!B121</f>
        <v>902.68530726008851</v>
      </c>
      <c r="F182" s="672">
        <f>'Recycling - Case 3'!BP121*'Recycling - Case 3'!AK121*'Recycling - Case 3'!B121</f>
        <v>0</v>
      </c>
      <c r="G182" s="672">
        <f>'Recycling - Case 3'!BQ121*'Recycling - Case 3'!AK121*'Recycling - Case 3'!B121</f>
        <v>0</v>
      </c>
      <c r="H182" s="672">
        <f>'Recycling - Case 3'!BR121*'Recycling - Case 3'!AK121*'Recycling - Case 3'!B121</f>
        <v>0</v>
      </c>
      <c r="I182" s="672">
        <f>'Recycling - Case 3'!BS121*'Recycling - Case 3'!AK121*'Recycling - Case 3'!B121</f>
        <v>4511.8830698311513</v>
      </c>
      <c r="J182" s="945">
        <f t="shared" si="16"/>
        <v>10116.602496440992</v>
      </c>
      <c r="K182" s="613">
        <f>'4C2 Open-burning '!B182*'4C2 Open-burning '!$C$14*'4C2 Open-burning '!$C$5*'4C2 Open-burning '!$C$6*'4C2 Open-burning '!$C$7*C182</f>
        <v>0</v>
      </c>
      <c r="L182" s="614">
        <f>'4C2 Open-burning '!B182*'4C2 Open-burning '!$D$14*'4C2 Open-burning '!$C$5*'4C2 Open-burning '!$C$6*'4C2 Open-burning '!$C$7*D182</f>
        <v>0</v>
      </c>
      <c r="M182" s="614">
        <f>'4C2 Open-burning '!B182*'4C2 Open-burning '!$E$14*'4C2 Open-burning '!$C$5*'4C2 Open-burning '!$C$6*'4C2 Open-burning '!$C$7*E182</f>
        <v>0.57922896896375775</v>
      </c>
      <c r="N182" s="614">
        <f>'4C2 Open-burning '!B182*'4C2 Open-burning '!$F$14*'4C2 Open-burning '!$C$5*'4C2 Open-burning '!$C$6*'4C2 Open-burning '!$C$7*F182</f>
        <v>0</v>
      </c>
      <c r="O182" s="614">
        <f>'4C2 Open-burning '!B182*'4C2 Open-burning '!$G$14*'4C2 Open-burning '!$C$5*'4C2 Open-burning '!$C$6*'4C2 Open-burning '!$C$7*G182</f>
        <v>0</v>
      </c>
      <c r="P182" s="614">
        <f>'4C2 Open-burning '!B182*'4C2 Open-burning '!$H$14*'4C2 Open-burning '!$C$5*'4C2 Open-burning '!$C$6*'4C2 Open-burning '!$C$7*H182</f>
        <v>0</v>
      </c>
      <c r="Q182" s="614">
        <f>'4C2 Open-burning '!B182*'4C2 Open-burning '!$I$14*'4C2 Open-burning '!$C$5*'4C2 Open-burning '!$C$6*'4C2 Open-burning '!$C$7*I182</f>
        <v>18.88144202446702</v>
      </c>
      <c r="R182" s="615">
        <f t="shared" si="17"/>
        <v>19.460670993430778</v>
      </c>
      <c r="S182" s="614">
        <f>B182*C182*'4C2 Open-burning '!$C$9*'4C2 Open-burning '!$C$11*$C$5</f>
        <v>0.95334761580816596</v>
      </c>
      <c r="T182" s="614">
        <f>B182*D182*'4C2 Open-burning '!$C$9*'4C2 Open-burning '!$C$11*$C$5</f>
        <v>1.2741295881075587</v>
      </c>
      <c r="U182" s="614">
        <f>B182*E182*'4C2 Open-burning '!$C$9*'4C2 Open-burning '!$C$11*$C$5</f>
        <v>0.42762576646499767</v>
      </c>
      <c r="V182" s="614">
        <f>B182*F182*'4C2 Open-burning '!$C$9*'4C2 Open-burning '!$C$11*$C$5</f>
        <v>0</v>
      </c>
      <c r="W182" s="614">
        <f>B182*G182*'4C2 Open-burning '!$C$9*'4C2 Open-burning '!$C$11*$C$5</f>
        <v>0</v>
      </c>
      <c r="X182" s="614">
        <f>B182*H182*'4C2 Open-burning '!$C$9*'4C2 Open-burning '!$C$11*$C$5</f>
        <v>0</v>
      </c>
      <c r="Y182" s="614">
        <f>B182*I182*'4C2 Open-burning '!$C$9*'4C2 Open-burning '!$C$11*$C$5</f>
        <v>2.1373976516725115</v>
      </c>
      <c r="Z182" s="615">
        <f t="shared" si="18"/>
        <v>4.7925006220532342</v>
      </c>
      <c r="AA182" s="617">
        <f>B182*C182*'4C2 Open-burning '!$C$10*'4C2 Open-burning '!$C$11*$C$5*$C$15</f>
        <v>8.8001318382292248E-3</v>
      </c>
      <c r="AB182" s="617">
        <f>B182*D182*'4C2 Open-burning '!$C$10*'4C2 Open-burning '!$C$11*$C$5*$D$15</f>
        <v>1.1761196197915925E-2</v>
      </c>
      <c r="AC182" s="617">
        <f>B182*E182*'4C2 Open-burning '!$C$10*'4C2 Open-burning '!$C$11*$C$5*$E$15</f>
        <v>8.881458226580723E-3</v>
      </c>
      <c r="AD182" s="617">
        <f>B182*F182*'4C2 Open-burning '!$C$10*'4C2 Open-burning '!$C$11*$C$5*$F$15</f>
        <v>0</v>
      </c>
      <c r="AE182" s="617">
        <f>B182*G182*'4C2 Open-burning '!$C$10*'4C2 Open-burning '!$C$11*$C$5*$G$15</f>
        <v>0</v>
      </c>
      <c r="AF182" s="617">
        <f>B182*H182*'4C2 Open-burning '!$C$10*'4C2 Open-burning '!$C$11*$C$5*$H$15</f>
        <v>0</v>
      </c>
      <c r="AG182" s="617">
        <f>B182*I182*'4C2 Open-burning '!$C$10*'4C2 Open-burning '!$C$11*$C$5*$I$15</f>
        <v>4.4392105073198317E-2</v>
      </c>
      <c r="AH182" s="618">
        <f t="shared" si="19"/>
        <v>7.3834891335924191E-2</v>
      </c>
      <c r="AI182" s="99"/>
      <c r="AJ182" s="4"/>
      <c r="AK182" s="4"/>
      <c r="AL182" s="4"/>
      <c r="AM182" s="4"/>
    </row>
    <row r="183" spans="1:39">
      <c r="A183" s="1192">
        <f>'Input data'!A142</f>
        <v>2044</v>
      </c>
      <c r="B183" s="713">
        <f>'Recycling - Case 3'!AP122</f>
        <v>0.1214682808560769</v>
      </c>
      <c r="C183" s="671">
        <f>'Recycling - Case 3'!BM122*'Recycling - Case 3'!AK122*'Recycling - Case 3'!B122</f>
        <v>2024.9258934467732</v>
      </c>
      <c r="D183" s="672">
        <f>'Recycling - Case 3'!BN122*'Recycling - Case 3'!AK122*'Recycling - Case 3'!B122</f>
        <v>2706.2720373811921</v>
      </c>
      <c r="E183" s="672">
        <f>'Recycling - Case 3'!BO122*'Recycling - Case 3'!AK122*'Recycling - Case 3'!B122</f>
        <v>908.28410630256053</v>
      </c>
      <c r="F183" s="672">
        <f>'Recycling - Case 3'!BP122*'Recycling - Case 3'!AK122*'Recycling - Case 3'!B122</f>
        <v>0</v>
      </c>
      <c r="G183" s="672">
        <f>'Recycling - Case 3'!BQ122*'Recycling - Case 3'!AK122*'Recycling - Case 3'!B122</f>
        <v>0</v>
      </c>
      <c r="H183" s="672">
        <f>'Recycling - Case 3'!BR122*'Recycling - Case 3'!AK122*'Recycling - Case 3'!B122</f>
        <v>0</v>
      </c>
      <c r="I183" s="672">
        <f>'Recycling - Case 3'!BS122*'Recycling - Case 3'!AK122*'Recycling - Case 3'!B122</f>
        <v>4539.8674918749648</v>
      </c>
      <c r="J183" s="945">
        <f t="shared" si="16"/>
        <v>10179.349529005491</v>
      </c>
      <c r="K183" s="613">
        <f>'4C2 Open-burning '!B183*'4C2 Open-burning '!$C$14*'4C2 Open-burning '!$C$5*'4C2 Open-burning '!$C$6*'4C2 Open-burning '!$C$7*C183</f>
        <v>0</v>
      </c>
      <c r="L183" s="614">
        <f>'4C2 Open-burning '!B183*'4C2 Open-burning '!$D$14*'4C2 Open-burning '!$C$5*'4C2 Open-burning '!$C$6*'4C2 Open-burning '!$C$7*D183</f>
        <v>0</v>
      </c>
      <c r="M183" s="614">
        <f>'4C2 Open-burning '!B183*'4C2 Open-burning '!$E$14*'4C2 Open-burning '!$C$5*'4C2 Open-burning '!$C$6*'4C2 Open-burning '!$C$7*E183</f>
        <v>0.58282156825691545</v>
      </c>
      <c r="N183" s="614">
        <f>'4C2 Open-burning '!B183*'4C2 Open-burning '!$F$14*'4C2 Open-burning '!$C$5*'4C2 Open-burning '!$C$6*'4C2 Open-burning '!$C$7*F183</f>
        <v>0</v>
      </c>
      <c r="O183" s="614">
        <f>'4C2 Open-burning '!B183*'4C2 Open-burning '!$G$14*'4C2 Open-burning '!$C$5*'4C2 Open-burning '!$C$6*'4C2 Open-burning '!$C$7*G183</f>
        <v>0</v>
      </c>
      <c r="P183" s="614">
        <f>'4C2 Open-burning '!B183*'4C2 Open-burning '!$H$14*'4C2 Open-burning '!$C$5*'4C2 Open-burning '!$C$6*'4C2 Open-burning '!$C$7*H183</f>
        <v>0</v>
      </c>
      <c r="Q183" s="614">
        <f>'4C2 Open-burning '!B183*'4C2 Open-burning '!$I$14*'4C2 Open-burning '!$C$5*'4C2 Open-burning '!$C$6*'4C2 Open-burning '!$C$7*I183</f>
        <v>18.998551939380718</v>
      </c>
      <c r="R183" s="615">
        <f t="shared" si="17"/>
        <v>19.581373507637633</v>
      </c>
      <c r="S183" s="614">
        <f>B183*C183*'4C2 Open-burning '!$C$9*'4C2 Open-burning '!$C$11*$C$5</f>
        <v>0.95926064183794679</v>
      </c>
      <c r="T183" s="614">
        <f>B183*D183*'4C2 Open-burning '!$C$9*'4C2 Open-burning '!$C$11*$C$5</f>
        <v>1.2820322264473074</v>
      </c>
      <c r="U183" s="614">
        <f>B183*E183*'4C2 Open-burning '!$C$9*'4C2 Open-burning '!$C$11*$C$5</f>
        <v>0.43027806479373387</v>
      </c>
      <c r="V183" s="614">
        <f>B183*F183*'4C2 Open-burning '!$C$9*'4C2 Open-burning '!$C$11*$C$5</f>
        <v>0</v>
      </c>
      <c r="W183" s="614">
        <f>B183*G183*'4C2 Open-burning '!$C$9*'4C2 Open-burning '!$C$11*$C$5</f>
        <v>0</v>
      </c>
      <c r="X183" s="614">
        <f>B183*H183*'4C2 Open-burning '!$C$9*'4C2 Open-burning '!$C$11*$C$5</f>
        <v>0</v>
      </c>
      <c r="Y183" s="614">
        <f>B183*I183*'4C2 Open-burning '!$C$9*'4C2 Open-burning '!$C$11*$C$5</f>
        <v>2.1506546082545221</v>
      </c>
      <c r="Z183" s="615">
        <f t="shared" si="18"/>
        <v>4.82222554133351</v>
      </c>
      <c r="AA183" s="617">
        <f>B183*C183*'4C2 Open-burning '!$C$10*'4C2 Open-burning '!$C$11*$C$5*$C$15</f>
        <v>8.8547136169656645E-3</v>
      </c>
      <c r="AB183" s="617">
        <f>B183*D183*'4C2 Open-burning '!$C$10*'4C2 Open-burning '!$C$11*$C$5*$D$15</f>
        <v>1.183414362874438E-2</v>
      </c>
      <c r="AC183" s="617">
        <f>B183*E183*'4C2 Open-burning '!$C$10*'4C2 Open-burning '!$C$11*$C$5*$E$15</f>
        <v>8.936544422639088E-3</v>
      </c>
      <c r="AD183" s="617">
        <f>B183*F183*'4C2 Open-burning '!$C$10*'4C2 Open-burning '!$C$11*$C$5*$F$15</f>
        <v>0</v>
      </c>
      <c r="AE183" s="617">
        <f>B183*G183*'4C2 Open-burning '!$C$10*'4C2 Open-burning '!$C$11*$C$5*$G$15</f>
        <v>0</v>
      </c>
      <c r="AF183" s="617">
        <f>B183*H183*'4C2 Open-burning '!$C$10*'4C2 Open-burning '!$C$11*$C$5*$H$15</f>
        <v>0</v>
      </c>
      <c r="AG183" s="617">
        <f>B183*I183*'4C2 Open-burning '!$C$10*'4C2 Open-burning '!$C$11*$C$5*$I$15</f>
        <v>4.466744186374777E-2</v>
      </c>
      <c r="AH183" s="618">
        <f t="shared" si="19"/>
        <v>7.4292843532096906E-2</v>
      </c>
      <c r="AI183" s="99"/>
      <c r="AJ183" s="4"/>
      <c r="AK183" s="4"/>
      <c r="AL183" s="4"/>
      <c r="AM183" s="4"/>
    </row>
    <row r="184" spans="1:39">
      <c r="A184" s="1192">
        <f>'Input data'!A143</f>
        <v>2045</v>
      </c>
      <c r="B184" s="713">
        <f>'Recycling - Case 3'!AP123</f>
        <v>0.1214682808560769</v>
      </c>
      <c r="C184" s="671">
        <f>'Recycling - Case 3'!BM123*'Recycling - Case 3'!AK123*'Recycling - Case 3'!B123</f>
        <v>2037.5185440518205</v>
      </c>
      <c r="D184" s="672">
        <f>'Recycling - Case 3'!BN123*'Recycling - Case 3'!AK123*'Recycling - Case 3'!B123</f>
        <v>2723.1018573362039</v>
      </c>
      <c r="E184" s="672">
        <f>'Recycling - Case 3'!BO123*'Recycling - Case 3'!AK123*'Recycling - Case 3'!B123</f>
        <v>913.93256209928938</v>
      </c>
      <c r="F184" s="672">
        <f>'Recycling - Case 3'!BP123*'Recycling - Case 3'!AK123*'Recycling - Case 3'!B123</f>
        <v>0</v>
      </c>
      <c r="G184" s="672">
        <f>'Recycling - Case 3'!BQ123*'Recycling - Case 3'!AK123*'Recycling - Case 3'!B123</f>
        <v>0</v>
      </c>
      <c r="H184" s="672">
        <f>'Recycling - Case 3'!BR123*'Recycling - Case 3'!AK123*'Recycling - Case 3'!B123</f>
        <v>0</v>
      </c>
      <c r="I184" s="672">
        <f>'Recycling - Case 3'!BS123*'Recycling - Case 3'!AK123*'Recycling - Case 3'!B123</f>
        <v>4568.1001127839118</v>
      </c>
      <c r="J184" s="945">
        <f t="shared" si="16"/>
        <v>10242.653076271225</v>
      </c>
      <c r="K184" s="613">
        <f>'4C2 Open-burning '!B184*'4C2 Open-burning '!$C$14*'4C2 Open-burning '!$C$5*'4C2 Open-burning '!$C$6*'4C2 Open-burning '!$C$7*C184</f>
        <v>0</v>
      </c>
      <c r="L184" s="614">
        <f>'4C2 Open-burning '!B184*'4C2 Open-burning '!$D$14*'4C2 Open-burning '!$C$5*'4C2 Open-burning '!$C$6*'4C2 Open-burning '!$C$7*D184</f>
        <v>0</v>
      </c>
      <c r="M184" s="614">
        <f>'4C2 Open-burning '!B184*'4C2 Open-burning '!$E$14*'4C2 Open-burning '!$C$5*'4C2 Open-burning '!$C$6*'4C2 Open-burning '!$C$7*E184</f>
        <v>0.58644603095843795</v>
      </c>
      <c r="N184" s="614">
        <f>'4C2 Open-burning '!B184*'4C2 Open-burning '!$F$14*'4C2 Open-burning '!$C$5*'4C2 Open-burning '!$C$6*'4C2 Open-burning '!$C$7*F184</f>
        <v>0</v>
      </c>
      <c r="O184" s="614">
        <f>'4C2 Open-burning '!B184*'4C2 Open-burning '!$G$14*'4C2 Open-burning '!$C$5*'4C2 Open-burning '!$C$6*'4C2 Open-burning '!$C$7*G184</f>
        <v>0</v>
      </c>
      <c r="P184" s="614">
        <f>'4C2 Open-burning '!B184*'4C2 Open-burning '!$H$14*'4C2 Open-burning '!$C$5*'4C2 Open-burning '!$C$6*'4C2 Open-burning '!$C$7*H184</f>
        <v>0</v>
      </c>
      <c r="Q184" s="614">
        <f>'4C2 Open-burning '!B184*'4C2 Open-burning '!$I$14*'4C2 Open-burning '!$C$5*'4C2 Open-burning '!$C$6*'4C2 Open-burning '!$C$7*I184</f>
        <v>19.11670052316283</v>
      </c>
      <c r="R184" s="615">
        <f t="shared" si="17"/>
        <v>19.703146554121268</v>
      </c>
      <c r="S184" s="614">
        <f>B184*C184*'4C2 Open-burning '!$C$9*'4C2 Open-burning '!$C$11*$C$5</f>
        <v>0.96522611155757054</v>
      </c>
      <c r="T184" s="614">
        <f>B184*D184*'4C2 Open-burning '!$C$9*'4C2 Open-burning '!$C$11*$C$5</f>
        <v>1.2900049547058128</v>
      </c>
      <c r="U184" s="614">
        <f>B184*E184*'4C2 Open-burning '!$C$9*'4C2 Open-burning '!$C$11*$C$5</f>
        <v>0.43295388683270269</v>
      </c>
      <c r="V184" s="614">
        <f>B184*F184*'4C2 Open-burning '!$C$9*'4C2 Open-burning '!$C$11*$C$5</f>
        <v>0</v>
      </c>
      <c r="W184" s="614">
        <f>B184*G184*'4C2 Open-burning '!$C$9*'4C2 Open-burning '!$C$11*$C$5</f>
        <v>0</v>
      </c>
      <c r="X184" s="614">
        <f>B184*H184*'4C2 Open-burning '!$C$9*'4C2 Open-burning '!$C$11*$C$5</f>
        <v>0</v>
      </c>
      <c r="Y184" s="614">
        <f>B184*I184*'4C2 Open-burning '!$C$9*'4C2 Open-burning '!$C$11*$C$5</f>
        <v>2.1640291431654193</v>
      </c>
      <c r="Z184" s="615">
        <f t="shared" si="18"/>
        <v>4.8522140962615055</v>
      </c>
      <c r="AA184" s="617">
        <f>B184*C184*'4C2 Open-burning '!$C$10*'4C2 Open-burning '!$C$11*$C$5*$C$15</f>
        <v>8.9097794913006508E-3</v>
      </c>
      <c r="AB184" s="617">
        <f>B184*D184*'4C2 Open-burning '!$C$10*'4C2 Open-burning '!$C$11*$C$5*$D$15</f>
        <v>1.1907738043438271E-2</v>
      </c>
      <c r="AC184" s="617">
        <f>B184*E184*'4C2 Open-burning '!$C$10*'4C2 Open-burning '!$C$11*$C$5*$E$15</f>
        <v>8.9921191880638265E-3</v>
      </c>
      <c r="AD184" s="617">
        <f>B184*F184*'4C2 Open-burning '!$C$10*'4C2 Open-burning '!$C$11*$C$5*$F$15</f>
        <v>0</v>
      </c>
      <c r="AE184" s="617">
        <f>B184*G184*'4C2 Open-burning '!$C$10*'4C2 Open-burning '!$C$11*$C$5*$G$15</f>
        <v>0</v>
      </c>
      <c r="AF184" s="617">
        <f>B184*H184*'4C2 Open-burning '!$C$10*'4C2 Open-burning '!$C$11*$C$5*$H$15</f>
        <v>0</v>
      </c>
      <c r="AG184" s="617">
        <f>B184*I184*'4C2 Open-burning '!$C$10*'4C2 Open-burning '!$C$11*$C$5*$I$15</f>
        <v>4.494522066574333E-2</v>
      </c>
      <c r="AH184" s="618">
        <f t="shared" si="19"/>
        <v>7.4754857388546078E-2</v>
      </c>
      <c r="AI184" s="99"/>
      <c r="AJ184" s="4"/>
      <c r="AK184" s="4"/>
      <c r="AL184" s="4"/>
      <c r="AM184" s="4"/>
    </row>
    <row r="185" spans="1:39">
      <c r="A185" s="1192">
        <f>'Input data'!A144</f>
        <v>2046</v>
      </c>
      <c r="B185" s="713">
        <f>'Recycling - Case 3'!AP124</f>
        <v>0.1214682808560769</v>
      </c>
      <c r="C185" s="671">
        <f>'Recycling - Case 3'!BM124*'Recycling - Case 3'!AK124*'Recycling - Case 3'!B124</f>
        <v>2047.8971022427934</v>
      </c>
      <c r="D185" s="672">
        <f>'Recycling - Case 3'!BN124*'Recycling - Case 3'!AK124*'Recycling - Case 3'!B124</f>
        <v>2736.9725880683563</v>
      </c>
      <c r="E185" s="672">
        <f>'Recycling - Case 3'!BO124*'Recycling - Case 3'!AK124*'Recycling - Case 3'!B124</f>
        <v>918.58788281087902</v>
      </c>
      <c r="F185" s="672">
        <f>'Recycling - Case 3'!BP124*'Recycling - Case 3'!AK124*'Recycling - Case 3'!B124</f>
        <v>0</v>
      </c>
      <c r="G185" s="672">
        <f>'Recycling - Case 3'!BQ124*'Recycling - Case 3'!AK124*'Recycling - Case 3'!B124</f>
        <v>0</v>
      </c>
      <c r="H185" s="672">
        <f>'Recycling - Case 3'!BR124*'Recycling - Case 3'!AK124*'Recycling - Case 3'!B124</f>
        <v>0</v>
      </c>
      <c r="I185" s="672">
        <f>'Recycling - Case 3'!BS124*'Recycling - Case 3'!AK124*'Recycling - Case 3'!B124</f>
        <v>4591.3687563901867</v>
      </c>
      <c r="J185" s="945">
        <f t="shared" si="16"/>
        <v>10294.826329512216</v>
      </c>
      <c r="K185" s="613">
        <f>'4C2 Open-burning '!B185*'4C2 Open-burning '!$C$14*'4C2 Open-burning '!$C$5*'4C2 Open-burning '!$C$6*'4C2 Open-burning '!$C$7*C185</f>
        <v>0</v>
      </c>
      <c r="L185" s="614">
        <f>'4C2 Open-burning '!B185*'4C2 Open-burning '!$D$14*'4C2 Open-burning '!$C$5*'4C2 Open-burning '!$C$6*'4C2 Open-burning '!$C$7*D185</f>
        <v>0</v>
      </c>
      <c r="M185" s="614">
        <f>'4C2 Open-burning '!B185*'4C2 Open-burning '!$E$14*'4C2 Open-burning '!$C$5*'4C2 Open-burning '!$C$6*'4C2 Open-burning '!$C$7*E185</f>
        <v>0.58943322549265975</v>
      </c>
      <c r="N185" s="614">
        <f>'4C2 Open-burning '!B185*'4C2 Open-burning '!$F$14*'4C2 Open-burning '!$C$5*'4C2 Open-burning '!$C$6*'4C2 Open-burning '!$C$7*F185</f>
        <v>0</v>
      </c>
      <c r="O185" s="614">
        <f>'4C2 Open-burning '!B185*'4C2 Open-burning '!$G$14*'4C2 Open-burning '!$C$5*'4C2 Open-burning '!$C$6*'4C2 Open-burning '!$C$7*G185</f>
        <v>0</v>
      </c>
      <c r="P185" s="614">
        <f>'4C2 Open-burning '!B185*'4C2 Open-burning '!$H$14*'4C2 Open-burning '!$C$5*'4C2 Open-burning '!$C$6*'4C2 Open-burning '!$C$7*H185</f>
        <v>0</v>
      </c>
      <c r="Q185" s="614">
        <f>'4C2 Open-burning '!B185*'4C2 Open-burning '!$I$14*'4C2 Open-burning '!$C$5*'4C2 Open-burning '!$C$6*'4C2 Open-burning '!$C$7*I185</f>
        <v>19.214075729576656</v>
      </c>
      <c r="R185" s="615">
        <f t="shared" si="17"/>
        <v>19.803508955069315</v>
      </c>
      <c r="S185" s="614">
        <f>B185*C185*'4C2 Open-burning '!$C$9*'4C2 Open-burning '!$C$11*$C$5</f>
        <v>0.97014270748033726</v>
      </c>
      <c r="T185" s="614">
        <f>B185*D185*'4C2 Open-burning '!$C$9*'4C2 Open-burning '!$C$11*$C$5</f>
        <v>1.2965758845891959</v>
      </c>
      <c r="U185" s="614">
        <f>B185*E185*'4C2 Open-burning '!$C$9*'4C2 Open-burning '!$C$11*$C$5</f>
        <v>0.4351592346670175</v>
      </c>
      <c r="V185" s="614">
        <f>B185*F185*'4C2 Open-burning '!$C$9*'4C2 Open-burning '!$C$11*$C$5</f>
        <v>0</v>
      </c>
      <c r="W185" s="614">
        <f>B185*G185*'4C2 Open-burning '!$C$9*'4C2 Open-burning '!$C$11*$C$5</f>
        <v>0</v>
      </c>
      <c r="X185" s="614">
        <f>B185*H185*'4C2 Open-burning '!$C$9*'4C2 Open-burning '!$C$11*$C$5</f>
        <v>0</v>
      </c>
      <c r="Y185" s="614">
        <f>B185*I185*'4C2 Open-burning '!$C$9*'4C2 Open-burning '!$C$11*$C$5</f>
        <v>2.1750521114985766</v>
      </c>
      <c r="Z185" s="615">
        <f t="shared" si="18"/>
        <v>4.8769299382351274</v>
      </c>
      <c r="AA185" s="617">
        <f>B185*C185*'4C2 Open-burning '!$C$10*'4C2 Open-burning '!$C$11*$C$5*$C$15</f>
        <v>8.9551634536646513E-3</v>
      </c>
      <c r="AB185" s="617">
        <f>B185*D185*'4C2 Open-burning '!$C$10*'4C2 Open-burning '!$C$11*$C$5*$D$15</f>
        <v>1.1968392780823348E-2</v>
      </c>
      <c r="AC185" s="617">
        <f>B185*E185*'4C2 Open-burning '!$C$10*'4C2 Open-burning '!$C$11*$C$5*$E$15</f>
        <v>9.0379225661611322E-3</v>
      </c>
      <c r="AD185" s="617">
        <f>B185*F185*'4C2 Open-burning '!$C$10*'4C2 Open-burning '!$C$11*$C$5*$F$15</f>
        <v>0</v>
      </c>
      <c r="AE185" s="617">
        <f>B185*G185*'4C2 Open-burning '!$C$10*'4C2 Open-burning '!$C$11*$C$5*$G$15</f>
        <v>0</v>
      </c>
      <c r="AF185" s="617">
        <f>B185*H185*'4C2 Open-burning '!$C$10*'4C2 Open-burning '!$C$11*$C$5*$H$15</f>
        <v>0</v>
      </c>
      <c r="AG185" s="617">
        <f>B185*I185*'4C2 Open-burning '!$C$10*'4C2 Open-burning '!$C$11*$C$5*$I$15</f>
        <v>4.517415923881659E-2</v>
      </c>
      <c r="AH185" s="618">
        <f t="shared" si="19"/>
        <v>7.5135638039465727E-2</v>
      </c>
      <c r="AI185" s="99"/>
      <c r="AJ185" s="4"/>
      <c r="AK185" s="4"/>
      <c r="AL185" s="4"/>
      <c r="AM185" s="4"/>
    </row>
    <row r="186" spans="1:39">
      <c r="A186" s="1192">
        <f>'Input data'!A145</f>
        <v>2047</v>
      </c>
      <c r="B186" s="713">
        <f>'Recycling - Case 3'!AP125</f>
        <v>0.1214682808560769</v>
      </c>
      <c r="C186" s="671">
        <f>'Recycling - Case 3'!BM125*'Recycling - Case 3'!AK125*'Recycling - Case 3'!B125</f>
        <v>2058.3586888992941</v>
      </c>
      <c r="D186" s="672">
        <f>'Recycling - Case 3'!BN125*'Recycling - Case 3'!AK125*'Recycling - Case 3'!B125</f>
        <v>2750.9542846463664</v>
      </c>
      <c r="E186" s="672">
        <f>'Recycling - Case 3'!BO125*'Recycling - Case 3'!AK125*'Recycling - Case 3'!B125</f>
        <v>923.2804460881614</v>
      </c>
      <c r="F186" s="672">
        <f>'Recycling - Case 3'!BP125*'Recycling - Case 3'!AK125*'Recycling - Case 3'!B125</f>
        <v>0</v>
      </c>
      <c r="G186" s="672">
        <f>'Recycling - Case 3'!BQ125*'Recycling - Case 3'!AK125*'Recycling - Case 3'!B125</f>
        <v>0</v>
      </c>
      <c r="H186" s="672">
        <f>'Recycling - Case 3'!BR125*'Recycling - Case 3'!AK125*'Recycling - Case 3'!B125</f>
        <v>0</v>
      </c>
      <c r="I186" s="672">
        <f>'Recycling - Case 3'!BS125*'Recycling - Case 3'!AK125*'Recycling - Case 3'!B125</f>
        <v>4614.8235491453124</v>
      </c>
      <c r="J186" s="945">
        <f t="shared" si="16"/>
        <v>10347.416968779135</v>
      </c>
      <c r="K186" s="613">
        <f>'4C2 Open-burning '!B186*'4C2 Open-burning '!$C$14*'4C2 Open-burning '!$C$5*'4C2 Open-burning '!$C$6*'4C2 Open-burning '!$C$7*C186</f>
        <v>0</v>
      </c>
      <c r="L186" s="614">
        <f>'4C2 Open-burning '!B186*'4C2 Open-burning '!$D$14*'4C2 Open-burning '!$C$5*'4C2 Open-burning '!$C$6*'4C2 Open-burning '!$C$7*D186</f>
        <v>0</v>
      </c>
      <c r="M186" s="614">
        <f>'4C2 Open-burning '!B186*'4C2 Open-burning '!$E$14*'4C2 Open-burning '!$C$5*'4C2 Open-burning '!$C$6*'4C2 Open-burning '!$C$7*E186</f>
        <v>0.59244431758315541</v>
      </c>
      <c r="N186" s="614">
        <f>'4C2 Open-burning '!B186*'4C2 Open-burning '!$F$14*'4C2 Open-burning '!$C$5*'4C2 Open-burning '!$C$6*'4C2 Open-burning '!$C$7*F186</f>
        <v>0</v>
      </c>
      <c r="O186" s="614">
        <f>'4C2 Open-burning '!B186*'4C2 Open-burning '!$G$14*'4C2 Open-burning '!$C$5*'4C2 Open-burning '!$C$6*'4C2 Open-burning '!$C$7*G186</f>
        <v>0</v>
      </c>
      <c r="P186" s="614">
        <f>'4C2 Open-burning '!B186*'4C2 Open-burning '!$H$14*'4C2 Open-burning '!$C$5*'4C2 Open-burning '!$C$6*'4C2 Open-burning '!$C$7*H186</f>
        <v>0</v>
      </c>
      <c r="Q186" s="614">
        <f>'4C2 Open-burning '!B186*'4C2 Open-burning '!$I$14*'4C2 Open-burning '!$C$5*'4C2 Open-burning '!$C$6*'4C2 Open-burning '!$C$7*I186</f>
        <v>19.312229937641799</v>
      </c>
      <c r="R186" s="615">
        <f t="shared" si="17"/>
        <v>19.904674255224954</v>
      </c>
      <c r="S186" s="614">
        <f>B186*C186*'4C2 Open-burning '!$C$9*'4C2 Open-burning '!$C$11*$C$5</f>
        <v>0.97509863617048598</v>
      </c>
      <c r="T186" s="614">
        <f>B186*D186*'4C2 Open-burning '!$C$9*'4C2 Open-burning '!$C$11*$C$5</f>
        <v>1.3031993819116467</v>
      </c>
      <c r="U186" s="614">
        <f>B186*E186*'4C2 Open-burning '!$C$9*'4C2 Open-burning '!$C$11*$C$5</f>
        <v>0.43738222528400689</v>
      </c>
      <c r="V186" s="614">
        <f>B186*F186*'4C2 Open-burning '!$C$9*'4C2 Open-burning '!$C$11*$C$5</f>
        <v>0</v>
      </c>
      <c r="W186" s="614">
        <f>B186*G186*'4C2 Open-burning '!$C$9*'4C2 Open-burning '!$C$11*$C$5</f>
        <v>0</v>
      </c>
      <c r="X186" s="614">
        <f>B186*H186*'4C2 Open-burning '!$C$9*'4C2 Open-burning '!$C$11*$C$5</f>
        <v>0</v>
      </c>
      <c r="Y186" s="614">
        <f>B186*I186*'4C2 Open-burning '!$C$9*'4C2 Open-burning '!$C$11*$C$5</f>
        <v>2.1861632635783996</v>
      </c>
      <c r="Z186" s="615">
        <f t="shared" si="18"/>
        <v>4.9018435069445392</v>
      </c>
      <c r="AA186" s="617">
        <f>B186*C186*'4C2 Open-burning '!$C$10*'4C2 Open-burning '!$C$11*$C$5*$C$15</f>
        <v>9.0009104877275641E-3</v>
      </c>
      <c r="AB186" s="617">
        <f>B186*D186*'4C2 Open-burning '!$C$10*'4C2 Open-burning '!$C$11*$C$5*$D$15</f>
        <v>1.2029532756107505E-2</v>
      </c>
      <c r="AC186" s="617">
        <f>B186*E186*'4C2 Open-burning '!$C$10*'4C2 Open-burning '!$C$11*$C$5*$E$15</f>
        <v>9.0840923712832231E-3</v>
      </c>
      <c r="AD186" s="617">
        <f>B186*F186*'4C2 Open-burning '!$C$10*'4C2 Open-burning '!$C$11*$C$5*$F$15</f>
        <v>0</v>
      </c>
      <c r="AE186" s="617">
        <f>B186*G186*'4C2 Open-burning '!$C$10*'4C2 Open-burning '!$C$11*$C$5*$G$15</f>
        <v>0</v>
      </c>
      <c r="AF186" s="617">
        <f>B186*H186*'4C2 Open-burning '!$C$10*'4C2 Open-burning '!$C$11*$C$5*$H$15</f>
        <v>0</v>
      </c>
      <c r="AG186" s="617">
        <f>B186*I186*'4C2 Open-burning '!$C$10*'4C2 Open-burning '!$C$11*$C$5*$I$15</f>
        <v>4.5404929320474456E-2</v>
      </c>
      <c r="AH186" s="618">
        <f t="shared" si="19"/>
        <v>7.5519464935592751E-2</v>
      </c>
      <c r="AI186" s="99"/>
      <c r="AJ186" s="4"/>
      <c r="AK186" s="4"/>
      <c r="AL186" s="4"/>
      <c r="AM186" s="4"/>
    </row>
    <row r="187" spans="1:39">
      <c r="A187" s="1192">
        <f>'Input data'!A146</f>
        <v>2048</v>
      </c>
      <c r="B187" s="713">
        <f>'Recycling - Case 3'!AP126</f>
        <v>0.1214682808560769</v>
      </c>
      <c r="C187" s="671">
        <f>'Recycling - Case 3'!BM126*'Recycling - Case 3'!AK126*'Recycling - Case 3'!B126</f>
        <v>2068.8756278661467</v>
      </c>
      <c r="D187" s="672">
        <f>'Recycling - Case 3'!BN126*'Recycling - Case 3'!AK126*'Recycling - Case 3'!B126</f>
        <v>2765.0099584549475</v>
      </c>
      <c r="E187" s="672">
        <f>'Recycling - Case 3'!BO126*'Recycling - Case 3'!AK126*'Recycling - Case 3'!B126</f>
        <v>927.9978377425723</v>
      </c>
      <c r="F187" s="672">
        <f>'Recycling - Case 3'!BP126*'Recycling - Case 3'!AK126*'Recycling - Case 3'!B126</f>
        <v>0</v>
      </c>
      <c r="G187" s="672">
        <f>'Recycling - Case 3'!BQ126*'Recycling - Case 3'!AK126*'Recycling - Case 3'!B126</f>
        <v>0</v>
      </c>
      <c r="H187" s="672">
        <f>'Recycling - Case 3'!BR126*'Recycling - Case 3'!AK126*'Recycling - Case 3'!B126</f>
        <v>0</v>
      </c>
      <c r="I187" s="672">
        <f>'Recycling - Case 3'!BS126*'Recycling - Case 3'!AK126*'Recycling - Case 3'!B126</f>
        <v>4638.4024413330044</v>
      </c>
      <c r="J187" s="945">
        <f t="shared" si="16"/>
        <v>10400.28586539667</v>
      </c>
      <c r="K187" s="613">
        <f>'4C2 Open-burning '!B187*'4C2 Open-burning '!$C$14*'4C2 Open-burning '!$C$5*'4C2 Open-burning '!$C$6*'4C2 Open-burning '!$C$7*C187</f>
        <v>0</v>
      </c>
      <c r="L187" s="614">
        <f>'4C2 Open-burning '!B187*'4C2 Open-burning '!$D$14*'4C2 Open-burning '!$C$5*'4C2 Open-burning '!$C$6*'4C2 Open-burning '!$C$7*D187</f>
        <v>0</v>
      </c>
      <c r="M187" s="614">
        <f>'4C2 Open-burning '!B187*'4C2 Open-burning '!$E$14*'4C2 Open-burning '!$C$5*'4C2 Open-burning '!$C$6*'4C2 Open-burning '!$C$7*E187</f>
        <v>0.59547134137783353</v>
      </c>
      <c r="N187" s="614">
        <f>'4C2 Open-burning '!B187*'4C2 Open-burning '!$F$14*'4C2 Open-burning '!$C$5*'4C2 Open-burning '!$C$6*'4C2 Open-burning '!$C$7*F187</f>
        <v>0</v>
      </c>
      <c r="O187" s="614">
        <f>'4C2 Open-burning '!B187*'4C2 Open-burning '!$G$14*'4C2 Open-burning '!$C$5*'4C2 Open-burning '!$C$6*'4C2 Open-burning '!$C$7*G187</f>
        <v>0</v>
      </c>
      <c r="P187" s="614">
        <f>'4C2 Open-burning '!B187*'4C2 Open-burning '!$H$14*'4C2 Open-burning '!$C$5*'4C2 Open-burning '!$C$6*'4C2 Open-burning '!$C$7*H187</f>
        <v>0</v>
      </c>
      <c r="Q187" s="614">
        <f>'4C2 Open-burning '!B187*'4C2 Open-burning '!$I$14*'4C2 Open-burning '!$C$5*'4C2 Open-burning '!$C$6*'4C2 Open-burning '!$C$7*I187</f>
        <v>19.410903480141144</v>
      </c>
      <c r="R187" s="615">
        <f t="shared" si="17"/>
        <v>20.006374821518978</v>
      </c>
      <c r="S187" s="614">
        <f>B187*C187*'4C2 Open-burning '!$C$9*'4C2 Open-burning '!$C$11*$C$5</f>
        <v>0.98008078670555632</v>
      </c>
      <c r="T187" s="614">
        <f>B187*D187*'4C2 Open-burning '!$C$9*'4C2 Open-burning '!$C$11*$C$5</f>
        <v>1.3098579241934747</v>
      </c>
      <c r="U187" s="614">
        <f>B187*E187*'4C2 Open-burning '!$C$9*'4C2 Open-burning '!$C$11*$C$5</f>
        <v>0.43961697775611264</v>
      </c>
      <c r="V187" s="614">
        <f>B187*F187*'4C2 Open-burning '!$C$9*'4C2 Open-burning '!$C$11*$C$5</f>
        <v>0</v>
      </c>
      <c r="W187" s="614">
        <f>B187*G187*'4C2 Open-burning '!$C$9*'4C2 Open-burning '!$C$11*$C$5</f>
        <v>0</v>
      </c>
      <c r="X187" s="614">
        <f>B187*H187*'4C2 Open-burning '!$C$9*'4C2 Open-burning '!$C$11*$C$5</f>
        <v>0</v>
      </c>
      <c r="Y187" s="614">
        <f>B187*I187*'4C2 Open-burning '!$C$9*'4C2 Open-burning '!$C$11*$C$5</f>
        <v>2.1973332048226655</v>
      </c>
      <c r="Z187" s="615">
        <f t="shared" si="18"/>
        <v>4.926888893477809</v>
      </c>
      <c r="AA187" s="617">
        <f>B187*C187*'4C2 Open-burning '!$C$10*'4C2 Open-burning '!$C$11*$C$5*$C$15</f>
        <v>9.0468995695897527E-3</v>
      </c>
      <c r="AB187" s="617">
        <f>B187*D187*'4C2 Open-burning '!$C$10*'4C2 Open-burning '!$C$11*$C$5*$D$15</f>
        <v>1.2090996223324381E-2</v>
      </c>
      <c r="AC187" s="617">
        <f>B187*E187*'4C2 Open-burning '!$C$10*'4C2 Open-burning '!$C$11*$C$5*$E$15</f>
        <v>9.1305064610884938E-3</v>
      </c>
      <c r="AD187" s="617">
        <f>B187*F187*'4C2 Open-burning '!$C$10*'4C2 Open-burning '!$C$11*$C$5*$F$15</f>
        <v>0</v>
      </c>
      <c r="AE187" s="617">
        <f>B187*G187*'4C2 Open-burning '!$C$10*'4C2 Open-burning '!$C$11*$C$5*$G$15</f>
        <v>0</v>
      </c>
      <c r="AF187" s="617">
        <f>B187*H187*'4C2 Open-burning '!$C$10*'4C2 Open-burning '!$C$11*$C$5*$H$15</f>
        <v>0</v>
      </c>
      <c r="AG187" s="617">
        <f>B187*I187*'4C2 Open-burning '!$C$10*'4C2 Open-burning '!$C$11*$C$5*$I$15</f>
        <v>4.5636920407855358E-2</v>
      </c>
      <c r="AH187" s="618">
        <f t="shared" si="19"/>
        <v>7.5905322661857982E-2</v>
      </c>
      <c r="AI187" s="99"/>
      <c r="AJ187" s="4"/>
      <c r="AK187" s="4"/>
      <c r="AL187" s="4"/>
      <c r="AM187" s="4"/>
    </row>
    <row r="188" spans="1:39">
      <c r="A188" s="1192">
        <f>'Input data'!A147</f>
        <v>2049</v>
      </c>
      <c r="B188" s="713">
        <f>'Recycling - Case 3'!AP127</f>
        <v>0.1214682808560769</v>
      </c>
      <c r="C188" s="671">
        <f>'Recycling - Case 3'!BM127*'Recycling - Case 3'!AK127*'Recycling - Case 3'!B127</f>
        <v>2079.4202429881752</v>
      </c>
      <c r="D188" s="672">
        <f>'Recycling - Case 3'!BN127*'Recycling - Case 3'!AK127*'Recycling - Case 3'!B127</f>
        <v>2779.1026208788144</v>
      </c>
      <c r="E188" s="672">
        <f>'Recycling - Case 3'!BO127*'Recycling - Case 3'!AK127*'Recycling - Case 3'!B127</f>
        <v>932.72764358554741</v>
      </c>
      <c r="F188" s="672">
        <f>'Recycling - Case 3'!BP127*'Recycling - Case 3'!AK127*'Recycling - Case 3'!B127</f>
        <v>0</v>
      </c>
      <c r="G188" s="672">
        <f>'Recycling - Case 3'!BQ127*'Recycling - Case 3'!AK127*'Recycling - Case 3'!B127</f>
        <v>0</v>
      </c>
      <c r="H188" s="672">
        <f>'Recycling - Case 3'!BR127*'Recycling - Case 3'!AK127*'Recycling - Case 3'!B127</f>
        <v>0</v>
      </c>
      <c r="I188" s="672">
        <f>'Recycling - Case 3'!BS127*'Recycling - Case 3'!AK127*'Recycling - Case 3'!B127</f>
        <v>4662.0433832369799</v>
      </c>
      <c r="J188" s="945">
        <f t="shared" si="16"/>
        <v>10453.293890689518</v>
      </c>
      <c r="K188" s="613">
        <f>'4C2 Open-burning '!B188*'4C2 Open-burning '!$C$14*'4C2 Open-burning '!$C$5*'4C2 Open-burning '!$C$6*'4C2 Open-burning '!$C$7*C188</f>
        <v>0</v>
      </c>
      <c r="L188" s="614">
        <f>'4C2 Open-burning '!B188*'4C2 Open-burning '!$D$14*'4C2 Open-burning '!$C$5*'4C2 Open-burning '!$C$6*'4C2 Open-burning '!$C$7*D188</f>
        <v>0</v>
      </c>
      <c r="M188" s="614">
        <f>'4C2 Open-burning '!B188*'4C2 Open-burning '!$E$14*'4C2 Open-burning '!$C$5*'4C2 Open-burning '!$C$6*'4C2 Open-burning '!$C$7*E188</f>
        <v>0.59850633102460304</v>
      </c>
      <c r="N188" s="614">
        <f>'4C2 Open-burning '!B188*'4C2 Open-burning '!$F$14*'4C2 Open-burning '!$C$5*'4C2 Open-burning '!$C$6*'4C2 Open-burning '!$C$7*F188</f>
        <v>0</v>
      </c>
      <c r="O188" s="614">
        <f>'4C2 Open-burning '!B188*'4C2 Open-burning '!$G$14*'4C2 Open-burning '!$C$5*'4C2 Open-burning '!$C$6*'4C2 Open-burning '!$C$7*G188</f>
        <v>0</v>
      </c>
      <c r="P188" s="614">
        <f>'4C2 Open-burning '!B188*'4C2 Open-burning '!$H$14*'4C2 Open-burning '!$C$5*'4C2 Open-burning '!$C$6*'4C2 Open-burning '!$C$7*H188</f>
        <v>0</v>
      </c>
      <c r="Q188" s="614">
        <f>'4C2 Open-burning '!B188*'4C2 Open-burning '!$I$14*'4C2 Open-burning '!$C$5*'4C2 Open-burning '!$C$6*'4C2 Open-burning '!$C$7*I188</f>
        <v>19.509836689857597</v>
      </c>
      <c r="R188" s="615">
        <f t="shared" si="17"/>
        <v>20.108343020882199</v>
      </c>
      <c r="S188" s="614">
        <f>B188*C188*'4C2 Open-burning '!$C$9*'4C2 Open-burning '!$C$11*$C$5</f>
        <v>0.98507604816308736</v>
      </c>
      <c r="T188" s="614">
        <f>B188*D188*'4C2 Open-burning '!$C$9*'4C2 Open-burning '!$C$11*$C$5</f>
        <v>1.3165339889549921</v>
      </c>
      <c r="U188" s="614">
        <f>B188*E188*'4C2 Open-burning '!$C$9*'4C2 Open-burning '!$C$11*$C$5</f>
        <v>0.44185761115577665</v>
      </c>
      <c r="V188" s="614">
        <f>B188*F188*'4C2 Open-burning '!$C$9*'4C2 Open-burning '!$C$11*$C$5</f>
        <v>0</v>
      </c>
      <c r="W188" s="614">
        <f>B188*G188*'4C2 Open-burning '!$C$9*'4C2 Open-burning '!$C$11*$C$5</f>
        <v>0</v>
      </c>
      <c r="X188" s="614">
        <f>B188*H188*'4C2 Open-burning '!$C$9*'4C2 Open-burning '!$C$11*$C$5</f>
        <v>0</v>
      </c>
      <c r="Y188" s="614">
        <f>B188*I188*'4C2 Open-burning '!$C$9*'4C2 Open-burning '!$C$11*$C$5</f>
        <v>2.2085325406491534</v>
      </c>
      <c r="Z188" s="615">
        <f t="shared" si="18"/>
        <v>4.9520001889230096</v>
      </c>
      <c r="AA188" s="617">
        <f>B188*C188*'4C2 Open-burning '!$C$10*'4C2 Open-burning '!$C$11*$C$5*$C$15</f>
        <v>9.0930096753515776E-3</v>
      </c>
      <c r="AB188" s="617">
        <f>B188*D188*'4C2 Open-burning '!$C$10*'4C2 Open-burning '!$C$11*$C$5*$D$15</f>
        <v>1.2152621436507621E-2</v>
      </c>
      <c r="AC188" s="617">
        <f>B188*E188*'4C2 Open-burning '!$C$10*'4C2 Open-burning '!$C$11*$C$5*$E$15</f>
        <v>9.177042693235363E-3</v>
      </c>
      <c r="AD188" s="617">
        <f>B188*F188*'4C2 Open-burning '!$C$10*'4C2 Open-burning '!$C$11*$C$5*$F$15</f>
        <v>0</v>
      </c>
      <c r="AE188" s="617">
        <f>B188*G188*'4C2 Open-burning '!$C$10*'4C2 Open-burning '!$C$11*$C$5*$G$15</f>
        <v>0</v>
      </c>
      <c r="AF188" s="617">
        <f>B188*H188*'4C2 Open-burning '!$C$10*'4C2 Open-burning '!$C$11*$C$5*$H$15</f>
        <v>0</v>
      </c>
      <c r="AG188" s="617">
        <f>B188*I188*'4C2 Open-burning '!$C$10*'4C2 Open-burning '!$C$11*$C$5*$I$15</f>
        <v>4.5869521998097802E-2</v>
      </c>
      <c r="AH188" s="618">
        <f t="shared" si="19"/>
        <v>7.6292195803192353E-2</v>
      </c>
      <c r="AI188" s="99"/>
      <c r="AJ188" s="4"/>
      <c r="AK188" s="4"/>
      <c r="AL188" s="4"/>
      <c r="AM188" s="4"/>
    </row>
    <row r="189" spans="1:39" ht="15.75" thickBot="1">
      <c r="A189" s="1193">
        <f>'Input data'!A148</f>
        <v>2050</v>
      </c>
      <c r="B189" s="1012">
        <f>'Recycling - Case 3'!AP128</f>
        <v>0.1214682808560769</v>
      </c>
      <c r="C189" s="837">
        <f>'Recycling - Case 3'!BM128*'Recycling - Case 3'!AK128*'Recycling - Case 3'!B128</f>
        <v>2090.0478865757318</v>
      </c>
      <c r="D189" s="834">
        <f>'Recycling - Case 3'!BN128*'Recycling - Case 3'!AK128*'Recycling - Case 3'!B128</f>
        <v>2793.3062491485389</v>
      </c>
      <c r="E189" s="834">
        <f>'Recycling - Case 3'!BO128*'Recycling - Case 3'!AK128*'Recycling - Case 3'!B128</f>
        <v>937.49469199421526</v>
      </c>
      <c r="F189" s="834">
        <f>'Recycling - Case 3'!BP128*'Recycling - Case 3'!AK128*'Recycling - Case 3'!B128</f>
        <v>0</v>
      </c>
      <c r="G189" s="834">
        <f>'Recycling - Case 3'!BQ128*'Recycling - Case 3'!AK128*'Recycling - Case 3'!B128</f>
        <v>0</v>
      </c>
      <c r="H189" s="834">
        <f>'Recycling - Case 3'!BR128*'Recycling - Case 3'!AK128*'Recycling - Case 3'!B128</f>
        <v>0</v>
      </c>
      <c r="I189" s="834">
        <f>'Recycling - Case 3'!BS128*'Recycling - Case 3'!AK128*'Recycling - Case 3'!B128</f>
        <v>4685.8704742898053</v>
      </c>
      <c r="J189" s="1166">
        <f t="shared" si="16"/>
        <v>10506.71930200829</v>
      </c>
      <c r="K189" s="620">
        <f>'4C2 Open-burning '!B189*'4C2 Open-burning '!$C$14*'4C2 Open-burning '!$C$5*'4C2 Open-burning '!$C$6*'4C2 Open-burning '!$C$7*C189</f>
        <v>0</v>
      </c>
      <c r="L189" s="621">
        <f>'4C2 Open-burning '!B189*'4C2 Open-burning '!$D$14*'4C2 Open-burning '!$C$5*'4C2 Open-burning '!$C$6*'4C2 Open-burning '!$C$7*D189</f>
        <v>0</v>
      </c>
      <c r="M189" s="621">
        <f>'4C2 Open-burning '!B189*'4C2 Open-burning '!$E$14*'4C2 Open-burning '!$C$5*'4C2 Open-burning '!$C$6*'4C2 Open-burning '!$C$7*E189</f>
        <v>0.60156521822764619</v>
      </c>
      <c r="N189" s="621">
        <f>'4C2 Open-burning '!B189*'4C2 Open-burning '!$F$14*'4C2 Open-burning '!$C$5*'4C2 Open-burning '!$C$6*'4C2 Open-burning '!$C$7*F189</f>
        <v>0</v>
      </c>
      <c r="O189" s="621">
        <f>'4C2 Open-burning '!B189*'4C2 Open-burning '!$G$14*'4C2 Open-burning '!$C$5*'4C2 Open-burning '!$C$6*'4C2 Open-burning '!$C$7*G189</f>
        <v>0</v>
      </c>
      <c r="P189" s="621">
        <f>'4C2 Open-burning '!B189*'4C2 Open-burning '!$H$14*'4C2 Open-burning '!$C$5*'4C2 Open-burning '!$C$6*'4C2 Open-burning '!$C$7*H189</f>
        <v>0</v>
      </c>
      <c r="Q189" s="621">
        <f>'4C2 Open-burning '!B189*'4C2 Open-burning '!$I$14*'4C2 Open-burning '!$C$5*'4C2 Open-burning '!$C$6*'4C2 Open-burning '!$C$7*I189</f>
        <v>19.609548901225356</v>
      </c>
      <c r="R189" s="622">
        <f t="shared" si="17"/>
        <v>20.211114119453001</v>
      </c>
      <c r="S189" s="621">
        <f>B189*C189*'4C2 Open-burning '!$C$9*'4C2 Open-burning '!$C$11*$C$5</f>
        <v>0.99011064238800062</v>
      </c>
      <c r="T189" s="621">
        <f>B189*D189*'4C2 Open-burning '!$C$9*'4C2 Open-burning '!$C$11*$C$5</f>
        <v>1.3232626211555767</v>
      </c>
      <c r="U189" s="621">
        <f>B189*E189*'4C2 Open-burning '!$C$9*'4C2 Open-burning '!$C$11*$C$5</f>
        <v>0.44411588733811513</v>
      </c>
      <c r="V189" s="621">
        <f>B189*F189*'4C2 Open-burning '!$C$9*'4C2 Open-burning '!$C$11*$C$5</f>
        <v>0</v>
      </c>
      <c r="W189" s="621">
        <f>B189*G189*'4C2 Open-burning '!$C$9*'4C2 Open-burning '!$C$11*$C$5</f>
        <v>0</v>
      </c>
      <c r="X189" s="621">
        <f>B189*H189*'4C2 Open-burning '!$C$9*'4C2 Open-burning '!$C$11*$C$5</f>
        <v>0</v>
      </c>
      <c r="Y189" s="621">
        <f>B189*I189*'4C2 Open-burning '!$C$9*'4C2 Open-burning '!$C$11*$C$5</f>
        <v>2.2198200602223062</v>
      </c>
      <c r="Z189" s="622">
        <f t="shared" si="18"/>
        <v>4.9773092111039983</v>
      </c>
      <c r="AA189" s="623">
        <f>B189*C189*'4C2 Open-burning '!$C$10*'4C2 Open-burning '!$C$11*$C$5*$C$15</f>
        <v>9.1394828528123129E-3</v>
      </c>
      <c r="AB189" s="623">
        <f>B189*D189*'4C2 Open-burning '!$C$10*'4C2 Open-burning '!$C$11*$C$5*$D$15</f>
        <v>1.221473188758994E-2</v>
      </c>
      <c r="AC189" s="623">
        <f>B189*E189*'4C2 Open-burning '!$C$10*'4C2 Open-burning '!$C$11*$C$5*$E$15</f>
        <v>9.2239453524070054E-3</v>
      </c>
      <c r="AD189" s="623">
        <f>B189*F189*'4C2 Open-burning '!$C$10*'4C2 Open-burning '!$C$11*$C$5*$F$15</f>
        <v>0</v>
      </c>
      <c r="AE189" s="623">
        <f>B189*G189*'4C2 Open-burning '!$C$10*'4C2 Open-burning '!$C$11*$C$5*$G$15</f>
        <v>0</v>
      </c>
      <c r="AF189" s="623">
        <f>B189*H189*'4C2 Open-burning '!$C$10*'4C2 Open-burning '!$C$11*$C$5*$H$15</f>
        <v>0</v>
      </c>
      <c r="AG189" s="623">
        <f>B189*I189*'4C2 Open-burning '!$C$10*'4C2 Open-burning '!$C$11*$C$5*$I$15</f>
        <v>4.6103955096924824E-2</v>
      </c>
      <c r="AH189" s="624">
        <f t="shared" si="19"/>
        <v>7.6682115189734085E-2</v>
      </c>
      <c r="AI189" s="99"/>
      <c r="AJ189" s="4"/>
      <c r="AK189" s="4"/>
      <c r="AL189" s="4"/>
      <c r="AM189" s="4"/>
    </row>
    <row r="190" spans="1:39">
      <c r="A190" s="99"/>
      <c r="B190" s="713"/>
      <c r="C190" s="1168"/>
      <c r="D190" s="1168"/>
      <c r="E190" s="1168"/>
      <c r="F190" s="1168"/>
      <c r="G190" s="1168"/>
      <c r="H190" s="1168"/>
      <c r="I190" s="1168"/>
      <c r="J190" s="1169"/>
      <c r="K190" s="158"/>
      <c r="L190" s="158"/>
      <c r="M190" s="158"/>
      <c r="N190" s="158"/>
      <c r="O190" s="158"/>
      <c r="P190" s="158"/>
      <c r="Q190" s="158"/>
      <c r="R190" s="1170"/>
      <c r="S190" s="158"/>
      <c r="T190" s="158"/>
      <c r="U190" s="158"/>
      <c r="V190" s="158"/>
      <c r="W190" s="158"/>
      <c r="X190" s="158"/>
      <c r="Y190" s="158"/>
      <c r="Z190" s="1170"/>
      <c r="AA190" s="1171"/>
      <c r="AB190" s="1171"/>
      <c r="AC190" s="1171"/>
      <c r="AD190" s="1171"/>
      <c r="AE190" s="1171"/>
      <c r="AF190" s="1171"/>
      <c r="AG190" s="1171"/>
      <c r="AH190" s="1172"/>
      <c r="AI190" s="99"/>
      <c r="AJ190" s="4"/>
      <c r="AK190" s="4"/>
      <c r="AL190" s="4"/>
      <c r="AM190" s="4"/>
    </row>
    <row r="191" spans="1:39">
      <c r="A191" s="99"/>
      <c r="B191" s="713"/>
      <c r="C191" s="1168"/>
      <c r="D191" s="1168"/>
      <c r="E191" s="1168"/>
      <c r="F191" s="1168"/>
      <c r="G191" s="1168"/>
      <c r="H191" s="1168"/>
      <c r="I191" s="1168"/>
      <c r="J191" s="1169"/>
      <c r="K191" s="158"/>
      <c r="L191" s="158"/>
      <c r="M191" s="158"/>
      <c r="N191" s="158"/>
      <c r="O191" s="158"/>
      <c r="P191" s="158"/>
      <c r="Q191" s="158"/>
      <c r="R191" s="1170"/>
      <c r="S191" s="158"/>
      <c r="T191" s="158"/>
      <c r="U191" s="158"/>
      <c r="V191" s="158"/>
      <c r="W191" s="158"/>
      <c r="X191" s="158"/>
      <c r="Y191" s="158"/>
      <c r="Z191" s="1170"/>
      <c r="AA191" s="1171"/>
      <c r="AB191" s="1171"/>
      <c r="AC191" s="1171"/>
      <c r="AD191" s="1171"/>
      <c r="AE191" s="1171"/>
      <c r="AF191" s="1171"/>
      <c r="AG191" s="1171"/>
      <c r="AH191" s="1172"/>
      <c r="AI191" s="99"/>
      <c r="AJ191" s="4"/>
      <c r="AK191" s="4"/>
      <c r="AL191" s="4"/>
      <c r="AM191" s="4"/>
    </row>
    <row r="192" spans="1:39">
      <c r="A192" s="99"/>
      <c r="B192" s="713"/>
      <c r="C192" s="1168"/>
      <c r="D192" s="1168"/>
      <c r="E192" s="1168"/>
      <c r="F192" s="1168"/>
      <c r="G192" s="1168"/>
      <c r="H192" s="1168"/>
      <c r="I192" s="1168"/>
      <c r="J192" s="1169"/>
      <c r="K192" s="158"/>
      <c r="L192" s="158"/>
      <c r="M192" s="158"/>
      <c r="N192" s="158"/>
      <c r="O192" s="158"/>
      <c r="P192" s="158"/>
      <c r="Q192" s="158"/>
      <c r="R192" s="1170"/>
      <c r="S192" s="158"/>
      <c r="T192" s="158"/>
      <c r="U192" s="158"/>
      <c r="V192" s="158"/>
      <c r="W192" s="158"/>
      <c r="X192" s="158"/>
      <c r="Y192" s="158"/>
      <c r="Z192" s="1170"/>
      <c r="AA192" s="1171"/>
      <c r="AB192" s="1171"/>
      <c r="AC192" s="1171"/>
      <c r="AD192" s="1171"/>
      <c r="AE192" s="1171"/>
      <c r="AF192" s="1171"/>
      <c r="AG192" s="1171"/>
      <c r="AH192" s="1172"/>
      <c r="AI192" s="99"/>
      <c r="AJ192" s="4"/>
      <c r="AK192" s="4"/>
      <c r="AL192" s="4"/>
      <c r="AM192" s="4"/>
    </row>
    <row r="193" spans="1:39">
      <c r="A193" s="99"/>
      <c r="B193" s="713"/>
      <c r="C193" s="1168"/>
      <c r="D193" s="1168"/>
      <c r="E193" s="1168"/>
      <c r="F193" s="1168"/>
      <c r="G193" s="1168"/>
      <c r="H193" s="1168"/>
      <c r="I193" s="1168"/>
      <c r="J193" s="1169"/>
      <c r="K193" s="158"/>
      <c r="L193" s="158"/>
      <c r="M193" s="158"/>
      <c r="N193" s="158"/>
      <c r="O193" s="158"/>
      <c r="P193" s="158"/>
      <c r="Q193" s="158"/>
      <c r="R193" s="1170"/>
      <c r="S193" s="158"/>
      <c r="T193" s="158"/>
      <c r="U193" s="158"/>
      <c r="V193" s="158"/>
      <c r="W193" s="158"/>
      <c r="X193" s="158"/>
      <c r="Y193" s="158"/>
      <c r="Z193" s="1170"/>
      <c r="AA193" s="1171"/>
      <c r="AB193" s="1171"/>
      <c r="AC193" s="1171"/>
      <c r="AD193" s="1171"/>
      <c r="AE193" s="1171"/>
      <c r="AF193" s="1171"/>
      <c r="AG193" s="1171"/>
      <c r="AH193" s="1172"/>
      <c r="AI193" s="99"/>
      <c r="AJ193" s="4"/>
      <c r="AK193" s="4"/>
      <c r="AL193" s="4"/>
      <c r="AM193" s="4"/>
    </row>
    <row r="194" spans="1:39">
      <c r="A194" s="99"/>
      <c r="B194" s="713"/>
      <c r="C194" s="1168"/>
      <c r="D194" s="1168"/>
      <c r="E194" s="1168"/>
      <c r="F194" s="1168"/>
      <c r="G194" s="1168"/>
      <c r="H194" s="1168"/>
      <c r="I194" s="1168"/>
      <c r="J194" s="1169"/>
      <c r="K194" s="158"/>
      <c r="L194" s="158"/>
      <c r="M194" s="158"/>
      <c r="N194" s="158"/>
      <c r="O194" s="158"/>
      <c r="P194" s="158"/>
      <c r="Q194" s="158"/>
      <c r="R194" s="1170"/>
      <c r="S194" s="158"/>
      <c r="T194" s="158"/>
      <c r="U194" s="158"/>
      <c r="V194" s="158"/>
      <c r="W194" s="158"/>
      <c r="X194" s="158"/>
      <c r="Y194" s="158"/>
      <c r="Z194" s="1170"/>
      <c r="AA194" s="1171"/>
      <c r="AB194" s="1171"/>
      <c r="AC194" s="1171"/>
      <c r="AD194" s="1171"/>
      <c r="AE194" s="1171"/>
      <c r="AF194" s="1171"/>
      <c r="AG194" s="1171"/>
      <c r="AH194" s="1172"/>
      <c r="AI194" s="99"/>
      <c r="AJ194" s="4"/>
      <c r="AK194" s="4"/>
      <c r="AL194" s="4"/>
      <c r="AM194" s="4"/>
    </row>
    <row r="195" spans="1:39">
      <c r="A195" s="99"/>
      <c r="B195" s="713"/>
      <c r="C195" s="1168"/>
      <c r="D195" s="1168"/>
      <c r="E195" s="1168"/>
      <c r="F195" s="1168"/>
      <c r="G195" s="1168"/>
      <c r="H195" s="1168"/>
      <c r="I195" s="1168"/>
      <c r="J195" s="1169"/>
      <c r="K195" s="158"/>
      <c r="L195" s="158"/>
      <c r="M195" s="158"/>
      <c r="N195" s="158"/>
      <c r="O195" s="158"/>
      <c r="P195" s="158"/>
      <c r="Q195" s="158"/>
      <c r="R195" s="1170"/>
      <c r="S195" s="158"/>
      <c r="T195" s="158"/>
      <c r="U195" s="158"/>
      <c r="V195" s="158"/>
      <c r="W195" s="158"/>
      <c r="X195" s="158"/>
      <c r="Y195" s="158"/>
      <c r="Z195" s="1170"/>
      <c r="AA195" s="1171"/>
      <c r="AB195" s="1171"/>
      <c r="AC195" s="1171"/>
      <c r="AD195" s="1171"/>
      <c r="AE195" s="1171"/>
      <c r="AF195" s="1171"/>
      <c r="AG195" s="1171"/>
      <c r="AH195" s="1172"/>
      <c r="AI195" s="99"/>
      <c r="AJ195" s="4"/>
      <c r="AK195" s="4"/>
      <c r="AL195" s="4"/>
      <c r="AM195" s="4"/>
    </row>
    <row r="196" spans="1:39">
      <c r="A196" s="99"/>
      <c r="B196" s="713"/>
      <c r="C196" s="1168"/>
      <c r="D196" s="1168"/>
      <c r="E196" s="1168"/>
      <c r="F196" s="1168"/>
      <c r="G196" s="1168"/>
      <c r="H196" s="1168"/>
      <c r="I196" s="1168"/>
      <c r="J196" s="1169"/>
      <c r="K196" s="158"/>
      <c r="L196" s="158"/>
      <c r="M196" s="158"/>
      <c r="N196" s="158"/>
      <c r="O196" s="158"/>
      <c r="P196" s="158"/>
      <c r="Q196" s="158"/>
      <c r="R196" s="1170"/>
      <c r="S196" s="158"/>
      <c r="T196" s="158"/>
      <c r="U196" s="158"/>
      <c r="V196" s="158"/>
      <c r="W196" s="158"/>
      <c r="X196" s="158"/>
      <c r="Y196" s="158"/>
      <c r="Z196" s="1170"/>
      <c r="AA196" s="1171"/>
      <c r="AB196" s="1171"/>
      <c r="AC196" s="1171"/>
      <c r="AD196" s="1171"/>
      <c r="AE196" s="1171"/>
      <c r="AF196" s="1171"/>
      <c r="AG196" s="1171"/>
      <c r="AH196" s="1172"/>
      <c r="AI196" s="99"/>
      <c r="AJ196" s="4"/>
      <c r="AK196" s="4"/>
      <c r="AL196" s="4"/>
      <c r="AM196" s="4"/>
    </row>
    <row r="197" spans="1:39">
      <c r="A197" s="99"/>
      <c r="B197" s="713"/>
      <c r="C197" s="1168"/>
      <c r="D197" s="1168"/>
      <c r="E197" s="1168"/>
      <c r="F197" s="1168"/>
      <c r="G197" s="1168"/>
      <c r="H197" s="1168"/>
      <c r="I197" s="1168"/>
      <c r="J197" s="1169"/>
      <c r="K197" s="158"/>
      <c r="L197" s="158"/>
      <c r="M197" s="158"/>
      <c r="N197" s="158"/>
      <c r="O197" s="158"/>
      <c r="P197" s="158"/>
      <c r="Q197" s="158"/>
      <c r="R197" s="1170"/>
      <c r="S197" s="158"/>
      <c r="T197" s="158"/>
      <c r="U197" s="158"/>
      <c r="V197" s="158"/>
      <c r="W197" s="158"/>
      <c r="X197" s="158"/>
      <c r="Y197" s="158"/>
      <c r="Z197" s="1170"/>
      <c r="AA197" s="1171"/>
      <c r="AB197" s="1171"/>
      <c r="AC197" s="1171"/>
      <c r="AD197" s="1171"/>
      <c r="AE197" s="1171"/>
      <c r="AF197" s="1171"/>
      <c r="AG197" s="1171"/>
      <c r="AH197" s="1172"/>
      <c r="AI197" s="99"/>
      <c r="AJ197" s="4"/>
      <c r="AK197" s="4"/>
      <c r="AL197" s="4"/>
      <c r="AM197" s="4"/>
    </row>
    <row r="198" spans="1:39">
      <c r="A198" s="99"/>
      <c r="B198" s="713"/>
      <c r="C198" s="99"/>
      <c r="D198" s="99"/>
      <c r="E198" s="99"/>
      <c r="F198" s="99"/>
      <c r="G198" s="99"/>
      <c r="H198" s="99"/>
      <c r="I198" s="99"/>
      <c r="J198" s="375"/>
      <c r="K198" s="158"/>
      <c r="L198" s="158"/>
      <c r="M198" s="158"/>
      <c r="N198" s="158"/>
      <c r="O198" s="158"/>
      <c r="P198" s="158"/>
      <c r="Q198" s="158"/>
      <c r="R198" s="1170"/>
      <c r="S198" s="158"/>
      <c r="T198" s="158"/>
      <c r="U198" s="158"/>
      <c r="V198" s="158"/>
      <c r="W198" s="158"/>
      <c r="X198" s="158"/>
      <c r="Y198" s="158"/>
      <c r="Z198" s="1170"/>
      <c r="AA198" s="1171"/>
      <c r="AB198" s="1171"/>
      <c r="AC198" s="1171"/>
      <c r="AD198" s="1171"/>
      <c r="AE198" s="1171"/>
      <c r="AF198" s="1171"/>
      <c r="AG198" s="1171"/>
      <c r="AH198" s="1172"/>
      <c r="AI198" s="99"/>
      <c r="AJ198" s="4"/>
      <c r="AK198" s="4"/>
      <c r="AL198" s="4"/>
      <c r="AM198" s="4"/>
    </row>
    <row r="199" spans="1:39">
      <c r="A199" s="99"/>
      <c r="B199" s="713"/>
      <c r="C199" s="99"/>
      <c r="D199" s="99"/>
      <c r="E199" s="99"/>
      <c r="F199" s="99"/>
      <c r="G199" s="99"/>
      <c r="H199" s="99"/>
      <c r="I199" s="99"/>
      <c r="J199" s="375"/>
      <c r="K199" s="99"/>
      <c r="L199" s="99"/>
      <c r="M199" s="99"/>
      <c r="N199" s="99"/>
      <c r="O199" s="99"/>
      <c r="P199" s="99"/>
      <c r="Q199" s="99"/>
      <c r="R199" s="375"/>
      <c r="S199" s="99"/>
      <c r="T199" s="99"/>
      <c r="U199" s="99"/>
      <c r="V199" s="99"/>
      <c r="W199" s="99"/>
      <c r="X199" s="99"/>
      <c r="Y199" s="99"/>
      <c r="Z199" s="375"/>
      <c r="AA199" s="99"/>
      <c r="AB199" s="99"/>
      <c r="AC199" s="99"/>
      <c r="AD199" s="99"/>
      <c r="AE199" s="99"/>
      <c r="AF199" s="99"/>
      <c r="AG199" s="99"/>
      <c r="AH199" s="99"/>
      <c r="AI199" s="99"/>
      <c r="AJ199" s="4"/>
      <c r="AK199" s="4"/>
      <c r="AL199" s="4"/>
      <c r="AM199" s="4"/>
    </row>
    <row r="200" spans="1:39">
      <c r="A200" s="99"/>
      <c r="B200" s="713"/>
      <c r="C200" s="99"/>
      <c r="D200" s="99"/>
      <c r="E200" s="99"/>
      <c r="F200" s="99"/>
      <c r="G200" s="99"/>
      <c r="H200" s="99"/>
      <c r="I200" s="99"/>
      <c r="J200" s="375"/>
      <c r="K200" s="99"/>
      <c r="L200" s="99"/>
      <c r="M200" s="99"/>
      <c r="N200" s="99"/>
      <c r="O200" s="99"/>
      <c r="P200" s="99"/>
      <c r="Q200" s="99"/>
      <c r="R200" s="375"/>
      <c r="S200" s="99"/>
      <c r="T200" s="99"/>
      <c r="U200" s="99"/>
      <c r="V200" s="99"/>
      <c r="W200" s="99"/>
      <c r="X200" s="99"/>
      <c r="Y200" s="99"/>
      <c r="Z200" s="375"/>
      <c r="AA200" s="99"/>
      <c r="AB200" s="99"/>
      <c r="AC200" s="99"/>
      <c r="AD200" s="99"/>
      <c r="AE200" s="99"/>
      <c r="AF200" s="99"/>
      <c r="AG200" s="99"/>
      <c r="AH200" s="99"/>
      <c r="AI200" s="99"/>
      <c r="AJ200" s="4"/>
      <c r="AK200" s="4"/>
      <c r="AL200" s="4"/>
      <c r="AM200" s="4"/>
    </row>
    <row r="201" spans="1:39">
      <c r="A201" s="99"/>
      <c r="B201" s="713"/>
      <c r="C201" s="99"/>
      <c r="D201" s="99"/>
      <c r="E201" s="99"/>
      <c r="F201" s="99"/>
      <c r="G201" s="99"/>
      <c r="H201" s="99"/>
      <c r="I201" s="99"/>
      <c r="J201" s="375"/>
      <c r="K201" s="99"/>
      <c r="L201" s="99"/>
      <c r="M201" s="99"/>
      <c r="N201" s="99"/>
      <c r="O201" s="99"/>
      <c r="P201" s="99"/>
      <c r="Q201" s="99"/>
      <c r="R201" s="375"/>
      <c r="S201" s="99"/>
      <c r="T201" s="99"/>
      <c r="U201" s="99"/>
      <c r="V201" s="99"/>
      <c r="W201" s="99"/>
      <c r="X201" s="99"/>
      <c r="Y201" s="99"/>
      <c r="Z201" s="375"/>
      <c r="AA201" s="99"/>
      <c r="AB201" s="99"/>
      <c r="AC201" s="99"/>
      <c r="AD201" s="99"/>
      <c r="AE201" s="99"/>
      <c r="AF201" s="99"/>
      <c r="AG201" s="99"/>
      <c r="AH201" s="99"/>
      <c r="AI201" s="99"/>
      <c r="AJ201" s="4"/>
      <c r="AK201" s="4"/>
      <c r="AL201" s="4"/>
      <c r="AM201" s="4"/>
    </row>
    <row r="202" spans="1:39">
      <c r="A202" s="99"/>
      <c r="B202" s="713"/>
      <c r="C202" s="99"/>
      <c r="D202" s="99"/>
      <c r="E202" s="99"/>
      <c r="F202" s="99"/>
      <c r="G202" s="99"/>
      <c r="H202" s="99"/>
      <c r="I202" s="99"/>
      <c r="J202" s="375"/>
      <c r="K202" s="99"/>
      <c r="L202" s="99"/>
      <c r="M202" s="99"/>
      <c r="N202" s="99"/>
      <c r="O202" s="99"/>
      <c r="P202" s="99"/>
      <c r="Q202" s="99"/>
      <c r="R202" s="375"/>
      <c r="S202" s="99"/>
      <c r="T202" s="99"/>
      <c r="U202" s="99"/>
      <c r="V202" s="99"/>
      <c r="W202" s="99"/>
      <c r="X202" s="99"/>
      <c r="Y202" s="99"/>
      <c r="Z202" s="375"/>
      <c r="AA202" s="99"/>
      <c r="AB202" s="99"/>
      <c r="AC202" s="99"/>
      <c r="AD202" s="99"/>
      <c r="AE202" s="99"/>
      <c r="AF202" s="99"/>
      <c r="AG202" s="99"/>
      <c r="AH202" s="99"/>
      <c r="AI202" s="99"/>
      <c r="AJ202" s="4"/>
      <c r="AK202" s="4"/>
      <c r="AL202" s="4"/>
      <c r="AM202" s="4"/>
    </row>
    <row r="203" spans="1:39">
      <c r="A203" s="99"/>
      <c r="B203" s="713"/>
      <c r="C203" s="99"/>
      <c r="D203" s="99"/>
      <c r="E203" s="99"/>
      <c r="F203" s="99"/>
      <c r="G203" s="99"/>
      <c r="H203" s="99"/>
      <c r="I203" s="99"/>
      <c r="J203" s="375"/>
      <c r="K203" s="99"/>
      <c r="L203" s="99"/>
      <c r="M203" s="99"/>
      <c r="N203" s="99"/>
      <c r="O203" s="99"/>
      <c r="P203" s="99"/>
      <c r="Q203" s="99"/>
      <c r="R203" s="375"/>
      <c r="S203" s="99"/>
      <c r="T203" s="99"/>
      <c r="U203" s="99"/>
      <c r="V203" s="99"/>
      <c r="W203" s="99"/>
      <c r="X203" s="99"/>
      <c r="Y203" s="99"/>
      <c r="Z203" s="375"/>
      <c r="AA203" s="99"/>
      <c r="AB203" s="99"/>
      <c r="AC203" s="99"/>
      <c r="AD203" s="99"/>
      <c r="AE203" s="99"/>
      <c r="AF203" s="99"/>
      <c r="AG203" s="99"/>
      <c r="AH203" s="99"/>
      <c r="AI203" s="99"/>
      <c r="AJ203" s="4"/>
      <c r="AK203" s="4"/>
      <c r="AL203" s="4"/>
      <c r="AM203" s="4"/>
    </row>
    <row r="204" spans="1:39">
      <c r="A204" s="4"/>
      <c r="B204" s="1181"/>
      <c r="C204" s="4"/>
      <c r="D204" s="4"/>
      <c r="E204" s="4"/>
      <c r="F204" s="4"/>
      <c r="G204" s="4"/>
      <c r="H204" s="4"/>
      <c r="I204" s="4"/>
      <c r="J204" s="573"/>
      <c r="K204" s="4"/>
      <c r="L204" s="4"/>
      <c r="M204" s="4"/>
      <c r="N204" s="4"/>
      <c r="O204" s="4"/>
      <c r="P204" s="4"/>
      <c r="Q204" s="4"/>
      <c r="R204" s="573"/>
      <c r="S204" s="4"/>
      <c r="T204" s="4"/>
      <c r="U204" s="4"/>
      <c r="V204" s="4"/>
      <c r="W204" s="4"/>
      <c r="X204" s="4"/>
      <c r="Y204" s="4"/>
      <c r="Z204" s="573"/>
      <c r="AA204" s="4"/>
      <c r="AB204" s="4"/>
      <c r="AC204" s="4"/>
      <c r="AD204" s="4"/>
      <c r="AE204" s="4"/>
      <c r="AF204" s="4"/>
      <c r="AG204" s="4"/>
      <c r="AH204" s="4"/>
      <c r="AI204" s="4"/>
      <c r="AJ204" s="4"/>
      <c r="AK204" s="4"/>
      <c r="AL204" s="4"/>
      <c r="AM204" s="4"/>
    </row>
    <row r="205" spans="1:39">
      <c r="A205" s="4"/>
      <c r="B205" s="1181"/>
      <c r="C205" s="4"/>
      <c r="D205" s="4"/>
      <c r="E205" s="4"/>
      <c r="F205" s="4"/>
      <c r="G205" s="4"/>
      <c r="H205" s="4"/>
      <c r="I205" s="4"/>
      <c r="J205" s="573"/>
      <c r="K205" s="4"/>
      <c r="L205" s="4"/>
      <c r="M205" s="4"/>
      <c r="N205" s="4"/>
      <c r="O205" s="4"/>
      <c r="P205" s="4"/>
      <c r="Q205" s="4"/>
      <c r="R205" s="573"/>
      <c r="S205" s="4"/>
      <c r="T205" s="4"/>
      <c r="U205" s="4"/>
      <c r="V205" s="4"/>
      <c r="W205" s="4"/>
      <c r="X205" s="4"/>
      <c r="Y205" s="4"/>
      <c r="Z205" s="573"/>
      <c r="AA205" s="4"/>
      <c r="AB205" s="4"/>
      <c r="AC205" s="4"/>
      <c r="AD205" s="4"/>
      <c r="AE205" s="4"/>
      <c r="AF205" s="4"/>
      <c r="AG205" s="4"/>
      <c r="AH205" s="4"/>
      <c r="AI205" s="4"/>
      <c r="AJ205" s="4"/>
      <c r="AK205" s="4"/>
      <c r="AL205" s="4"/>
      <c r="AM205" s="4"/>
    </row>
    <row r="206" spans="1:39">
      <c r="B206" s="114"/>
    </row>
    <row r="207" spans="1:39">
      <c r="B207" s="114"/>
    </row>
    <row r="208" spans="1:39">
      <c r="B208" s="114"/>
    </row>
    <row r="209" spans="2:2">
      <c r="B209" s="114"/>
    </row>
  </sheetData>
  <mergeCells count="4">
    <mergeCell ref="K18:R18"/>
    <mergeCell ref="B18:B19"/>
    <mergeCell ref="A18:A19"/>
    <mergeCell ref="AA18:AH18"/>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F2CB4-4209-43ED-A237-50B1C2C8BB23}">
  <sheetPr codeName="Sheet10"/>
  <dimension ref="A1:AW227"/>
  <sheetViews>
    <sheetView zoomScale="60" zoomScaleNormal="70" workbookViewId="0">
      <selection activeCell="H206" sqref="H206"/>
    </sheetView>
  </sheetViews>
  <sheetFormatPr defaultRowHeight="15"/>
  <cols>
    <col min="1" max="1" width="80.140625" customWidth="1"/>
    <col min="2" max="2" width="22.28515625" customWidth="1"/>
    <col min="3" max="5" width="28.42578125" customWidth="1"/>
    <col min="6" max="6" width="25.5703125" customWidth="1"/>
    <col min="7" max="7" width="26" customWidth="1"/>
    <col min="8" max="8" width="12.140625" customWidth="1"/>
    <col min="9" max="9" width="18.7109375" customWidth="1"/>
    <col min="13" max="13" width="15.42578125" customWidth="1"/>
    <col min="19" max="19" width="12.85546875" customWidth="1"/>
    <col min="23" max="23" width="7.42578125" bestFit="1" customWidth="1"/>
    <col min="24" max="24" width="14" bestFit="1" customWidth="1"/>
    <col min="25" max="25" width="13.42578125" customWidth="1"/>
    <col min="26" max="26" width="15" customWidth="1"/>
    <col min="27" max="27" width="12.28515625" customWidth="1"/>
    <col min="28" max="28" width="15.5703125" customWidth="1"/>
    <col min="29" max="29" width="12.28515625" customWidth="1"/>
    <col min="30" max="30" width="14.28515625" customWidth="1"/>
    <col min="31" max="31" width="11.28515625" bestFit="1" customWidth="1"/>
    <col min="32" max="32" width="15.140625" customWidth="1"/>
    <col min="33" max="33" width="11.28515625" bestFit="1" customWidth="1"/>
    <col min="34" max="34" width="10.28515625" bestFit="1" customWidth="1"/>
    <col min="35" max="35" width="13.7109375" customWidth="1"/>
    <col min="36" max="36" width="15.42578125" customWidth="1"/>
    <col min="37" max="38" width="11.28515625" bestFit="1" customWidth="1"/>
    <col min="39" max="39" width="16.7109375" customWidth="1"/>
    <col min="40" max="40" width="15.7109375" customWidth="1"/>
    <col min="41" max="41" width="15.140625" customWidth="1"/>
    <col min="42" max="42" width="13.42578125" customWidth="1"/>
    <col min="43" max="43" width="15.28515625" customWidth="1"/>
    <col min="44" max="44" width="12.7109375" customWidth="1"/>
    <col min="45" max="45" width="21.28515625" customWidth="1"/>
    <col min="46" max="46" width="12.28515625" bestFit="1" customWidth="1"/>
    <col min="47" max="47" width="17.140625" customWidth="1"/>
    <col min="48" max="48" width="14.7109375" customWidth="1"/>
    <col min="49" max="49" width="18.7109375" customWidth="1"/>
  </cols>
  <sheetData>
    <row r="1" spans="1:9">
      <c r="A1" s="156" t="s">
        <v>1</v>
      </c>
      <c r="B1" s="115"/>
      <c r="C1" s="115"/>
      <c r="D1" s="115"/>
      <c r="E1" s="115"/>
      <c r="F1" s="115"/>
      <c r="G1" s="115"/>
      <c r="H1" s="115"/>
      <c r="I1" s="116"/>
    </row>
    <row r="2" spans="1:9">
      <c r="A2" s="164" t="s">
        <v>39</v>
      </c>
      <c r="B2" s="104"/>
      <c r="C2" s="104"/>
      <c r="D2" s="104"/>
      <c r="E2" s="104"/>
      <c r="F2" s="104"/>
      <c r="G2" s="104"/>
      <c r="H2" s="104"/>
      <c r="I2" s="130"/>
    </row>
    <row r="3" spans="1:9">
      <c r="A3" s="142" t="s">
        <v>43</v>
      </c>
      <c r="B3" s="165" t="s">
        <v>2</v>
      </c>
      <c r="C3" s="165" t="s">
        <v>4</v>
      </c>
      <c r="D3" s="165"/>
      <c r="E3" s="104"/>
      <c r="F3" s="165" t="s">
        <v>27</v>
      </c>
      <c r="G3" s="104"/>
      <c r="H3" s="104"/>
      <c r="I3" s="130"/>
    </row>
    <row r="4" spans="1:9">
      <c r="A4" s="127" t="s">
        <v>32</v>
      </c>
      <c r="B4" s="104" t="s">
        <v>3</v>
      </c>
      <c r="C4" s="129">
        <f>Parameters!D6</f>
        <v>13.505000000000001</v>
      </c>
      <c r="D4" s="104"/>
      <c r="E4" s="104"/>
      <c r="F4" s="104"/>
      <c r="G4" s="104"/>
      <c r="H4" s="104"/>
      <c r="I4" s="130"/>
    </row>
    <row r="5" spans="1:9">
      <c r="A5" s="127" t="s">
        <v>31</v>
      </c>
      <c r="B5" s="104" t="s">
        <v>16</v>
      </c>
      <c r="C5" s="129">
        <f>Parameters!D7</f>
        <v>0.6</v>
      </c>
      <c r="D5" s="104"/>
      <c r="E5" s="104"/>
      <c r="F5" s="104" t="s">
        <v>37</v>
      </c>
      <c r="G5" s="104"/>
      <c r="H5" s="104"/>
      <c r="I5" s="130"/>
    </row>
    <row r="6" spans="1:9">
      <c r="A6" s="127"/>
      <c r="B6" s="104" t="s">
        <v>15</v>
      </c>
      <c r="C6" s="129">
        <f>Parameters!D8</f>
        <v>0.25</v>
      </c>
      <c r="D6" s="104"/>
      <c r="E6" s="104"/>
      <c r="F6" s="104"/>
      <c r="G6" s="104"/>
      <c r="H6" s="104"/>
      <c r="I6" s="130"/>
    </row>
    <row r="7" spans="1:9">
      <c r="A7" s="127" t="s">
        <v>29</v>
      </c>
      <c r="B7" s="104" t="s">
        <v>28</v>
      </c>
      <c r="C7" s="129">
        <f>Parameters!D9</f>
        <v>1.25</v>
      </c>
      <c r="D7" s="104"/>
      <c r="E7" s="104"/>
      <c r="F7" s="104"/>
      <c r="G7" s="104"/>
      <c r="H7" s="104"/>
      <c r="I7" s="130"/>
    </row>
    <row r="8" spans="1:9">
      <c r="A8" s="127" t="s">
        <v>30</v>
      </c>
      <c r="B8" s="104" t="s">
        <v>28</v>
      </c>
      <c r="C8" s="129">
        <f>Parameters!D10</f>
        <v>1</v>
      </c>
      <c r="D8" s="104"/>
      <c r="E8" s="104"/>
      <c r="F8" s="104"/>
      <c r="G8" s="104"/>
      <c r="H8" s="104"/>
      <c r="I8" s="130"/>
    </row>
    <row r="9" spans="1:9">
      <c r="A9" s="157" t="s">
        <v>5</v>
      </c>
      <c r="B9" s="104"/>
      <c r="C9" s="104"/>
      <c r="D9" s="104"/>
      <c r="E9" s="104"/>
      <c r="F9" s="104"/>
      <c r="G9" s="104"/>
      <c r="H9" s="104"/>
      <c r="I9" s="130"/>
    </row>
    <row r="10" spans="1:9">
      <c r="A10" s="127" t="s">
        <v>6</v>
      </c>
      <c r="B10" s="104" t="s">
        <v>7</v>
      </c>
      <c r="C10" s="167">
        <f>Parameters!D12</f>
        <v>0.39</v>
      </c>
      <c r="D10" s="104"/>
      <c r="E10" s="104"/>
      <c r="F10" s="104"/>
      <c r="G10" s="104"/>
      <c r="H10" s="104"/>
      <c r="I10" s="130"/>
    </row>
    <row r="11" spans="1:9">
      <c r="A11" s="127" t="s">
        <v>13</v>
      </c>
      <c r="B11" s="104" t="s">
        <v>7</v>
      </c>
      <c r="C11" s="167">
        <f>Parameters!D13</f>
        <v>0.12</v>
      </c>
      <c r="D11" s="104"/>
      <c r="E11" s="104"/>
      <c r="F11" s="104"/>
      <c r="G11" s="104"/>
      <c r="H11" s="104"/>
      <c r="I11" s="130"/>
    </row>
    <row r="12" spans="1:9">
      <c r="A12" s="127" t="s">
        <v>14</v>
      </c>
      <c r="B12" s="104" t="s">
        <v>7</v>
      </c>
      <c r="C12" s="167">
        <f>Parameters!D14</f>
        <v>0.49</v>
      </c>
      <c r="D12" s="104"/>
      <c r="E12" s="104"/>
      <c r="F12" s="104"/>
      <c r="G12" s="104"/>
      <c r="H12" s="104"/>
      <c r="I12" s="130"/>
    </row>
    <row r="13" spans="1:9">
      <c r="A13" s="157" t="s">
        <v>33</v>
      </c>
      <c r="B13" s="104"/>
      <c r="C13" s="104"/>
      <c r="D13" s="104"/>
      <c r="E13" s="104"/>
      <c r="F13" s="104"/>
      <c r="G13" s="104"/>
      <c r="H13" s="104"/>
      <c r="I13" s="130"/>
    </row>
    <row r="14" spans="1:9">
      <c r="A14" s="127"/>
      <c r="B14" s="104"/>
      <c r="C14" s="857"/>
      <c r="D14" s="857"/>
      <c r="E14" s="857"/>
      <c r="F14" s="857"/>
      <c r="G14" s="857"/>
      <c r="H14" s="857"/>
      <c r="I14" s="130"/>
    </row>
    <row r="15" spans="1:9" ht="30">
      <c r="A15" s="127"/>
      <c r="B15" s="104"/>
      <c r="C15" s="205" t="s">
        <v>17</v>
      </c>
      <c r="D15" s="205" t="s">
        <v>23</v>
      </c>
      <c r="E15" s="205" t="s">
        <v>19</v>
      </c>
      <c r="F15" s="205" t="s">
        <v>24</v>
      </c>
      <c r="G15" s="205" t="s">
        <v>9</v>
      </c>
      <c r="H15" s="205" t="s">
        <v>10</v>
      </c>
      <c r="I15" s="130" t="s">
        <v>225</v>
      </c>
    </row>
    <row r="16" spans="1:9">
      <c r="A16" s="201" t="s">
        <v>8</v>
      </c>
      <c r="B16" s="128" t="s">
        <v>25</v>
      </c>
      <c r="C16" s="118">
        <f>Parameters!D17</f>
        <v>0.1</v>
      </c>
      <c r="D16" s="118">
        <f>Parameters!E17</f>
        <v>0</v>
      </c>
      <c r="E16" s="118">
        <f>Parameters!F17</f>
        <v>0.1</v>
      </c>
      <c r="F16" s="118">
        <f>Parameters!G17</f>
        <v>0.28000000000000003</v>
      </c>
      <c r="G16" s="118">
        <f>Parameters!H17</f>
        <v>0.04</v>
      </c>
      <c r="H16" s="118">
        <f>Parameters!I17</f>
        <v>0.48</v>
      </c>
      <c r="I16" s="206">
        <f>SUM(C16:H16)</f>
        <v>1</v>
      </c>
    </row>
    <row r="17" spans="1:19">
      <c r="A17" s="201" t="s">
        <v>11</v>
      </c>
      <c r="B17" s="128" t="s">
        <v>25</v>
      </c>
      <c r="C17" s="118">
        <f>Parameters!D18</f>
        <v>0</v>
      </c>
      <c r="D17" s="118">
        <f>Parameters!E18</f>
        <v>0.7</v>
      </c>
      <c r="E17" s="118">
        <f>Parameters!F18</f>
        <v>0.15</v>
      </c>
      <c r="F17" s="118">
        <f>Parameters!G18</f>
        <v>0.15</v>
      </c>
      <c r="G17" s="118">
        <f>Parameters!H18</f>
        <v>0</v>
      </c>
      <c r="H17" s="118">
        <f>Parameters!I18</f>
        <v>0</v>
      </c>
      <c r="I17" s="206">
        <f t="shared" ref="I17:I19" si="0">SUM(C17:H17)</f>
        <v>1</v>
      </c>
    </row>
    <row r="18" spans="1:19">
      <c r="A18" s="201" t="s">
        <v>12</v>
      </c>
      <c r="B18" s="128" t="s">
        <v>25</v>
      </c>
      <c r="C18" s="118">
        <f>Parameters!D19</f>
        <v>0.34</v>
      </c>
      <c r="D18" s="118">
        <f>Parameters!E19</f>
        <v>0</v>
      </c>
      <c r="E18" s="118">
        <f>Parameters!F19</f>
        <v>0.17</v>
      </c>
      <c r="F18" s="118">
        <f>Parameters!G19</f>
        <v>0.24</v>
      </c>
      <c r="G18" s="118">
        <f>Parameters!H19</f>
        <v>0.05</v>
      </c>
      <c r="H18" s="118">
        <f>Parameters!I19</f>
        <v>0.2</v>
      </c>
      <c r="I18" s="206">
        <f t="shared" si="0"/>
        <v>1</v>
      </c>
      <c r="J18" s="104"/>
    </row>
    <row r="19" spans="1:19">
      <c r="A19" s="127"/>
      <c r="B19" s="204" t="s">
        <v>225</v>
      </c>
      <c r="C19" s="535">
        <f>C16*$C$10+C17*$C$11+C18*$C$12</f>
        <v>0.2056</v>
      </c>
      <c r="D19" s="535">
        <f t="shared" ref="D19:H19" si="1">D16*$C$10+D17*$C$11+D18*$C$12</f>
        <v>8.3999999999999991E-2</v>
      </c>
      <c r="E19" s="535">
        <f t="shared" si="1"/>
        <v>0.14030000000000001</v>
      </c>
      <c r="F19" s="535">
        <f t="shared" si="1"/>
        <v>0.24480000000000002</v>
      </c>
      <c r="G19" s="535">
        <f t="shared" si="1"/>
        <v>4.0100000000000004E-2</v>
      </c>
      <c r="H19" s="535">
        <f t="shared" si="1"/>
        <v>0.28520000000000001</v>
      </c>
      <c r="I19" s="658">
        <f t="shared" si="0"/>
        <v>1</v>
      </c>
    </row>
    <row r="20" spans="1:19">
      <c r="A20" s="127"/>
      <c r="B20" s="104"/>
      <c r="C20" s="104"/>
      <c r="D20" s="104"/>
      <c r="E20" s="104"/>
      <c r="F20" s="104"/>
      <c r="G20" s="104"/>
      <c r="H20" s="104"/>
      <c r="I20" s="130"/>
    </row>
    <row r="21" spans="1:19">
      <c r="A21" s="127"/>
      <c r="B21" s="104"/>
      <c r="C21" s="104"/>
      <c r="D21" s="104"/>
      <c r="E21" s="104"/>
      <c r="F21" s="104"/>
      <c r="G21" s="104"/>
      <c r="H21" s="104"/>
      <c r="I21" s="130"/>
    </row>
    <row r="22" spans="1:19">
      <c r="A22" s="127"/>
      <c r="B22" s="104"/>
      <c r="C22" s="104"/>
      <c r="D22" s="104"/>
      <c r="E22" s="104"/>
      <c r="F22" s="104"/>
      <c r="G22" s="104"/>
      <c r="H22" s="104"/>
      <c r="I22" s="130"/>
      <c r="M22" s="99"/>
      <c r="N22" s="99"/>
      <c r="O22" s="99"/>
      <c r="P22" s="99"/>
      <c r="Q22" s="99"/>
      <c r="R22" s="99"/>
      <c r="S22" s="99"/>
    </row>
    <row r="23" spans="1:19">
      <c r="A23" s="127"/>
      <c r="B23" s="104"/>
      <c r="C23" s="104"/>
      <c r="D23" s="104"/>
      <c r="E23" s="104"/>
      <c r="F23" s="104"/>
      <c r="G23" s="104"/>
      <c r="H23" s="104"/>
      <c r="I23" s="130"/>
      <c r="M23" s="99"/>
      <c r="N23" s="99"/>
      <c r="O23" s="99"/>
      <c r="P23" s="99"/>
      <c r="Q23" s="99"/>
      <c r="R23" s="99"/>
      <c r="S23" s="99"/>
    </row>
    <row r="24" spans="1:19">
      <c r="A24" s="157" t="s">
        <v>26</v>
      </c>
      <c r="B24" s="104"/>
      <c r="C24" s="135" t="s">
        <v>22</v>
      </c>
      <c r="D24" s="104"/>
      <c r="E24" s="104"/>
      <c r="F24" s="104"/>
      <c r="G24" s="104"/>
      <c r="H24" s="104"/>
      <c r="I24" s="130"/>
      <c r="M24" s="99"/>
      <c r="N24" s="99"/>
      <c r="O24" s="99"/>
      <c r="P24" s="99"/>
      <c r="Q24" s="99"/>
      <c r="R24" s="99"/>
      <c r="S24" s="99"/>
    </row>
    <row r="25" spans="1:19">
      <c r="A25" s="127" t="s">
        <v>17</v>
      </c>
      <c r="B25" s="128" t="s">
        <v>196</v>
      </c>
      <c r="C25" s="129">
        <f>Parameters!D24</f>
        <v>0.5</v>
      </c>
      <c r="D25" s="104"/>
      <c r="E25" s="104"/>
      <c r="F25" s="104"/>
      <c r="G25" s="104"/>
      <c r="H25" s="104"/>
      <c r="I25" s="130"/>
      <c r="M25" s="99"/>
      <c r="N25" s="99"/>
      <c r="O25" s="203"/>
      <c r="P25" s="203"/>
      <c r="Q25" s="203"/>
      <c r="R25" s="203"/>
      <c r="S25" s="99"/>
    </row>
    <row r="26" spans="1:19">
      <c r="A26" s="127" t="s">
        <v>18</v>
      </c>
      <c r="B26" s="128" t="s">
        <v>196</v>
      </c>
      <c r="C26" s="129">
        <f>Parameters!D25</f>
        <v>0</v>
      </c>
      <c r="D26" s="104"/>
      <c r="E26" s="104"/>
      <c r="F26" s="104"/>
      <c r="G26" s="104"/>
      <c r="H26" s="104"/>
      <c r="I26" s="130"/>
      <c r="M26" s="99"/>
      <c r="N26" s="99"/>
      <c r="O26" s="204"/>
      <c r="P26" s="158"/>
      <c r="Q26" s="158"/>
      <c r="R26" s="158"/>
      <c r="S26" s="99"/>
    </row>
    <row r="27" spans="1:19">
      <c r="A27" s="127" t="s">
        <v>19</v>
      </c>
      <c r="B27" s="128" t="s">
        <v>196</v>
      </c>
      <c r="C27" s="129">
        <f>Parameters!D26</f>
        <v>0.5</v>
      </c>
      <c r="D27" s="104"/>
      <c r="E27" s="104"/>
      <c r="F27" s="104"/>
      <c r="G27" s="104"/>
      <c r="H27" s="104"/>
      <c r="I27" s="130"/>
      <c r="M27" s="99"/>
      <c r="N27" s="99"/>
      <c r="O27" s="204"/>
      <c r="P27" s="158"/>
      <c r="Q27" s="158"/>
      <c r="R27" s="158"/>
      <c r="S27" s="99"/>
    </row>
    <row r="28" spans="1:19">
      <c r="A28" s="127" t="s">
        <v>24</v>
      </c>
      <c r="B28" s="128" t="s">
        <v>196</v>
      </c>
      <c r="C28" s="129">
        <f>Parameters!D27</f>
        <v>0.1</v>
      </c>
      <c r="D28" s="104"/>
      <c r="E28" s="104"/>
      <c r="F28" s="104"/>
      <c r="G28" s="104"/>
      <c r="H28" s="104"/>
      <c r="I28" s="130"/>
      <c r="M28" s="99"/>
      <c r="N28" s="99"/>
      <c r="O28" s="204"/>
      <c r="P28" s="158"/>
      <c r="Q28" s="158"/>
      <c r="R28" s="158"/>
      <c r="S28" s="99"/>
    </row>
    <row r="29" spans="1:19">
      <c r="A29" s="127" t="s">
        <v>20</v>
      </c>
      <c r="B29" s="128" t="s">
        <v>196</v>
      </c>
      <c r="C29" s="129">
        <f>Parameters!D28</f>
        <v>0.5</v>
      </c>
      <c r="D29" s="104"/>
      <c r="E29" s="104"/>
      <c r="F29" s="104"/>
      <c r="G29" s="104"/>
      <c r="H29" s="104"/>
      <c r="I29" s="130"/>
      <c r="M29" s="99"/>
      <c r="N29" s="99"/>
      <c r="O29" s="204"/>
      <c r="P29" s="158"/>
      <c r="Q29" s="158"/>
      <c r="R29" s="158"/>
      <c r="S29" s="99"/>
    </row>
    <row r="30" spans="1:19">
      <c r="A30" s="127" t="s">
        <v>21</v>
      </c>
      <c r="B30" s="128" t="s">
        <v>196</v>
      </c>
      <c r="C30" s="129">
        <f>Parameters!D29</f>
        <v>0.1</v>
      </c>
      <c r="D30" s="104"/>
      <c r="E30" s="104"/>
      <c r="F30" s="104"/>
      <c r="G30" s="104"/>
      <c r="H30" s="104"/>
      <c r="I30" s="130"/>
      <c r="M30" s="99"/>
      <c r="N30" s="99"/>
      <c r="O30" s="204"/>
      <c r="P30" s="158"/>
      <c r="Q30" s="158"/>
      <c r="R30" s="158"/>
      <c r="S30" s="99"/>
    </row>
    <row r="31" spans="1:19">
      <c r="A31" s="127" t="s">
        <v>9</v>
      </c>
      <c r="B31" s="128" t="s">
        <v>196</v>
      </c>
      <c r="C31" s="129">
        <f>Parameters!D30</f>
        <v>0.1</v>
      </c>
      <c r="D31" s="104"/>
      <c r="E31" s="104"/>
      <c r="F31" s="104"/>
      <c r="G31" s="104"/>
      <c r="H31" s="104"/>
      <c r="I31" s="130"/>
      <c r="M31" s="99"/>
      <c r="N31" s="99"/>
      <c r="O31" s="204"/>
      <c r="P31" s="158"/>
      <c r="Q31" s="158"/>
      <c r="R31" s="158"/>
      <c r="S31" s="99"/>
    </row>
    <row r="32" spans="1:19">
      <c r="A32" s="127" t="s">
        <v>10</v>
      </c>
      <c r="B32" s="128" t="s">
        <v>196</v>
      </c>
      <c r="C32" s="129">
        <f>Parameters!D31</f>
        <v>0</v>
      </c>
      <c r="D32" s="104"/>
      <c r="E32" s="104"/>
      <c r="F32" s="104"/>
      <c r="G32" s="104"/>
      <c r="H32" s="104"/>
      <c r="I32" s="130"/>
      <c r="M32" s="99"/>
      <c r="N32" s="99"/>
      <c r="O32" s="99"/>
      <c r="P32" s="99"/>
      <c r="Q32" s="99"/>
      <c r="R32" s="99"/>
      <c r="S32" s="99"/>
    </row>
    <row r="33" spans="1:19">
      <c r="A33" s="127"/>
      <c r="B33" s="104"/>
      <c r="C33" s="104"/>
      <c r="D33" s="104"/>
      <c r="E33" s="104"/>
      <c r="F33" s="104"/>
      <c r="G33" s="104"/>
      <c r="H33" s="104"/>
      <c r="I33" s="130"/>
      <c r="M33" s="99"/>
      <c r="N33" s="99"/>
      <c r="O33" s="99"/>
      <c r="P33" s="99"/>
      <c r="Q33" s="99"/>
      <c r="R33" s="99"/>
      <c r="S33" s="99"/>
    </row>
    <row r="34" spans="1:19">
      <c r="A34" s="157" t="s">
        <v>34</v>
      </c>
      <c r="B34" s="104"/>
      <c r="C34" s="135" t="s">
        <v>36</v>
      </c>
      <c r="D34" s="104"/>
      <c r="E34" s="104"/>
      <c r="F34" s="104" t="s">
        <v>35</v>
      </c>
      <c r="G34" s="104"/>
      <c r="H34" s="104"/>
      <c r="I34" s="130"/>
      <c r="M34" s="99"/>
      <c r="N34" s="99"/>
      <c r="O34" s="99"/>
      <c r="P34" s="99"/>
      <c r="Q34" s="99"/>
      <c r="R34" s="99"/>
      <c r="S34" s="99"/>
    </row>
    <row r="35" spans="1:19">
      <c r="A35" s="127" t="s">
        <v>17</v>
      </c>
      <c r="B35" s="169" t="s">
        <v>16</v>
      </c>
      <c r="C35" s="118">
        <f>Parameters!D34</f>
        <v>0.3</v>
      </c>
      <c r="D35" s="104"/>
      <c r="E35" s="104"/>
      <c r="F35" s="104"/>
      <c r="G35" s="104"/>
      <c r="H35" s="104"/>
      <c r="I35" s="130"/>
      <c r="M35" s="99"/>
      <c r="N35" s="99"/>
      <c r="O35" s="99"/>
      <c r="P35" s="99"/>
      <c r="Q35" s="99"/>
      <c r="R35" s="99"/>
      <c r="S35" s="99"/>
    </row>
    <row r="36" spans="1:19">
      <c r="A36" s="127" t="s">
        <v>18</v>
      </c>
      <c r="B36" s="169" t="s">
        <v>16</v>
      </c>
      <c r="C36" s="118">
        <f>Parameters!D35</f>
        <v>0</v>
      </c>
      <c r="D36" s="104"/>
      <c r="E36" s="104"/>
      <c r="F36" s="104"/>
      <c r="G36" s="104"/>
      <c r="H36" s="104"/>
      <c r="I36" s="130"/>
    </row>
    <row r="37" spans="1:19">
      <c r="A37" s="127" t="s">
        <v>19</v>
      </c>
      <c r="B37" s="169" t="s">
        <v>16</v>
      </c>
      <c r="C37" s="118">
        <f>Parameters!D36</f>
        <v>0.3</v>
      </c>
      <c r="D37" s="104"/>
      <c r="E37" s="104"/>
      <c r="F37" s="104"/>
      <c r="G37" s="104"/>
      <c r="H37" s="104"/>
      <c r="I37" s="130"/>
    </row>
    <row r="38" spans="1:19">
      <c r="A38" s="127" t="s">
        <v>24</v>
      </c>
      <c r="B38" s="169" t="s">
        <v>16</v>
      </c>
      <c r="C38" s="118">
        <f>Parameters!D37</f>
        <v>0.06</v>
      </c>
      <c r="D38" s="104"/>
      <c r="E38" s="104"/>
      <c r="F38" s="104"/>
      <c r="G38" s="104"/>
      <c r="H38" s="104"/>
      <c r="I38" s="130"/>
    </row>
    <row r="39" spans="1:19">
      <c r="A39" s="127" t="s">
        <v>20</v>
      </c>
      <c r="B39" s="169" t="s">
        <v>16</v>
      </c>
      <c r="C39" s="118">
        <f>Parameters!D38</f>
        <v>0.3</v>
      </c>
      <c r="D39" s="104"/>
      <c r="E39" s="104"/>
      <c r="F39" s="104"/>
      <c r="G39" s="104"/>
      <c r="H39" s="104"/>
      <c r="I39" s="130"/>
    </row>
    <row r="40" spans="1:19">
      <c r="A40" s="127" t="s">
        <v>21</v>
      </c>
      <c r="B40" s="169" t="s">
        <v>16</v>
      </c>
      <c r="C40" s="118">
        <f>Parameters!D39</f>
        <v>0.06</v>
      </c>
      <c r="D40" s="104"/>
      <c r="E40" s="104"/>
      <c r="F40" s="104"/>
      <c r="G40" s="104"/>
      <c r="H40" s="104"/>
      <c r="I40" s="130"/>
    </row>
    <row r="41" spans="1:19">
      <c r="A41" s="127" t="s">
        <v>9</v>
      </c>
      <c r="B41" s="169" t="s">
        <v>16</v>
      </c>
      <c r="C41" s="118">
        <f>Parameters!D40</f>
        <v>0.06</v>
      </c>
      <c r="D41" s="104"/>
      <c r="E41" s="104"/>
      <c r="F41" s="104"/>
      <c r="G41" s="104"/>
      <c r="H41" s="104"/>
      <c r="I41" s="130"/>
    </row>
    <row r="42" spans="1:19">
      <c r="A42" s="127" t="s">
        <v>10</v>
      </c>
      <c r="B42" s="169" t="s">
        <v>16</v>
      </c>
      <c r="C42" s="118">
        <f>Parameters!D41</f>
        <v>0</v>
      </c>
      <c r="D42" s="104"/>
      <c r="E42" s="104"/>
      <c r="F42" s="104"/>
      <c r="G42" s="104"/>
      <c r="H42" s="104"/>
      <c r="I42" s="130"/>
    </row>
    <row r="43" spans="1:19">
      <c r="A43" s="127"/>
      <c r="B43" s="104"/>
      <c r="C43" s="104"/>
      <c r="D43" s="104"/>
      <c r="E43" s="104"/>
      <c r="F43" s="104"/>
      <c r="G43" s="104"/>
      <c r="H43" s="104"/>
      <c r="I43" s="130"/>
    </row>
    <row r="44" spans="1:19">
      <c r="A44" s="164" t="s">
        <v>40</v>
      </c>
      <c r="B44" s="104"/>
      <c r="C44" s="104"/>
      <c r="D44" s="104"/>
      <c r="E44" s="104"/>
      <c r="F44" s="104"/>
      <c r="G44" s="104"/>
      <c r="H44" s="104"/>
      <c r="I44" s="130"/>
    </row>
    <row r="45" spans="1:19">
      <c r="A45" s="142" t="s">
        <v>43</v>
      </c>
      <c r="B45" s="104"/>
      <c r="C45" s="104"/>
      <c r="D45" s="104"/>
      <c r="E45" s="104"/>
      <c r="F45" s="104"/>
      <c r="G45" s="104"/>
      <c r="H45" s="104"/>
      <c r="I45" s="130"/>
    </row>
    <row r="46" spans="1:19">
      <c r="A46" s="127" t="s">
        <v>51</v>
      </c>
      <c r="B46" s="169" t="s">
        <v>52</v>
      </c>
      <c r="C46" s="170">
        <f>Parameters!D45</f>
        <v>29.169396153846154</v>
      </c>
      <c r="D46" s="104"/>
      <c r="E46" s="104"/>
      <c r="F46" s="104" t="s">
        <v>50</v>
      </c>
      <c r="G46" s="104"/>
      <c r="H46" s="104"/>
      <c r="I46" s="130"/>
    </row>
    <row r="47" spans="1:19">
      <c r="A47" s="127" t="s">
        <v>44</v>
      </c>
      <c r="B47" s="169" t="s">
        <v>42</v>
      </c>
      <c r="C47" s="180">
        <f>Parameters!D46</f>
        <v>0.16</v>
      </c>
      <c r="D47" s="104"/>
      <c r="E47" s="104"/>
      <c r="F47" s="104"/>
      <c r="G47" s="104"/>
      <c r="H47" s="104"/>
      <c r="I47" s="130"/>
    </row>
    <row r="48" spans="1:19">
      <c r="A48" s="127" t="s">
        <v>46</v>
      </c>
      <c r="B48" s="169" t="s">
        <v>28</v>
      </c>
      <c r="C48" s="180">
        <f>Parameters!D47</f>
        <v>1.1000000000000001</v>
      </c>
      <c r="D48" s="104"/>
      <c r="E48" s="104"/>
      <c r="F48" s="104"/>
      <c r="G48" s="104"/>
      <c r="H48" s="104"/>
      <c r="I48" s="130"/>
    </row>
    <row r="49" spans="1:49">
      <c r="A49" s="127" t="s">
        <v>47</v>
      </c>
      <c r="B49" s="169" t="s">
        <v>28</v>
      </c>
      <c r="C49" s="180">
        <f>Parameters!D48</f>
        <v>1.25</v>
      </c>
      <c r="D49" s="104"/>
      <c r="E49" s="104"/>
      <c r="F49" s="104"/>
      <c r="G49" s="104"/>
      <c r="H49" s="104"/>
      <c r="I49" s="130"/>
    </row>
    <row r="50" spans="1:49">
      <c r="A50" s="127" t="s">
        <v>166</v>
      </c>
      <c r="B50" s="169" t="s">
        <v>48</v>
      </c>
      <c r="C50" s="180">
        <f>Parameters!D49</f>
        <v>0</v>
      </c>
      <c r="D50" s="104"/>
      <c r="E50" s="104"/>
      <c r="F50" s="104"/>
      <c r="G50" s="104"/>
      <c r="H50" s="104"/>
      <c r="I50" s="130"/>
    </row>
    <row r="51" spans="1:49">
      <c r="A51" s="127" t="s">
        <v>45</v>
      </c>
      <c r="B51" s="169" t="s">
        <v>167</v>
      </c>
      <c r="C51" s="258">
        <f>Parameters!D50</f>
        <v>5.0000000000000001E-3</v>
      </c>
      <c r="D51" s="104"/>
      <c r="E51" s="104"/>
      <c r="F51" s="104"/>
      <c r="G51" s="104"/>
      <c r="H51" s="104"/>
      <c r="I51" s="130"/>
    </row>
    <row r="52" spans="1:49">
      <c r="A52" s="127" t="s">
        <v>49</v>
      </c>
      <c r="B52" s="169" t="s">
        <v>28</v>
      </c>
      <c r="C52" s="180">
        <f>Parameters!D51</f>
        <v>1.5714285714285714</v>
      </c>
      <c r="D52" s="104"/>
      <c r="E52" s="104"/>
      <c r="F52" s="104"/>
      <c r="G52" s="104"/>
      <c r="H52" s="104"/>
      <c r="I52" s="130"/>
    </row>
    <row r="53" spans="1:49" ht="15.75" thickBot="1">
      <c r="A53" s="172"/>
      <c r="B53" s="163"/>
      <c r="C53" s="173"/>
      <c r="D53" s="173"/>
      <c r="E53" s="173"/>
      <c r="F53" s="163"/>
      <c r="G53" s="163"/>
      <c r="H53" s="163"/>
      <c r="I53" s="140"/>
      <c r="J53" s="104"/>
      <c r="K53" s="104"/>
    </row>
    <row r="54" spans="1:49" ht="15.75" thickBot="1"/>
    <row r="55" spans="1:49" ht="74.45" customHeight="1">
      <c r="A55" s="1577" t="s">
        <v>217</v>
      </c>
      <c r="B55" s="699" t="s">
        <v>218</v>
      </c>
      <c r="C55" s="700" t="s">
        <v>577</v>
      </c>
      <c r="D55" s="701" t="s">
        <v>580</v>
      </c>
      <c r="E55" s="702" t="s">
        <v>296</v>
      </c>
      <c r="F55" s="703" t="s">
        <v>309</v>
      </c>
      <c r="G55" s="704" t="s">
        <v>310</v>
      </c>
      <c r="H55" s="1629" t="s">
        <v>6</v>
      </c>
      <c r="I55" s="1670"/>
      <c r="J55" s="1670"/>
      <c r="K55" s="1670"/>
      <c r="L55" s="1670"/>
      <c r="M55" s="1630"/>
      <c r="N55" s="1629" t="s">
        <v>298</v>
      </c>
      <c r="O55" s="1670"/>
      <c r="P55" s="1670"/>
      <c r="Q55" s="1670"/>
      <c r="R55" s="1670"/>
      <c r="S55" s="1630"/>
      <c r="T55" s="1629" t="s">
        <v>299</v>
      </c>
      <c r="U55" s="1670"/>
      <c r="V55" s="1670"/>
      <c r="W55" s="1670"/>
      <c r="X55" s="1670"/>
      <c r="Y55" s="1630"/>
      <c r="Z55" s="1599" t="s">
        <v>308</v>
      </c>
      <c r="AA55" s="1600"/>
      <c r="AB55" s="1600"/>
      <c r="AC55" s="1600"/>
      <c r="AD55" s="1600"/>
      <c r="AE55" s="1600"/>
      <c r="AF55" s="1601"/>
      <c r="AG55" s="1599" t="s">
        <v>307</v>
      </c>
      <c r="AH55" s="1600"/>
      <c r="AI55" s="1600"/>
      <c r="AJ55" s="1600"/>
      <c r="AK55" s="1600"/>
      <c r="AL55" s="1600"/>
      <c r="AM55" s="1601"/>
      <c r="AN55" s="1599" t="s">
        <v>306</v>
      </c>
      <c r="AO55" s="1600"/>
      <c r="AP55" s="1600"/>
      <c r="AQ55" s="1600"/>
      <c r="AR55" s="1600"/>
      <c r="AS55" s="1600"/>
      <c r="AT55" s="1601"/>
      <c r="AU55" s="252" t="s">
        <v>311</v>
      </c>
      <c r="AV55" s="247" t="s">
        <v>305</v>
      </c>
      <c r="AW55" s="249" t="s">
        <v>313</v>
      </c>
    </row>
    <row r="56" spans="1:49" ht="60.75" thickBot="1">
      <c r="A56" s="1578"/>
      <c r="B56" s="705" t="s">
        <v>232</v>
      </c>
      <c r="C56" s="706" t="s">
        <v>229</v>
      </c>
      <c r="D56" s="707" t="s">
        <v>229</v>
      </c>
      <c r="E56" s="708" t="s">
        <v>297</v>
      </c>
      <c r="F56" s="709" t="s">
        <v>297</v>
      </c>
      <c r="G56" s="710" t="s">
        <v>297</v>
      </c>
      <c r="H56" s="711" t="s">
        <v>17</v>
      </c>
      <c r="I56" s="637" t="s">
        <v>23</v>
      </c>
      <c r="J56" s="637" t="s">
        <v>19</v>
      </c>
      <c r="K56" s="637" t="s">
        <v>304</v>
      </c>
      <c r="L56" s="637" t="s">
        <v>9</v>
      </c>
      <c r="M56" s="712" t="s">
        <v>10</v>
      </c>
      <c r="N56" s="639" t="s">
        <v>17</v>
      </c>
      <c r="O56" s="637" t="s">
        <v>23</v>
      </c>
      <c r="P56" s="637" t="s">
        <v>19</v>
      </c>
      <c r="Q56" s="637" t="s">
        <v>304</v>
      </c>
      <c r="R56" s="637" t="s">
        <v>9</v>
      </c>
      <c r="S56" s="712" t="s">
        <v>10</v>
      </c>
      <c r="T56" s="639" t="s">
        <v>17</v>
      </c>
      <c r="U56" s="637" t="s">
        <v>23</v>
      </c>
      <c r="V56" s="637" t="s">
        <v>19</v>
      </c>
      <c r="W56" s="637" t="s">
        <v>304</v>
      </c>
      <c r="X56" s="637" t="s">
        <v>9</v>
      </c>
      <c r="Y56" s="712" t="s">
        <v>10</v>
      </c>
      <c r="Z56" s="211" t="s">
        <v>17</v>
      </c>
      <c r="AA56" s="212" t="s">
        <v>23</v>
      </c>
      <c r="AB56" s="212" t="s">
        <v>19</v>
      </c>
      <c r="AC56" s="212" t="s">
        <v>304</v>
      </c>
      <c r="AD56" s="212" t="s">
        <v>9</v>
      </c>
      <c r="AE56" s="212" t="s">
        <v>10</v>
      </c>
      <c r="AF56" s="236" t="s">
        <v>303</v>
      </c>
      <c r="AG56" s="234" t="s">
        <v>17</v>
      </c>
      <c r="AH56" s="235" t="s">
        <v>23</v>
      </c>
      <c r="AI56" s="235" t="s">
        <v>19</v>
      </c>
      <c r="AJ56" s="235" t="s">
        <v>304</v>
      </c>
      <c r="AK56" s="235" t="s">
        <v>9</v>
      </c>
      <c r="AL56" s="235" t="s">
        <v>10</v>
      </c>
      <c r="AM56" s="243" t="s">
        <v>303</v>
      </c>
      <c r="AN56" s="211" t="s">
        <v>17</v>
      </c>
      <c r="AO56" s="212" t="s">
        <v>23</v>
      </c>
      <c r="AP56" s="212" t="s">
        <v>19</v>
      </c>
      <c r="AQ56" s="212" t="s">
        <v>304</v>
      </c>
      <c r="AR56" s="212" t="s">
        <v>9</v>
      </c>
      <c r="AS56" s="212" t="s">
        <v>10</v>
      </c>
      <c r="AT56" s="236" t="s">
        <v>303</v>
      </c>
      <c r="AU56" s="253" t="s">
        <v>312</v>
      </c>
      <c r="AV56" s="246" t="s">
        <v>312</v>
      </c>
      <c r="AW56" s="250" t="s">
        <v>314</v>
      </c>
    </row>
    <row r="57" spans="1:49" ht="14.45" hidden="1" customHeight="1">
      <c r="A57" s="195">
        <f>'Input data'!A48</f>
        <v>1950</v>
      </c>
      <c r="B57" s="208">
        <f>'Input data'!B48</f>
        <v>5.3541578999999997</v>
      </c>
      <c r="C57" s="114">
        <f>'Input data'!F48</f>
        <v>0.71479999999999999</v>
      </c>
      <c r="D57" s="114">
        <f>'Input data'!G48</f>
        <v>0.28959999999999997</v>
      </c>
      <c r="E57" s="127"/>
      <c r="F57" s="238"/>
      <c r="G57" s="239">
        <f t="shared" ref="G57:G88" si="2">B57*$C$4*($C$7*$C$11+$C$8*$C$10+$C$7*$C$12)*10^6</f>
        <v>83334857.56152375</v>
      </c>
      <c r="H57" s="118">
        <f>$C$16</f>
        <v>0.1</v>
      </c>
      <c r="I57" s="118">
        <f t="shared" ref="I57:I88" si="3">$D$16</f>
        <v>0</v>
      </c>
      <c r="J57" s="118">
        <f t="shared" ref="J57:J88" si="4">$E$16</f>
        <v>0.1</v>
      </c>
      <c r="K57" s="118">
        <f t="shared" ref="K57:K88" si="5">$F$16</f>
        <v>0.28000000000000003</v>
      </c>
      <c r="L57" s="118">
        <f t="shared" ref="L57:L88" si="6">$G$16</f>
        <v>0.04</v>
      </c>
      <c r="M57" s="206">
        <f t="shared" ref="M57:M88" si="7">$H$16</f>
        <v>0.48</v>
      </c>
      <c r="N57" s="117">
        <f>$C$17</f>
        <v>0</v>
      </c>
      <c r="O57" s="118">
        <f t="shared" ref="O57:O88" si="8">$D$17</f>
        <v>0.7</v>
      </c>
      <c r="P57" s="118">
        <f t="shared" ref="P57:P88" si="9">$E$17</f>
        <v>0.15</v>
      </c>
      <c r="Q57" s="118">
        <f t="shared" ref="Q57:Q88" si="10">$F$17</f>
        <v>0.15</v>
      </c>
      <c r="R57" s="118">
        <f t="shared" ref="R57:R88" si="11">$G$17</f>
        <v>0</v>
      </c>
      <c r="S57" s="206">
        <f t="shared" ref="S57:S88" si="12">$H$17</f>
        <v>0</v>
      </c>
      <c r="T57" s="117">
        <f t="shared" ref="T57:T106" si="13">$C$18</f>
        <v>0.34</v>
      </c>
      <c r="U57" s="118">
        <f t="shared" ref="U57:U88" si="14">$D$18</f>
        <v>0</v>
      </c>
      <c r="V57" s="118">
        <f t="shared" ref="V57:V88" si="15">$E$18</f>
        <v>0.17</v>
      </c>
      <c r="W57" s="118">
        <f t="shared" ref="W57:W88" si="16">$F$18</f>
        <v>0.24</v>
      </c>
      <c r="X57" s="118">
        <f t="shared" ref="X57:X88" si="17">$G$18</f>
        <v>0.05</v>
      </c>
      <c r="Y57" s="206">
        <f t="shared" ref="Y57:Y88" si="18">$H$18</f>
        <v>0.2</v>
      </c>
      <c r="Z57" s="237">
        <f t="shared" ref="Z57:Z88" si="19">H57*$C$35*G57*$C$10</f>
        <v>975017.83346982789</v>
      </c>
      <c r="AA57" s="238">
        <f t="shared" ref="AA57:AA88" si="20">I57*$C$36*G57*$C$10</f>
        <v>0</v>
      </c>
      <c r="AB57" s="238">
        <f t="shared" ref="AB57:AB88" si="21">J57*$C$37*G57*$C$10</f>
        <v>975017.83346982789</v>
      </c>
      <c r="AC57" s="238">
        <f t="shared" ref="AC57:AC88" si="22">K57*$C$40*G57*$C$10</f>
        <v>546009.98674310371</v>
      </c>
      <c r="AD57" s="238">
        <f t="shared" ref="AD57:AD88" si="23">L57*$C$41*G57*$C$10</f>
        <v>78001.42667758622</v>
      </c>
      <c r="AE57" s="238">
        <f t="shared" ref="AE57:AE88" si="24">M57*$C$42*G57*$C$10</f>
        <v>0</v>
      </c>
      <c r="AF57" s="244">
        <f t="shared" ref="AF57:AF106" si="25">SUM(Z57:AE57)</f>
        <v>2574047.0803603455</v>
      </c>
      <c r="AG57" s="237">
        <f t="shared" ref="AG57:AG88" si="26">N57*$C$35*G57*$C$11</f>
        <v>0</v>
      </c>
      <c r="AH57" s="238">
        <f t="shared" ref="AH57:AH88" si="27">O57*$C$36*G57*$C$11</f>
        <v>0</v>
      </c>
      <c r="AI57" s="238">
        <f t="shared" ref="AI57:AI88" si="28">P57*$C$37*G57*$C$11</f>
        <v>450008.2308322282</v>
      </c>
      <c r="AJ57" s="238">
        <f t="shared" ref="AJ57:AJ88" si="29">Q57*$C$38*G57*$C$11</f>
        <v>90001.646166445644</v>
      </c>
      <c r="AK57" s="238">
        <f t="shared" ref="AK57:AK88" si="30">R57*$C$41*G57*$C$11</f>
        <v>0</v>
      </c>
      <c r="AL57" s="238">
        <f t="shared" ref="AL57:AL88" si="31">S57*$C$42*G57*$C$11</f>
        <v>0</v>
      </c>
      <c r="AM57" s="244">
        <f t="shared" ref="AM57:AM106" si="32">SUM(AG57:AL57)</f>
        <v>540009.87699867389</v>
      </c>
      <c r="AN57" s="237">
        <f t="shared" ref="AN57:AN88" si="33">T57*$C$35*G57*$C$12</f>
        <v>4165076.1809249572</v>
      </c>
      <c r="AO57" s="238">
        <f t="shared" ref="AO57:AO88" si="34">U57*$C$36*G57*$C$12</f>
        <v>0</v>
      </c>
      <c r="AP57" s="238">
        <f t="shared" ref="AP57:AP88" si="35">V57*$C$37*G57*$C$12</f>
        <v>2082538.0904624786</v>
      </c>
      <c r="AQ57" s="238">
        <f t="shared" ref="AQ57:AQ88" si="36">W57*$C$39*G57*$C$12</f>
        <v>2940053.7747705574</v>
      </c>
      <c r="AR57" s="238">
        <f t="shared" ref="AR57:AR88" si="37">X57*$C$41*G57*$C$12</f>
        <v>122502.24061543992</v>
      </c>
      <c r="AS57" s="238">
        <f t="shared" ref="AS57:AS106" si="38">Y57*$C$42*N57*$C$12</f>
        <v>0</v>
      </c>
      <c r="AT57" s="244">
        <f t="shared" ref="AT57:AT106" si="39">SUM(AN57:AS57)</f>
        <v>9310170.2867734339</v>
      </c>
      <c r="AU57" s="254"/>
      <c r="AV57" s="248">
        <f t="shared" ref="AV57:AV106" si="40">(AF57+AM57+AT57)/10^6</f>
        <v>12.424227244132453</v>
      </c>
      <c r="AW57" s="130"/>
    </row>
    <row r="58" spans="1:49" ht="14.45" hidden="1" customHeight="1">
      <c r="A58" s="194">
        <f>'Input data'!A49</f>
        <v>1951</v>
      </c>
      <c r="B58" s="209">
        <f>'Input data'!B49</f>
        <v>5.53942844</v>
      </c>
      <c r="C58" s="114">
        <f>'Input data'!F49</f>
        <v>0.71479999999999999</v>
      </c>
      <c r="D58" s="114">
        <f>'Input data'!G49</f>
        <v>0.28959999999999997</v>
      </c>
      <c r="E58" s="127"/>
      <c r="F58" s="238"/>
      <c r="G58" s="239">
        <f t="shared" si="2"/>
        <v>86218503.197235525</v>
      </c>
      <c r="H58" s="118">
        <f t="shared" ref="H58:H121" si="41">$C$16</f>
        <v>0.1</v>
      </c>
      <c r="I58" s="118">
        <f t="shared" si="3"/>
        <v>0</v>
      </c>
      <c r="J58" s="118">
        <f t="shared" si="4"/>
        <v>0.1</v>
      </c>
      <c r="K58" s="118">
        <f t="shared" si="5"/>
        <v>0.28000000000000003</v>
      </c>
      <c r="L58" s="118">
        <f t="shared" si="6"/>
        <v>0.04</v>
      </c>
      <c r="M58" s="206">
        <f t="shared" si="7"/>
        <v>0.48</v>
      </c>
      <c r="N58" s="117">
        <f t="shared" ref="N58:N121" si="42">$C$17</f>
        <v>0</v>
      </c>
      <c r="O58" s="118">
        <f t="shared" si="8"/>
        <v>0.7</v>
      </c>
      <c r="P58" s="118">
        <f t="shared" si="9"/>
        <v>0.15</v>
      </c>
      <c r="Q58" s="118">
        <f t="shared" si="10"/>
        <v>0.15</v>
      </c>
      <c r="R58" s="118">
        <f t="shared" si="11"/>
        <v>0</v>
      </c>
      <c r="S58" s="206">
        <f t="shared" si="12"/>
        <v>0</v>
      </c>
      <c r="T58" s="117">
        <f t="shared" si="13"/>
        <v>0.34</v>
      </c>
      <c r="U58" s="118">
        <f t="shared" si="14"/>
        <v>0</v>
      </c>
      <c r="V58" s="118">
        <f t="shared" si="15"/>
        <v>0.17</v>
      </c>
      <c r="W58" s="118">
        <f t="shared" si="16"/>
        <v>0.24</v>
      </c>
      <c r="X58" s="118">
        <f t="shared" si="17"/>
        <v>0.05</v>
      </c>
      <c r="Y58" s="206">
        <f t="shared" si="18"/>
        <v>0.2</v>
      </c>
      <c r="Z58" s="237">
        <f t="shared" si="19"/>
        <v>1008756.4874076556</v>
      </c>
      <c r="AA58" s="238">
        <f t="shared" si="20"/>
        <v>0</v>
      </c>
      <c r="AB58" s="238">
        <f t="shared" si="21"/>
        <v>1008756.4874076556</v>
      </c>
      <c r="AC58" s="238">
        <f t="shared" si="22"/>
        <v>564903.6329482873</v>
      </c>
      <c r="AD58" s="238">
        <f t="shared" si="23"/>
        <v>80700.518992612444</v>
      </c>
      <c r="AE58" s="238">
        <f t="shared" si="24"/>
        <v>0</v>
      </c>
      <c r="AF58" s="244">
        <f t="shared" si="25"/>
        <v>2663117.1267562113</v>
      </c>
      <c r="AG58" s="237">
        <f t="shared" si="26"/>
        <v>0</v>
      </c>
      <c r="AH58" s="238">
        <f t="shared" si="27"/>
        <v>0</v>
      </c>
      <c r="AI58" s="238">
        <f t="shared" si="28"/>
        <v>465579.91726507182</v>
      </c>
      <c r="AJ58" s="238">
        <f t="shared" si="29"/>
        <v>93115.983453014356</v>
      </c>
      <c r="AK58" s="238">
        <f t="shared" si="30"/>
        <v>0</v>
      </c>
      <c r="AL58" s="238">
        <f t="shared" si="31"/>
        <v>0</v>
      </c>
      <c r="AM58" s="244">
        <f t="shared" si="32"/>
        <v>558695.90071808617</v>
      </c>
      <c r="AN58" s="237">
        <f t="shared" si="33"/>
        <v>4309200.7897978313</v>
      </c>
      <c r="AO58" s="238">
        <f t="shared" si="34"/>
        <v>0</v>
      </c>
      <c r="AP58" s="238">
        <f t="shared" si="35"/>
        <v>2154600.3948989157</v>
      </c>
      <c r="AQ58" s="238">
        <f t="shared" si="36"/>
        <v>3041788.7927984693</v>
      </c>
      <c r="AR58" s="238">
        <f t="shared" si="37"/>
        <v>126741.19969993623</v>
      </c>
      <c r="AS58" s="238">
        <f t="shared" si="38"/>
        <v>0</v>
      </c>
      <c r="AT58" s="244">
        <f t="shared" si="39"/>
        <v>9632331.1771951523</v>
      </c>
      <c r="AU58" s="254"/>
      <c r="AV58" s="248">
        <f t="shared" si="40"/>
        <v>12.854144204669449</v>
      </c>
      <c r="AW58" s="130"/>
    </row>
    <row r="59" spans="1:49" ht="14.45" hidden="1" customHeight="1">
      <c r="A59" s="194">
        <f>'Input data'!A50</f>
        <v>1952</v>
      </c>
      <c r="B59" s="209">
        <f>'Input data'!B50</f>
        <v>5.7129272200000001</v>
      </c>
      <c r="C59" s="114">
        <f>'Input data'!F50</f>
        <v>0.71479999999999999</v>
      </c>
      <c r="D59" s="114">
        <f>'Input data'!G50</f>
        <v>0.28959999999999997</v>
      </c>
      <c r="E59" s="127"/>
      <c r="F59" s="238"/>
      <c r="G59" s="239">
        <f t="shared" si="2"/>
        <v>88918927.12728025</v>
      </c>
      <c r="H59" s="118">
        <f t="shared" si="41"/>
        <v>0.1</v>
      </c>
      <c r="I59" s="118">
        <f t="shared" si="3"/>
        <v>0</v>
      </c>
      <c r="J59" s="118">
        <f t="shared" si="4"/>
        <v>0.1</v>
      </c>
      <c r="K59" s="118">
        <f t="shared" si="5"/>
        <v>0.28000000000000003</v>
      </c>
      <c r="L59" s="118">
        <f t="shared" si="6"/>
        <v>0.04</v>
      </c>
      <c r="M59" s="206">
        <f t="shared" si="7"/>
        <v>0.48</v>
      </c>
      <c r="N59" s="117">
        <f t="shared" si="42"/>
        <v>0</v>
      </c>
      <c r="O59" s="118">
        <f t="shared" si="8"/>
        <v>0.7</v>
      </c>
      <c r="P59" s="118">
        <f t="shared" si="9"/>
        <v>0.15</v>
      </c>
      <c r="Q59" s="118">
        <f t="shared" si="10"/>
        <v>0.15</v>
      </c>
      <c r="R59" s="118">
        <f t="shared" si="11"/>
        <v>0</v>
      </c>
      <c r="S59" s="206">
        <f t="shared" si="12"/>
        <v>0</v>
      </c>
      <c r="T59" s="117">
        <f t="shared" si="13"/>
        <v>0.34</v>
      </c>
      <c r="U59" s="118">
        <f t="shared" si="14"/>
        <v>0</v>
      </c>
      <c r="V59" s="118">
        <f t="shared" si="15"/>
        <v>0.17</v>
      </c>
      <c r="W59" s="118">
        <f t="shared" si="16"/>
        <v>0.24</v>
      </c>
      <c r="X59" s="118">
        <f t="shared" si="17"/>
        <v>0.05</v>
      </c>
      <c r="Y59" s="206">
        <f t="shared" si="18"/>
        <v>0.2</v>
      </c>
      <c r="Z59" s="237">
        <f t="shared" si="19"/>
        <v>1040351.4473891789</v>
      </c>
      <c r="AA59" s="238">
        <f t="shared" si="20"/>
        <v>0</v>
      </c>
      <c r="AB59" s="238">
        <f t="shared" si="21"/>
        <v>1040351.4473891789</v>
      </c>
      <c r="AC59" s="238">
        <f t="shared" si="22"/>
        <v>582596.81053794024</v>
      </c>
      <c r="AD59" s="238">
        <f t="shared" si="23"/>
        <v>83228.115791134318</v>
      </c>
      <c r="AE59" s="238">
        <f t="shared" si="24"/>
        <v>0</v>
      </c>
      <c r="AF59" s="244">
        <f t="shared" si="25"/>
        <v>2746527.8211074327</v>
      </c>
      <c r="AG59" s="237">
        <f t="shared" si="26"/>
        <v>0</v>
      </c>
      <c r="AH59" s="238">
        <f t="shared" si="27"/>
        <v>0</v>
      </c>
      <c r="AI59" s="238">
        <f t="shared" si="28"/>
        <v>480162.20648731332</v>
      </c>
      <c r="AJ59" s="238">
        <f t="shared" si="29"/>
        <v>96032.441297462661</v>
      </c>
      <c r="AK59" s="238">
        <f t="shared" si="30"/>
        <v>0</v>
      </c>
      <c r="AL59" s="238">
        <f t="shared" si="31"/>
        <v>0</v>
      </c>
      <c r="AM59" s="244">
        <f t="shared" si="32"/>
        <v>576194.64778477594</v>
      </c>
      <c r="AN59" s="237">
        <f t="shared" si="33"/>
        <v>4444167.9778214674</v>
      </c>
      <c r="AO59" s="238">
        <f t="shared" si="34"/>
        <v>0</v>
      </c>
      <c r="AP59" s="238">
        <f t="shared" si="35"/>
        <v>2222083.9889107337</v>
      </c>
      <c r="AQ59" s="238">
        <f t="shared" si="36"/>
        <v>3137059.7490504473</v>
      </c>
      <c r="AR59" s="238">
        <f t="shared" si="37"/>
        <v>130710.82287710196</v>
      </c>
      <c r="AS59" s="238">
        <f t="shared" si="38"/>
        <v>0</v>
      </c>
      <c r="AT59" s="244">
        <f t="shared" si="39"/>
        <v>9934022.5386597496</v>
      </c>
      <c r="AU59" s="254"/>
      <c r="AV59" s="248">
        <f t="shared" si="40"/>
        <v>13.25674500755196</v>
      </c>
      <c r="AW59" s="130"/>
    </row>
    <row r="60" spans="1:49" ht="14.45" hidden="1" customHeight="1">
      <c r="A60" s="194">
        <f>'Input data'!A51</f>
        <v>1953</v>
      </c>
      <c r="B60" s="209">
        <f>'Input data'!B51</f>
        <v>5.9284297800000001</v>
      </c>
      <c r="C60" s="114">
        <f>'Input data'!F51</f>
        <v>0.71479999999999999</v>
      </c>
      <c r="D60" s="114">
        <f>'Input data'!G51</f>
        <v>0.28959999999999997</v>
      </c>
      <c r="E60" s="127"/>
      <c r="F60" s="238"/>
      <c r="G60" s="239">
        <f t="shared" si="2"/>
        <v>92273119.41618225</v>
      </c>
      <c r="H60" s="118">
        <f t="shared" si="41"/>
        <v>0.1</v>
      </c>
      <c r="I60" s="118">
        <f t="shared" si="3"/>
        <v>0</v>
      </c>
      <c r="J60" s="118">
        <f t="shared" si="4"/>
        <v>0.1</v>
      </c>
      <c r="K60" s="118">
        <f t="shared" si="5"/>
        <v>0.28000000000000003</v>
      </c>
      <c r="L60" s="118">
        <f t="shared" si="6"/>
        <v>0.04</v>
      </c>
      <c r="M60" s="206">
        <f t="shared" si="7"/>
        <v>0.48</v>
      </c>
      <c r="N60" s="117">
        <f t="shared" si="42"/>
        <v>0</v>
      </c>
      <c r="O60" s="118">
        <f t="shared" si="8"/>
        <v>0.7</v>
      </c>
      <c r="P60" s="118">
        <f t="shared" si="9"/>
        <v>0.15</v>
      </c>
      <c r="Q60" s="118">
        <f t="shared" si="10"/>
        <v>0.15</v>
      </c>
      <c r="R60" s="118">
        <f t="shared" si="11"/>
        <v>0</v>
      </c>
      <c r="S60" s="206">
        <f t="shared" si="12"/>
        <v>0</v>
      </c>
      <c r="T60" s="117">
        <f t="shared" si="13"/>
        <v>0.34</v>
      </c>
      <c r="U60" s="118">
        <f t="shared" si="14"/>
        <v>0</v>
      </c>
      <c r="V60" s="118">
        <f t="shared" si="15"/>
        <v>0.17</v>
      </c>
      <c r="W60" s="118">
        <f t="shared" si="16"/>
        <v>0.24</v>
      </c>
      <c r="X60" s="118">
        <f t="shared" si="17"/>
        <v>0.05</v>
      </c>
      <c r="Y60" s="206">
        <f t="shared" si="18"/>
        <v>0.2</v>
      </c>
      <c r="Z60" s="237">
        <f t="shared" si="19"/>
        <v>1079595.4971693323</v>
      </c>
      <c r="AA60" s="238">
        <f t="shared" si="20"/>
        <v>0</v>
      </c>
      <c r="AB60" s="238">
        <f t="shared" si="21"/>
        <v>1079595.4971693323</v>
      </c>
      <c r="AC60" s="238">
        <f t="shared" si="22"/>
        <v>604573.47841482621</v>
      </c>
      <c r="AD60" s="238">
        <f t="shared" si="23"/>
        <v>86367.639773546587</v>
      </c>
      <c r="AE60" s="238">
        <f t="shared" si="24"/>
        <v>0</v>
      </c>
      <c r="AF60" s="244">
        <f t="shared" si="25"/>
        <v>2850132.1125270375</v>
      </c>
      <c r="AG60" s="237">
        <f t="shared" si="26"/>
        <v>0</v>
      </c>
      <c r="AH60" s="238">
        <f t="shared" si="27"/>
        <v>0</v>
      </c>
      <c r="AI60" s="238">
        <f t="shared" si="28"/>
        <v>498274.84484738414</v>
      </c>
      <c r="AJ60" s="238">
        <f t="shared" si="29"/>
        <v>99654.968969476817</v>
      </c>
      <c r="AK60" s="238">
        <f t="shared" si="30"/>
        <v>0</v>
      </c>
      <c r="AL60" s="238">
        <f t="shared" si="31"/>
        <v>0</v>
      </c>
      <c r="AM60" s="244">
        <f t="shared" si="32"/>
        <v>597929.81381686102</v>
      </c>
      <c r="AN60" s="237">
        <f t="shared" si="33"/>
        <v>4611810.5084207896</v>
      </c>
      <c r="AO60" s="238">
        <f t="shared" si="34"/>
        <v>0</v>
      </c>
      <c r="AP60" s="238">
        <f t="shared" si="35"/>
        <v>2305905.2542103948</v>
      </c>
      <c r="AQ60" s="238">
        <f t="shared" si="36"/>
        <v>3255395.6530029094</v>
      </c>
      <c r="AR60" s="238">
        <f t="shared" si="37"/>
        <v>135641.48554178793</v>
      </c>
      <c r="AS60" s="238">
        <f t="shared" si="38"/>
        <v>0</v>
      </c>
      <c r="AT60" s="244">
        <f t="shared" si="39"/>
        <v>10308752.901175883</v>
      </c>
      <c r="AU60" s="254"/>
      <c r="AV60" s="248">
        <f t="shared" si="40"/>
        <v>13.756814827519781</v>
      </c>
      <c r="AW60" s="130"/>
    </row>
    <row r="61" spans="1:49" ht="14.45" hidden="1" customHeight="1">
      <c r="A61" s="194">
        <f>'Input data'!A52</f>
        <v>1954</v>
      </c>
      <c r="B61" s="209">
        <f>'Input data'!B52</f>
        <v>6.1065695599999996</v>
      </c>
      <c r="C61" s="114">
        <f>'Input data'!F52</f>
        <v>0.71479999999999999</v>
      </c>
      <c r="D61" s="114">
        <f>'Input data'!G52</f>
        <v>0.28959999999999997</v>
      </c>
      <c r="E61" s="127"/>
      <c r="F61" s="238"/>
      <c r="G61" s="239">
        <f t="shared" si="2"/>
        <v>95045778.248739511</v>
      </c>
      <c r="H61" s="118">
        <f t="shared" si="41"/>
        <v>0.1</v>
      </c>
      <c r="I61" s="118">
        <f t="shared" si="3"/>
        <v>0</v>
      </c>
      <c r="J61" s="118">
        <f t="shared" si="4"/>
        <v>0.1</v>
      </c>
      <c r="K61" s="118">
        <f t="shared" si="5"/>
        <v>0.28000000000000003</v>
      </c>
      <c r="L61" s="118">
        <f t="shared" si="6"/>
        <v>0.04</v>
      </c>
      <c r="M61" s="206">
        <f t="shared" si="7"/>
        <v>0.48</v>
      </c>
      <c r="N61" s="117">
        <f t="shared" si="42"/>
        <v>0</v>
      </c>
      <c r="O61" s="118">
        <f t="shared" si="8"/>
        <v>0.7</v>
      </c>
      <c r="P61" s="118">
        <f t="shared" si="9"/>
        <v>0.15</v>
      </c>
      <c r="Q61" s="118">
        <f t="shared" si="10"/>
        <v>0.15</v>
      </c>
      <c r="R61" s="118">
        <f t="shared" si="11"/>
        <v>0</v>
      </c>
      <c r="S61" s="206">
        <f t="shared" si="12"/>
        <v>0</v>
      </c>
      <c r="T61" s="117">
        <f t="shared" si="13"/>
        <v>0.34</v>
      </c>
      <c r="U61" s="118">
        <f t="shared" si="14"/>
        <v>0</v>
      </c>
      <c r="V61" s="118">
        <f t="shared" si="15"/>
        <v>0.17</v>
      </c>
      <c r="W61" s="118">
        <f t="shared" si="16"/>
        <v>0.24</v>
      </c>
      <c r="X61" s="118">
        <f t="shared" si="17"/>
        <v>0.05</v>
      </c>
      <c r="Y61" s="206">
        <f t="shared" si="18"/>
        <v>0.2</v>
      </c>
      <c r="Z61" s="237">
        <f t="shared" si="19"/>
        <v>1112035.6055102523</v>
      </c>
      <c r="AA61" s="238">
        <f t="shared" si="20"/>
        <v>0</v>
      </c>
      <c r="AB61" s="238">
        <f t="shared" si="21"/>
        <v>1112035.6055102523</v>
      </c>
      <c r="AC61" s="238">
        <f t="shared" si="22"/>
        <v>622739.93908574141</v>
      </c>
      <c r="AD61" s="238">
        <f t="shared" si="23"/>
        <v>88962.848440820177</v>
      </c>
      <c r="AE61" s="238">
        <f t="shared" si="24"/>
        <v>0</v>
      </c>
      <c r="AF61" s="244">
        <f t="shared" si="25"/>
        <v>2935773.9985470665</v>
      </c>
      <c r="AG61" s="237">
        <f t="shared" si="26"/>
        <v>0</v>
      </c>
      <c r="AH61" s="238">
        <f t="shared" si="27"/>
        <v>0</v>
      </c>
      <c r="AI61" s="238">
        <f t="shared" si="28"/>
        <v>513247.20254319336</v>
      </c>
      <c r="AJ61" s="238">
        <f t="shared" si="29"/>
        <v>102649.44050863867</v>
      </c>
      <c r="AK61" s="238">
        <f t="shared" si="30"/>
        <v>0</v>
      </c>
      <c r="AL61" s="238">
        <f t="shared" si="31"/>
        <v>0</v>
      </c>
      <c r="AM61" s="244">
        <f t="shared" si="32"/>
        <v>615896.64305183198</v>
      </c>
      <c r="AN61" s="237">
        <f t="shared" si="33"/>
        <v>4750387.9968720013</v>
      </c>
      <c r="AO61" s="238">
        <f t="shared" si="34"/>
        <v>0</v>
      </c>
      <c r="AP61" s="238">
        <f t="shared" si="35"/>
        <v>2375193.9984360007</v>
      </c>
      <c r="AQ61" s="238">
        <f t="shared" si="36"/>
        <v>3353215.0566155296</v>
      </c>
      <c r="AR61" s="238">
        <f t="shared" si="37"/>
        <v>139717.29402564708</v>
      </c>
      <c r="AS61" s="238">
        <f t="shared" si="38"/>
        <v>0</v>
      </c>
      <c r="AT61" s="244">
        <f t="shared" si="39"/>
        <v>10618514.345949179</v>
      </c>
      <c r="AU61" s="254"/>
      <c r="AV61" s="248">
        <f t="shared" si="40"/>
        <v>14.170184987548078</v>
      </c>
      <c r="AW61" s="130"/>
    </row>
    <row r="62" spans="1:49" ht="14.45" hidden="1" customHeight="1">
      <c r="A62" s="194">
        <f>'Input data'!A53</f>
        <v>1955</v>
      </c>
      <c r="B62" s="209">
        <f>'Input data'!B53</f>
        <v>6.2725644799999998</v>
      </c>
      <c r="C62" s="114">
        <f>'Input data'!F53</f>
        <v>0.71479999999999999</v>
      </c>
      <c r="D62" s="114">
        <f>'Input data'!G53</f>
        <v>0.28959999999999997</v>
      </c>
      <c r="E62" s="127"/>
      <c r="F62" s="238"/>
      <c r="G62" s="239">
        <f t="shared" si="2"/>
        <v>97629408.256016001</v>
      </c>
      <c r="H62" s="118">
        <f t="shared" si="41"/>
        <v>0.1</v>
      </c>
      <c r="I62" s="118">
        <f t="shared" si="3"/>
        <v>0</v>
      </c>
      <c r="J62" s="118">
        <f t="shared" si="4"/>
        <v>0.1</v>
      </c>
      <c r="K62" s="118">
        <f t="shared" si="5"/>
        <v>0.28000000000000003</v>
      </c>
      <c r="L62" s="118">
        <f t="shared" si="6"/>
        <v>0.04</v>
      </c>
      <c r="M62" s="206">
        <f t="shared" si="7"/>
        <v>0.48</v>
      </c>
      <c r="N62" s="117">
        <f t="shared" si="42"/>
        <v>0</v>
      </c>
      <c r="O62" s="118">
        <f t="shared" si="8"/>
        <v>0.7</v>
      </c>
      <c r="P62" s="118">
        <f t="shared" si="9"/>
        <v>0.15</v>
      </c>
      <c r="Q62" s="118">
        <f t="shared" si="10"/>
        <v>0.15</v>
      </c>
      <c r="R62" s="118">
        <f t="shared" si="11"/>
        <v>0</v>
      </c>
      <c r="S62" s="206">
        <f t="shared" si="12"/>
        <v>0</v>
      </c>
      <c r="T62" s="117">
        <f t="shared" si="13"/>
        <v>0.34</v>
      </c>
      <c r="U62" s="118">
        <f t="shared" si="14"/>
        <v>0</v>
      </c>
      <c r="V62" s="118">
        <f t="shared" si="15"/>
        <v>0.17</v>
      </c>
      <c r="W62" s="118">
        <f t="shared" si="16"/>
        <v>0.24</v>
      </c>
      <c r="X62" s="118">
        <f t="shared" si="17"/>
        <v>0.05</v>
      </c>
      <c r="Y62" s="206">
        <f t="shared" si="18"/>
        <v>0.2</v>
      </c>
      <c r="Z62" s="237">
        <f t="shared" si="19"/>
        <v>1142264.0765953872</v>
      </c>
      <c r="AA62" s="238">
        <f t="shared" si="20"/>
        <v>0</v>
      </c>
      <c r="AB62" s="238">
        <f t="shared" si="21"/>
        <v>1142264.0765953872</v>
      </c>
      <c r="AC62" s="238">
        <f t="shared" si="22"/>
        <v>639667.88289341691</v>
      </c>
      <c r="AD62" s="238">
        <f t="shared" si="23"/>
        <v>91381.126127630982</v>
      </c>
      <c r="AE62" s="238">
        <f t="shared" si="24"/>
        <v>0</v>
      </c>
      <c r="AF62" s="244">
        <f t="shared" si="25"/>
        <v>3015577.1622118223</v>
      </c>
      <c r="AG62" s="237">
        <f t="shared" si="26"/>
        <v>0</v>
      </c>
      <c r="AH62" s="238">
        <f t="shared" si="27"/>
        <v>0</v>
      </c>
      <c r="AI62" s="238">
        <f t="shared" si="28"/>
        <v>527198.80458248628</v>
      </c>
      <c r="AJ62" s="238">
        <f t="shared" si="29"/>
        <v>105439.76091649728</v>
      </c>
      <c r="AK62" s="238">
        <f t="shared" si="30"/>
        <v>0</v>
      </c>
      <c r="AL62" s="238">
        <f t="shared" si="31"/>
        <v>0</v>
      </c>
      <c r="AM62" s="244">
        <f t="shared" si="32"/>
        <v>632638.5654989836</v>
      </c>
      <c r="AN62" s="237">
        <f t="shared" si="33"/>
        <v>4879517.8246356808</v>
      </c>
      <c r="AO62" s="238">
        <f t="shared" si="34"/>
        <v>0</v>
      </c>
      <c r="AP62" s="238">
        <f t="shared" si="35"/>
        <v>2439758.9123178404</v>
      </c>
      <c r="AQ62" s="238">
        <f t="shared" si="36"/>
        <v>3444365.5232722443</v>
      </c>
      <c r="AR62" s="238">
        <f t="shared" si="37"/>
        <v>143515.23013634354</v>
      </c>
      <c r="AS62" s="238">
        <f t="shared" si="38"/>
        <v>0</v>
      </c>
      <c r="AT62" s="244">
        <f t="shared" si="39"/>
        <v>10907157.49036211</v>
      </c>
      <c r="AU62" s="254"/>
      <c r="AV62" s="248">
        <f t="shared" si="40"/>
        <v>14.555373218072916</v>
      </c>
      <c r="AW62" s="130"/>
    </row>
    <row r="63" spans="1:49" ht="14.45" hidden="1" customHeight="1">
      <c r="A63" s="194">
        <f>'Input data'!A54</f>
        <v>1956</v>
      </c>
      <c r="B63" s="209">
        <f>'Input data'!B54</f>
        <v>6.4651860000000001</v>
      </c>
      <c r="C63" s="114">
        <f>'Input data'!F54</f>
        <v>0.71479999999999999</v>
      </c>
      <c r="D63" s="114">
        <f>'Input data'!G54</f>
        <v>0.28959999999999997</v>
      </c>
      <c r="E63" s="127"/>
      <c r="F63" s="238"/>
      <c r="G63" s="239">
        <f t="shared" si="2"/>
        <v>100627468.31182501</v>
      </c>
      <c r="H63" s="118">
        <f t="shared" si="41"/>
        <v>0.1</v>
      </c>
      <c r="I63" s="118">
        <f t="shared" si="3"/>
        <v>0</v>
      </c>
      <c r="J63" s="118">
        <f t="shared" si="4"/>
        <v>0.1</v>
      </c>
      <c r="K63" s="118">
        <f t="shared" si="5"/>
        <v>0.28000000000000003</v>
      </c>
      <c r="L63" s="118">
        <f t="shared" si="6"/>
        <v>0.04</v>
      </c>
      <c r="M63" s="206">
        <f t="shared" si="7"/>
        <v>0.48</v>
      </c>
      <c r="N63" s="117">
        <f t="shared" si="42"/>
        <v>0</v>
      </c>
      <c r="O63" s="118">
        <f t="shared" si="8"/>
        <v>0.7</v>
      </c>
      <c r="P63" s="118">
        <f t="shared" si="9"/>
        <v>0.15</v>
      </c>
      <c r="Q63" s="118">
        <f t="shared" si="10"/>
        <v>0.15</v>
      </c>
      <c r="R63" s="118">
        <f t="shared" si="11"/>
        <v>0</v>
      </c>
      <c r="S63" s="206">
        <f t="shared" si="12"/>
        <v>0</v>
      </c>
      <c r="T63" s="117">
        <f t="shared" si="13"/>
        <v>0.34</v>
      </c>
      <c r="U63" s="118">
        <f t="shared" si="14"/>
        <v>0</v>
      </c>
      <c r="V63" s="118">
        <f t="shared" si="15"/>
        <v>0.17</v>
      </c>
      <c r="W63" s="118">
        <f t="shared" si="16"/>
        <v>0.24</v>
      </c>
      <c r="X63" s="118">
        <f t="shared" si="17"/>
        <v>0.05</v>
      </c>
      <c r="Y63" s="206">
        <f t="shared" si="18"/>
        <v>0.2</v>
      </c>
      <c r="Z63" s="237">
        <f t="shared" si="19"/>
        <v>1177341.3792483527</v>
      </c>
      <c r="AA63" s="238">
        <f t="shared" si="20"/>
        <v>0</v>
      </c>
      <c r="AB63" s="238">
        <f t="shared" si="21"/>
        <v>1177341.3792483527</v>
      </c>
      <c r="AC63" s="238">
        <f t="shared" si="22"/>
        <v>659311.17237907765</v>
      </c>
      <c r="AD63" s="238">
        <f t="shared" si="23"/>
        <v>94187.3103398682</v>
      </c>
      <c r="AE63" s="238">
        <f t="shared" si="24"/>
        <v>0</v>
      </c>
      <c r="AF63" s="244">
        <f t="shared" si="25"/>
        <v>3108181.2412156509</v>
      </c>
      <c r="AG63" s="237">
        <f t="shared" si="26"/>
        <v>0</v>
      </c>
      <c r="AH63" s="238">
        <f t="shared" si="27"/>
        <v>0</v>
      </c>
      <c r="AI63" s="238">
        <f t="shared" si="28"/>
        <v>543388.32888385502</v>
      </c>
      <c r="AJ63" s="238">
        <f t="shared" si="29"/>
        <v>108677.665776771</v>
      </c>
      <c r="AK63" s="238">
        <f t="shared" si="30"/>
        <v>0</v>
      </c>
      <c r="AL63" s="238">
        <f t="shared" si="31"/>
        <v>0</v>
      </c>
      <c r="AM63" s="244">
        <f t="shared" si="32"/>
        <v>652065.99466062605</v>
      </c>
      <c r="AN63" s="237">
        <f t="shared" si="33"/>
        <v>5029360.8662250144</v>
      </c>
      <c r="AO63" s="238">
        <f t="shared" si="34"/>
        <v>0</v>
      </c>
      <c r="AP63" s="238">
        <f t="shared" si="35"/>
        <v>2514680.4331125072</v>
      </c>
      <c r="AQ63" s="238">
        <f t="shared" si="36"/>
        <v>3550137.0820411863</v>
      </c>
      <c r="AR63" s="238">
        <f t="shared" si="37"/>
        <v>147922.37841838275</v>
      </c>
      <c r="AS63" s="238">
        <f t="shared" si="38"/>
        <v>0</v>
      </c>
      <c r="AT63" s="244">
        <f t="shared" si="39"/>
        <v>11242100.759797089</v>
      </c>
      <c r="AU63" s="254"/>
      <c r="AV63" s="248">
        <f t="shared" si="40"/>
        <v>15.002347995673366</v>
      </c>
      <c r="AW63" s="130"/>
    </row>
    <row r="64" spans="1:49" ht="14.45" hidden="1" customHeight="1">
      <c r="A64" s="194">
        <f>'Input data'!A55</f>
        <v>1957</v>
      </c>
      <c r="B64" s="209">
        <f>'Input data'!B55</f>
        <v>6.6592707999999998</v>
      </c>
      <c r="C64" s="114">
        <f>'Input data'!F55</f>
        <v>0.71479999999999999</v>
      </c>
      <c r="D64" s="114">
        <f>'Input data'!G55</f>
        <v>0.28959999999999997</v>
      </c>
      <c r="E64" s="127"/>
      <c r="F64" s="238"/>
      <c r="G64" s="239">
        <f t="shared" si="2"/>
        <v>103648303.60748503</v>
      </c>
      <c r="H64" s="118">
        <f t="shared" si="41"/>
        <v>0.1</v>
      </c>
      <c r="I64" s="118">
        <f t="shared" si="3"/>
        <v>0</v>
      </c>
      <c r="J64" s="118">
        <f t="shared" si="4"/>
        <v>0.1</v>
      </c>
      <c r="K64" s="118">
        <f t="shared" si="5"/>
        <v>0.28000000000000003</v>
      </c>
      <c r="L64" s="118">
        <f t="shared" si="6"/>
        <v>0.04</v>
      </c>
      <c r="M64" s="206">
        <f t="shared" si="7"/>
        <v>0.48</v>
      </c>
      <c r="N64" s="117">
        <f t="shared" si="42"/>
        <v>0</v>
      </c>
      <c r="O64" s="118">
        <f t="shared" si="8"/>
        <v>0.7</v>
      </c>
      <c r="P64" s="118">
        <f t="shared" si="9"/>
        <v>0.15</v>
      </c>
      <c r="Q64" s="118">
        <f t="shared" si="10"/>
        <v>0.15</v>
      </c>
      <c r="R64" s="118">
        <f t="shared" si="11"/>
        <v>0</v>
      </c>
      <c r="S64" s="206">
        <f t="shared" si="12"/>
        <v>0</v>
      </c>
      <c r="T64" s="117">
        <f t="shared" si="13"/>
        <v>0.34</v>
      </c>
      <c r="U64" s="118">
        <f t="shared" si="14"/>
        <v>0</v>
      </c>
      <c r="V64" s="118">
        <f t="shared" si="15"/>
        <v>0.17</v>
      </c>
      <c r="W64" s="118">
        <f t="shared" si="16"/>
        <v>0.24</v>
      </c>
      <c r="X64" s="118">
        <f t="shared" si="17"/>
        <v>0.05</v>
      </c>
      <c r="Y64" s="206">
        <f t="shared" si="18"/>
        <v>0.2</v>
      </c>
      <c r="Z64" s="237">
        <f t="shared" si="19"/>
        <v>1212685.1522075748</v>
      </c>
      <c r="AA64" s="238">
        <f t="shared" si="20"/>
        <v>0</v>
      </c>
      <c r="AB64" s="238">
        <f t="shared" si="21"/>
        <v>1212685.1522075748</v>
      </c>
      <c r="AC64" s="238">
        <f t="shared" si="22"/>
        <v>679103.68523624202</v>
      </c>
      <c r="AD64" s="238">
        <f t="shared" si="23"/>
        <v>97014.812176605978</v>
      </c>
      <c r="AE64" s="238">
        <f t="shared" si="24"/>
        <v>0</v>
      </c>
      <c r="AF64" s="244">
        <f t="shared" si="25"/>
        <v>3201488.8018279979</v>
      </c>
      <c r="AG64" s="237">
        <f t="shared" si="26"/>
        <v>0</v>
      </c>
      <c r="AH64" s="238">
        <f t="shared" si="27"/>
        <v>0</v>
      </c>
      <c r="AI64" s="238">
        <f t="shared" si="28"/>
        <v>559700.83948041918</v>
      </c>
      <c r="AJ64" s="238">
        <f t="shared" si="29"/>
        <v>111940.16789608382</v>
      </c>
      <c r="AK64" s="238">
        <f t="shared" si="30"/>
        <v>0</v>
      </c>
      <c r="AL64" s="238">
        <f t="shared" si="31"/>
        <v>0</v>
      </c>
      <c r="AM64" s="244">
        <f t="shared" si="32"/>
        <v>671641.00737650297</v>
      </c>
      <c r="AN64" s="237">
        <f t="shared" si="33"/>
        <v>5180342.2143021021</v>
      </c>
      <c r="AO64" s="238">
        <f t="shared" si="34"/>
        <v>0</v>
      </c>
      <c r="AP64" s="238">
        <f t="shared" si="35"/>
        <v>2590171.1071510511</v>
      </c>
      <c r="AQ64" s="238">
        <f t="shared" si="36"/>
        <v>3656712.1512720715</v>
      </c>
      <c r="AR64" s="238">
        <f t="shared" si="37"/>
        <v>152363.00630300297</v>
      </c>
      <c r="AS64" s="238">
        <f t="shared" si="38"/>
        <v>0</v>
      </c>
      <c r="AT64" s="244">
        <f t="shared" si="39"/>
        <v>11579588.479028227</v>
      </c>
      <c r="AU64" s="254"/>
      <c r="AV64" s="248">
        <f t="shared" si="40"/>
        <v>15.452718288232729</v>
      </c>
      <c r="AW64" s="130"/>
    </row>
    <row r="65" spans="1:49" ht="14.45" hidden="1" customHeight="1">
      <c r="A65" s="194">
        <f>'Input data'!A56</f>
        <v>1958</v>
      </c>
      <c r="B65" s="209">
        <f>'Input data'!B56</f>
        <v>6.8699176</v>
      </c>
      <c r="C65" s="114">
        <f>'Input data'!F56</f>
        <v>0.71479999999999999</v>
      </c>
      <c r="D65" s="114">
        <f>'Input data'!G56</f>
        <v>0.28959999999999997</v>
      </c>
      <c r="E65" s="127"/>
      <c r="F65" s="238"/>
      <c r="G65" s="239">
        <f t="shared" si="2"/>
        <v>106926918.35917002</v>
      </c>
      <c r="H65" s="118">
        <f t="shared" si="41"/>
        <v>0.1</v>
      </c>
      <c r="I65" s="118">
        <f t="shared" si="3"/>
        <v>0</v>
      </c>
      <c r="J65" s="118">
        <f t="shared" si="4"/>
        <v>0.1</v>
      </c>
      <c r="K65" s="118">
        <f t="shared" si="5"/>
        <v>0.28000000000000003</v>
      </c>
      <c r="L65" s="118">
        <f t="shared" si="6"/>
        <v>0.04</v>
      </c>
      <c r="M65" s="206">
        <f t="shared" si="7"/>
        <v>0.48</v>
      </c>
      <c r="N65" s="117">
        <f t="shared" si="42"/>
        <v>0</v>
      </c>
      <c r="O65" s="118">
        <f t="shared" si="8"/>
        <v>0.7</v>
      </c>
      <c r="P65" s="118">
        <f t="shared" si="9"/>
        <v>0.15</v>
      </c>
      <c r="Q65" s="118">
        <f t="shared" si="10"/>
        <v>0.15</v>
      </c>
      <c r="R65" s="118">
        <f t="shared" si="11"/>
        <v>0</v>
      </c>
      <c r="S65" s="206">
        <f t="shared" si="12"/>
        <v>0</v>
      </c>
      <c r="T65" s="117">
        <f t="shared" si="13"/>
        <v>0.34</v>
      </c>
      <c r="U65" s="118">
        <f t="shared" si="14"/>
        <v>0</v>
      </c>
      <c r="V65" s="118">
        <f t="shared" si="15"/>
        <v>0.17</v>
      </c>
      <c r="W65" s="118">
        <f t="shared" si="16"/>
        <v>0.24</v>
      </c>
      <c r="X65" s="118">
        <f t="shared" si="17"/>
        <v>0.05</v>
      </c>
      <c r="Y65" s="206">
        <f t="shared" si="18"/>
        <v>0.2</v>
      </c>
      <c r="Z65" s="237">
        <f t="shared" si="19"/>
        <v>1251044.9448022891</v>
      </c>
      <c r="AA65" s="238">
        <f t="shared" si="20"/>
        <v>0</v>
      </c>
      <c r="AB65" s="238">
        <f t="shared" si="21"/>
        <v>1251044.9448022891</v>
      </c>
      <c r="AC65" s="238">
        <f t="shared" si="22"/>
        <v>700585.16908928205</v>
      </c>
      <c r="AD65" s="238">
        <f t="shared" si="23"/>
        <v>100083.59558418313</v>
      </c>
      <c r="AE65" s="238">
        <f t="shared" si="24"/>
        <v>0</v>
      </c>
      <c r="AF65" s="244">
        <f t="shared" si="25"/>
        <v>3302758.6542780432</v>
      </c>
      <c r="AG65" s="237">
        <f t="shared" si="26"/>
        <v>0</v>
      </c>
      <c r="AH65" s="238">
        <f t="shared" si="27"/>
        <v>0</v>
      </c>
      <c r="AI65" s="238">
        <f t="shared" si="28"/>
        <v>577405.359139518</v>
      </c>
      <c r="AJ65" s="238">
        <f t="shared" si="29"/>
        <v>115481.07182790361</v>
      </c>
      <c r="AK65" s="238">
        <f t="shared" si="30"/>
        <v>0</v>
      </c>
      <c r="AL65" s="238">
        <f t="shared" si="31"/>
        <v>0</v>
      </c>
      <c r="AM65" s="244">
        <f t="shared" si="32"/>
        <v>692886.43096742162</v>
      </c>
      <c r="AN65" s="237">
        <f t="shared" si="33"/>
        <v>5344207.3795913178</v>
      </c>
      <c r="AO65" s="238">
        <f t="shared" si="34"/>
        <v>0</v>
      </c>
      <c r="AP65" s="238">
        <f t="shared" si="35"/>
        <v>2672103.6897956589</v>
      </c>
      <c r="AQ65" s="238">
        <f t="shared" si="36"/>
        <v>3772381.6797115179</v>
      </c>
      <c r="AR65" s="238">
        <f t="shared" si="37"/>
        <v>157182.56998797995</v>
      </c>
      <c r="AS65" s="238">
        <f t="shared" si="38"/>
        <v>0</v>
      </c>
      <c r="AT65" s="244">
        <f t="shared" si="39"/>
        <v>11945875.319086475</v>
      </c>
      <c r="AU65" s="254"/>
      <c r="AV65" s="248">
        <f t="shared" si="40"/>
        <v>15.941520404331941</v>
      </c>
      <c r="AW65" s="130"/>
    </row>
    <row r="66" spans="1:49" ht="14.45" hidden="1" customHeight="1">
      <c r="A66" s="194">
        <f>'Input data'!A57</f>
        <v>1959</v>
      </c>
      <c r="B66" s="209">
        <f>'Input data'!B57</f>
        <v>7.0827593200000001</v>
      </c>
      <c r="C66" s="114">
        <f>'Input data'!F57</f>
        <v>0.71479999999999999</v>
      </c>
      <c r="D66" s="114">
        <f>'Input data'!G57</f>
        <v>0.28959999999999997</v>
      </c>
      <c r="E66" s="127"/>
      <c r="F66" s="238"/>
      <c r="G66" s="239">
        <f t="shared" si="2"/>
        <v>110239695.97063151</v>
      </c>
      <c r="H66" s="118">
        <f t="shared" si="41"/>
        <v>0.1</v>
      </c>
      <c r="I66" s="118">
        <f t="shared" si="3"/>
        <v>0</v>
      </c>
      <c r="J66" s="118">
        <f t="shared" si="4"/>
        <v>0.1</v>
      </c>
      <c r="K66" s="118">
        <f t="shared" si="5"/>
        <v>0.28000000000000003</v>
      </c>
      <c r="L66" s="118">
        <f t="shared" si="6"/>
        <v>0.04</v>
      </c>
      <c r="M66" s="206">
        <f t="shared" si="7"/>
        <v>0.48</v>
      </c>
      <c r="N66" s="117">
        <f t="shared" si="42"/>
        <v>0</v>
      </c>
      <c r="O66" s="118">
        <f t="shared" si="8"/>
        <v>0.7</v>
      </c>
      <c r="P66" s="118">
        <f t="shared" si="9"/>
        <v>0.15</v>
      </c>
      <c r="Q66" s="118">
        <f t="shared" si="10"/>
        <v>0.15</v>
      </c>
      <c r="R66" s="118">
        <f t="shared" si="11"/>
        <v>0</v>
      </c>
      <c r="S66" s="206">
        <f t="shared" si="12"/>
        <v>0</v>
      </c>
      <c r="T66" s="117">
        <f t="shared" si="13"/>
        <v>0.34</v>
      </c>
      <c r="U66" s="118">
        <f t="shared" si="14"/>
        <v>0</v>
      </c>
      <c r="V66" s="118">
        <f t="shared" si="15"/>
        <v>0.17</v>
      </c>
      <c r="W66" s="118">
        <f t="shared" si="16"/>
        <v>0.24</v>
      </c>
      <c r="X66" s="118">
        <f t="shared" si="17"/>
        <v>0.05</v>
      </c>
      <c r="Y66" s="206">
        <f t="shared" si="18"/>
        <v>0.2</v>
      </c>
      <c r="Z66" s="237">
        <f t="shared" si="19"/>
        <v>1289804.4428563886</v>
      </c>
      <c r="AA66" s="238">
        <f t="shared" si="20"/>
        <v>0</v>
      </c>
      <c r="AB66" s="238">
        <f t="shared" si="21"/>
        <v>1289804.4428563886</v>
      </c>
      <c r="AC66" s="238">
        <f t="shared" si="22"/>
        <v>722290.48799957777</v>
      </c>
      <c r="AD66" s="238">
        <f t="shared" si="23"/>
        <v>103184.3554285111</v>
      </c>
      <c r="AE66" s="238">
        <f t="shared" si="24"/>
        <v>0</v>
      </c>
      <c r="AF66" s="244">
        <f t="shared" si="25"/>
        <v>3405083.7291408665</v>
      </c>
      <c r="AG66" s="237">
        <f t="shared" si="26"/>
        <v>0</v>
      </c>
      <c r="AH66" s="238">
        <f t="shared" si="27"/>
        <v>0</v>
      </c>
      <c r="AI66" s="238">
        <f t="shared" si="28"/>
        <v>595294.35824141011</v>
      </c>
      <c r="AJ66" s="238">
        <f t="shared" si="29"/>
        <v>119058.87164828202</v>
      </c>
      <c r="AK66" s="238">
        <f t="shared" si="30"/>
        <v>0</v>
      </c>
      <c r="AL66" s="238">
        <f t="shared" si="31"/>
        <v>0</v>
      </c>
      <c r="AM66" s="244">
        <f t="shared" si="32"/>
        <v>714353.22988969216</v>
      </c>
      <c r="AN66" s="237">
        <f t="shared" si="33"/>
        <v>5509780.0046121627</v>
      </c>
      <c r="AO66" s="238">
        <f t="shared" si="34"/>
        <v>0</v>
      </c>
      <c r="AP66" s="238">
        <f t="shared" si="35"/>
        <v>2754890.0023060814</v>
      </c>
      <c r="AQ66" s="238">
        <f t="shared" si="36"/>
        <v>3889256.4738438795</v>
      </c>
      <c r="AR66" s="238">
        <f t="shared" si="37"/>
        <v>162052.35307682832</v>
      </c>
      <c r="AS66" s="238">
        <f t="shared" si="38"/>
        <v>0</v>
      </c>
      <c r="AT66" s="244">
        <f t="shared" si="39"/>
        <v>12315978.833838953</v>
      </c>
      <c r="AU66" s="254"/>
      <c r="AV66" s="248">
        <f t="shared" si="40"/>
        <v>16.435415792869513</v>
      </c>
      <c r="AW66" s="130"/>
    </row>
    <row r="67" spans="1:49" ht="14.45" hidden="1" customHeight="1">
      <c r="A67" s="194">
        <f>'Input data'!A58</f>
        <v>1960</v>
      </c>
      <c r="B67" s="209">
        <f>'Input data'!B58</f>
        <v>7.2819655999999995</v>
      </c>
      <c r="C67" s="114">
        <f>'Input data'!F58</f>
        <v>0.71479999999999999</v>
      </c>
      <c r="D67" s="114">
        <f>'Input data'!G58</f>
        <v>0.28959999999999997</v>
      </c>
      <c r="E67" s="127"/>
      <c r="F67" s="238"/>
      <c r="G67" s="239">
        <f t="shared" si="2"/>
        <v>113340244.60576999</v>
      </c>
      <c r="H67" s="118">
        <f t="shared" si="41"/>
        <v>0.1</v>
      </c>
      <c r="I67" s="118">
        <f t="shared" si="3"/>
        <v>0</v>
      </c>
      <c r="J67" s="118">
        <f t="shared" si="4"/>
        <v>0.1</v>
      </c>
      <c r="K67" s="118">
        <f t="shared" si="5"/>
        <v>0.28000000000000003</v>
      </c>
      <c r="L67" s="118">
        <f t="shared" si="6"/>
        <v>0.04</v>
      </c>
      <c r="M67" s="206">
        <f t="shared" si="7"/>
        <v>0.48</v>
      </c>
      <c r="N67" s="117">
        <f t="shared" si="42"/>
        <v>0</v>
      </c>
      <c r="O67" s="118">
        <f t="shared" si="8"/>
        <v>0.7</v>
      </c>
      <c r="P67" s="118">
        <f t="shared" si="9"/>
        <v>0.15</v>
      </c>
      <c r="Q67" s="118">
        <f t="shared" si="10"/>
        <v>0.15</v>
      </c>
      <c r="R67" s="118">
        <f t="shared" si="11"/>
        <v>0</v>
      </c>
      <c r="S67" s="206">
        <f t="shared" si="12"/>
        <v>0</v>
      </c>
      <c r="T67" s="117">
        <f t="shared" si="13"/>
        <v>0.34</v>
      </c>
      <c r="U67" s="118">
        <f t="shared" si="14"/>
        <v>0</v>
      </c>
      <c r="V67" s="118">
        <f t="shared" si="15"/>
        <v>0.17</v>
      </c>
      <c r="W67" s="118">
        <f t="shared" si="16"/>
        <v>0.24</v>
      </c>
      <c r="X67" s="118">
        <f t="shared" si="17"/>
        <v>0.05</v>
      </c>
      <c r="Y67" s="206">
        <f t="shared" si="18"/>
        <v>0.2</v>
      </c>
      <c r="Z67" s="237">
        <f t="shared" si="19"/>
        <v>1326080.861887509</v>
      </c>
      <c r="AA67" s="238">
        <f t="shared" si="20"/>
        <v>0</v>
      </c>
      <c r="AB67" s="238">
        <f t="shared" si="21"/>
        <v>1326080.861887509</v>
      </c>
      <c r="AC67" s="238">
        <f t="shared" si="22"/>
        <v>742605.28265700513</v>
      </c>
      <c r="AD67" s="238">
        <f t="shared" si="23"/>
        <v>106086.46895100072</v>
      </c>
      <c r="AE67" s="238">
        <f t="shared" si="24"/>
        <v>0</v>
      </c>
      <c r="AF67" s="244">
        <f t="shared" si="25"/>
        <v>3500853.4753830237</v>
      </c>
      <c r="AG67" s="237">
        <f t="shared" si="26"/>
        <v>0</v>
      </c>
      <c r="AH67" s="238">
        <f t="shared" si="27"/>
        <v>0</v>
      </c>
      <c r="AI67" s="238">
        <f t="shared" si="28"/>
        <v>612037.32087115792</v>
      </c>
      <c r="AJ67" s="238">
        <f t="shared" si="29"/>
        <v>122407.46417423157</v>
      </c>
      <c r="AK67" s="238">
        <f t="shared" si="30"/>
        <v>0</v>
      </c>
      <c r="AL67" s="238">
        <f t="shared" si="31"/>
        <v>0</v>
      </c>
      <c r="AM67" s="244">
        <f t="shared" si="32"/>
        <v>734444.78504538955</v>
      </c>
      <c r="AN67" s="237">
        <f t="shared" si="33"/>
        <v>5664745.4253963847</v>
      </c>
      <c r="AO67" s="238">
        <f t="shared" si="34"/>
        <v>0</v>
      </c>
      <c r="AP67" s="238">
        <f t="shared" si="35"/>
        <v>2832372.7126981923</v>
      </c>
      <c r="AQ67" s="238">
        <f t="shared" si="36"/>
        <v>3998643.8296915651</v>
      </c>
      <c r="AR67" s="238">
        <f t="shared" si="37"/>
        <v>166610.15957048186</v>
      </c>
      <c r="AS67" s="238">
        <f t="shared" si="38"/>
        <v>0</v>
      </c>
      <c r="AT67" s="244">
        <f t="shared" si="39"/>
        <v>12662372.127356624</v>
      </c>
      <c r="AU67" s="254"/>
      <c r="AV67" s="248">
        <f t="shared" si="40"/>
        <v>16.897670387785041</v>
      </c>
      <c r="AW67" s="130"/>
    </row>
    <row r="68" spans="1:49" ht="14.45" hidden="1" customHeight="1">
      <c r="A68" s="194">
        <f>'Input data'!A59</f>
        <v>1961</v>
      </c>
      <c r="B68" s="209">
        <f>'Input data'!B59</f>
        <v>7.6498422000000001</v>
      </c>
      <c r="C68" s="114">
        <f>'Input data'!F59</f>
        <v>0.71479999999999999</v>
      </c>
      <c r="D68" s="114">
        <f>'Input data'!G59</f>
        <v>0.28959999999999997</v>
      </c>
      <c r="E68" s="127"/>
      <c r="F68" s="238"/>
      <c r="G68" s="239">
        <f t="shared" si="2"/>
        <v>119066064.54492751</v>
      </c>
      <c r="H68" s="118">
        <f t="shared" si="41"/>
        <v>0.1</v>
      </c>
      <c r="I68" s="118">
        <f t="shared" si="3"/>
        <v>0</v>
      </c>
      <c r="J68" s="118">
        <f t="shared" si="4"/>
        <v>0.1</v>
      </c>
      <c r="K68" s="118">
        <f t="shared" si="5"/>
        <v>0.28000000000000003</v>
      </c>
      <c r="L68" s="118">
        <f t="shared" si="6"/>
        <v>0.04</v>
      </c>
      <c r="M68" s="206">
        <f t="shared" si="7"/>
        <v>0.48</v>
      </c>
      <c r="N68" s="117">
        <f t="shared" si="42"/>
        <v>0</v>
      </c>
      <c r="O68" s="118">
        <f t="shared" si="8"/>
        <v>0.7</v>
      </c>
      <c r="P68" s="118">
        <f t="shared" si="9"/>
        <v>0.15</v>
      </c>
      <c r="Q68" s="118">
        <f t="shared" si="10"/>
        <v>0.15</v>
      </c>
      <c r="R68" s="118">
        <f t="shared" si="11"/>
        <v>0</v>
      </c>
      <c r="S68" s="206">
        <f t="shared" si="12"/>
        <v>0</v>
      </c>
      <c r="T68" s="117">
        <f t="shared" si="13"/>
        <v>0.34</v>
      </c>
      <c r="U68" s="118">
        <f t="shared" si="14"/>
        <v>0</v>
      </c>
      <c r="V68" s="118">
        <f t="shared" si="15"/>
        <v>0.17</v>
      </c>
      <c r="W68" s="118">
        <f t="shared" si="16"/>
        <v>0.24</v>
      </c>
      <c r="X68" s="118">
        <f t="shared" si="17"/>
        <v>0.05</v>
      </c>
      <c r="Y68" s="206">
        <f t="shared" si="18"/>
        <v>0.2</v>
      </c>
      <c r="Z68" s="237">
        <f t="shared" si="19"/>
        <v>1393072.9551756517</v>
      </c>
      <c r="AA68" s="238">
        <f t="shared" si="20"/>
        <v>0</v>
      </c>
      <c r="AB68" s="238">
        <f t="shared" si="21"/>
        <v>1393072.9551756517</v>
      </c>
      <c r="AC68" s="238">
        <f t="shared" si="22"/>
        <v>780120.85489836521</v>
      </c>
      <c r="AD68" s="238">
        <f t="shared" si="23"/>
        <v>111445.83641405214</v>
      </c>
      <c r="AE68" s="238">
        <f t="shared" si="24"/>
        <v>0</v>
      </c>
      <c r="AF68" s="244">
        <f t="shared" si="25"/>
        <v>3677712.6016637208</v>
      </c>
      <c r="AG68" s="237">
        <f t="shared" si="26"/>
        <v>0</v>
      </c>
      <c r="AH68" s="238">
        <f t="shared" si="27"/>
        <v>0</v>
      </c>
      <c r="AI68" s="238">
        <f t="shared" si="28"/>
        <v>642956.74854260846</v>
      </c>
      <c r="AJ68" s="238">
        <f t="shared" si="29"/>
        <v>128591.34970852171</v>
      </c>
      <c r="AK68" s="238">
        <f t="shared" si="30"/>
        <v>0</v>
      </c>
      <c r="AL68" s="238">
        <f t="shared" si="31"/>
        <v>0</v>
      </c>
      <c r="AM68" s="244">
        <f t="shared" si="32"/>
        <v>771548.0982511302</v>
      </c>
      <c r="AN68" s="237">
        <f t="shared" si="33"/>
        <v>5950921.9059554767</v>
      </c>
      <c r="AO68" s="238">
        <f t="shared" si="34"/>
        <v>0</v>
      </c>
      <c r="AP68" s="238">
        <f t="shared" si="35"/>
        <v>2975460.9529777383</v>
      </c>
      <c r="AQ68" s="238">
        <f t="shared" si="36"/>
        <v>4200650.7571450425</v>
      </c>
      <c r="AR68" s="238">
        <f t="shared" si="37"/>
        <v>175027.11488104344</v>
      </c>
      <c r="AS68" s="238">
        <f t="shared" si="38"/>
        <v>0</v>
      </c>
      <c r="AT68" s="244">
        <f t="shared" si="39"/>
        <v>13302060.730959302</v>
      </c>
      <c r="AU68" s="254"/>
      <c r="AV68" s="248">
        <f t="shared" si="40"/>
        <v>17.751321430874153</v>
      </c>
      <c r="AW68" s="130"/>
    </row>
    <row r="69" spans="1:49" ht="14.45" hidden="1" customHeight="1">
      <c r="A69" s="194">
        <f>'Input data'!A60</f>
        <v>1962</v>
      </c>
      <c r="B69" s="209">
        <f>'Input data'!B60</f>
        <v>7.8559936000000006</v>
      </c>
      <c r="C69" s="114">
        <f>'Input data'!F60</f>
        <v>0.71479999999999999</v>
      </c>
      <c r="D69" s="114">
        <f>'Input data'!G60</f>
        <v>0.28959999999999997</v>
      </c>
      <c r="E69" s="127"/>
      <c r="F69" s="238"/>
      <c r="G69" s="239">
        <f t="shared" si="2"/>
        <v>122274710.58712003</v>
      </c>
      <c r="H69" s="118">
        <f t="shared" si="41"/>
        <v>0.1</v>
      </c>
      <c r="I69" s="118">
        <f t="shared" si="3"/>
        <v>0</v>
      </c>
      <c r="J69" s="118">
        <f t="shared" si="4"/>
        <v>0.1</v>
      </c>
      <c r="K69" s="118">
        <f t="shared" si="5"/>
        <v>0.28000000000000003</v>
      </c>
      <c r="L69" s="118">
        <f t="shared" si="6"/>
        <v>0.04</v>
      </c>
      <c r="M69" s="206">
        <f t="shared" si="7"/>
        <v>0.48</v>
      </c>
      <c r="N69" s="117">
        <f t="shared" si="42"/>
        <v>0</v>
      </c>
      <c r="O69" s="118">
        <f t="shared" si="8"/>
        <v>0.7</v>
      </c>
      <c r="P69" s="118">
        <f t="shared" si="9"/>
        <v>0.15</v>
      </c>
      <c r="Q69" s="118">
        <f t="shared" si="10"/>
        <v>0.15</v>
      </c>
      <c r="R69" s="118">
        <f t="shared" si="11"/>
        <v>0</v>
      </c>
      <c r="S69" s="206">
        <f t="shared" si="12"/>
        <v>0</v>
      </c>
      <c r="T69" s="117">
        <f t="shared" si="13"/>
        <v>0.34</v>
      </c>
      <c r="U69" s="118">
        <f t="shared" si="14"/>
        <v>0</v>
      </c>
      <c r="V69" s="118">
        <f t="shared" si="15"/>
        <v>0.17</v>
      </c>
      <c r="W69" s="118">
        <f t="shared" si="16"/>
        <v>0.24</v>
      </c>
      <c r="X69" s="118">
        <f t="shared" si="17"/>
        <v>0.05</v>
      </c>
      <c r="Y69" s="206">
        <f t="shared" si="18"/>
        <v>0.2</v>
      </c>
      <c r="Z69" s="237">
        <f t="shared" si="19"/>
        <v>1430614.1138693043</v>
      </c>
      <c r="AA69" s="238">
        <f t="shared" si="20"/>
        <v>0</v>
      </c>
      <c r="AB69" s="238">
        <f t="shared" si="21"/>
        <v>1430614.1138693043</v>
      </c>
      <c r="AC69" s="238">
        <f t="shared" si="22"/>
        <v>801143.90376681054</v>
      </c>
      <c r="AD69" s="238">
        <f t="shared" si="23"/>
        <v>114449.12910954433</v>
      </c>
      <c r="AE69" s="238">
        <f t="shared" si="24"/>
        <v>0</v>
      </c>
      <c r="AF69" s="244">
        <f t="shared" si="25"/>
        <v>3776821.2606149632</v>
      </c>
      <c r="AG69" s="237">
        <f t="shared" si="26"/>
        <v>0</v>
      </c>
      <c r="AH69" s="238">
        <f t="shared" si="27"/>
        <v>0</v>
      </c>
      <c r="AI69" s="238">
        <f t="shared" si="28"/>
        <v>660283.43717044801</v>
      </c>
      <c r="AJ69" s="238">
        <f t="shared" si="29"/>
        <v>132056.6874340896</v>
      </c>
      <c r="AK69" s="238">
        <f t="shared" si="30"/>
        <v>0</v>
      </c>
      <c r="AL69" s="238">
        <f t="shared" si="31"/>
        <v>0</v>
      </c>
      <c r="AM69" s="244">
        <f t="shared" si="32"/>
        <v>792340.12460453762</v>
      </c>
      <c r="AN69" s="237">
        <f t="shared" si="33"/>
        <v>6111290.0351442592</v>
      </c>
      <c r="AO69" s="238">
        <f t="shared" si="34"/>
        <v>0</v>
      </c>
      <c r="AP69" s="238">
        <f t="shared" si="35"/>
        <v>3055645.0175721296</v>
      </c>
      <c r="AQ69" s="238">
        <f t="shared" si="36"/>
        <v>4313851.7895135945</v>
      </c>
      <c r="AR69" s="238">
        <f t="shared" si="37"/>
        <v>179743.82456306645</v>
      </c>
      <c r="AS69" s="238">
        <f t="shared" si="38"/>
        <v>0</v>
      </c>
      <c r="AT69" s="244">
        <f t="shared" si="39"/>
        <v>13660530.66679305</v>
      </c>
      <c r="AU69" s="254"/>
      <c r="AV69" s="248">
        <f t="shared" si="40"/>
        <v>18.229692052012552</v>
      </c>
      <c r="AW69" s="130"/>
    </row>
    <row r="70" spans="1:49" ht="14.45" hidden="1" customHeight="1">
      <c r="A70" s="194">
        <f>'Input data'!A61</f>
        <v>1963</v>
      </c>
      <c r="B70" s="209">
        <f>'Input data'!B61</f>
        <v>8.062145000000001</v>
      </c>
      <c r="C70" s="114">
        <f>'Input data'!F61</f>
        <v>0.71479999999999999</v>
      </c>
      <c r="D70" s="114">
        <f>'Input data'!G61</f>
        <v>0.28959999999999997</v>
      </c>
      <c r="E70" s="127"/>
      <c r="F70" s="238"/>
      <c r="G70" s="239">
        <f t="shared" si="2"/>
        <v>125483356.62931253</v>
      </c>
      <c r="H70" s="118">
        <f t="shared" si="41"/>
        <v>0.1</v>
      </c>
      <c r="I70" s="118">
        <f t="shared" si="3"/>
        <v>0</v>
      </c>
      <c r="J70" s="118">
        <f t="shared" si="4"/>
        <v>0.1</v>
      </c>
      <c r="K70" s="118">
        <f t="shared" si="5"/>
        <v>0.28000000000000003</v>
      </c>
      <c r="L70" s="118">
        <f t="shared" si="6"/>
        <v>0.04</v>
      </c>
      <c r="M70" s="206">
        <f t="shared" si="7"/>
        <v>0.48</v>
      </c>
      <c r="N70" s="117">
        <f t="shared" si="42"/>
        <v>0</v>
      </c>
      <c r="O70" s="118">
        <f t="shared" si="8"/>
        <v>0.7</v>
      </c>
      <c r="P70" s="118">
        <f t="shared" si="9"/>
        <v>0.15</v>
      </c>
      <c r="Q70" s="118">
        <f t="shared" si="10"/>
        <v>0.15</v>
      </c>
      <c r="R70" s="118">
        <f t="shared" si="11"/>
        <v>0</v>
      </c>
      <c r="S70" s="206">
        <f t="shared" si="12"/>
        <v>0</v>
      </c>
      <c r="T70" s="117">
        <f t="shared" si="13"/>
        <v>0.34</v>
      </c>
      <c r="U70" s="118">
        <f t="shared" si="14"/>
        <v>0</v>
      </c>
      <c r="V70" s="118">
        <f t="shared" si="15"/>
        <v>0.17</v>
      </c>
      <c r="W70" s="118">
        <f t="shared" si="16"/>
        <v>0.24</v>
      </c>
      <c r="X70" s="118">
        <f t="shared" si="17"/>
        <v>0.05</v>
      </c>
      <c r="Y70" s="206">
        <f t="shared" si="18"/>
        <v>0.2</v>
      </c>
      <c r="Z70" s="237">
        <f t="shared" si="19"/>
        <v>1468155.2725629564</v>
      </c>
      <c r="AA70" s="238">
        <f t="shared" si="20"/>
        <v>0</v>
      </c>
      <c r="AB70" s="238">
        <f t="shared" si="21"/>
        <v>1468155.2725629564</v>
      </c>
      <c r="AC70" s="238">
        <f t="shared" si="22"/>
        <v>822166.95263525576</v>
      </c>
      <c r="AD70" s="238">
        <f t="shared" si="23"/>
        <v>117452.42180503653</v>
      </c>
      <c r="AE70" s="238">
        <f t="shared" si="24"/>
        <v>0</v>
      </c>
      <c r="AF70" s="244">
        <f t="shared" si="25"/>
        <v>3875929.9195662052</v>
      </c>
      <c r="AG70" s="237">
        <f t="shared" si="26"/>
        <v>0</v>
      </c>
      <c r="AH70" s="238">
        <f t="shared" si="27"/>
        <v>0</v>
      </c>
      <c r="AI70" s="238">
        <f t="shared" si="28"/>
        <v>677610.12579828769</v>
      </c>
      <c r="AJ70" s="238">
        <f t="shared" si="29"/>
        <v>135522.02515965753</v>
      </c>
      <c r="AK70" s="238">
        <f t="shared" si="30"/>
        <v>0</v>
      </c>
      <c r="AL70" s="238">
        <f t="shared" si="31"/>
        <v>0</v>
      </c>
      <c r="AM70" s="244">
        <f t="shared" si="32"/>
        <v>813132.15095794527</v>
      </c>
      <c r="AN70" s="237">
        <f t="shared" si="33"/>
        <v>6271658.1643330399</v>
      </c>
      <c r="AO70" s="238">
        <f t="shared" si="34"/>
        <v>0</v>
      </c>
      <c r="AP70" s="238">
        <f t="shared" si="35"/>
        <v>3135829.0821665199</v>
      </c>
      <c r="AQ70" s="238">
        <f t="shared" si="36"/>
        <v>4427052.8218821464</v>
      </c>
      <c r="AR70" s="238">
        <f t="shared" si="37"/>
        <v>184460.53424508939</v>
      </c>
      <c r="AS70" s="238">
        <f t="shared" si="38"/>
        <v>0</v>
      </c>
      <c r="AT70" s="244">
        <f t="shared" si="39"/>
        <v>14019000.602626797</v>
      </c>
      <c r="AU70" s="254"/>
      <c r="AV70" s="248">
        <f t="shared" si="40"/>
        <v>18.708062673150948</v>
      </c>
      <c r="AW70" s="130"/>
    </row>
    <row r="71" spans="1:49" ht="14.45" hidden="1" customHeight="1">
      <c r="A71" s="194">
        <f>'Input data'!A62</f>
        <v>1964</v>
      </c>
      <c r="B71" s="209">
        <f>'Input data'!B62</f>
        <v>8.2682964000000005</v>
      </c>
      <c r="C71" s="114">
        <f>'Input data'!F62</f>
        <v>0.71479999999999999</v>
      </c>
      <c r="D71" s="114">
        <f>'Input data'!G62</f>
        <v>0.28959999999999997</v>
      </c>
      <c r="E71" s="127"/>
      <c r="F71" s="238"/>
      <c r="G71" s="239">
        <f t="shared" si="2"/>
        <v>128692002.671505</v>
      </c>
      <c r="H71" s="118">
        <f t="shared" si="41"/>
        <v>0.1</v>
      </c>
      <c r="I71" s="118">
        <f t="shared" si="3"/>
        <v>0</v>
      </c>
      <c r="J71" s="118">
        <f t="shared" si="4"/>
        <v>0.1</v>
      </c>
      <c r="K71" s="118">
        <f t="shared" si="5"/>
        <v>0.28000000000000003</v>
      </c>
      <c r="L71" s="118">
        <f t="shared" si="6"/>
        <v>0.04</v>
      </c>
      <c r="M71" s="206">
        <f t="shared" si="7"/>
        <v>0.48</v>
      </c>
      <c r="N71" s="117">
        <f t="shared" si="42"/>
        <v>0</v>
      </c>
      <c r="O71" s="118">
        <f t="shared" si="8"/>
        <v>0.7</v>
      </c>
      <c r="P71" s="118">
        <f t="shared" si="9"/>
        <v>0.15</v>
      </c>
      <c r="Q71" s="118">
        <f t="shared" si="10"/>
        <v>0.15</v>
      </c>
      <c r="R71" s="118">
        <f t="shared" si="11"/>
        <v>0</v>
      </c>
      <c r="S71" s="206">
        <f t="shared" si="12"/>
        <v>0</v>
      </c>
      <c r="T71" s="117">
        <f t="shared" si="13"/>
        <v>0.34</v>
      </c>
      <c r="U71" s="118">
        <f t="shared" si="14"/>
        <v>0</v>
      </c>
      <c r="V71" s="118">
        <f t="shared" si="15"/>
        <v>0.17</v>
      </c>
      <c r="W71" s="118">
        <f t="shared" si="16"/>
        <v>0.24</v>
      </c>
      <c r="X71" s="118">
        <f t="shared" si="17"/>
        <v>0.05</v>
      </c>
      <c r="Y71" s="206">
        <f t="shared" si="18"/>
        <v>0.2</v>
      </c>
      <c r="Z71" s="237">
        <f t="shared" si="19"/>
        <v>1505696.4312566086</v>
      </c>
      <c r="AA71" s="238">
        <f t="shared" si="20"/>
        <v>0</v>
      </c>
      <c r="AB71" s="238">
        <f t="shared" si="21"/>
        <v>1505696.4312566086</v>
      </c>
      <c r="AC71" s="238">
        <f t="shared" si="22"/>
        <v>843190.00150370097</v>
      </c>
      <c r="AD71" s="238">
        <f t="shared" si="23"/>
        <v>120455.71450052867</v>
      </c>
      <c r="AE71" s="238">
        <f t="shared" si="24"/>
        <v>0</v>
      </c>
      <c r="AF71" s="244">
        <f t="shared" si="25"/>
        <v>3975038.5785174468</v>
      </c>
      <c r="AG71" s="237">
        <f t="shared" si="26"/>
        <v>0</v>
      </c>
      <c r="AH71" s="238">
        <f t="shared" si="27"/>
        <v>0</v>
      </c>
      <c r="AI71" s="238">
        <f t="shared" si="28"/>
        <v>694936.81442612689</v>
      </c>
      <c r="AJ71" s="238">
        <f t="shared" si="29"/>
        <v>138987.36288522539</v>
      </c>
      <c r="AK71" s="238">
        <f t="shared" si="30"/>
        <v>0</v>
      </c>
      <c r="AL71" s="238">
        <f t="shared" si="31"/>
        <v>0</v>
      </c>
      <c r="AM71" s="244">
        <f t="shared" si="32"/>
        <v>833924.17731135222</v>
      </c>
      <c r="AN71" s="237">
        <f t="shared" si="33"/>
        <v>6432026.2935218206</v>
      </c>
      <c r="AO71" s="238">
        <f t="shared" si="34"/>
        <v>0</v>
      </c>
      <c r="AP71" s="238">
        <f t="shared" si="35"/>
        <v>3216013.1467609103</v>
      </c>
      <c r="AQ71" s="238">
        <f t="shared" si="36"/>
        <v>4540253.8542506956</v>
      </c>
      <c r="AR71" s="238">
        <f t="shared" si="37"/>
        <v>189177.24392711237</v>
      </c>
      <c r="AS71" s="238">
        <f t="shared" si="38"/>
        <v>0</v>
      </c>
      <c r="AT71" s="244">
        <f t="shared" si="39"/>
        <v>14377470.538460538</v>
      </c>
      <c r="AU71" s="254"/>
      <c r="AV71" s="248">
        <f t="shared" si="40"/>
        <v>19.186433294289337</v>
      </c>
      <c r="AW71" s="130"/>
    </row>
    <row r="72" spans="1:49" ht="14.45" hidden="1" customHeight="1">
      <c r="A72" s="194">
        <f>'Input data'!A63</f>
        <v>1965</v>
      </c>
      <c r="B72" s="209">
        <f>'Input data'!B63</f>
        <v>8.4744478000000001</v>
      </c>
      <c r="C72" s="114">
        <f>'Input data'!F63</f>
        <v>0.71479999999999999</v>
      </c>
      <c r="D72" s="114">
        <f>'Input data'!G63</f>
        <v>0.28959999999999997</v>
      </c>
      <c r="E72" s="127"/>
      <c r="F72" s="238"/>
      <c r="G72" s="239">
        <f t="shared" si="2"/>
        <v>131900648.71369754</v>
      </c>
      <c r="H72" s="118">
        <f t="shared" si="41"/>
        <v>0.1</v>
      </c>
      <c r="I72" s="118">
        <f t="shared" si="3"/>
        <v>0</v>
      </c>
      <c r="J72" s="118">
        <f t="shared" si="4"/>
        <v>0.1</v>
      </c>
      <c r="K72" s="118">
        <f t="shared" si="5"/>
        <v>0.28000000000000003</v>
      </c>
      <c r="L72" s="118">
        <f t="shared" si="6"/>
        <v>0.04</v>
      </c>
      <c r="M72" s="206">
        <f t="shared" si="7"/>
        <v>0.48</v>
      </c>
      <c r="N72" s="117">
        <f t="shared" si="42"/>
        <v>0</v>
      </c>
      <c r="O72" s="118">
        <f t="shared" si="8"/>
        <v>0.7</v>
      </c>
      <c r="P72" s="118">
        <f t="shared" si="9"/>
        <v>0.15</v>
      </c>
      <c r="Q72" s="118">
        <f t="shared" si="10"/>
        <v>0.15</v>
      </c>
      <c r="R72" s="118">
        <f t="shared" si="11"/>
        <v>0</v>
      </c>
      <c r="S72" s="206">
        <f t="shared" si="12"/>
        <v>0</v>
      </c>
      <c r="T72" s="117">
        <f t="shared" si="13"/>
        <v>0.34</v>
      </c>
      <c r="U72" s="118">
        <f t="shared" si="14"/>
        <v>0</v>
      </c>
      <c r="V72" s="118">
        <f t="shared" si="15"/>
        <v>0.17</v>
      </c>
      <c r="W72" s="118">
        <f t="shared" si="16"/>
        <v>0.24</v>
      </c>
      <c r="X72" s="118">
        <f t="shared" si="17"/>
        <v>0.05</v>
      </c>
      <c r="Y72" s="206">
        <f t="shared" si="18"/>
        <v>0.2</v>
      </c>
      <c r="Z72" s="237">
        <f t="shared" si="19"/>
        <v>1543237.5899502612</v>
      </c>
      <c r="AA72" s="238">
        <f t="shared" si="20"/>
        <v>0</v>
      </c>
      <c r="AB72" s="238">
        <f t="shared" si="21"/>
        <v>1543237.5899502612</v>
      </c>
      <c r="AC72" s="238">
        <f t="shared" si="22"/>
        <v>864213.05037214642</v>
      </c>
      <c r="AD72" s="238">
        <f t="shared" si="23"/>
        <v>123459.00719602089</v>
      </c>
      <c r="AE72" s="238">
        <f t="shared" si="24"/>
        <v>0</v>
      </c>
      <c r="AF72" s="244">
        <f t="shared" si="25"/>
        <v>4074147.2374686897</v>
      </c>
      <c r="AG72" s="237">
        <f t="shared" si="26"/>
        <v>0</v>
      </c>
      <c r="AH72" s="238">
        <f t="shared" si="27"/>
        <v>0</v>
      </c>
      <c r="AI72" s="238">
        <f t="shared" si="28"/>
        <v>712263.50305396668</v>
      </c>
      <c r="AJ72" s="238">
        <f t="shared" si="29"/>
        <v>142452.70061079331</v>
      </c>
      <c r="AK72" s="238">
        <f t="shared" si="30"/>
        <v>0</v>
      </c>
      <c r="AL72" s="238">
        <f t="shared" si="31"/>
        <v>0</v>
      </c>
      <c r="AM72" s="244">
        <f t="shared" si="32"/>
        <v>854716.20366475999</v>
      </c>
      <c r="AN72" s="237">
        <f t="shared" si="33"/>
        <v>6592394.4227106031</v>
      </c>
      <c r="AO72" s="238">
        <f t="shared" si="34"/>
        <v>0</v>
      </c>
      <c r="AP72" s="238">
        <f t="shared" si="35"/>
        <v>3296197.2113553016</v>
      </c>
      <c r="AQ72" s="238">
        <f t="shared" si="36"/>
        <v>4653454.8866192484</v>
      </c>
      <c r="AR72" s="238">
        <f t="shared" si="37"/>
        <v>193893.95360913538</v>
      </c>
      <c r="AS72" s="238">
        <f t="shared" si="38"/>
        <v>0</v>
      </c>
      <c r="AT72" s="244">
        <f t="shared" si="39"/>
        <v>14735940.474294286</v>
      </c>
      <c r="AU72" s="254"/>
      <c r="AV72" s="248">
        <f t="shared" si="40"/>
        <v>19.664803915427736</v>
      </c>
      <c r="AW72" s="130"/>
    </row>
    <row r="73" spans="1:49" ht="14.45" hidden="1" customHeight="1">
      <c r="A73" s="194">
        <f>'Input data'!A64</f>
        <v>1966</v>
      </c>
      <c r="B73" s="209">
        <f>'Input data'!B64</f>
        <v>8.7407319999999995</v>
      </c>
      <c r="C73" s="114">
        <f>'Input data'!F64</f>
        <v>0.71479999999999999</v>
      </c>
      <c r="D73" s="114">
        <f>'Input data'!G64</f>
        <v>0.28959999999999997</v>
      </c>
      <c r="E73" s="127"/>
      <c r="F73" s="238"/>
      <c r="G73" s="239">
        <f t="shared" si="2"/>
        <v>136045232.47315001</v>
      </c>
      <c r="H73" s="118">
        <f t="shared" si="41"/>
        <v>0.1</v>
      </c>
      <c r="I73" s="118">
        <f t="shared" si="3"/>
        <v>0</v>
      </c>
      <c r="J73" s="118">
        <f t="shared" si="4"/>
        <v>0.1</v>
      </c>
      <c r="K73" s="118">
        <f t="shared" si="5"/>
        <v>0.28000000000000003</v>
      </c>
      <c r="L73" s="118">
        <f t="shared" si="6"/>
        <v>0.04</v>
      </c>
      <c r="M73" s="206">
        <f t="shared" si="7"/>
        <v>0.48</v>
      </c>
      <c r="N73" s="117">
        <f t="shared" si="42"/>
        <v>0</v>
      </c>
      <c r="O73" s="118">
        <f t="shared" si="8"/>
        <v>0.7</v>
      </c>
      <c r="P73" s="118">
        <f t="shared" si="9"/>
        <v>0.15</v>
      </c>
      <c r="Q73" s="118">
        <f t="shared" si="10"/>
        <v>0.15</v>
      </c>
      <c r="R73" s="118">
        <f t="shared" si="11"/>
        <v>0</v>
      </c>
      <c r="S73" s="206">
        <f t="shared" si="12"/>
        <v>0</v>
      </c>
      <c r="T73" s="117">
        <f t="shared" si="13"/>
        <v>0.34</v>
      </c>
      <c r="U73" s="118">
        <f t="shared" si="14"/>
        <v>0</v>
      </c>
      <c r="V73" s="118">
        <f t="shared" si="15"/>
        <v>0.17</v>
      </c>
      <c r="W73" s="118">
        <f t="shared" si="16"/>
        <v>0.24</v>
      </c>
      <c r="X73" s="118">
        <f t="shared" si="17"/>
        <v>0.05</v>
      </c>
      <c r="Y73" s="206">
        <f t="shared" si="18"/>
        <v>0.2</v>
      </c>
      <c r="Z73" s="237">
        <f t="shared" si="19"/>
        <v>1591729.2199358551</v>
      </c>
      <c r="AA73" s="238">
        <f t="shared" si="20"/>
        <v>0</v>
      </c>
      <c r="AB73" s="238">
        <f t="shared" si="21"/>
        <v>1591729.2199358551</v>
      </c>
      <c r="AC73" s="238">
        <f t="shared" si="22"/>
        <v>891368.36316407903</v>
      </c>
      <c r="AD73" s="238">
        <f t="shared" si="23"/>
        <v>127338.33759486841</v>
      </c>
      <c r="AE73" s="238">
        <f t="shared" si="24"/>
        <v>0</v>
      </c>
      <c r="AF73" s="244">
        <f t="shared" si="25"/>
        <v>4202165.1406306578</v>
      </c>
      <c r="AG73" s="237">
        <f t="shared" si="26"/>
        <v>0</v>
      </c>
      <c r="AH73" s="238">
        <f t="shared" si="27"/>
        <v>0</v>
      </c>
      <c r="AI73" s="238">
        <f t="shared" si="28"/>
        <v>734644.25535501004</v>
      </c>
      <c r="AJ73" s="238">
        <f t="shared" si="29"/>
        <v>146928.85107100199</v>
      </c>
      <c r="AK73" s="238">
        <f t="shared" si="30"/>
        <v>0</v>
      </c>
      <c r="AL73" s="238">
        <f t="shared" si="31"/>
        <v>0</v>
      </c>
      <c r="AM73" s="244">
        <f t="shared" si="32"/>
        <v>881573.106426012</v>
      </c>
      <c r="AN73" s="237">
        <f t="shared" si="33"/>
        <v>6799540.7190080378</v>
      </c>
      <c r="AO73" s="238">
        <f t="shared" si="34"/>
        <v>0</v>
      </c>
      <c r="AP73" s="238">
        <f t="shared" si="35"/>
        <v>3399770.3595040189</v>
      </c>
      <c r="AQ73" s="238">
        <f t="shared" si="36"/>
        <v>4799675.8016527323</v>
      </c>
      <c r="AR73" s="238">
        <f t="shared" si="37"/>
        <v>199986.49173553052</v>
      </c>
      <c r="AS73" s="238">
        <f t="shared" si="38"/>
        <v>0</v>
      </c>
      <c r="AT73" s="244">
        <f t="shared" si="39"/>
        <v>15198973.371900322</v>
      </c>
      <c r="AU73" s="254"/>
      <c r="AV73" s="248">
        <f t="shared" si="40"/>
        <v>20.282711618956991</v>
      </c>
      <c r="AW73" s="130"/>
    </row>
    <row r="74" spans="1:49" ht="14.45" hidden="1" customHeight="1">
      <c r="A74" s="194">
        <f>'Input data'!A65</f>
        <v>1967</v>
      </c>
      <c r="B74" s="209">
        <f>'Input data'!B65</f>
        <v>9.0098299199999996</v>
      </c>
      <c r="C74" s="114">
        <f>'Input data'!F65</f>
        <v>0.71479999999999999</v>
      </c>
      <c r="D74" s="114">
        <f>'Input data'!G65</f>
        <v>0.28959999999999997</v>
      </c>
      <c r="E74" s="127"/>
      <c r="F74" s="238"/>
      <c r="G74" s="239">
        <f t="shared" si="2"/>
        <v>140233610.412714</v>
      </c>
      <c r="H74" s="118">
        <f t="shared" si="41"/>
        <v>0.1</v>
      </c>
      <c r="I74" s="118">
        <f t="shared" si="3"/>
        <v>0</v>
      </c>
      <c r="J74" s="118">
        <f t="shared" si="4"/>
        <v>0.1</v>
      </c>
      <c r="K74" s="118">
        <f t="shared" si="5"/>
        <v>0.28000000000000003</v>
      </c>
      <c r="L74" s="118">
        <f t="shared" si="6"/>
        <v>0.04</v>
      </c>
      <c r="M74" s="206">
        <f t="shared" si="7"/>
        <v>0.48</v>
      </c>
      <c r="N74" s="117">
        <f t="shared" si="42"/>
        <v>0</v>
      </c>
      <c r="O74" s="118">
        <f t="shared" si="8"/>
        <v>0.7</v>
      </c>
      <c r="P74" s="118">
        <f t="shared" si="9"/>
        <v>0.15</v>
      </c>
      <c r="Q74" s="118">
        <f t="shared" si="10"/>
        <v>0.15</v>
      </c>
      <c r="R74" s="118">
        <f t="shared" si="11"/>
        <v>0</v>
      </c>
      <c r="S74" s="206">
        <f t="shared" si="12"/>
        <v>0</v>
      </c>
      <c r="T74" s="117">
        <f t="shared" si="13"/>
        <v>0.34</v>
      </c>
      <c r="U74" s="118">
        <f t="shared" si="14"/>
        <v>0</v>
      </c>
      <c r="V74" s="118">
        <f t="shared" si="15"/>
        <v>0.17</v>
      </c>
      <c r="W74" s="118">
        <f t="shared" si="16"/>
        <v>0.24</v>
      </c>
      <c r="X74" s="118">
        <f t="shared" si="17"/>
        <v>0.05</v>
      </c>
      <c r="Y74" s="206">
        <f t="shared" si="18"/>
        <v>0.2</v>
      </c>
      <c r="Z74" s="237">
        <f t="shared" si="19"/>
        <v>1640733.2418287541</v>
      </c>
      <c r="AA74" s="238">
        <f t="shared" si="20"/>
        <v>0</v>
      </c>
      <c r="AB74" s="238">
        <f t="shared" si="21"/>
        <v>1640733.2418287541</v>
      </c>
      <c r="AC74" s="238">
        <f t="shared" si="22"/>
        <v>918810.61542410229</v>
      </c>
      <c r="AD74" s="238">
        <f t="shared" si="23"/>
        <v>131258.65934630029</v>
      </c>
      <c r="AE74" s="238">
        <f t="shared" si="24"/>
        <v>0</v>
      </c>
      <c r="AF74" s="244">
        <f t="shared" si="25"/>
        <v>4331535.7584279105</v>
      </c>
      <c r="AG74" s="237">
        <f t="shared" si="26"/>
        <v>0</v>
      </c>
      <c r="AH74" s="238">
        <f t="shared" si="27"/>
        <v>0</v>
      </c>
      <c r="AI74" s="238">
        <f t="shared" si="28"/>
        <v>757261.49622865557</v>
      </c>
      <c r="AJ74" s="238">
        <f t="shared" si="29"/>
        <v>151452.29924573112</v>
      </c>
      <c r="AK74" s="238">
        <f t="shared" si="30"/>
        <v>0</v>
      </c>
      <c r="AL74" s="238">
        <f t="shared" si="31"/>
        <v>0</v>
      </c>
      <c r="AM74" s="244">
        <f t="shared" si="32"/>
        <v>908713.79547438666</v>
      </c>
      <c r="AN74" s="237">
        <f t="shared" si="33"/>
        <v>7008875.8484274466</v>
      </c>
      <c r="AO74" s="238">
        <f t="shared" si="34"/>
        <v>0</v>
      </c>
      <c r="AP74" s="238">
        <f t="shared" si="35"/>
        <v>3504437.9242137233</v>
      </c>
      <c r="AQ74" s="238">
        <f t="shared" si="36"/>
        <v>4947441.7753605498</v>
      </c>
      <c r="AR74" s="238">
        <f t="shared" si="37"/>
        <v>206143.40730668959</v>
      </c>
      <c r="AS74" s="238">
        <f t="shared" si="38"/>
        <v>0</v>
      </c>
      <c r="AT74" s="244">
        <f t="shared" si="39"/>
        <v>15666898.955308411</v>
      </c>
      <c r="AU74" s="254"/>
      <c r="AV74" s="248">
        <f t="shared" si="40"/>
        <v>20.90714850921071</v>
      </c>
      <c r="AW74" s="130"/>
    </row>
    <row r="75" spans="1:49" ht="14.45" hidden="1" customHeight="1">
      <c r="A75" s="194">
        <f>'Input data'!A66</f>
        <v>1968</v>
      </c>
      <c r="B75" s="209">
        <f>'Input data'!B66</f>
        <v>9.2808861600000014</v>
      </c>
      <c r="C75" s="114">
        <f>'Input data'!F66</f>
        <v>0.71479999999999999</v>
      </c>
      <c r="D75" s="114">
        <f>'Input data'!G66</f>
        <v>0.28959999999999997</v>
      </c>
      <c r="E75" s="127"/>
      <c r="F75" s="238"/>
      <c r="G75" s="239">
        <f t="shared" si="2"/>
        <v>144452468.64839706</v>
      </c>
      <c r="H75" s="118">
        <f t="shared" si="41"/>
        <v>0.1</v>
      </c>
      <c r="I75" s="118">
        <f t="shared" si="3"/>
        <v>0</v>
      </c>
      <c r="J75" s="118">
        <f t="shared" si="4"/>
        <v>0.1</v>
      </c>
      <c r="K75" s="118">
        <f t="shared" si="5"/>
        <v>0.28000000000000003</v>
      </c>
      <c r="L75" s="118">
        <f t="shared" si="6"/>
        <v>0.04</v>
      </c>
      <c r="M75" s="206">
        <f t="shared" si="7"/>
        <v>0.48</v>
      </c>
      <c r="N75" s="117">
        <f t="shared" si="42"/>
        <v>0</v>
      </c>
      <c r="O75" s="118">
        <f t="shared" si="8"/>
        <v>0.7</v>
      </c>
      <c r="P75" s="118">
        <f t="shared" si="9"/>
        <v>0.15</v>
      </c>
      <c r="Q75" s="118">
        <f t="shared" si="10"/>
        <v>0.15</v>
      </c>
      <c r="R75" s="118">
        <f t="shared" si="11"/>
        <v>0</v>
      </c>
      <c r="S75" s="206">
        <f t="shared" si="12"/>
        <v>0</v>
      </c>
      <c r="T75" s="117">
        <f t="shared" si="13"/>
        <v>0.34</v>
      </c>
      <c r="U75" s="118">
        <f t="shared" si="14"/>
        <v>0</v>
      </c>
      <c r="V75" s="118">
        <f t="shared" si="15"/>
        <v>0.17</v>
      </c>
      <c r="W75" s="118">
        <f t="shared" si="16"/>
        <v>0.24</v>
      </c>
      <c r="X75" s="118">
        <f t="shared" si="17"/>
        <v>0.05</v>
      </c>
      <c r="Y75" s="206">
        <f t="shared" si="18"/>
        <v>0.2</v>
      </c>
      <c r="Z75" s="237">
        <f t="shared" si="19"/>
        <v>1690093.8831862456</v>
      </c>
      <c r="AA75" s="238">
        <f t="shared" si="20"/>
        <v>0</v>
      </c>
      <c r="AB75" s="238">
        <f t="shared" si="21"/>
        <v>1690093.8831862456</v>
      </c>
      <c r="AC75" s="238">
        <f t="shared" si="22"/>
        <v>946452.57458429784</v>
      </c>
      <c r="AD75" s="238">
        <f t="shared" si="23"/>
        <v>135207.51065489964</v>
      </c>
      <c r="AE75" s="238">
        <f t="shared" si="24"/>
        <v>0</v>
      </c>
      <c r="AF75" s="244">
        <f t="shared" si="25"/>
        <v>4461847.8516116878</v>
      </c>
      <c r="AG75" s="237">
        <f t="shared" si="26"/>
        <v>0</v>
      </c>
      <c r="AH75" s="238">
        <f t="shared" si="27"/>
        <v>0</v>
      </c>
      <c r="AI75" s="238">
        <f t="shared" si="28"/>
        <v>780043.33070134406</v>
      </c>
      <c r="AJ75" s="238">
        <f t="shared" si="29"/>
        <v>156008.66614026882</v>
      </c>
      <c r="AK75" s="238">
        <f t="shared" si="30"/>
        <v>0</v>
      </c>
      <c r="AL75" s="238">
        <f t="shared" si="31"/>
        <v>0</v>
      </c>
      <c r="AM75" s="244">
        <f t="shared" si="32"/>
        <v>936051.99684161285</v>
      </c>
      <c r="AN75" s="237">
        <f t="shared" si="33"/>
        <v>7219734.383046886</v>
      </c>
      <c r="AO75" s="238">
        <f t="shared" si="34"/>
        <v>0</v>
      </c>
      <c r="AP75" s="238">
        <f t="shared" si="35"/>
        <v>3609867.191523443</v>
      </c>
      <c r="AQ75" s="238">
        <f t="shared" si="36"/>
        <v>5096283.0939154476</v>
      </c>
      <c r="AR75" s="238">
        <f t="shared" si="37"/>
        <v>212345.12891314368</v>
      </c>
      <c r="AS75" s="238">
        <f t="shared" si="38"/>
        <v>0</v>
      </c>
      <c r="AT75" s="244">
        <f t="shared" si="39"/>
        <v>16138229.797398919</v>
      </c>
      <c r="AU75" s="254"/>
      <c r="AV75" s="248">
        <f t="shared" si="40"/>
        <v>21.53612964585222</v>
      </c>
      <c r="AW75" s="130"/>
    </row>
    <row r="76" spans="1:49" ht="14.45" hidden="1" customHeight="1">
      <c r="A76" s="194">
        <f>'Input data'!A67</f>
        <v>1969</v>
      </c>
      <c r="B76" s="209">
        <f>'Input data'!B67</f>
        <v>9.5539007199999997</v>
      </c>
      <c r="C76" s="114">
        <f>'Input data'!F67</f>
        <v>0.71479999999999999</v>
      </c>
      <c r="D76" s="114">
        <f>'Input data'!G67</f>
        <v>0.28959999999999997</v>
      </c>
      <c r="E76" s="127"/>
      <c r="F76" s="238"/>
      <c r="G76" s="239">
        <f t="shared" si="2"/>
        <v>148701807.18019903</v>
      </c>
      <c r="H76" s="118">
        <f t="shared" si="41"/>
        <v>0.1</v>
      </c>
      <c r="I76" s="118">
        <f t="shared" si="3"/>
        <v>0</v>
      </c>
      <c r="J76" s="118">
        <f t="shared" si="4"/>
        <v>0.1</v>
      </c>
      <c r="K76" s="118">
        <f t="shared" si="5"/>
        <v>0.28000000000000003</v>
      </c>
      <c r="L76" s="118">
        <f t="shared" si="6"/>
        <v>0.04</v>
      </c>
      <c r="M76" s="206">
        <f t="shared" si="7"/>
        <v>0.48</v>
      </c>
      <c r="N76" s="117">
        <f t="shared" si="42"/>
        <v>0</v>
      </c>
      <c r="O76" s="118">
        <f t="shared" si="8"/>
        <v>0.7</v>
      </c>
      <c r="P76" s="118">
        <f t="shared" si="9"/>
        <v>0.15</v>
      </c>
      <c r="Q76" s="118">
        <f t="shared" si="10"/>
        <v>0.15</v>
      </c>
      <c r="R76" s="118">
        <f t="shared" si="11"/>
        <v>0</v>
      </c>
      <c r="S76" s="206">
        <f t="shared" si="12"/>
        <v>0</v>
      </c>
      <c r="T76" s="117">
        <f t="shared" si="13"/>
        <v>0.34</v>
      </c>
      <c r="U76" s="118">
        <f t="shared" si="14"/>
        <v>0</v>
      </c>
      <c r="V76" s="118">
        <f t="shared" si="15"/>
        <v>0.17</v>
      </c>
      <c r="W76" s="118">
        <f t="shared" si="16"/>
        <v>0.24</v>
      </c>
      <c r="X76" s="118">
        <f t="shared" si="17"/>
        <v>0.05</v>
      </c>
      <c r="Y76" s="206">
        <f t="shared" si="18"/>
        <v>0.2</v>
      </c>
      <c r="Z76" s="237">
        <f t="shared" si="19"/>
        <v>1739811.1440083287</v>
      </c>
      <c r="AA76" s="238">
        <f t="shared" si="20"/>
        <v>0</v>
      </c>
      <c r="AB76" s="238">
        <f t="shared" si="21"/>
        <v>1739811.1440083287</v>
      </c>
      <c r="AC76" s="238">
        <f t="shared" si="22"/>
        <v>974294.24064466415</v>
      </c>
      <c r="AD76" s="238">
        <f t="shared" si="23"/>
        <v>139184.89152066628</v>
      </c>
      <c r="AE76" s="238">
        <f t="shared" si="24"/>
        <v>0</v>
      </c>
      <c r="AF76" s="244">
        <f t="shared" si="25"/>
        <v>4593101.4201819878</v>
      </c>
      <c r="AG76" s="237">
        <f t="shared" si="26"/>
        <v>0</v>
      </c>
      <c r="AH76" s="238">
        <f t="shared" si="27"/>
        <v>0</v>
      </c>
      <c r="AI76" s="238">
        <f t="shared" si="28"/>
        <v>802989.75877307472</v>
      </c>
      <c r="AJ76" s="238">
        <f t="shared" si="29"/>
        <v>160597.95175461494</v>
      </c>
      <c r="AK76" s="238">
        <f t="shared" si="30"/>
        <v>0</v>
      </c>
      <c r="AL76" s="238">
        <f t="shared" si="31"/>
        <v>0</v>
      </c>
      <c r="AM76" s="244">
        <f t="shared" si="32"/>
        <v>963587.71052768966</v>
      </c>
      <c r="AN76" s="237">
        <f t="shared" si="33"/>
        <v>7432116.3228663476</v>
      </c>
      <c r="AO76" s="238">
        <f t="shared" si="34"/>
        <v>0</v>
      </c>
      <c r="AP76" s="238">
        <f t="shared" si="35"/>
        <v>3716058.1614331738</v>
      </c>
      <c r="AQ76" s="238">
        <f t="shared" si="36"/>
        <v>5246199.757317421</v>
      </c>
      <c r="AR76" s="238">
        <f t="shared" si="37"/>
        <v>218591.65655489257</v>
      </c>
      <c r="AS76" s="238">
        <f t="shared" si="38"/>
        <v>0</v>
      </c>
      <c r="AT76" s="244">
        <f t="shared" si="39"/>
        <v>16612965.898171835</v>
      </c>
      <c r="AU76" s="254"/>
      <c r="AV76" s="248">
        <f t="shared" si="40"/>
        <v>22.169655028881511</v>
      </c>
      <c r="AW76" s="130"/>
    </row>
    <row r="77" spans="1:49" ht="14.45" hidden="1" customHeight="1">
      <c r="A77" s="194">
        <f>'Input data'!A68</f>
        <v>1970</v>
      </c>
      <c r="B77" s="209">
        <f>'Input data'!B68</f>
        <v>9.8288735999999997</v>
      </c>
      <c r="C77" s="114">
        <f>'Input data'!F68</f>
        <v>0.71479999999999999</v>
      </c>
      <c r="D77" s="114">
        <f>'Input data'!G68</f>
        <v>0.28959999999999997</v>
      </c>
      <c r="E77" s="127"/>
      <c r="F77" s="238"/>
      <c r="G77" s="239">
        <f t="shared" si="2"/>
        <v>152981626.00812003</v>
      </c>
      <c r="H77" s="118">
        <f t="shared" si="41"/>
        <v>0.1</v>
      </c>
      <c r="I77" s="118">
        <f t="shared" si="3"/>
        <v>0</v>
      </c>
      <c r="J77" s="118">
        <f t="shared" si="4"/>
        <v>0.1</v>
      </c>
      <c r="K77" s="118">
        <f t="shared" si="5"/>
        <v>0.28000000000000003</v>
      </c>
      <c r="L77" s="118">
        <f t="shared" si="6"/>
        <v>0.04</v>
      </c>
      <c r="M77" s="206">
        <f t="shared" si="7"/>
        <v>0.48</v>
      </c>
      <c r="N77" s="117">
        <f t="shared" si="42"/>
        <v>0</v>
      </c>
      <c r="O77" s="118">
        <f t="shared" si="8"/>
        <v>0.7</v>
      </c>
      <c r="P77" s="118">
        <f t="shared" si="9"/>
        <v>0.15</v>
      </c>
      <c r="Q77" s="118">
        <f t="shared" si="10"/>
        <v>0.15</v>
      </c>
      <c r="R77" s="118">
        <f t="shared" si="11"/>
        <v>0</v>
      </c>
      <c r="S77" s="206">
        <f t="shared" si="12"/>
        <v>0</v>
      </c>
      <c r="T77" s="117">
        <f t="shared" si="13"/>
        <v>0.34</v>
      </c>
      <c r="U77" s="118">
        <f t="shared" si="14"/>
        <v>0</v>
      </c>
      <c r="V77" s="118">
        <f t="shared" si="15"/>
        <v>0.17</v>
      </c>
      <c r="W77" s="118">
        <f t="shared" si="16"/>
        <v>0.24</v>
      </c>
      <c r="X77" s="118">
        <f t="shared" si="17"/>
        <v>0.05</v>
      </c>
      <c r="Y77" s="206">
        <f t="shared" si="18"/>
        <v>0.2</v>
      </c>
      <c r="Z77" s="237">
        <f t="shared" si="19"/>
        <v>1789885.0242950043</v>
      </c>
      <c r="AA77" s="238">
        <f t="shared" si="20"/>
        <v>0</v>
      </c>
      <c r="AB77" s="238">
        <f t="shared" si="21"/>
        <v>1789885.0242950043</v>
      </c>
      <c r="AC77" s="238">
        <f t="shared" si="22"/>
        <v>1002335.6136052026</v>
      </c>
      <c r="AD77" s="238">
        <f t="shared" si="23"/>
        <v>143190.80194360035</v>
      </c>
      <c r="AE77" s="238">
        <f t="shared" si="24"/>
        <v>0</v>
      </c>
      <c r="AF77" s="244">
        <f t="shared" si="25"/>
        <v>4725296.4641388115</v>
      </c>
      <c r="AG77" s="237">
        <f t="shared" si="26"/>
        <v>0</v>
      </c>
      <c r="AH77" s="238">
        <f t="shared" si="27"/>
        <v>0</v>
      </c>
      <c r="AI77" s="238">
        <f t="shared" si="28"/>
        <v>826100.78044384811</v>
      </c>
      <c r="AJ77" s="238">
        <f t="shared" si="29"/>
        <v>165220.15608876964</v>
      </c>
      <c r="AK77" s="238">
        <f t="shared" si="30"/>
        <v>0</v>
      </c>
      <c r="AL77" s="238">
        <f t="shared" si="31"/>
        <v>0</v>
      </c>
      <c r="AM77" s="244">
        <f t="shared" si="32"/>
        <v>991320.93653261778</v>
      </c>
      <c r="AN77" s="237">
        <f t="shared" si="33"/>
        <v>7646021.667885839</v>
      </c>
      <c r="AO77" s="238">
        <f t="shared" si="34"/>
        <v>0</v>
      </c>
      <c r="AP77" s="238">
        <f t="shared" si="35"/>
        <v>3823010.8339429195</v>
      </c>
      <c r="AQ77" s="238">
        <f t="shared" si="36"/>
        <v>5397191.7655664748</v>
      </c>
      <c r="AR77" s="238">
        <f t="shared" si="37"/>
        <v>224882.99023193645</v>
      </c>
      <c r="AS77" s="238">
        <f t="shared" si="38"/>
        <v>0</v>
      </c>
      <c r="AT77" s="244">
        <f t="shared" si="39"/>
        <v>17091107.257627167</v>
      </c>
      <c r="AU77" s="254"/>
      <c r="AV77" s="248">
        <f t="shared" si="40"/>
        <v>22.807724658298596</v>
      </c>
      <c r="AW77" s="130"/>
    </row>
    <row r="78" spans="1:49" ht="14.45" hidden="1" customHeight="1">
      <c r="A78" s="194">
        <f>'Input data'!A69</f>
        <v>1971</v>
      </c>
      <c r="B78" s="209">
        <f>'Input data'!B69</f>
        <v>20.567820000000001</v>
      </c>
      <c r="C78" s="114">
        <f>'Input data'!F69</f>
        <v>0.71479999999999999</v>
      </c>
      <c r="D78" s="114">
        <f>'Input data'!G69</f>
        <v>0.28959999999999997</v>
      </c>
      <c r="E78" s="127"/>
      <c r="F78" s="238"/>
      <c r="G78" s="239">
        <f t="shared" si="2"/>
        <v>320128091.48775005</v>
      </c>
      <c r="H78" s="118">
        <f t="shared" si="41"/>
        <v>0.1</v>
      </c>
      <c r="I78" s="118">
        <f t="shared" si="3"/>
        <v>0</v>
      </c>
      <c r="J78" s="118">
        <f t="shared" si="4"/>
        <v>0.1</v>
      </c>
      <c r="K78" s="118">
        <f t="shared" si="5"/>
        <v>0.28000000000000003</v>
      </c>
      <c r="L78" s="118">
        <f t="shared" si="6"/>
        <v>0.04</v>
      </c>
      <c r="M78" s="206">
        <f t="shared" si="7"/>
        <v>0.48</v>
      </c>
      <c r="N78" s="117">
        <f t="shared" si="42"/>
        <v>0</v>
      </c>
      <c r="O78" s="118">
        <f t="shared" si="8"/>
        <v>0.7</v>
      </c>
      <c r="P78" s="118">
        <f t="shared" si="9"/>
        <v>0.15</v>
      </c>
      <c r="Q78" s="118">
        <f t="shared" si="10"/>
        <v>0.15</v>
      </c>
      <c r="R78" s="118">
        <f t="shared" si="11"/>
        <v>0</v>
      </c>
      <c r="S78" s="206">
        <f t="shared" si="12"/>
        <v>0</v>
      </c>
      <c r="T78" s="117">
        <f t="shared" si="13"/>
        <v>0.34</v>
      </c>
      <c r="U78" s="118">
        <f t="shared" si="14"/>
        <v>0</v>
      </c>
      <c r="V78" s="118">
        <f t="shared" si="15"/>
        <v>0.17</v>
      </c>
      <c r="W78" s="118">
        <f t="shared" si="16"/>
        <v>0.24</v>
      </c>
      <c r="X78" s="118">
        <f t="shared" si="17"/>
        <v>0.05</v>
      </c>
      <c r="Y78" s="206">
        <f t="shared" si="18"/>
        <v>0.2</v>
      </c>
      <c r="Z78" s="237">
        <f t="shared" si="19"/>
        <v>3745498.6704066754</v>
      </c>
      <c r="AA78" s="238">
        <f t="shared" si="20"/>
        <v>0</v>
      </c>
      <c r="AB78" s="238">
        <f t="shared" si="21"/>
        <v>3745498.6704066754</v>
      </c>
      <c r="AC78" s="238">
        <f t="shared" si="22"/>
        <v>2097479.2554277387</v>
      </c>
      <c r="AD78" s="238">
        <f t="shared" si="23"/>
        <v>299639.89363253402</v>
      </c>
      <c r="AE78" s="238">
        <f t="shared" si="24"/>
        <v>0</v>
      </c>
      <c r="AF78" s="244">
        <f t="shared" si="25"/>
        <v>9888116.4898736253</v>
      </c>
      <c r="AG78" s="237">
        <f t="shared" si="26"/>
        <v>0</v>
      </c>
      <c r="AH78" s="238">
        <f t="shared" si="27"/>
        <v>0</v>
      </c>
      <c r="AI78" s="238">
        <f t="shared" si="28"/>
        <v>1728691.6940338502</v>
      </c>
      <c r="AJ78" s="238">
        <f t="shared" si="29"/>
        <v>345738.33880677004</v>
      </c>
      <c r="AK78" s="238">
        <f t="shared" si="30"/>
        <v>0</v>
      </c>
      <c r="AL78" s="238">
        <f t="shared" si="31"/>
        <v>0</v>
      </c>
      <c r="AM78" s="244">
        <f t="shared" si="32"/>
        <v>2074430.0328406203</v>
      </c>
      <c r="AN78" s="237">
        <f t="shared" si="33"/>
        <v>16000002.012557749</v>
      </c>
      <c r="AO78" s="238">
        <f t="shared" si="34"/>
        <v>0</v>
      </c>
      <c r="AP78" s="238">
        <f t="shared" si="35"/>
        <v>8000001.0062788744</v>
      </c>
      <c r="AQ78" s="238">
        <f t="shared" si="36"/>
        <v>11294119.067687821</v>
      </c>
      <c r="AR78" s="238">
        <f t="shared" si="37"/>
        <v>470588.29448699259</v>
      </c>
      <c r="AS78" s="238">
        <f t="shared" si="38"/>
        <v>0</v>
      </c>
      <c r="AT78" s="244">
        <f t="shared" si="39"/>
        <v>35764710.381011434</v>
      </c>
      <c r="AU78" s="254"/>
      <c r="AV78" s="248">
        <f t="shared" si="40"/>
        <v>47.727256903725682</v>
      </c>
      <c r="AW78" s="130"/>
    </row>
    <row r="79" spans="1:49" ht="14.45" hidden="1" customHeight="1">
      <c r="A79" s="194">
        <f>'Input data'!A70</f>
        <v>1972</v>
      </c>
      <c r="B79" s="209">
        <f>'Input data'!B70</f>
        <v>21.04466</v>
      </c>
      <c r="C79" s="114">
        <f>'Input data'!F70</f>
        <v>0.71479999999999999</v>
      </c>
      <c r="D79" s="114">
        <f>'Input data'!G70</f>
        <v>0.28959999999999997</v>
      </c>
      <c r="E79" s="127"/>
      <c r="F79" s="238"/>
      <c r="G79" s="239">
        <f t="shared" si="2"/>
        <v>327549873.62825006</v>
      </c>
      <c r="H79" s="118">
        <f t="shared" si="41"/>
        <v>0.1</v>
      </c>
      <c r="I79" s="118">
        <f t="shared" si="3"/>
        <v>0</v>
      </c>
      <c r="J79" s="118">
        <f t="shared" si="4"/>
        <v>0.1</v>
      </c>
      <c r="K79" s="118">
        <f t="shared" si="5"/>
        <v>0.28000000000000003</v>
      </c>
      <c r="L79" s="118">
        <f t="shared" si="6"/>
        <v>0.04</v>
      </c>
      <c r="M79" s="206">
        <f t="shared" si="7"/>
        <v>0.48</v>
      </c>
      <c r="N79" s="117">
        <f t="shared" si="42"/>
        <v>0</v>
      </c>
      <c r="O79" s="118">
        <f t="shared" si="8"/>
        <v>0.7</v>
      </c>
      <c r="P79" s="118">
        <f t="shared" si="9"/>
        <v>0.15</v>
      </c>
      <c r="Q79" s="118">
        <f t="shared" si="10"/>
        <v>0.15</v>
      </c>
      <c r="R79" s="118">
        <f t="shared" si="11"/>
        <v>0</v>
      </c>
      <c r="S79" s="206">
        <f t="shared" si="12"/>
        <v>0</v>
      </c>
      <c r="T79" s="117">
        <f t="shared" si="13"/>
        <v>0.34</v>
      </c>
      <c r="U79" s="118">
        <f t="shared" si="14"/>
        <v>0</v>
      </c>
      <c r="V79" s="118">
        <f t="shared" si="15"/>
        <v>0.17</v>
      </c>
      <c r="W79" s="118">
        <f t="shared" si="16"/>
        <v>0.24</v>
      </c>
      <c r="X79" s="118">
        <f t="shared" si="17"/>
        <v>0.05</v>
      </c>
      <c r="Y79" s="206">
        <f t="shared" si="18"/>
        <v>0.2</v>
      </c>
      <c r="Z79" s="237">
        <f t="shared" si="19"/>
        <v>3832333.5214505261</v>
      </c>
      <c r="AA79" s="238">
        <f t="shared" si="20"/>
        <v>0</v>
      </c>
      <c r="AB79" s="238">
        <f t="shared" si="21"/>
        <v>3832333.5214505261</v>
      </c>
      <c r="AC79" s="238">
        <f t="shared" si="22"/>
        <v>2146106.7720122947</v>
      </c>
      <c r="AD79" s="238">
        <f t="shared" si="23"/>
        <v>306586.68171604205</v>
      </c>
      <c r="AE79" s="238">
        <f t="shared" si="24"/>
        <v>0</v>
      </c>
      <c r="AF79" s="244">
        <f t="shared" si="25"/>
        <v>10117360.496629389</v>
      </c>
      <c r="AG79" s="237">
        <f t="shared" si="26"/>
        <v>0</v>
      </c>
      <c r="AH79" s="238">
        <f t="shared" si="27"/>
        <v>0</v>
      </c>
      <c r="AI79" s="238">
        <f t="shared" si="28"/>
        <v>1768769.3175925503</v>
      </c>
      <c r="AJ79" s="238">
        <f t="shared" si="29"/>
        <v>353753.86351851001</v>
      </c>
      <c r="AK79" s="238">
        <f t="shared" si="30"/>
        <v>0</v>
      </c>
      <c r="AL79" s="238">
        <f t="shared" si="31"/>
        <v>0</v>
      </c>
      <c r="AM79" s="244">
        <f t="shared" si="32"/>
        <v>2122523.1811110601</v>
      </c>
      <c r="AN79" s="237">
        <f t="shared" si="33"/>
        <v>16370942.683939939</v>
      </c>
      <c r="AO79" s="238">
        <f t="shared" si="34"/>
        <v>0</v>
      </c>
      <c r="AP79" s="238">
        <f t="shared" si="35"/>
        <v>8185471.3419699697</v>
      </c>
      <c r="AQ79" s="238">
        <f t="shared" si="36"/>
        <v>11555959.54160466</v>
      </c>
      <c r="AR79" s="238">
        <f t="shared" si="37"/>
        <v>481498.31423352758</v>
      </c>
      <c r="AS79" s="238">
        <f t="shared" si="38"/>
        <v>0</v>
      </c>
      <c r="AT79" s="244">
        <f t="shared" si="39"/>
        <v>36593871.881748095</v>
      </c>
      <c r="AU79" s="254"/>
      <c r="AV79" s="248">
        <f t="shared" si="40"/>
        <v>48.833755559488544</v>
      </c>
      <c r="AW79" s="130"/>
    </row>
    <row r="80" spans="1:49" ht="14.45" hidden="1" customHeight="1">
      <c r="A80" s="194">
        <f>'Input data'!A71</f>
        <v>1973</v>
      </c>
      <c r="B80" s="209">
        <f>'Input data'!B71</f>
        <v>21.526959999999999</v>
      </c>
      <c r="C80" s="114">
        <f>'Input data'!F71</f>
        <v>0.71479999999999999</v>
      </c>
      <c r="D80" s="114">
        <f>'Input data'!G71</f>
        <v>0.28959999999999997</v>
      </c>
      <c r="E80" s="127"/>
      <c r="F80" s="238"/>
      <c r="G80" s="239">
        <f t="shared" si="2"/>
        <v>335056638.00700003</v>
      </c>
      <c r="H80" s="118">
        <f t="shared" si="41"/>
        <v>0.1</v>
      </c>
      <c r="I80" s="118">
        <f t="shared" si="3"/>
        <v>0</v>
      </c>
      <c r="J80" s="118">
        <f t="shared" si="4"/>
        <v>0.1</v>
      </c>
      <c r="K80" s="118">
        <f t="shared" si="5"/>
        <v>0.28000000000000003</v>
      </c>
      <c r="L80" s="118">
        <f t="shared" si="6"/>
        <v>0.04</v>
      </c>
      <c r="M80" s="206">
        <f t="shared" si="7"/>
        <v>0.48</v>
      </c>
      <c r="N80" s="117">
        <f t="shared" si="42"/>
        <v>0</v>
      </c>
      <c r="O80" s="118">
        <f t="shared" si="8"/>
        <v>0.7</v>
      </c>
      <c r="P80" s="118">
        <f t="shared" si="9"/>
        <v>0.15</v>
      </c>
      <c r="Q80" s="118">
        <f t="shared" si="10"/>
        <v>0.15</v>
      </c>
      <c r="R80" s="118">
        <f t="shared" si="11"/>
        <v>0</v>
      </c>
      <c r="S80" s="206">
        <f t="shared" si="12"/>
        <v>0</v>
      </c>
      <c r="T80" s="117">
        <f t="shared" si="13"/>
        <v>0.34</v>
      </c>
      <c r="U80" s="118">
        <f t="shared" si="14"/>
        <v>0</v>
      </c>
      <c r="V80" s="118">
        <f t="shared" si="15"/>
        <v>0.17</v>
      </c>
      <c r="W80" s="118">
        <f t="shared" si="16"/>
        <v>0.24</v>
      </c>
      <c r="X80" s="118">
        <f t="shared" si="17"/>
        <v>0.05</v>
      </c>
      <c r="Y80" s="206">
        <f t="shared" si="18"/>
        <v>0.2</v>
      </c>
      <c r="Z80" s="237">
        <f t="shared" si="19"/>
        <v>3920162.6646819003</v>
      </c>
      <c r="AA80" s="238">
        <f t="shared" si="20"/>
        <v>0</v>
      </c>
      <c r="AB80" s="238">
        <f t="shared" si="21"/>
        <v>3920162.6646819003</v>
      </c>
      <c r="AC80" s="238">
        <f t="shared" si="22"/>
        <v>2195291.0922218645</v>
      </c>
      <c r="AD80" s="238">
        <f t="shared" si="23"/>
        <v>313613.013174552</v>
      </c>
      <c r="AE80" s="238">
        <f t="shared" si="24"/>
        <v>0</v>
      </c>
      <c r="AF80" s="244">
        <f t="shared" si="25"/>
        <v>10349229.434760217</v>
      </c>
      <c r="AG80" s="237">
        <f t="shared" si="26"/>
        <v>0</v>
      </c>
      <c r="AH80" s="238">
        <f t="shared" si="27"/>
        <v>0</v>
      </c>
      <c r="AI80" s="238">
        <f t="shared" si="28"/>
        <v>1809305.8452377999</v>
      </c>
      <c r="AJ80" s="238">
        <f t="shared" si="29"/>
        <v>361861.16904755996</v>
      </c>
      <c r="AK80" s="238">
        <f t="shared" si="30"/>
        <v>0</v>
      </c>
      <c r="AL80" s="238">
        <f t="shared" si="31"/>
        <v>0</v>
      </c>
      <c r="AM80" s="244">
        <f t="shared" si="32"/>
        <v>2171167.01428536</v>
      </c>
      <c r="AN80" s="237">
        <f t="shared" si="33"/>
        <v>16746130.767589863</v>
      </c>
      <c r="AO80" s="238">
        <f t="shared" si="34"/>
        <v>0</v>
      </c>
      <c r="AP80" s="238">
        <f t="shared" si="35"/>
        <v>8373065.3837949317</v>
      </c>
      <c r="AQ80" s="238">
        <f t="shared" si="36"/>
        <v>11820798.188886959</v>
      </c>
      <c r="AR80" s="238">
        <f t="shared" si="37"/>
        <v>492533.25787029008</v>
      </c>
      <c r="AS80" s="238">
        <f t="shared" si="38"/>
        <v>0</v>
      </c>
      <c r="AT80" s="244">
        <f t="shared" si="39"/>
        <v>37432527.598142043</v>
      </c>
      <c r="AU80" s="254"/>
      <c r="AV80" s="248">
        <f t="shared" si="40"/>
        <v>49.952924047187622</v>
      </c>
      <c r="AW80" s="130"/>
    </row>
    <row r="81" spans="1:49" ht="14.45" hidden="1" customHeight="1">
      <c r="A81" s="194">
        <f>'Input data'!A72</f>
        <v>1974</v>
      </c>
      <c r="B81" s="209">
        <f>'Input data'!B72</f>
        <v>22.012900000000002</v>
      </c>
      <c r="C81" s="114">
        <f>'Input data'!F72</f>
        <v>0.71479999999999999</v>
      </c>
      <c r="D81" s="114">
        <f>'Input data'!G72</f>
        <v>0.28959999999999997</v>
      </c>
      <c r="E81" s="127"/>
      <c r="F81" s="238"/>
      <c r="G81" s="239">
        <f t="shared" si="2"/>
        <v>342620057.21125007</v>
      </c>
      <c r="H81" s="118">
        <f t="shared" si="41"/>
        <v>0.1</v>
      </c>
      <c r="I81" s="118">
        <f t="shared" si="3"/>
        <v>0</v>
      </c>
      <c r="J81" s="118">
        <f t="shared" si="4"/>
        <v>0.1</v>
      </c>
      <c r="K81" s="118">
        <f t="shared" si="5"/>
        <v>0.28000000000000003</v>
      </c>
      <c r="L81" s="118">
        <f t="shared" si="6"/>
        <v>0.04</v>
      </c>
      <c r="M81" s="206">
        <f t="shared" si="7"/>
        <v>0.48</v>
      </c>
      <c r="N81" s="117">
        <f t="shared" si="42"/>
        <v>0</v>
      </c>
      <c r="O81" s="118">
        <f t="shared" si="8"/>
        <v>0.7</v>
      </c>
      <c r="P81" s="118">
        <f t="shared" si="9"/>
        <v>0.15</v>
      </c>
      <c r="Q81" s="118">
        <f t="shared" si="10"/>
        <v>0.15</v>
      </c>
      <c r="R81" s="118">
        <f t="shared" si="11"/>
        <v>0</v>
      </c>
      <c r="S81" s="206">
        <f t="shared" si="12"/>
        <v>0</v>
      </c>
      <c r="T81" s="117">
        <f t="shared" si="13"/>
        <v>0.34</v>
      </c>
      <c r="U81" s="118">
        <f t="shared" si="14"/>
        <v>0</v>
      </c>
      <c r="V81" s="118">
        <f t="shared" si="15"/>
        <v>0.17</v>
      </c>
      <c r="W81" s="118">
        <f t="shared" si="16"/>
        <v>0.24</v>
      </c>
      <c r="X81" s="118">
        <f t="shared" si="17"/>
        <v>0.05</v>
      </c>
      <c r="Y81" s="206">
        <f t="shared" si="18"/>
        <v>0.2</v>
      </c>
      <c r="Z81" s="237">
        <f t="shared" si="19"/>
        <v>4008654.6693716259</v>
      </c>
      <c r="AA81" s="238">
        <f t="shared" si="20"/>
        <v>0</v>
      </c>
      <c r="AB81" s="238">
        <f t="shared" si="21"/>
        <v>4008654.6693716259</v>
      </c>
      <c r="AC81" s="238">
        <f t="shared" si="22"/>
        <v>2244846.6148481108</v>
      </c>
      <c r="AD81" s="238">
        <f t="shared" si="23"/>
        <v>320692.37354973005</v>
      </c>
      <c r="AE81" s="238">
        <f t="shared" si="24"/>
        <v>0</v>
      </c>
      <c r="AF81" s="244">
        <f t="shared" si="25"/>
        <v>10582848.327141091</v>
      </c>
      <c r="AG81" s="237">
        <f t="shared" si="26"/>
        <v>0</v>
      </c>
      <c r="AH81" s="238">
        <f t="shared" si="27"/>
        <v>0</v>
      </c>
      <c r="AI81" s="238">
        <f t="shared" si="28"/>
        <v>1850148.3089407503</v>
      </c>
      <c r="AJ81" s="238">
        <f t="shared" si="29"/>
        <v>370029.66178815003</v>
      </c>
      <c r="AK81" s="238">
        <f t="shared" si="30"/>
        <v>0</v>
      </c>
      <c r="AL81" s="238">
        <f t="shared" si="31"/>
        <v>0</v>
      </c>
      <c r="AM81" s="244">
        <f t="shared" si="32"/>
        <v>2220177.9707289003</v>
      </c>
      <c r="AN81" s="237">
        <f t="shared" si="33"/>
        <v>17124150.459418278</v>
      </c>
      <c r="AO81" s="238">
        <f t="shared" si="34"/>
        <v>0</v>
      </c>
      <c r="AP81" s="238">
        <f t="shared" si="35"/>
        <v>8562075.2297091391</v>
      </c>
      <c r="AQ81" s="238">
        <f t="shared" si="36"/>
        <v>12087635.618412901</v>
      </c>
      <c r="AR81" s="238">
        <f t="shared" si="37"/>
        <v>503651.48410053761</v>
      </c>
      <c r="AS81" s="238">
        <f t="shared" si="38"/>
        <v>0</v>
      </c>
      <c r="AT81" s="244">
        <f t="shared" si="39"/>
        <v>38277512.791640848</v>
      </c>
      <c r="AU81" s="254"/>
      <c r="AV81" s="248">
        <f t="shared" si="40"/>
        <v>51.080539089510843</v>
      </c>
      <c r="AW81" s="130"/>
    </row>
    <row r="82" spans="1:49" ht="14.45" hidden="1" customHeight="1">
      <c r="A82" s="194">
        <f>'Input data'!A73</f>
        <v>1975</v>
      </c>
      <c r="B82" s="209">
        <f>'Input data'!B73</f>
        <v>22.502480000000002</v>
      </c>
      <c r="C82" s="114">
        <f>'Input data'!F73</f>
        <v>0.71479999999999999</v>
      </c>
      <c r="D82" s="114">
        <f>'Input data'!G73</f>
        <v>0.28959999999999997</v>
      </c>
      <c r="E82" s="127"/>
      <c r="F82" s="238"/>
      <c r="G82" s="239">
        <f t="shared" si="2"/>
        <v>350240131.24100006</v>
      </c>
      <c r="H82" s="118">
        <f t="shared" si="41"/>
        <v>0.1</v>
      </c>
      <c r="I82" s="118">
        <f t="shared" si="3"/>
        <v>0</v>
      </c>
      <c r="J82" s="118">
        <f t="shared" si="4"/>
        <v>0.1</v>
      </c>
      <c r="K82" s="118">
        <f t="shared" si="5"/>
        <v>0.28000000000000003</v>
      </c>
      <c r="L82" s="118">
        <f t="shared" si="6"/>
        <v>0.04</v>
      </c>
      <c r="M82" s="206">
        <f t="shared" si="7"/>
        <v>0.48</v>
      </c>
      <c r="N82" s="117">
        <f t="shared" si="42"/>
        <v>0</v>
      </c>
      <c r="O82" s="118">
        <f t="shared" si="8"/>
        <v>0.7</v>
      </c>
      <c r="P82" s="118">
        <f t="shared" si="9"/>
        <v>0.15</v>
      </c>
      <c r="Q82" s="118">
        <f t="shared" si="10"/>
        <v>0.15</v>
      </c>
      <c r="R82" s="118">
        <f t="shared" si="11"/>
        <v>0</v>
      </c>
      <c r="S82" s="206">
        <f t="shared" si="12"/>
        <v>0</v>
      </c>
      <c r="T82" s="117">
        <f t="shared" si="13"/>
        <v>0.34</v>
      </c>
      <c r="U82" s="118">
        <f t="shared" si="14"/>
        <v>0</v>
      </c>
      <c r="V82" s="118">
        <f t="shared" si="15"/>
        <v>0.17</v>
      </c>
      <c r="W82" s="118">
        <f t="shared" si="16"/>
        <v>0.24</v>
      </c>
      <c r="X82" s="118">
        <f t="shared" si="17"/>
        <v>0.05</v>
      </c>
      <c r="Y82" s="206">
        <f t="shared" si="18"/>
        <v>0.2</v>
      </c>
      <c r="Z82" s="237">
        <f t="shared" si="19"/>
        <v>4097809.535519701</v>
      </c>
      <c r="AA82" s="238">
        <f t="shared" si="20"/>
        <v>0</v>
      </c>
      <c r="AB82" s="238">
        <f t="shared" si="21"/>
        <v>4097809.535519701</v>
      </c>
      <c r="AC82" s="238">
        <f t="shared" si="22"/>
        <v>2294773.3398910328</v>
      </c>
      <c r="AD82" s="238">
        <f t="shared" si="23"/>
        <v>327824.76284157601</v>
      </c>
      <c r="AE82" s="238">
        <f t="shared" si="24"/>
        <v>0</v>
      </c>
      <c r="AF82" s="244">
        <f t="shared" si="25"/>
        <v>10818217.173772011</v>
      </c>
      <c r="AG82" s="237">
        <f t="shared" si="26"/>
        <v>0</v>
      </c>
      <c r="AH82" s="238">
        <f t="shared" si="27"/>
        <v>0</v>
      </c>
      <c r="AI82" s="238">
        <f t="shared" si="28"/>
        <v>1891296.7087014001</v>
      </c>
      <c r="AJ82" s="238">
        <f t="shared" si="29"/>
        <v>378259.34174028004</v>
      </c>
      <c r="AK82" s="238">
        <f t="shared" si="30"/>
        <v>0</v>
      </c>
      <c r="AL82" s="238">
        <f t="shared" si="31"/>
        <v>0</v>
      </c>
      <c r="AM82" s="244">
        <f t="shared" si="32"/>
        <v>2269556.05044168</v>
      </c>
      <c r="AN82" s="237">
        <f t="shared" si="33"/>
        <v>17505001.759425186</v>
      </c>
      <c r="AO82" s="238">
        <f t="shared" si="34"/>
        <v>0</v>
      </c>
      <c r="AP82" s="238">
        <f t="shared" si="35"/>
        <v>8752500.8797125928</v>
      </c>
      <c r="AQ82" s="238">
        <f t="shared" si="36"/>
        <v>12356471.830182482</v>
      </c>
      <c r="AR82" s="238">
        <f t="shared" si="37"/>
        <v>514852.99292427016</v>
      </c>
      <c r="AS82" s="238">
        <f t="shared" si="38"/>
        <v>0</v>
      </c>
      <c r="AT82" s="244">
        <f t="shared" si="39"/>
        <v>39128827.462244533</v>
      </c>
      <c r="AU82" s="254"/>
      <c r="AV82" s="248">
        <f t="shared" si="40"/>
        <v>52.216600686458222</v>
      </c>
      <c r="AW82" s="130"/>
    </row>
    <row r="83" spans="1:49" ht="14.45" hidden="1" customHeight="1">
      <c r="A83" s="194">
        <f>'Input data'!A74</f>
        <v>1976</v>
      </c>
      <c r="B83" s="209">
        <f>'Input data'!B74</f>
        <v>22.993880000000001</v>
      </c>
      <c r="C83" s="114">
        <f>'Input data'!F74</f>
        <v>0.71479999999999999</v>
      </c>
      <c r="D83" s="114">
        <f>'Input data'!G74</f>
        <v>0.28959999999999997</v>
      </c>
      <c r="E83" s="127"/>
      <c r="F83" s="238"/>
      <c r="G83" s="239">
        <f t="shared" si="2"/>
        <v>357888532.68350011</v>
      </c>
      <c r="H83" s="118">
        <f t="shared" si="41"/>
        <v>0.1</v>
      </c>
      <c r="I83" s="118">
        <f t="shared" si="3"/>
        <v>0</v>
      </c>
      <c r="J83" s="118">
        <f t="shared" si="4"/>
        <v>0.1</v>
      </c>
      <c r="K83" s="118">
        <f t="shared" si="5"/>
        <v>0.28000000000000003</v>
      </c>
      <c r="L83" s="118">
        <f t="shared" si="6"/>
        <v>0.04</v>
      </c>
      <c r="M83" s="206">
        <f t="shared" si="7"/>
        <v>0.48</v>
      </c>
      <c r="N83" s="117">
        <f t="shared" si="42"/>
        <v>0</v>
      </c>
      <c r="O83" s="118">
        <f t="shared" si="8"/>
        <v>0.7</v>
      </c>
      <c r="P83" s="118">
        <f t="shared" si="9"/>
        <v>0.15</v>
      </c>
      <c r="Q83" s="118">
        <f t="shared" si="10"/>
        <v>0.15</v>
      </c>
      <c r="R83" s="118">
        <f t="shared" si="11"/>
        <v>0</v>
      </c>
      <c r="S83" s="206">
        <f t="shared" si="12"/>
        <v>0</v>
      </c>
      <c r="T83" s="117">
        <f t="shared" si="13"/>
        <v>0.34</v>
      </c>
      <c r="U83" s="118">
        <f t="shared" si="14"/>
        <v>0</v>
      </c>
      <c r="V83" s="118">
        <f t="shared" si="15"/>
        <v>0.17</v>
      </c>
      <c r="W83" s="118">
        <f t="shared" si="16"/>
        <v>0.24</v>
      </c>
      <c r="X83" s="118">
        <f t="shared" si="17"/>
        <v>0.05</v>
      </c>
      <c r="Y83" s="206">
        <f t="shared" si="18"/>
        <v>0.2</v>
      </c>
      <c r="Z83" s="237">
        <f t="shared" si="19"/>
        <v>4187295.832396951</v>
      </c>
      <c r="AA83" s="238">
        <f t="shared" si="20"/>
        <v>0</v>
      </c>
      <c r="AB83" s="238">
        <f t="shared" si="21"/>
        <v>4187295.832396951</v>
      </c>
      <c r="AC83" s="238">
        <f t="shared" si="22"/>
        <v>2344885.6661422933</v>
      </c>
      <c r="AD83" s="238">
        <f t="shared" si="23"/>
        <v>334983.6665917561</v>
      </c>
      <c r="AE83" s="238">
        <f t="shared" si="24"/>
        <v>0</v>
      </c>
      <c r="AF83" s="244">
        <f t="shared" si="25"/>
        <v>11054460.997527951</v>
      </c>
      <c r="AG83" s="237">
        <f t="shared" si="26"/>
        <v>0</v>
      </c>
      <c r="AH83" s="238">
        <f t="shared" si="27"/>
        <v>0</v>
      </c>
      <c r="AI83" s="238">
        <f t="shared" si="28"/>
        <v>1932598.0764909005</v>
      </c>
      <c r="AJ83" s="238">
        <f t="shared" si="29"/>
        <v>386519.61529818008</v>
      </c>
      <c r="AK83" s="238">
        <f t="shared" si="30"/>
        <v>0</v>
      </c>
      <c r="AL83" s="238">
        <f t="shared" si="31"/>
        <v>0</v>
      </c>
      <c r="AM83" s="244">
        <f t="shared" si="32"/>
        <v>2319117.6917890804</v>
      </c>
      <c r="AN83" s="237">
        <f t="shared" si="33"/>
        <v>17887268.863521334</v>
      </c>
      <c r="AO83" s="238">
        <f t="shared" si="34"/>
        <v>0</v>
      </c>
      <c r="AP83" s="238">
        <f t="shared" si="35"/>
        <v>8943634.4317606669</v>
      </c>
      <c r="AQ83" s="238">
        <f t="shared" si="36"/>
        <v>12626307.433073882</v>
      </c>
      <c r="AR83" s="238">
        <f t="shared" si="37"/>
        <v>526096.14304474508</v>
      </c>
      <c r="AS83" s="238">
        <f t="shared" si="38"/>
        <v>0</v>
      </c>
      <c r="AT83" s="244">
        <f t="shared" si="39"/>
        <v>39983306.871400632</v>
      </c>
      <c r="AU83" s="254"/>
      <c r="AV83" s="248">
        <f t="shared" si="40"/>
        <v>53.356885560717664</v>
      </c>
      <c r="AW83" s="130"/>
    </row>
    <row r="84" spans="1:49" ht="14.45" hidden="1" customHeight="1">
      <c r="A84" s="194">
        <f>'Input data'!A75</f>
        <v>1977</v>
      </c>
      <c r="B84" s="209">
        <f>'Input data'!B75</f>
        <v>23.483460000000001</v>
      </c>
      <c r="C84" s="114">
        <f>'Input data'!F75</f>
        <v>0.71479999999999999</v>
      </c>
      <c r="D84" s="114">
        <f>'Input data'!G75</f>
        <v>0.28959999999999997</v>
      </c>
      <c r="E84" s="127"/>
      <c r="F84" s="238"/>
      <c r="G84" s="239">
        <f t="shared" si="2"/>
        <v>365508606.71325004</v>
      </c>
      <c r="H84" s="118">
        <f t="shared" si="41"/>
        <v>0.1</v>
      </c>
      <c r="I84" s="118">
        <f t="shared" si="3"/>
        <v>0</v>
      </c>
      <c r="J84" s="118">
        <f t="shared" si="4"/>
        <v>0.1</v>
      </c>
      <c r="K84" s="118">
        <f t="shared" si="5"/>
        <v>0.28000000000000003</v>
      </c>
      <c r="L84" s="118">
        <f t="shared" si="6"/>
        <v>0.04</v>
      </c>
      <c r="M84" s="206">
        <f t="shared" si="7"/>
        <v>0.48</v>
      </c>
      <c r="N84" s="117">
        <f t="shared" si="42"/>
        <v>0</v>
      </c>
      <c r="O84" s="118">
        <f t="shared" si="8"/>
        <v>0.7</v>
      </c>
      <c r="P84" s="118">
        <f t="shared" si="9"/>
        <v>0.15</v>
      </c>
      <c r="Q84" s="118">
        <f t="shared" si="10"/>
        <v>0.15</v>
      </c>
      <c r="R84" s="118">
        <f t="shared" si="11"/>
        <v>0</v>
      </c>
      <c r="S84" s="206">
        <f t="shared" si="12"/>
        <v>0</v>
      </c>
      <c r="T84" s="117">
        <f t="shared" si="13"/>
        <v>0.34</v>
      </c>
      <c r="U84" s="118">
        <f t="shared" si="14"/>
        <v>0</v>
      </c>
      <c r="V84" s="118">
        <f t="shared" si="15"/>
        <v>0.17</v>
      </c>
      <c r="W84" s="118">
        <f t="shared" si="16"/>
        <v>0.24</v>
      </c>
      <c r="X84" s="118">
        <f t="shared" si="17"/>
        <v>0.05</v>
      </c>
      <c r="Y84" s="206">
        <f t="shared" si="18"/>
        <v>0.2</v>
      </c>
      <c r="Z84" s="237">
        <f t="shared" si="19"/>
        <v>4276450.6985450257</v>
      </c>
      <c r="AA84" s="238">
        <f t="shared" si="20"/>
        <v>0</v>
      </c>
      <c r="AB84" s="238">
        <f t="shared" si="21"/>
        <v>4276450.6985450257</v>
      </c>
      <c r="AC84" s="238">
        <f t="shared" si="22"/>
        <v>2394812.3911852147</v>
      </c>
      <c r="AD84" s="238">
        <f t="shared" si="23"/>
        <v>342116.05588360201</v>
      </c>
      <c r="AE84" s="238">
        <f t="shared" si="24"/>
        <v>0</v>
      </c>
      <c r="AF84" s="244">
        <f t="shared" si="25"/>
        <v>11289829.844158867</v>
      </c>
      <c r="AG84" s="237">
        <f t="shared" si="26"/>
        <v>0</v>
      </c>
      <c r="AH84" s="238">
        <f t="shared" si="27"/>
        <v>0</v>
      </c>
      <c r="AI84" s="238">
        <f t="shared" si="28"/>
        <v>1973746.47625155</v>
      </c>
      <c r="AJ84" s="238">
        <f t="shared" si="29"/>
        <v>394749.29525030998</v>
      </c>
      <c r="AK84" s="238">
        <f t="shared" si="30"/>
        <v>0</v>
      </c>
      <c r="AL84" s="238">
        <f t="shared" si="31"/>
        <v>0</v>
      </c>
      <c r="AM84" s="244">
        <f t="shared" si="32"/>
        <v>2368495.7715018601</v>
      </c>
      <c r="AN84" s="237">
        <f t="shared" si="33"/>
        <v>18268120.163528237</v>
      </c>
      <c r="AO84" s="238">
        <f t="shared" si="34"/>
        <v>0</v>
      </c>
      <c r="AP84" s="238">
        <f t="shared" si="35"/>
        <v>9134060.0817641187</v>
      </c>
      <c r="AQ84" s="238">
        <f t="shared" si="36"/>
        <v>12895143.644843461</v>
      </c>
      <c r="AR84" s="238">
        <f t="shared" si="37"/>
        <v>537297.65186847758</v>
      </c>
      <c r="AS84" s="238">
        <f t="shared" si="38"/>
        <v>0</v>
      </c>
      <c r="AT84" s="244">
        <f t="shared" si="39"/>
        <v>40834621.542004295</v>
      </c>
      <c r="AU84" s="254"/>
      <c r="AV84" s="248">
        <f t="shared" si="40"/>
        <v>54.492947157665022</v>
      </c>
      <c r="AW84" s="130"/>
    </row>
    <row r="85" spans="1:49" ht="14.45" hidden="1" customHeight="1">
      <c r="A85" s="194">
        <f>'Input data'!A76</f>
        <v>1978</v>
      </c>
      <c r="B85" s="209">
        <f>'Input data'!B76</f>
        <v>23.983049999999999</v>
      </c>
      <c r="C85" s="114">
        <f>'Input data'!F76</f>
        <v>0.71479999999999999</v>
      </c>
      <c r="D85" s="114">
        <f>'Input data'!G76</f>
        <v>0.28959999999999997</v>
      </c>
      <c r="E85" s="127"/>
      <c r="F85" s="238"/>
      <c r="G85" s="239">
        <f t="shared" si="2"/>
        <v>373284481.513125</v>
      </c>
      <c r="H85" s="118">
        <f t="shared" si="41"/>
        <v>0.1</v>
      </c>
      <c r="I85" s="118">
        <f t="shared" si="3"/>
        <v>0</v>
      </c>
      <c r="J85" s="118">
        <f t="shared" si="4"/>
        <v>0.1</v>
      </c>
      <c r="K85" s="118">
        <f t="shared" si="5"/>
        <v>0.28000000000000003</v>
      </c>
      <c r="L85" s="118">
        <f t="shared" si="6"/>
        <v>0.04</v>
      </c>
      <c r="M85" s="206">
        <f t="shared" si="7"/>
        <v>0.48</v>
      </c>
      <c r="N85" s="117">
        <f t="shared" si="42"/>
        <v>0</v>
      </c>
      <c r="O85" s="118">
        <f t="shared" si="8"/>
        <v>0.7</v>
      </c>
      <c r="P85" s="118">
        <f t="shared" si="9"/>
        <v>0.15</v>
      </c>
      <c r="Q85" s="118">
        <f t="shared" si="10"/>
        <v>0.15</v>
      </c>
      <c r="R85" s="118">
        <f t="shared" si="11"/>
        <v>0</v>
      </c>
      <c r="S85" s="206">
        <f t="shared" si="12"/>
        <v>0</v>
      </c>
      <c r="T85" s="117">
        <f t="shared" si="13"/>
        <v>0.34</v>
      </c>
      <c r="U85" s="118">
        <f t="shared" si="14"/>
        <v>0</v>
      </c>
      <c r="V85" s="118">
        <f t="shared" si="15"/>
        <v>0.17</v>
      </c>
      <c r="W85" s="118">
        <f t="shared" si="16"/>
        <v>0.24</v>
      </c>
      <c r="X85" s="118">
        <f t="shared" si="17"/>
        <v>0.05</v>
      </c>
      <c r="Y85" s="206">
        <f t="shared" si="18"/>
        <v>0.2</v>
      </c>
      <c r="Z85" s="237">
        <f t="shared" si="19"/>
        <v>4367428.4337035632</v>
      </c>
      <c r="AA85" s="238">
        <f t="shared" si="20"/>
        <v>0</v>
      </c>
      <c r="AB85" s="238">
        <f t="shared" si="21"/>
        <v>4367428.4337035632</v>
      </c>
      <c r="AC85" s="238">
        <f t="shared" si="22"/>
        <v>2445759.9228739957</v>
      </c>
      <c r="AD85" s="238">
        <f t="shared" si="23"/>
        <v>349394.27469628496</v>
      </c>
      <c r="AE85" s="238">
        <f t="shared" si="24"/>
        <v>0</v>
      </c>
      <c r="AF85" s="244">
        <f t="shared" si="25"/>
        <v>11530011.064977407</v>
      </c>
      <c r="AG85" s="237">
        <f t="shared" si="26"/>
        <v>0</v>
      </c>
      <c r="AH85" s="238">
        <f t="shared" si="27"/>
        <v>0</v>
      </c>
      <c r="AI85" s="238">
        <f t="shared" si="28"/>
        <v>2015736.2001708746</v>
      </c>
      <c r="AJ85" s="238">
        <f t="shared" si="29"/>
        <v>403147.24003417499</v>
      </c>
      <c r="AK85" s="238">
        <f t="shared" si="30"/>
        <v>0</v>
      </c>
      <c r="AL85" s="238">
        <f t="shared" si="31"/>
        <v>0</v>
      </c>
      <c r="AM85" s="244">
        <f t="shared" si="32"/>
        <v>2418883.4402050497</v>
      </c>
      <c r="AN85" s="237">
        <f t="shared" si="33"/>
        <v>18656758.386025991</v>
      </c>
      <c r="AO85" s="238">
        <f t="shared" si="34"/>
        <v>0</v>
      </c>
      <c r="AP85" s="238">
        <f t="shared" si="35"/>
        <v>9328379.1930129956</v>
      </c>
      <c r="AQ85" s="238">
        <f t="shared" si="36"/>
        <v>13169476.50778305</v>
      </c>
      <c r="AR85" s="238">
        <f t="shared" si="37"/>
        <v>548728.18782429385</v>
      </c>
      <c r="AS85" s="238">
        <f t="shared" si="38"/>
        <v>0</v>
      </c>
      <c r="AT85" s="244">
        <f t="shared" si="39"/>
        <v>41703342.274646327</v>
      </c>
      <c r="AU85" s="254"/>
      <c r="AV85" s="248">
        <f t="shared" si="40"/>
        <v>55.65223677982879</v>
      </c>
      <c r="AW85" s="130"/>
    </row>
    <row r="86" spans="1:49" ht="14.45" hidden="1" customHeight="1">
      <c r="A86" s="194">
        <f>'Input data'!A77</f>
        <v>1979</v>
      </c>
      <c r="B86" s="209">
        <f>'Input data'!B77</f>
        <v>24.516309999999997</v>
      </c>
      <c r="C86" s="114">
        <f>'Input data'!F77</f>
        <v>0.71479999999999999</v>
      </c>
      <c r="D86" s="114">
        <f>'Input data'!G77</f>
        <v>0.28959999999999997</v>
      </c>
      <c r="E86" s="127"/>
      <c r="F86" s="238"/>
      <c r="G86" s="239">
        <f t="shared" si="2"/>
        <v>381584413.44887501</v>
      </c>
      <c r="H86" s="118">
        <f t="shared" si="41"/>
        <v>0.1</v>
      </c>
      <c r="I86" s="118">
        <f t="shared" si="3"/>
        <v>0</v>
      </c>
      <c r="J86" s="118">
        <f t="shared" si="4"/>
        <v>0.1</v>
      </c>
      <c r="K86" s="118">
        <f t="shared" si="5"/>
        <v>0.28000000000000003</v>
      </c>
      <c r="L86" s="118">
        <f t="shared" si="6"/>
        <v>0.04</v>
      </c>
      <c r="M86" s="206">
        <f t="shared" si="7"/>
        <v>0.48</v>
      </c>
      <c r="N86" s="117">
        <f t="shared" si="42"/>
        <v>0</v>
      </c>
      <c r="O86" s="118">
        <f t="shared" si="8"/>
        <v>0.7</v>
      </c>
      <c r="P86" s="118">
        <f t="shared" si="9"/>
        <v>0.15</v>
      </c>
      <c r="Q86" s="118">
        <f t="shared" si="10"/>
        <v>0.15</v>
      </c>
      <c r="R86" s="118">
        <f t="shared" si="11"/>
        <v>0</v>
      </c>
      <c r="S86" s="206">
        <f t="shared" si="12"/>
        <v>0</v>
      </c>
      <c r="T86" s="117">
        <f t="shared" si="13"/>
        <v>0.34</v>
      </c>
      <c r="U86" s="118">
        <f t="shared" si="14"/>
        <v>0</v>
      </c>
      <c r="V86" s="118">
        <f t="shared" si="15"/>
        <v>0.17</v>
      </c>
      <c r="W86" s="118">
        <f t="shared" si="16"/>
        <v>0.24</v>
      </c>
      <c r="X86" s="118">
        <f t="shared" si="17"/>
        <v>0.05</v>
      </c>
      <c r="Y86" s="206">
        <f t="shared" si="18"/>
        <v>0.2</v>
      </c>
      <c r="Z86" s="237">
        <f t="shared" si="19"/>
        <v>4464537.6373518379</v>
      </c>
      <c r="AA86" s="238">
        <f t="shared" si="20"/>
        <v>0</v>
      </c>
      <c r="AB86" s="238">
        <f t="shared" si="21"/>
        <v>4464537.6373518379</v>
      </c>
      <c r="AC86" s="238">
        <f t="shared" si="22"/>
        <v>2500141.0769170295</v>
      </c>
      <c r="AD86" s="238">
        <f t="shared" si="23"/>
        <v>357163.010988147</v>
      </c>
      <c r="AE86" s="238">
        <f t="shared" si="24"/>
        <v>0</v>
      </c>
      <c r="AF86" s="244">
        <f t="shared" si="25"/>
        <v>11786379.362608854</v>
      </c>
      <c r="AG86" s="237">
        <f t="shared" si="26"/>
        <v>0</v>
      </c>
      <c r="AH86" s="238">
        <f t="shared" si="27"/>
        <v>0</v>
      </c>
      <c r="AI86" s="238">
        <f t="shared" si="28"/>
        <v>2060555.8326239248</v>
      </c>
      <c r="AJ86" s="238">
        <f t="shared" si="29"/>
        <v>412111.16652478499</v>
      </c>
      <c r="AK86" s="238">
        <f t="shared" si="30"/>
        <v>0</v>
      </c>
      <c r="AL86" s="238">
        <f t="shared" si="31"/>
        <v>0</v>
      </c>
      <c r="AM86" s="244">
        <f t="shared" si="32"/>
        <v>2472666.9991487097</v>
      </c>
      <c r="AN86" s="237">
        <f t="shared" si="33"/>
        <v>19071588.984174773</v>
      </c>
      <c r="AO86" s="238">
        <f t="shared" si="34"/>
        <v>0</v>
      </c>
      <c r="AP86" s="238">
        <f t="shared" si="35"/>
        <v>9535794.4920873865</v>
      </c>
      <c r="AQ86" s="238">
        <f t="shared" si="36"/>
        <v>13462298.106476309</v>
      </c>
      <c r="AR86" s="238">
        <f t="shared" si="37"/>
        <v>560929.0877698462</v>
      </c>
      <c r="AS86" s="238">
        <f t="shared" si="38"/>
        <v>0</v>
      </c>
      <c r="AT86" s="244">
        <f t="shared" si="39"/>
        <v>42630610.67050831</v>
      </c>
      <c r="AU86" s="254"/>
      <c r="AV86" s="248">
        <f t="shared" si="40"/>
        <v>56.889657032265873</v>
      </c>
      <c r="AW86" s="130"/>
    </row>
    <row r="87" spans="1:49" ht="14.45" hidden="1" customHeight="1">
      <c r="A87" s="194">
        <f>'Input data'!A78</f>
        <v>1980</v>
      </c>
      <c r="B87" s="209">
        <f>'Input data'!B78</f>
        <v>25.094160000000002</v>
      </c>
      <c r="C87" s="114">
        <f>'Input data'!F78</f>
        <v>0.71479999999999999</v>
      </c>
      <c r="D87" s="114">
        <f>'Input data'!G78</f>
        <v>0.28959999999999997</v>
      </c>
      <c r="E87" s="127"/>
      <c r="F87" s="238"/>
      <c r="G87" s="239">
        <f t="shared" si="2"/>
        <v>390578366.99700004</v>
      </c>
      <c r="H87" s="118">
        <f t="shared" si="41"/>
        <v>0.1</v>
      </c>
      <c r="I87" s="118">
        <f t="shared" si="3"/>
        <v>0</v>
      </c>
      <c r="J87" s="118">
        <f t="shared" si="4"/>
        <v>0.1</v>
      </c>
      <c r="K87" s="118">
        <f t="shared" si="5"/>
        <v>0.28000000000000003</v>
      </c>
      <c r="L87" s="118">
        <f t="shared" si="6"/>
        <v>0.04</v>
      </c>
      <c r="M87" s="206">
        <f t="shared" si="7"/>
        <v>0.48</v>
      </c>
      <c r="N87" s="117">
        <f t="shared" si="42"/>
        <v>0</v>
      </c>
      <c r="O87" s="118">
        <f t="shared" si="8"/>
        <v>0.7</v>
      </c>
      <c r="P87" s="118">
        <f t="shared" si="9"/>
        <v>0.15</v>
      </c>
      <c r="Q87" s="118">
        <f t="shared" si="10"/>
        <v>0.15</v>
      </c>
      <c r="R87" s="118">
        <f t="shared" si="11"/>
        <v>0</v>
      </c>
      <c r="S87" s="206">
        <f t="shared" si="12"/>
        <v>0</v>
      </c>
      <c r="T87" s="117">
        <f t="shared" si="13"/>
        <v>0.34</v>
      </c>
      <c r="U87" s="118">
        <f t="shared" si="14"/>
        <v>0</v>
      </c>
      <c r="V87" s="118">
        <f t="shared" si="15"/>
        <v>0.17</v>
      </c>
      <c r="W87" s="118">
        <f t="shared" si="16"/>
        <v>0.24</v>
      </c>
      <c r="X87" s="118">
        <f t="shared" si="17"/>
        <v>0.05</v>
      </c>
      <c r="Y87" s="206">
        <f t="shared" si="18"/>
        <v>0.2</v>
      </c>
      <c r="Z87" s="237">
        <f t="shared" si="19"/>
        <v>4569766.8938649008</v>
      </c>
      <c r="AA87" s="238">
        <f t="shared" si="20"/>
        <v>0</v>
      </c>
      <c r="AB87" s="238">
        <f t="shared" si="21"/>
        <v>4569766.8938649008</v>
      </c>
      <c r="AC87" s="238">
        <f t="shared" si="22"/>
        <v>2559069.4605643447</v>
      </c>
      <c r="AD87" s="238">
        <f t="shared" si="23"/>
        <v>365581.35150919203</v>
      </c>
      <c r="AE87" s="238">
        <f t="shared" si="24"/>
        <v>0</v>
      </c>
      <c r="AF87" s="244">
        <f t="shared" si="25"/>
        <v>12064184.59980334</v>
      </c>
      <c r="AG87" s="237">
        <f t="shared" si="26"/>
        <v>0</v>
      </c>
      <c r="AH87" s="238">
        <f t="shared" si="27"/>
        <v>0</v>
      </c>
      <c r="AI87" s="238">
        <f t="shared" si="28"/>
        <v>2109123.1817838</v>
      </c>
      <c r="AJ87" s="238">
        <f t="shared" si="29"/>
        <v>421824.63635675999</v>
      </c>
      <c r="AK87" s="238">
        <f t="shared" si="30"/>
        <v>0</v>
      </c>
      <c r="AL87" s="238">
        <f t="shared" si="31"/>
        <v>0</v>
      </c>
      <c r="AM87" s="244">
        <f t="shared" si="32"/>
        <v>2530947.8181405598</v>
      </c>
      <c r="AN87" s="237">
        <f t="shared" si="33"/>
        <v>19521106.782510061</v>
      </c>
      <c r="AO87" s="238">
        <f t="shared" si="34"/>
        <v>0</v>
      </c>
      <c r="AP87" s="238">
        <f t="shared" si="35"/>
        <v>9760553.3912550304</v>
      </c>
      <c r="AQ87" s="238">
        <f t="shared" si="36"/>
        <v>13779604.78765416</v>
      </c>
      <c r="AR87" s="238">
        <f t="shared" si="37"/>
        <v>574150.1994855901</v>
      </c>
      <c r="AS87" s="238">
        <f t="shared" si="38"/>
        <v>0</v>
      </c>
      <c r="AT87" s="244">
        <f t="shared" si="39"/>
        <v>43635415.160904847</v>
      </c>
      <c r="AU87" s="254"/>
      <c r="AV87" s="248">
        <f t="shared" si="40"/>
        <v>58.23054757884875</v>
      </c>
      <c r="AW87" s="130"/>
    </row>
    <row r="88" spans="1:49" ht="14.45" hidden="1" customHeight="1">
      <c r="A88" s="194">
        <f>'Input data'!A79</f>
        <v>1981</v>
      </c>
      <c r="B88" s="209">
        <f>'Input data'!B79</f>
        <v>25.712049999999998</v>
      </c>
      <c r="C88" s="114">
        <f>'Input data'!F79</f>
        <v>0.71479999999999999</v>
      </c>
      <c r="D88" s="114">
        <f>'Input data'!G79</f>
        <v>0.28959999999999997</v>
      </c>
      <c r="E88" s="127"/>
      <c r="F88" s="238"/>
      <c r="G88" s="239">
        <f t="shared" si="2"/>
        <v>400195523.62562501</v>
      </c>
      <c r="H88" s="118">
        <f t="shared" si="41"/>
        <v>0.1</v>
      </c>
      <c r="I88" s="118">
        <f t="shared" si="3"/>
        <v>0</v>
      </c>
      <c r="J88" s="118">
        <f t="shared" si="4"/>
        <v>0.1</v>
      </c>
      <c r="K88" s="118">
        <f t="shared" si="5"/>
        <v>0.28000000000000003</v>
      </c>
      <c r="L88" s="118">
        <f t="shared" si="6"/>
        <v>0.04</v>
      </c>
      <c r="M88" s="206">
        <f t="shared" si="7"/>
        <v>0.48</v>
      </c>
      <c r="N88" s="117">
        <f t="shared" si="42"/>
        <v>0</v>
      </c>
      <c r="O88" s="118">
        <f t="shared" si="8"/>
        <v>0.7</v>
      </c>
      <c r="P88" s="118">
        <f t="shared" si="9"/>
        <v>0.15</v>
      </c>
      <c r="Q88" s="118">
        <f t="shared" si="10"/>
        <v>0.15</v>
      </c>
      <c r="R88" s="118">
        <f t="shared" si="11"/>
        <v>0</v>
      </c>
      <c r="S88" s="206">
        <f t="shared" si="12"/>
        <v>0</v>
      </c>
      <c r="T88" s="117">
        <f t="shared" si="13"/>
        <v>0.34</v>
      </c>
      <c r="U88" s="118">
        <f t="shared" si="14"/>
        <v>0</v>
      </c>
      <c r="V88" s="118">
        <f t="shared" si="15"/>
        <v>0.17</v>
      </c>
      <c r="W88" s="118">
        <f t="shared" si="16"/>
        <v>0.24</v>
      </c>
      <c r="X88" s="118">
        <f t="shared" si="17"/>
        <v>0.05</v>
      </c>
      <c r="Y88" s="206">
        <f t="shared" si="18"/>
        <v>0.2</v>
      </c>
      <c r="Z88" s="237">
        <f t="shared" si="19"/>
        <v>4682287.6264198124</v>
      </c>
      <c r="AA88" s="238">
        <f t="shared" si="20"/>
        <v>0</v>
      </c>
      <c r="AB88" s="238">
        <f t="shared" si="21"/>
        <v>4682287.6264198124</v>
      </c>
      <c r="AC88" s="238">
        <f t="shared" si="22"/>
        <v>2622081.0707950955</v>
      </c>
      <c r="AD88" s="238">
        <f t="shared" si="23"/>
        <v>374583.01011358498</v>
      </c>
      <c r="AE88" s="238">
        <f t="shared" si="24"/>
        <v>0</v>
      </c>
      <c r="AF88" s="244">
        <f t="shared" si="25"/>
        <v>12361239.333748307</v>
      </c>
      <c r="AG88" s="237">
        <f t="shared" si="26"/>
        <v>0</v>
      </c>
      <c r="AH88" s="238">
        <f t="shared" si="27"/>
        <v>0</v>
      </c>
      <c r="AI88" s="238">
        <f t="shared" si="28"/>
        <v>2161055.8275783751</v>
      </c>
      <c r="AJ88" s="238">
        <f t="shared" si="29"/>
        <v>432211.16551567498</v>
      </c>
      <c r="AK88" s="238">
        <f t="shared" si="30"/>
        <v>0</v>
      </c>
      <c r="AL88" s="238">
        <f t="shared" si="31"/>
        <v>0</v>
      </c>
      <c r="AM88" s="244">
        <f t="shared" si="32"/>
        <v>2593266.9930940503</v>
      </c>
      <c r="AN88" s="237">
        <f t="shared" si="33"/>
        <v>20001772.270808738</v>
      </c>
      <c r="AO88" s="238">
        <f t="shared" si="34"/>
        <v>0</v>
      </c>
      <c r="AP88" s="238">
        <f t="shared" si="35"/>
        <v>10000886.135404369</v>
      </c>
      <c r="AQ88" s="238">
        <f t="shared" si="36"/>
        <v>14118898.073512049</v>
      </c>
      <c r="AR88" s="238">
        <f t="shared" si="37"/>
        <v>588287.41972966876</v>
      </c>
      <c r="AS88" s="238">
        <f t="shared" si="38"/>
        <v>0</v>
      </c>
      <c r="AT88" s="244">
        <f t="shared" si="39"/>
        <v>44709843.899454825</v>
      </c>
      <c r="AU88" s="254"/>
      <c r="AV88" s="248">
        <f t="shared" si="40"/>
        <v>59.664350226297188</v>
      </c>
      <c r="AW88" s="130"/>
    </row>
    <row r="89" spans="1:49" ht="14.45" hidden="1" customHeight="1">
      <c r="A89" s="194">
        <f>'Input data'!A80</f>
        <v>1982</v>
      </c>
      <c r="B89" s="209">
        <f>'Input data'!B80</f>
        <v>26.364520000000002</v>
      </c>
      <c r="C89" s="114">
        <f>'Input data'!F80</f>
        <v>0.71479999999999999</v>
      </c>
      <c r="D89" s="114">
        <f>'Input data'!G80</f>
        <v>0.28959999999999997</v>
      </c>
      <c r="E89" s="127"/>
      <c r="F89" s="238"/>
      <c r="G89" s="239">
        <f t="shared" ref="G89:G106" si="43">B89*$C$4*($C$7*$C$11+$C$8*$C$10+$C$7*$C$12)*10^6</f>
        <v>410350901.09650016</v>
      </c>
      <c r="H89" s="118">
        <f t="shared" si="41"/>
        <v>0.1</v>
      </c>
      <c r="I89" s="118">
        <f t="shared" ref="I89:I120" si="44">$D$16</f>
        <v>0</v>
      </c>
      <c r="J89" s="118">
        <f t="shared" ref="J89:J120" si="45">$E$16</f>
        <v>0.1</v>
      </c>
      <c r="K89" s="118">
        <f t="shared" ref="K89:K120" si="46">$F$16</f>
        <v>0.28000000000000003</v>
      </c>
      <c r="L89" s="118">
        <f t="shared" ref="L89:L120" si="47">$G$16</f>
        <v>0.04</v>
      </c>
      <c r="M89" s="206">
        <f t="shared" ref="M89:M120" si="48">$H$16</f>
        <v>0.48</v>
      </c>
      <c r="N89" s="117">
        <f t="shared" si="42"/>
        <v>0</v>
      </c>
      <c r="O89" s="118">
        <f t="shared" ref="O89:O120" si="49">$D$17</f>
        <v>0.7</v>
      </c>
      <c r="P89" s="118">
        <f t="shared" ref="P89:P120" si="50">$E$17</f>
        <v>0.15</v>
      </c>
      <c r="Q89" s="118">
        <f t="shared" ref="Q89:Q120" si="51">$F$17</f>
        <v>0.15</v>
      </c>
      <c r="R89" s="118">
        <f t="shared" ref="R89:R120" si="52">$G$17</f>
        <v>0</v>
      </c>
      <c r="S89" s="206">
        <f t="shared" ref="S89:S120" si="53">$H$17</f>
        <v>0</v>
      </c>
      <c r="T89" s="117">
        <f t="shared" si="13"/>
        <v>0.34</v>
      </c>
      <c r="U89" s="118">
        <f t="shared" ref="U89:U120" si="54">$D$18</f>
        <v>0</v>
      </c>
      <c r="V89" s="118">
        <f t="shared" ref="V89:V120" si="55">$E$18</f>
        <v>0.17</v>
      </c>
      <c r="W89" s="118">
        <f t="shared" ref="W89:W120" si="56">$F$18</f>
        <v>0.24</v>
      </c>
      <c r="X89" s="118">
        <f t="shared" ref="X89:X120" si="57">$G$18</f>
        <v>0.05</v>
      </c>
      <c r="Y89" s="206">
        <f t="shared" ref="Y89:Y120" si="58">$H$18</f>
        <v>0.2</v>
      </c>
      <c r="Z89" s="237">
        <f t="shared" ref="Z89:Z120" si="59">H89*$C$35*G89*$C$10</f>
        <v>4801105.5428290516</v>
      </c>
      <c r="AA89" s="238">
        <f t="shared" ref="AA89:AA120" si="60">I89*$C$36*G89*$C$10</f>
        <v>0</v>
      </c>
      <c r="AB89" s="238">
        <f t="shared" ref="AB89:AB120" si="61">J89*$C$37*G89*$C$10</f>
        <v>4801105.5428290516</v>
      </c>
      <c r="AC89" s="238">
        <f t="shared" ref="AC89:AC120" si="62">K89*$C$40*G89*$C$10</f>
        <v>2688619.1039842698</v>
      </c>
      <c r="AD89" s="238">
        <f t="shared" ref="AD89:AD120" si="63">L89*$C$41*G89*$C$10</f>
        <v>384088.44342632411</v>
      </c>
      <c r="AE89" s="238">
        <f t="shared" ref="AE89:AE120" si="64">M89*$C$42*G89*$C$10</f>
        <v>0</v>
      </c>
      <c r="AF89" s="244">
        <f t="shared" si="25"/>
        <v>12674918.633068698</v>
      </c>
      <c r="AG89" s="237">
        <f t="shared" ref="AG89:AG120" si="65">N89*$C$35*G89*$C$11</f>
        <v>0</v>
      </c>
      <c r="AH89" s="238">
        <f t="shared" ref="AH89:AH120" si="66">O89*$C$36*G89*$C$11</f>
        <v>0</v>
      </c>
      <c r="AI89" s="238">
        <f t="shared" ref="AI89:AI120" si="67">P89*$C$37*G89*$C$11</f>
        <v>2215894.8659211006</v>
      </c>
      <c r="AJ89" s="238">
        <f t="shared" ref="AJ89:AJ120" si="68">Q89*$C$38*G89*$C$11</f>
        <v>443178.97318422014</v>
      </c>
      <c r="AK89" s="238">
        <f t="shared" ref="AK89:AK120" si="69">R89*$C$41*G89*$C$11</f>
        <v>0</v>
      </c>
      <c r="AL89" s="238">
        <f t="shared" ref="AL89:AL120" si="70">S89*$C$42*G89*$C$11</f>
        <v>0</v>
      </c>
      <c r="AM89" s="244">
        <f t="shared" si="32"/>
        <v>2659073.8391053206</v>
      </c>
      <c r="AN89" s="237">
        <f t="shared" ref="AN89:AN120" si="71">T89*$C$35*G89*$C$12</f>
        <v>20509338.036803078</v>
      </c>
      <c r="AO89" s="238">
        <f t="shared" ref="AO89:AO120" si="72">U89*$C$36*G89*$C$12</f>
        <v>0</v>
      </c>
      <c r="AP89" s="238">
        <f t="shared" ref="AP89:AP120" si="73">V89*$C$37*G89*$C$12</f>
        <v>10254669.018401539</v>
      </c>
      <c r="AQ89" s="238">
        <f t="shared" ref="AQ89:AQ120" si="74">W89*$C$39*G89*$C$12</f>
        <v>14477179.790684525</v>
      </c>
      <c r="AR89" s="238">
        <f t="shared" ref="AR89:AR120" si="75">X89*$C$41*G89*$C$12</f>
        <v>603215.82461185521</v>
      </c>
      <c r="AS89" s="238">
        <f t="shared" si="38"/>
        <v>0</v>
      </c>
      <c r="AT89" s="244">
        <f t="shared" si="39"/>
        <v>45844402.670500994</v>
      </c>
      <c r="AU89" s="254"/>
      <c r="AV89" s="248">
        <f t="shared" si="40"/>
        <v>61.178395142675015</v>
      </c>
      <c r="AW89" s="130"/>
    </row>
    <row r="90" spans="1:49" ht="14.45" hidden="1" customHeight="1">
      <c r="A90" s="194">
        <f>'Input data'!A81</f>
        <v>1983</v>
      </c>
      <c r="B90" s="209">
        <f>'Input data'!B81</f>
        <v>27.048839999999998</v>
      </c>
      <c r="C90" s="114">
        <f>'Input data'!F81</f>
        <v>0.71479999999999999</v>
      </c>
      <c r="D90" s="114">
        <f>'Input data'!G81</f>
        <v>0.28959999999999997</v>
      </c>
      <c r="E90" s="127"/>
      <c r="F90" s="238"/>
      <c r="G90" s="239">
        <f t="shared" si="43"/>
        <v>421002008.29049999</v>
      </c>
      <c r="H90" s="118">
        <f t="shared" si="41"/>
        <v>0.1</v>
      </c>
      <c r="I90" s="118">
        <f t="shared" si="44"/>
        <v>0</v>
      </c>
      <c r="J90" s="118">
        <f t="shared" si="45"/>
        <v>0.1</v>
      </c>
      <c r="K90" s="118">
        <f t="shared" si="46"/>
        <v>0.28000000000000003</v>
      </c>
      <c r="L90" s="118">
        <f t="shared" si="47"/>
        <v>0.04</v>
      </c>
      <c r="M90" s="206">
        <f t="shared" si="48"/>
        <v>0.48</v>
      </c>
      <c r="N90" s="117">
        <f t="shared" si="42"/>
        <v>0</v>
      </c>
      <c r="O90" s="118">
        <f t="shared" si="49"/>
        <v>0.7</v>
      </c>
      <c r="P90" s="118">
        <f t="shared" si="50"/>
        <v>0.15</v>
      </c>
      <c r="Q90" s="118">
        <f t="shared" si="51"/>
        <v>0.15</v>
      </c>
      <c r="R90" s="118">
        <f t="shared" si="52"/>
        <v>0</v>
      </c>
      <c r="S90" s="206">
        <f t="shared" si="53"/>
        <v>0</v>
      </c>
      <c r="T90" s="117">
        <f t="shared" si="13"/>
        <v>0.34</v>
      </c>
      <c r="U90" s="118">
        <f t="shared" si="54"/>
        <v>0</v>
      </c>
      <c r="V90" s="118">
        <f t="shared" si="55"/>
        <v>0.17</v>
      </c>
      <c r="W90" s="118">
        <f t="shared" si="56"/>
        <v>0.24</v>
      </c>
      <c r="X90" s="118">
        <f t="shared" si="57"/>
        <v>0.05</v>
      </c>
      <c r="Y90" s="206">
        <f t="shared" si="58"/>
        <v>0.2</v>
      </c>
      <c r="Z90" s="237">
        <f t="shared" si="59"/>
        <v>4925723.4969988493</v>
      </c>
      <c r="AA90" s="238">
        <f t="shared" si="60"/>
        <v>0</v>
      </c>
      <c r="AB90" s="238">
        <f t="shared" si="61"/>
        <v>4925723.4969988493</v>
      </c>
      <c r="AC90" s="238">
        <f t="shared" si="62"/>
        <v>2758405.1583193564</v>
      </c>
      <c r="AD90" s="238">
        <f t="shared" si="63"/>
        <v>394057.87975990796</v>
      </c>
      <c r="AE90" s="238">
        <f t="shared" si="64"/>
        <v>0</v>
      </c>
      <c r="AF90" s="244">
        <f t="shared" si="25"/>
        <v>13003910.032076962</v>
      </c>
      <c r="AG90" s="237">
        <f t="shared" si="65"/>
        <v>0</v>
      </c>
      <c r="AH90" s="238">
        <f t="shared" si="66"/>
        <v>0</v>
      </c>
      <c r="AI90" s="238">
        <f t="shared" si="67"/>
        <v>2273410.8447686997</v>
      </c>
      <c r="AJ90" s="238">
        <f t="shared" si="68"/>
        <v>454682.16895373992</v>
      </c>
      <c r="AK90" s="238">
        <f t="shared" si="69"/>
        <v>0</v>
      </c>
      <c r="AL90" s="238">
        <f t="shared" si="70"/>
        <v>0</v>
      </c>
      <c r="AM90" s="244">
        <f t="shared" si="32"/>
        <v>2728093.0137224398</v>
      </c>
      <c r="AN90" s="237">
        <f t="shared" si="71"/>
        <v>21041680.37435919</v>
      </c>
      <c r="AO90" s="238">
        <f t="shared" si="72"/>
        <v>0</v>
      </c>
      <c r="AP90" s="238">
        <f t="shared" si="73"/>
        <v>10520840.187179595</v>
      </c>
      <c r="AQ90" s="238">
        <f t="shared" si="74"/>
        <v>14852950.852488838</v>
      </c>
      <c r="AR90" s="238">
        <f t="shared" si="75"/>
        <v>618872.952187035</v>
      </c>
      <c r="AS90" s="238">
        <f t="shared" si="38"/>
        <v>0</v>
      </c>
      <c r="AT90" s="244">
        <f t="shared" si="39"/>
        <v>47034344.366214655</v>
      </c>
      <c r="AU90" s="254"/>
      <c r="AV90" s="248">
        <f t="shared" si="40"/>
        <v>62.766347412014056</v>
      </c>
      <c r="AW90" s="130"/>
    </row>
    <row r="91" spans="1:49" ht="14.45" hidden="1" customHeight="1">
      <c r="A91" s="194">
        <f>'Input data'!A82</f>
        <v>1984</v>
      </c>
      <c r="B91" s="209">
        <f>'Input data'!B82</f>
        <v>27.759549999999997</v>
      </c>
      <c r="C91" s="114">
        <f>'Input data'!F82</f>
        <v>0.71479999999999999</v>
      </c>
      <c r="D91" s="114">
        <f>'Input data'!G82</f>
        <v>0.28959999999999997</v>
      </c>
      <c r="E91" s="127"/>
      <c r="F91" s="238"/>
      <c r="G91" s="239">
        <f t="shared" si="43"/>
        <v>432063862.96937501</v>
      </c>
      <c r="H91" s="118">
        <f t="shared" si="41"/>
        <v>0.1</v>
      </c>
      <c r="I91" s="118">
        <f t="shared" si="44"/>
        <v>0</v>
      </c>
      <c r="J91" s="118">
        <f t="shared" si="45"/>
        <v>0.1</v>
      </c>
      <c r="K91" s="118">
        <f t="shared" si="46"/>
        <v>0.28000000000000003</v>
      </c>
      <c r="L91" s="118">
        <f t="shared" si="47"/>
        <v>0.04</v>
      </c>
      <c r="M91" s="206">
        <f t="shared" si="48"/>
        <v>0.48</v>
      </c>
      <c r="N91" s="117">
        <f t="shared" si="42"/>
        <v>0</v>
      </c>
      <c r="O91" s="118">
        <f t="shared" si="49"/>
        <v>0.7</v>
      </c>
      <c r="P91" s="118">
        <f t="shared" si="50"/>
        <v>0.15</v>
      </c>
      <c r="Q91" s="118">
        <f t="shared" si="51"/>
        <v>0.15</v>
      </c>
      <c r="R91" s="118">
        <f t="shared" si="52"/>
        <v>0</v>
      </c>
      <c r="S91" s="206">
        <f t="shared" si="53"/>
        <v>0</v>
      </c>
      <c r="T91" s="117">
        <f t="shared" si="13"/>
        <v>0.34</v>
      </c>
      <c r="U91" s="118">
        <f t="shared" si="54"/>
        <v>0</v>
      </c>
      <c r="V91" s="118">
        <f t="shared" si="55"/>
        <v>0.17</v>
      </c>
      <c r="W91" s="118">
        <f t="shared" si="56"/>
        <v>0.24</v>
      </c>
      <c r="X91" s="118">
        <f t="shared" si="57"/>
        <v>0.05</v>
      </c>
      <c r="Y91" s="206">
        <f t="shared" si="58"/>
        <v>0.2</v>
      </c>
      <c r="Z91" s="237">
        <f t="shared" si="59"/>
        <v>5055147.1967416881</v>
      </c>
      <c r="AA91" s="238">
        <f t="shared" si="60"/>
        <v>0</v>
      </c>
      <c r="AB91" s="238">
        <f t="shared" si="61"/>
        <v>5055147.1967416881</v>
      </c>
      <c r="AC91" s="238">
        <f t="shared" si="62"/>
        <v>2830882.4301753459</v>
      </c>
      <c r="AD91" s="238">
        <f t="shared" si="63"/>
        <v>404411.77573933499</v>
      </c>
      <c r="AE91" s="238">
        <f t="shared" si="64"/>
        <v>0</v>
      </c>
      <c r="AF91" s="244">
        <f t="shared" si="25"/>
        <v>13345588.599398056</v>
      </c>
      <c r="AG91" s="237">
        <f t="shared" si="65"/>
        <v>0</v>
      </c>
      <c r="AH91" s="238">
        <f t="shared" si="66"/>
        <v>0</v>
      </c>
      <c r="AI91" s="238">
        <f t="shared" si="67"/>
        <v>2333144.860034625</v>
      </c>
      <c r="AJ91" s="238">
        <f t="shared" si="68"/>
        <v>466628.97200692492</v>
      </c>
      <c r="AK91" s="238">
        <f t="shared" si="69"/>
        <v>0</v>
      </c>
      <c r="AL91" s="238">
        <f t="shared" si="70"/>
        <v>0</v>
      </c>
      <c r="AM91" s="244">
        <f t="shared" si="32"/>
        <v>2799773.83204155</v>
      </c>
      <c r="AN91" s="237">
        <f t="shared" si="71"/>
        <v>21594551.871209364</v>
      </c>
      <c r="AO91" s="238">
        <f t="shared" si="72"/>
        <v>0</v>
      </c>
      <c r="AP91" s="238">
        <f t="shared" si="73"/>
        <v>10797275.935604682</v>
      </c>
      <c r="AQ91" s="238">
        <f t="shared" si="74"/>
        <v>15243213.085559549</v>
      </c>
      <c r="AR91" s="238">
        <f t="shared" si="75"/>
        <v>635133.87856498128</v>
      </c>
      <c r="AS91" s="238">
        <f t="shared" si="38"/>
        <v>0</v>
      </c>
      <c r="AT91" s="244">
        <f t="shared" si="39"/>
        <v>48270174.770938575</v>
      </c>
      <c r="AU91" s="254"/>
      <c r="AV91" s="248">
        <f t="shared" si="40"/>
        <v>64.415537202378189</v>
      </c>
      <c r="AW91" s="130"/>
    </row>
    <row r="92" spans="1:49" ht="14.45" hidden="1" customHeight="1">
      <c r="A92" s="194">
        <f>'Input data'!A83</f>
        <v>1985</v>
      </c>
      <c r="B92" s="209">
        <f>'Input data'!B83</f>
        <v>28.490279999999998</v>
      </c>
      <c r="C92" s="114">
        <f>'Input data'!F83</f>
        <v>0.71479999999999999</v>
      </c>
      <c r="D92" s="114">
        <f>'Input data'!G83</f>
        <v>0.28959999999999997</v>
      </c>
      <c r="E92" s="127"/>
      <c r="F92" s="238"/>
      <c r="G92" s="239">
        <f t="shared" si="43"/>
        <v>443437319.18849999</v>
      </c>
      <c r="H92" s="118">
        <f t="shared" si="41"/>
        <v>0.1</v>
      </c>
      <c r="I92" s="118">
        <f t="shared" si="44"/>
        <v>0</v>
      </c>
      <c r="J92" s="118">
        <f t="shared" si="45"/>
        <v>0.1</v>
      </c>
      <c r="K92" s="118">
        <f t="shared" si="46"/>
        <v>0.28000000000000003</v>
      </c>
      <c r="L92" s="118">
        <f t="shared" si="47"/>
        <v>0.04</v>
      </c>
      <c r="M92" s="206">
        <f t="shared" si="48"/>
        <v>0.48</v>
      </c>
      <c r="N92" s="117">
        <f t="shared" si="42"/>
        <v>0</v>
      </c>
      <c r="O92" s="118">
        <f t="shared" si="49"/>
        <v>0.7</v>
      </c>
      <c r="P92" s="118">
        <f t="shared" si="50"/>
        <v>0.15</v>
      </c>
      <c r="Q92" s="118">
        <f t="shared" si="51"/>
        <v>0.15</v>
      </c>
      <c r="R92" s="118">
        <f t="shared" si="52"/>
        <v>0</v>
      </c>
      <c r="S92" s="206">
        <f t="shared" si="53"/>
        <v>0</v>
      </c>
      <c r="T92" s="117">
        <f t="shared" si="13"/>
        <v>0.34</v>
      </c>
      <c r="U92" s="118">
        <f t="shared" si="54"/>
        <v>0</v>
      </c>
      <c r="V92" s="118">
        <f t="shared" si="55"/>
        <v>0.17</v>
      </c>
      <c r="W92" s="118">
        <f t="shared" si="56"/>
        <v>0.24</v>
      </c>
      <c r="X92" s="118">
        <f t="shared" si="57"/>
        <v>0.05</v>
      </c>
      <c r="Y92" s="206">
        <f t="shared" si="58"/>
        <v>0.2</v>
      </c>
      <c r="Z92" s="237">
        <f t="shared" si="59"/>
        <v>5188216.6345054498</v>
      </c>
      <c r="AA92" s="238">
        <f t="shared" si="60"/>
        <v>0</v>
      </c>
      <c r="AB92" s="238">
        <f t="shared" si="61"/>
        <v>5188216.6345054498</v>
      </c>
      <c r="AC92" s="238">
        <f t="shared" si="62"/>
        <v>2905401.3153230525</v>
      </c>
      <c r="AD92" s="238">
        <f t="shared" si="63"/>
        <v>415057.33076043596</v>
      </c>
      <c r="AE92" s="238">
        <f t="shared" si="64"/>
        <v>0</v>
      </c>
      <c r="AF92" s="244">
        <f t="shared" si="25"/>
        <v>13696891.915094389</v>
      </c>
      <c r="AG92" s="237">
        <f t="shared" si="65"/>
        <v>0</v>
      </c>
      <c r="AH92" s="238">
        <f t="shared" si="66"/>
        <v>0</v>
      </c>
      <c r="AI92" s="238">
        <f t="shared" si="67"/>
        <v>2394561.5236178995</v>
      </c>
      <c r="AJ92" s="238">
        <f t="shared" si="68"/>
        <v>478912.30472357996</v>
      </c>
      <c r="AK92" s="238">
        <f t="shared" si="69"/>
        <v>0</v>
      </c>
      <c r="AL92" s="238">
        <f t="shared" si="70"/>
        <v>0</v>
      </c>
      <c r="AM92" s="244">
        <f t="shared" si="32"/>
        <v>2873473.8283414794</v>
      </c>
      <c r="AN92" s="237">
        <f t="shared" si="71"/>
        <v>22162997.213041231</v>
      </c>
      <c r="AO92" s="238">
        <f t="shared" si="72"/>
        <v>0</v>
      </c>
      <c r="AP92" s="238">
        <f t="shared" si="73"/>
        <v>11081498.606520616</v>
      </c>
      <c r="AQ92" s="238">
        <f t="shared" si="74"/>
        <v>15644468.620970279</v>
      </c>
      <c r="AR92" s="238">
        <f t="shared" si="75"/>
        <v>651852.859207095</v>
      </c>
      <c r="AS92" s="238">
        <f t="shared" si="38"/>
        <v>0</v>
      </c>
      <c r="AT92" s="244">
        <f t="shared" si="39"/>
        <v>49540817.299739219</v>
      </c>
      <c r="AU92" s="254"/>
      <c r="AV92" s="248">
        <f t="shared" si="40"/>
        <v>66.111183043175089</v>
      </c>
      <c r="AW92" s="130"/>
    </row>
    <row r="93" spans="1:49" ht="14.45" hidden="1" customHeight="1">
      <c r="A93" s="194">
        <f>'Input data'!A84</f>
        <v>1986</v>
      </c>
      <c r="B93" s="209">
        <f>'Input data'!B84</f>
        <v>29.230110000000003</v>
      </c>
      <c r="C93" s="114">
        <f>'Input data'!F84</f>
        <v>0.71479999999999999</v>
      </c>
      <c r="D93" s="114">
        <f>'Input data'!G84</f>
        <v>0.28959999999999997</v>
      </c>
      <c r="E93" s="127"/>
      <c r="F93" s="238"/>
      <c r="G93" s="239">
        <f t="shared" si="43"/>
        <v>454952412.47137511</v>
      </c>
      <c r="H93" s="118">
        <f t="shared" si="41"/>
        <v>0.1</v>
      </c>
      <c r="I93" s="118">
        <f t="shared" si="44"/>
        <v>0</v>
      </c>
      <c r="J93" s="118">
        <f t="shared" si="45"/>
        <v>0.1</v>
      </c>
      <c r="K93" s="118">
        <f t="shared" si="46"/>
        <v>0.28000000000000003</v>
      </c>
      <c r="L93" s="118">
        <f t="shared" si="47"/>
        <v>0.04</v>
      </c>
      <c r="M93" s="206">
        <f t="shared" si="48"/>
        <v>0.48</v>
      </c>
      <c r="N93" s="117">
        <f t="shared" si="42"/>
        <v>0</v>
      </c>
      <c r="O93" s="118">
        <f t="shared" si="49"/>
        <v>0.7</v>
      </c>
      <c r="P93" s="118">
        <f t="shared" si="50"/>
        <v>0.15</v>
      </c>
      <c r="Q93" s="118">
        <f t="shared" si="51"/>
        <v>0.15</v>
      </c>
      <c r="R93" s="118">
        <f t="shared" si="52"/>
        <v>0</v>
      </c>
      <c r="S93" s="206">
        <f t="shared" si="53"/>
        <v>0</v>
      </c>
      <c r="T93" s="117">
        <f t="shared" si="13"/>
        <v>0.34</v>
      </c>
      <c r="U93" s="118">
        <f t="shared" si="54"/>
        <v>0</v>
      </c>
      <c r="V93" s="118">
        <f t="shared" si="55"/>
        <v>0.17</v>
      </c>
      <c r="W93" s="118">
        <f t="shared" si="56"/>
        <v>0.24</v>
      </c>
      <c r="X93" s="118">
        <f t="shared" si="57"/>
        <v>0.05</v>
      </c>
      <c r="Y93" s="206">
        <f t="shared" si="58"/>
        <v>0.2</v>
      </c>
      <c r="Z93" s="237">
        <f t="shared" si="59"/>
        <v>5322943.2259150892</v>
      </c>
      <c r="AA93" s="238">
        <f t="shared" si="60"/>
        <v>0</v>
      </c>
      <c r="AB93" s="238">
        <f t="shared" si="61"/>
        <v>5322943.2259150892</v>
      </c>
      <c r="AC93" s="238">
        <f t="shared" si="62"/>
        <v>2980848.2065124502</v>
      </c>
      <c r="AD93" s="238">
        <f t="shared" si="63"/>
        <v>425835.45807320706</v>
      </c>
      <c r="AE93" s="238">
        <f t="shared" si="64"/>
        <v>0</v>
      </c>
      <c r="AF93" s="244">
        <f t="shared" si="25"/>
        <v>14052570.116415836</v>
      </c>
      <c r="AG93" s="237">
        <f t="shared" si="65"/>
        <v>0</v>
      </c>
      <c r="AH93" s="238">
        <f t="shared" si="66"/>
        <v>0</v>
      </c>
      <c r="AI93" s="238">
        <f t="shared" si="67"/>
        <v>2456743.0273454254</v>
      </c>
      <c r="AJ93" s="238">
        <f t="shared" si="68"/>
        <v>491348.60546908504</v>
      </c>
      <c r="AK93" s="238">
        <f t="shared" si="69"/>
        <v>0</v>
      </c>
      <c r="AL93" s="238">
        <f t="shared" si="70"/>
        <v>0</v>
      </c>
      <c r="AM93" s="244">
        <f t="shared" si="32"/>
        <v>2948091.6328145107</v>
      </c>
      <c r="AN93" s="237">
        <f t="shared" si="71"/>
        <v>22738521.575319327</v>
      </c>
      <c r="AO93" s="238">
        <f t="shared" si="72"/>
        <v>0</v>
      </c>
      <c r="AP93" s="238">
        <f t="shared" si="73"/>
        <v>11369260.787659664</v>
      </c>
      <c r="AQ93" s="238">
        <f t="shared" si="74"/>
        <v>16050721.111990113</v>
      </c>
      <c r="AR93" s="238">
        <f t="shared" si="75"/>
        <v>668780.04633292137</v>
      </c>
      <c r="AS93" s="238">
        <f t="shared" si="38"/>
        <v>0</v>
      </c>
      <c r="AT93" s="244">
        <f t="shared" si="39"/>
        <v>50827283.521302022</v>
      </c>
      <c r="AU93" s="254"/>
      <c r="AV93" s="248">
        <f t="shared" si="40"/>
        <v>67.827945270532368</v>
      </c>
      <c r="AW93" s="130"/>
    </row>
    <row r="94" spans="1:49" ht="14.45" hidden="1" customHeight="1">
      <c r="A94" s="194">
        <f>'Input data'!A85</f>
        <v>1987</v>
      </c>
      <c r="B94" s="209">
        <f>'Input data'!B85</f>
        <v>29.96903</v>
      </c>
      <c r="C94" s="114">
        <f>'Input data'!F85</f>
        <v>0.71479999999999999</v>
      </c>
      <c r="D94" s="114">
        <f>'Input data'!G85</f>
        <v>0.28959999999999997</v>
      </c>
      <c r="E94" s="127"/>
      <c r="F94" s="238"/>
      <c r="G94" s="239">
        <f t="shared" si="43"/>
        <v>466453342.04787511</v>
      </c>
      <c r="H94" s="118">
        <f t="shared" si="41"/>
        <v>0.1</v>
      </c>
      <c r="I94" s="118">
        <f t="shared" si="44"/>
        <v>0</v>
      </c>
      <c r="J94" s="118">
        <f t="shared" si="45"/>
        <v>0.1</v>
      </c>
      <c r="K94" s="118">
        <f t="shared" si="46"/>
        <v>0.28000000000000003</v>
      </c>
      <c r="L94" s="118">
        <f t="shared" si="47"/>
        <v>0.04</v>
      </c>
      <c r="M94" s="206">
        <f t="shared" si="48"/>
        <v>0.48</v>
      </c>
      <c r="N94" s="117">
        <f t="shared" si="42"/>
        <v>0</v>
      </c>
      <c r="O94" s="118">
        <f t="shared" si="49"/>
        <v>0.7</v>
      </c>
      <c r="P94" s="118">
        <f t="shared" si="50"/>
        <v>0.15</v>
      </c>
      <c r="Q94" s="118">
        <f t="shared" si="51"/>
        <v>0.15</v>
      </c>
      <c r="R94" s="118">
        <f t="shared" si="52"/>
        <v>0</v>
      </c>
      <c r="S94" s="206">
        <f t="shared" si="53"/>
        <v>0</v>
      </c>
      <c r="T94" s="117">
        <f t="shared" si="13"/>
        <v>0.34</v>
      </c>
      <c r="U94" s="118">
        <f t="shared" si="54"/>
        <v>0</v>
      </c>
      <c r="V94" s="118">
        <f t="shared" si="55"/>
        <v>0.17</v>
      </c>
      <c r="W94" s="118">
        <f t="shared" si="56"/>
        <v>0.24</v>
      </c>
      <c r="X94" s="118">
        <f t="shared" si="57"/>
        <v>0.05</v>
      </c>
      <c r="Y94" s="206">
        <f t="shared" si="58"/>
        <v>0.2</v>
      </c>
      <c r="Z94" s="237">
        <f t="shared" si="59"/>
        <v>5457504.1019601384</v>
      </c>
      <c r="AA94" s="238">
        <f t="shared" si="60"/>
        <v>0</v>
      </c>
      <c r="AB94" s="238">
        <f t="shared" si="61"/>
        <v>5457504.1019601384</v>
      </c>
      <c r="AC94" s="238">
        <f t="shared" si="62"/>
        <v>3056202.2970976783</v>
      </c>
      <c r="AD94" s="238">
        <f t="shared" si="63"/>
        <v>436600.32815681107</v>
      </c>
      <c r="AE94" s="238">
        <f t="shared" si="64"/>
        <v>0</v>
      </c>
      <c r="AF94" s="244">
        <f t="shared" si="25"/>
        <v>14407810.829174764</v>
      </c>
      <c r="AG94" s="237">
        <f t="shared" si="65"/>
        <v>0</v>
      </c>
      <c r="AH94" s="238">
        <f t="shared" si="66"/>
        <v>0</v>
      </c>
      <c r="AI94" s="238">
        <f t="shared" si="67"/>
        <v>2518848.0470585255</v>
      </c>
      <c r="AJ94" s="238">
        <f t="shared" si="68"/>
        <v>503769.60941170499</v>
      </c>
      <c r="AK94" s="238">
        <f t="shared" si="69"/>
        <v>0</v>
      </c>
      <c r="AL94" s="238">
        <f t="shared" si="70"/>
        <v>0</v>
      </c>
      <c r="AM94" s="244">
        <f t="shared" si="32"/>
        <v>3022617.6564702303</v>
      </c>
      <c r="AN94" s="237">
        <f t="shared" si="71"/>
        <v>23313338.0355528</v>
      </c>
      <c r="AO94" s="238">
        <f t="shared" si="72"/>
        <v>0</v>
      </c>
      <c r="AP94" s="238">
        <f t="shared" si="73"/>
        <v>11656669.0177764</v>
      </c>
      <c r="AQ94" s="238">
        <f t="shared" si="74"/>
        <v>16456473.907449031</v>
      </c>
      <c r="AR94" s="238">
        <f t="shared" si="75"/>
        <v>685686.41281037638</v>
      </c>
      <c r="AS94" s="238">
        <f t="shared" si="38"/>
        <v>0</v>
      </c>
      <c r="AT94" s="244">
        <f t="shared" si="39"/>
        <v>52112167.373588607</v>
      </c>
      <c r="AU94" s="254"/>
      <c r="AV94" s="248">
        <f t="shared" si="40"/>
        <v>69.5425958592336</v>
      </c>
      <c r="AW94" s="130"/>
    </row>
    <row r="95" spans="1:49" ht="14.45" hidden="1" customHeight="1">
      <c r="A95" s="194">
        <f>'Input data'!A86</f>
        <v>1988</v>
      </c>
      <c r="B95" s="209">
        <f>'Input data'!B86</f>
        <v>30.692480000000003</v>
      </c>
      <c r="C95" s="114">
        <f>'Input data'!F86</f>
        <v>0.71479999999999999</v>
      </c>
      <c r="D95" s="114">
        <f>'Input data'!G86</f>
        <v>0.28959999999999997</v>
      </c>
      <c r="E95" s="127"/>
      <c r="F95" s="238"/>
      <c r="G95" s="239">
        <f t="shared" si="43"/>
        <v>477713488.61600012</v>
      </c>
      <c r="H95" s="118">
        <f t="shared" si="41"/>
        <v>0.1</v>
      </c>
      <c r="I95" s="118">
        <f t="shared" si="44"/>
        <v>0</v>
      </c>
      <c r="J95" s="118">
        <f t="shared" si="45"/>
        <v>0.1</v>
      </c>
      <c r="K95" s="118">
        <f t="shared" si="46"/>
        <v>0.28000000000000003</v>
      </c>
      <c r="L95" s="118">
        <f t="shared" si="47"/>
        <v>0.04</v>
      </c>
      <c r="M95" s="206">
        <f t="shared" si="48"/>
        <v>0.48</v>
      </c>
      <c r="N95" s="117">
        <f t="shared" si="42"/>
        <v>0</v>
      </c>
      <c r="O95" s="118">
        <f t="shared" si="49"/>
        <v>0.7</v>
      </c>
      <c r="P95" s="118">
        <f t="shared" si="50"/>
        <v>0.15</v>
      </c>
      <c r="Q95" s="118">
        <f t="shared" si="51"/>
        <v>0.15</v>
      </c>
      <c r="R95" s="118">
        <f t="shared" si="52"/>
        <v>0</v>
      </c>
      <c r="S95" s="206">
        <f t="shared" si="53"/>
        <v>0</v>
      </c>
      <c r="T95" s="117">
        <f t="shared" si="13"/>
        <v>0.34</v>
      </c>
      <c r="U95" s="118">
        <f t="shared" si="54"/>
        <v>0</v>
      </c>
      <c r="V95" s="118">
        <f t="shared" si="55"/>
        <v>0.17</v>
      </c>
      <c r="W95" s="118">
        <f t="shared" si="56"/>
        <v>0.24</v>
      </c>
      <c r="X95" s="118">
        <f t="shared" si="57"/>
        <v>0.05</v>
      </c>
      <c r="Y95" s="206">
        <f t="shared" si="58"/>
        <v>0.2</v>
      </c>
      <c r="Z95" s="237">
        <f t="shared" si="59"/>
        <v>5589247.8168072011</v>
      </c>
      <c r="AA95" s="238">
        <f t="shared" si="60"/>
        <v>0</v>
      </c>
      <c r="AB95" s="238">
        <f t="shared" si="61"/>
        <v>5589247.8168072011</v>
      </c>
      <c r="AC95" s="238">
        <f t="shared" si="62"/>
        <v>3129978.7774120332</v>
      </c>
      <c r="AD95" s="238">
        <f t="shared" si="63"/>
        <v>447139.82534457609</v>
      </c>
      <c r="AE95" s="238">
        <f t="shared" si="64"/>
        <v>0</v>
      </c>
      <c r="AF95" s="244">
        <f t="shared" si="25"/>
        <v>14755614.236371011</v>
      </c>
      <c r="AG95" s="237">
        <f t="shared" si="65"/>
        <v>0</v>
      </c>
      <c r="AH95" s="238">
        <f t="shared" si="66"/>
        <v>0</v>
      </c>
      <c r="AI95" s="238">
        <f t="shared" si="67"/>
        <v>2579652.8385264007</v>
      </c>
      <c r="AJ95" s="238">
        <f t="shared" si="68"/>
        <v>515930.56770528003</v>
      </c>
      <c r="AK95" s="238">
        <f t="shared" si="69"/>
        <v>0</v>
      </c>
      <c r="AL95" s="238">
        <f t="shared" si="70"/>
        <v>0</v>
      </c>
      <c r="AM95" s="244">
        <f t="shared" si="32"/>
        <v>3095583.4062316809</v>
      </c>
      <c r="AN95" s="237">
        <f t="shared" si="71"/>
        <v>23876120.161027685</v>
      </c>
      <c r="AO95" s="238">
        <f t="shared" si="72"/>
        <v>0</v>
      </c>
      <c r="AP95" s="238">
        <f t="shared" si="73"/>
        <v>11938060.080513842</v>
      </c>
      <c r="AQ95" s="238">
        <f t="shared" si="74"/>
        <v>16853731.878372479</v>
      </c>
      <c r="AR95" s="238">
        <f t="shared" si="75"/>
        <v>702238.82826552028</v>
      </c>
      <c r="AS95" s="238">
        <f t="shared" si="38"/>
        <v>0</v>
      </c>
      <c r="AT95" s="244">
        <f t="shared" si="39"/>
        <v>53370150.948179528</v>
      </c>
      <c r="AU95" s="254"/>
      <c r="AV95" s="248">
        <f t="shared" si="40"/>
        <v>71.221348590782227</v>
      </c>
      <c r="AW95" s="130"/>
    </row>
    <row r="96" spans="1:49" ht="14.45" hidden="1" customHeight="1">
      <c r="A96" s="194">
        <f>'Input data'!A87</f>
        <v>1989</v>
      </c>
      <c r="B96" s="209">
        <f>'Input data'!B87</f>
        <v>31.386810000000001</v>
      </c>
      <c r="C96" s="114">
        <f>'Input data'!F87</f>
        <v>0.71479999999999999</v>
      </c>
      <c r="D96" s="114">
        <f>'Input data'!G87</f>
        <v>0.28959999999999997</v>
      </c>
      <c r="E96" s="127"/>
      <c r="F96" s="238"/>
      <c r="G96" s="239">
        <f t="shared" si="43"/>
        <v>488520396.58012509</v>
      </c>
      <c r="H96" s="118">
        <f t="shared" si="41"/>
        <v>0.1</v>
      </c>
      <c r="I96" s="118">
        <f t="shared" si="44"/>
        <v>0</v>
      </c>
      <c r="J96" s="118">
        <f t="shared" si="45"/>
        <v>0.1</v>
      </c>
      <c r="K96" s="118">
        <f t="shared" si="46"/>
        <v>0.28000000000000003</v>
      </c>
      <c r="L96" s="118">
        <f t="shared" si="47"/>
        <v>0.04</v>
      </c>
      <c r="M96" s="206">
        <f t="shared" si="48"/>
        <v>0.48</v>
      </c>
      <c r="N96" s="117">
        <f t="shared" si="42"/>
        <v>0</v>
      </c>
      <c r="O96" s="118">
        <f t="shared" si="49"/>
        <v>0.7</v>
      </c>
      <c r="P96" s="118">
        <f t="shared" si="50"/>
        <v>0.15</v>
      </c>
      <c r="Q96" s="118">
        <f t="shared" si="51"/>
        <v>0.15</v>
      </c>
      <c r="R96" s="118">
        <f t="shared" si="52"/>
        <v>0</v>
      </c>
      <c r="S96" s="206">
        <f t="shared" si="53"/>
        <v>0</v>
      </c>
      <c r="T96" s="117">
        <f t="shared" si="13"/>
        <v>0.34</v>
      </c>
      <c r="U96" s="118">
        <f t="shared" si="54"/>
        <v>0</v>
      </c>
      <c r="V96" s="118">
        <f t="shared" si="55"/>
        <v>0.17</v>
      </c>
      <c r="W96" s="118">
        <f t="shared" si="56"/>
        <v>0.24</v>
      </c>
      <c r="X96" s="118">
        <f t="shared" si="57"/>
        <v>0.05</v>
      </c>
      <c r="Y96" s="206">
        <f t="shared" si="58"/>
        <v>0.2</v>
      </c>
      <c r="Z96" s="237">
        <f t="shared" si="59"/>
        <v>5715688.6399874641</v>
      </c>
      <c r="AA96" s="238">
        <f t="shared" si="60"/>
        <v>0</v>
      </c>
      <c r="AB96" s="238">
        <f t="shared" si="61"/>
        <v>5715688.6399874641</v>
      </c>
      <c r="AC96" s="238">
        <f t="shared" si="62"/>
        <v>3200785.6383929802</v>
      </c>
      <c r="AD96" s="238">
        <f t="shared" si="63"/>
        <v>457255.09119899711</v>
      </c>
      <c r="AE96" s="238">
        <f t="shared" si="64"/>
        <v>0</v>
      </c>
      <c r="AF96" s="244">
        <f t="shared" si="25"/>
        <v>15089418.009566905</v>
      </c>
      <c r="AG96" s="237">
        <f t="shared" si="65"/>
        <v>0</v>
      </c>
      <c r="AH96" s="238">
        <f t="shared" si="66"/>
        <v>0</v>
      </c>
      <c r="AI96" s="238">
        <f t="shared" si="67"/>
        <v>2638010.1415326754</v>
      </c>
      <c r="AJ96" s="238">
        <f t="shared" si="68"/>
        <v>527602.0283065351</v>
      </c>
      <c r="AK96" s="238">
        <f t="shared" si="69"/>
        <v>0</v>
      </c>
      <c r="AL96" s="238">
        <f t="shared" si="70"/>
        <v>0</v>
      </c>
      <c r="AM96" s="244">
        <f t="shared" si="32"/>
        <v>3165612.1698392103</v>
      </c>
      <c r="AN96" s="237">
        <f t="shared" si="71"/>
        <v>24416249.421074651</v>
      </c>
      <c r="AO96" s="238">
        <f t="shared" si="72"/>
        <v>0</v>
      </c>
      <c r="AP96" s="238">
        <f t="shared" si="73"/>
        <v>12208124.710537326</v>
      </c>
      <c r="AQ96" s="238">
        <f t="shared" si="74"/>
        <v>17234999.591346812</v>
      </c>
      <c r="AR96" s="238">
        <f t="shared" si="75"/>
        <v>718124.98297278397</v>
      </c>
      <c r="AS96" s="238">
        <f t="shared" si="38"/>
        <v>0</v>
      </c>
      <c r="AT96" s="244">
        <f t="shared" si="39"/>
        <v>54577498.705931574</v>
      </c>
      <c r="AU96" s="254"/>
      <c r="AV96" s="248">
        <f t="shared" si="40"/>
        <v>72.83252888533768</v>
      </c>
      <c r="AW96" s="130"/>
    </row>
    <row r="97" spans="1:49" ht="14.45" hidden="1" customHeight="1">
      <c r="A97" s="194">
        <f>'Input data'!A88</f>
        <v>1990</v>
      </c>
      <c r="B97" s="209">
        <f>'Input data'!B88</f>
        <v>32.032000000000004</v>
      </c>
      <c r="C97" s="114">
        <f>'Input data'!F88</f>
        <v>0.71479999999999999</v>
      </c>
      <c r="D97" s="114">
        <f>'Input data'!G88</f>
        <v>0.28959999999999997</v>
      </c>
      <c r="E97" s="127"/>
      <c r="F97" s="238"/>
      <c r="G97" s="239">
        <f t="shared" si="43"/>
        <v>498562464.4000001</v>
      </c>
      <c r="H97" s="118">
        <f t="shared" si="41"/>
        <v>0.1</v>
      </c>
      <c r="I97" s="118">
        <f t="shared" si="44"/>
        <v>0</v>
      </c>
      <c r="J97" s="118">
        <f t="shared" si="45"/>
        <v>0.1</v>
      </c>
      <c r="K97" s="118">
        <f t="shared" si="46"/>
        <v>0.28000000000000003</v>
      </c>
      <c r="L97" s="118">
        <f t="shared" si="47"/>
        <v>0.04</v>
      </c>
      <c r="M97" s="206">
        <f t="shared" si="48"/>
        <v>0.48</v>
      </c>
      <c r="N97" s="117">
        <f t="shared" si="42"/>
        <v>0</v>
      </c>
      <c r="O97" s="118">
        <f t="shared" si="49"/>
        <v>0.7</v>
      </c>
      <c r="P97" s="118">
        <f t="shared" si="50"/>
        <v>0.15</v>
      </c>
      <c r="Q97" s="118">
        <f t="shared" si="51"/>
        <v>0.15</v>
      </c>
      <c r="R97" s="118">
        <f t="shared" si="52"/>
        <v>0</v>
      </c>
      <c r="S97" s="206">
        <f t="shared" si="53"/>
        <v>0</v>
      </c>
      <c r="T97" s="117">
        <f t="shared" si="13"/>
        <v>0.34</v>
      </c>
      <c r="U97" s="118">
        <f t="shared" si="54"/>
        <v>0</v>
      </c>
      <c r="V97" s="118">
        <f t="shared" si="55"/>
        <v>0.17</v>
      </c>
      <c r="W97" s="118">
        <f t="shared" si="56"/>
        <v>0.24</v>
      </c>
      <c r="X97" s="118">
        <f t="shared" si="57"/>
        <v>0.05</v>
      </c>
      <c r="Y97" s="206">
        <f t="shared" si="58"/>
        <v>0.2</v>
      </c>
      <c r="Z97" s="237">
        <f t="shared" si="59"/>
        <v>5833180.8334800005</v>
      </c>
      <c r="AA97" s="238">
        <f t="shared" si="60"/>
        <v>0</v>
      </c>
      <c r="AB97" s="238">
        <f t="shared" si="61"/>
        <v>5833180.8334800005</v>
      </c>
      <c r="AC97" s="238">
        <f t="shared" si="62"/>
        <v>3266581.2667488013</v>
      </c>
      <c r="AD97" s="238">
        <f t="shared" si="63"/>
        <v>466654.46667840006</v>
      </c>
      <c r="AE97" s="238">
        <f t="shared" si="64"/>
        <v>0</v>
      </c>
      <c r="AF97" s="244">
        <f t="shared" si="25"/>
        <v>15399597.400387201</v>
      </c>
      <c r="AG97" s="237">
        <f t="shared" si="65"/>
        <v>0</v>
      </c>
      <c r="AH97" s="238">
        <f t="shared" si="66"/>
        <v>0</v>
      </c>
      <c r="AI97" s="238">
        <f t="shared" si="67"/>
        <v>2692237.3077600002</v>
      </c>
      <c r="AJ97" s="238">
        <f t="shared" si="68"/>
        <v>538447.46155200002</v>
      </c>
      <c r="AK97" s="238">
        <f t="shared" si="69"/>
        <v>0</v>
      </c>
      <c r="AL97" s="238">
        <f t="shared" si="70"/>
        <v>0</v>
      </c>
      <c r="AM97" s="244">
        <f t="shared" si="32"/>
        <v>3230684.7693120004</v>
      </c>
      <c r="AN97" s="237">
        <f t="shared" si="71"/>
        <v>24918151.970712006</v>
      </c>
      <c r="AO97" s="238">
        <f t="shared" si="72"/>
        <v>0</v>
      </c>
      <c r="AP97" s="238">
        <f t="shared" si="73"/>
        <v>12459075.985356003</v>
      </c>
      <c r="AQ97" s="238">
        <f t="shared" si="74"/>
        <v>17589283.744032003</v>
      </c>
      <c r="AR97" s="238">
        <f t="shared" si="75"/>
        <v>732886.82266800012</v>
      </c>
      <c r="AS97" s="238">
        <f t="shared" si="38"/>
        <v>0</v>
      </c>
      <c r="AT97" s="244">
        <f t="shared" si="39"/>
        <v>55699398.522768013</v>
      </c>
      <c r="AU97" s="254"/>
      <c r="AV97" s="248">
        <f t="shared" si="40"/>
        <v>74.329680692467207</v>
      </c>
      <c r="AW97" s="130"/>
    </row>
    <row r="98" spans="1:49" ht="14.45" hidden="1" customHeight="1">
      <c r="A98" s="194">
        <f>'Input data'!A89</f>
        <v>1991</v>
      </c>
      <c r="B98" s="209">
        <f>'Input data'!B89</f>
        <v>32.69903</v>
      </c>
      <c r="C98" s="114">
        <f>'Input data'!F89</f>
        <v>0.71479999999999999</v>
      </c>
      <c r="D98" s="114">
        <f>'Input data'!G89</f>
        <v>0.28959999999999997</v>
      </c>
      <c r="E98" s="127"/>
      <c r="F98" s="238"/>
      <c r="G98" s="239">
        <f t="shared" si="43"/>
        <v>508944461.17287511</v>
      </c>
      <c r="H98" s="118">
        <f t="shared" si="41"/>
        <v>0.1</v>
      </c>
      <c r="I98" s="118">
        <f t="shared" si="44"/>
        <v>0</v>
      </c>
      <c r="J98" s="118">
        <f t="shared" si="45"/>
        <v>0.1</v>
      </c>
      <c r="K98" s="118">
        <f t="shared" si="46"/>
        <v>0.28000000000000003</v>
      </c>
      <c r="L98" s="118">
        <f t="shared" si="47"/>
        <v>0.04</v>
      </c>
      <c r="M98" s="206">
        <f t="shared" si="48"/>
        <v>0.48</v>
      </c>
      <c r="N98" s="117">
        <f t="shared" si="42"/>
        <v>0</v>
      </c>
      <c r="O98" s="118">
        <f t="shared" si="49"/>
        <v>0.7</v>
      </c>
      <c r="P98" s="118">
        <f t="shared" si="50"/>
        <v>0.15</v>
      </c>
      <c r="Q98" s="118">
        <f t="shared" si="51"/>
        <v>0.15</v>
      </c>
      <c r="R98" s="118">
        <f t="shared" si="52"/>
        <v>0</v>
      </c>
      <c r="S98" s="206">
        <f t="shared" si="53"/>
        <v>0</v>
      </c>
      <c r="T98" s="117">
        <f t="shared" si="13"/>
        <v>0.34</v>
      </c>
      <c r="U98" s="118">
        <f t="shared" si="54"/>
        <v>0</v>
      </c>
      <c r="V98" s="118">
        <f t="shared" si="55"/>
        <v>0.17</v>
      </c>
      <c r="W98" s="118">
        <f t="shared" si="56"/>
        <v>0.24</v>
      </c>
      <c r="X98" s="118">
        <f t="shared" si="57"/>
        <v>0.05</v>
      </c>
      <c r="Y98" s="206">
        <f t="shared" si="58"/>
        <v>0.2</v>
      </c>
      <c r="Z98" s="237">
        <f t="shared" si="59"/>
        <v>5954650.1957226386</v>
      </c>
      <c r="AA98" s="238">
        <f t="shared" si="60"/>
        <v>0</v>
      </c>
      <c r="AB98" s="238">
        <f t="shared" si="61"/>
        <v>5954650.1957226386</v>
      </c>
      <c r="AC98" s="238">
        <f t="shared" si="62"/>
        <v>3334604.1096046781</v>
      </c>
      <c r="AD98" s="238">
        <f t="shared" si="63"/>
        <v>476372.01565781102</v>
      </c>
      <c r="AE98" s="238">
        <f t="shared" si="64"/>
        <v>0</v>
      </c>
      <c r="AF98" s="244">
        <f t="shared" si="25"/>
        <v>15720276.516707765</v>
      </c>
      <c r="AG98" s="237">
        <f t="shared" si="65"/>
        <v>0</v>
      </c>
      <c r="AH98" s="238">
        <f t="shared" si="66"/>
        <v>0</v>
      </c>
      <c r="AI98" s="238">
        <f t="shared" si="67"/>
        <v>2748300.0903335256</v>
      </c>
      <c r="AJ98" s="238">
        <f t="shared" si="68"/>
        <v>549660.01806670497</v>
      </c>
      <c r="AK98" s="238">
        <f t="shared" si="69"/>
        <v>0</v>
      </c>
      <c r="AL98" s="238">
        <f t="shared" si="70"/>
        <v>0</v>
      </c>
      <c r="AM98" s="244">
        <f t="shared" si="32"/>
        <v>3297960.1084002303</v>
      </c>
      <c r="AN98" s="237">
        <f t="shared" si="71"/>
        <v>25437044.169420302</v>
      </c>
      <c r="AO98" s="238">
        <f t="shared" si="72"/>
        <v>0</v>
      </c>
      <c r="AP98" s="238">
        <f t="shared" si="73"/>
        <v>12718522.084710151</v>
      </c>
      <c r="AQ98" s="238">
        <f t="shared" si="74"/>
        <v>17955560.59017903</v>
      </c>
      <c r="AR98" s="238">
        <f t="shared" si="75"/>
        <v>748148.35792412632</v>
      </c>
      <c r="AS98" s="238">
        <f t="shared" si="38"/>
        <v>0</v>
      </c>
      <c r="AT98" s="244">
        <f t="shared" si="39"/>
        <v>56859275.202233605</v>
      </c>
      <c r="AU98" s="254"/>
      <c r="AV98" s="248">
        <f t="shared" si="40"/>
        <v>75.877511827341607</v>
      </c>
      <c r="AW98" s="130"/>
    </row>
    <row r="99" spans="1:49" ht="14.45" hidden="1" customHeight="1">
      <c r="A99" s="194">
        <f>'Input data'!A90</f>
        <v>1992</v>
      </c>
      <c r="B99" s="209">
        <f>'Input data'!B90</f>
        <v>33.388809999999999</v>
      </c>
      <c r="C99" s="114">
        <f>'Input data'!F90</f>
        <v>0.71479999999999999</v>
      </c>
      <c r="D99" s="114">
        <f>'Input data'!G90</f>
        <v>0.28959999999999997</v>
      </c>
      <c r="E99" s="127"/>
      <c r="F99" s="238"/>
      <c r="G99" s="239">
        <f t="shared" si="43"/>
        <v>519680550.60512507</v>
      </c>
      <c r="H99" s="118">
        <f t="shared" si="41"/>
        <v>0.1</v>
      </c>
      <c r="I99" s="118">
        <f t="shared" si="44"/>
        <v>0</v>
      </c>
      <c r="J99" s="118">
        <f t="shared" si="45"/>
        <v>0.1</v>
      </c>
      <c r="K99" s="118">
        <f t="shared" si="46"/>
        <v>0.28000000000000003</v>
      </c>
      <c r="L99" s="118">
        <f t="shared" si="47"/>
        <v>0.04</v>
      </c>
      <c r="M99" s="206">
        <f t="shared" si="48"/>
        <v>0.48</v>
      </c>
      <c r="N99" s="117">
        <f t="shared" si="42"/>
        <v>0</v>
      </c>
      <c r="O99" s="118">
        <f t="shared" si="49"/>
        <v>0.7</v>
      </c>
      <c r="P99" s="118">
        <f t="shared" si="50"/>
        <v>0.15</v>
      </c>
      <c r="Q99" s="118">
        <f t="shared" si="51"/>
        <v>0.15</v>
      </c>
      <c r="R99" s="118">
        <f t="shared" si="52"/>
        <v>0</v>
      </c>
      <c r="S99" s="206">
        <f t="shared" si="53"/>
        <v>0</v>
      </c>
      <c r="T99" s="117">
        <f t="shared" si="13"/>
        <v>0.34</v>
      </c>
      <c r="U99" s="118">
        <f t="shared" si="54"/>
        <v>0</v>
      </c>
      <c r="V99" s="118">
        <f t="shared" si="55"/>
        <v>0.17</v>
      </c>
      <c r="W99" s="118">
        <f t="shared" si="56"/>
        <v>0.24</v>
      </c>
      <c r="X99" s="118">
        <f t="shared" si="57"/>
        <v>0.05</v>
      </c>
      <c r="Y99" s="206">
        <f t="shared" si="58"/>
        <v>0.2</v>
      </c>
      <c r="Z99" s="237">
        <f t="shared" si="59"/>
        <v>6080262.4420799632</v>
      </c>
      <c r="AA99" s="238">
        <f t="shared" si="60"/>
        <v>0</v>
      </c>
      <c r="AB99" s="238">
        <f t="shared" si="61"/>
        <v>6080262.4420799632</v>
      </c>
      <c r="AC99" s="238">
        <f t="shared" si="62"/>
        <v>3404946.9675647803</v>
      </c>
      <c r="AD99" s="238">
        <f t="shared" si="63"/>
        <v>486420.99536639702</v>
      </c>
      <c r="AE99" s="238">
        <f t="shared" si="64"/>
        <v>0</v>
      </c>
      <c r="AF99" s="244">
        <f t="shared" si="25"/>
        <v>16051892.847091103</v>
      </c>
      <c r="AG99" s="237">
        <f t="shared" si="65"/>
        <v>0</v>
      </c>
      <c r="AH99" s="238">
        <f t="shared" si="66"/>
        <v>0</v>
      </c>
      <c r="AI99" s="238">
        <f t="shared" si="67"/>
        <v>2806274.9732676754</v>
      </c>
      <c r="AJ99" s="238">
        <f t="shared" si="68"/>
        <v>561254.99465353496</v>
      </c>
      <c r="AK99" s="238">
        <f t="shared" si="69"/>
        <v>0</v>
      </c>
      <c r="AL99" s="238">
        <f t="shared" si="70"/>
        <v>0</v>
      </c>
      <c r="AM99" s="244">
        <f t="shared" si="32"/>
        <v>3367529.9679212105</v>
      </c>
      <c r="AN99" s="237">
        <f t="shared" si="71"/>
        <v>25973633.919244155</v>
      </c>
      <c r="AO99" s="238">
        <f t="shared" si="72"/>
        <v>0</v>
      </c>
      <c r="AP99" s="238">
        <f t="shared" si="73"/>
        <v>12986816.959622078</v>
      </c>
      <c r="AQ99" s="238">
        <f t="shared" si="74"/>
        <v>18334329.825348809</v>
      </c>
      <c r="AR99" s="238">
        <f t="shared" si="75"/>
        <v>763930.40938953392</v>
      </c>
      <c r="AS99" s="238">
        <f t="shared" si="38"/>
        <v>0</v>
      </c>
      <c r="AT99" s="244">
        <f t="shared" si="39"/>
        <v>58058711.113604575</v>
      </c>
      <c r="AU99" s="254"/>
      <c r="AV99" s="248">
        <f t="shared" si="40"/>
        <v>77.478133928616884</v>
      </c>
      <c r="AW99" s="130"/>
    </row>
    <row r="100" spans="1:49" ht="14.45" hidden="1" customHeight="1">
      <c r="A100" s="194">
        <f>'Input data'!A91</f>
        <v>1993</v>
      </c>
      <c r="B100" s="209">
        <f>'Input data'!B91</f>
        <v>34.101339999999993</v>
      </c>
      <c r="C100" s="114">
        <f>'Input data'!F91</f>
        <v>0.71479999999999999</v>
      </c>
      <c r="D100" s="114">
        <f>'Input data'!G91</f>
        <v>0.28959999999999997</v>
      </c>
      <c r="E100" s="127"/>
      <c r="F100" s="238"/>
      <c r="G100" s="239">
        <f t="shared" si="43"/>
        <v>530770732.69674999</v>
      </c>
      <c r="H100" s="118">
        <f t="shared" si="41"/>
        <v>0.1</v>
      </c>
      <c r="I100" s="118">
        <f t="shared" si="44"/>
        <v>0</v>
      </c>
      <c r="J100" s="118">
        <f t="shared" si="45"/>
        <v>0.1</v>
      </c>
      <c r="K100" s="118">
        <f t="shared" si="46"/>
        <v>0.28000000000000003</v>
      </c>
      <c r="L100" s="118">
        <f t="shared" si="47"/>
        <v>0.04</v>
      </c>
      <c r="M100" s="206">
        <f t="shared" si="48"/>
        <v>0.48</v>
      </c>
      <c r="N100" s="117">
        <f t="shared" si="42"/>
        <v>0</v>
      </c>
      <c r="O100" s="118">
        <f t="shared" si="49"/>
        <v>0.7</v>
      </c>
      <c r="P100" s="118">
        <f t="shared" si="50"/>
        <v>0.15</v>
      </c>
      <c r="Q100" s="118">
        <f t="shared" si="51"/>
        <v>0.15</v>
      </c>
      <c r="R100" s="118">
        <f t="shared" si="52"/>
        <v>0</v>
      </c>
      <c r="S100" s="206">
        <f t="shared" si="53"/>
        <v>0</v>
      </c>
      <c r="T100" s="117">
        <f t="shared" si="13"/>
        <v>0.34</v>
      </c>
      <c r="U100" s="118">
        <f t="shared" si="54"/>
        <v>0</v>
      </c>
      <c r="V100" s="118">
        <f t="shared" si="55"/>
        <v>0.17</v>
      </c>
      <c r="W100" s="118">
        <f t="shared" si="56"/>
        <v>0.24</v>
      </c>
      <c r="X100" s="118">
        <f t="shared" si="57"/>
        <v>0.05</v>
      </c>
      <c r="Y100" s="206">
        <f t="shared" si="58"/>
        <v>0.2</v>
      </c>
      <c r="Z100" s="237">
        <f t="shared" si="59"/>
        <v>6210017.572551975</v>
      </c>
      <c r="AA100" s="238">
        <f t="shared" si="60"/>
        <v>0</v>
      </c>
      <c r="AB100" s="238">
        <f t="shared" si="61"/>
        <v>6210017.572551975</v>
      </c>
      <c r="AC100" s="238">
        <f t="shared" si="62"/>
        <v>3477609.8406291069</v>
      </c>
      <c r="AD100" s="238">
        <f t="shared" si="63"/>
        <v>496801.40580415796</v>
      </c>
      <c r="AE100" s="238">
        <f t="shared" si="64"/>
        <v>0</v>
      </c>
      <c r="AF100" s="244">
        <f t="shared" si="25"/>
        <v>16394446.391537214</v>
      </c>
      <c r="AG100" s="237">
        <f t="shared" si="65"/>
        <v>0</v>
      </c>
      <c r="AH100" s="238">
        <f t="shared" si="66"/>
        <v>0</v>
      </c>
      <c r="AI100" s="238">
        <f t="shared" si="67"/>
        <v>2866161.9565624497</v>
      </c>
      <c r="AJ100" s="238">
        <f t="shared" si="68"/>
        <v>573232.39131248998</v>
      </c>
      <c r="AK100" s="238">
        <f t="shared" si="69"/>
        <v>0</v>
      </c>
      <c r="AL100" s="238">
        <f t="shared" si="70"/>
        <v>0</v>
      </c>
      <c r="AM100" s="244">
        <f t="shared" si="32"/>
        <v>3439394.3478749394</v>
      </c>
      <c r="AN100" s="237">
        <f t="shared" si="71"/>
        <v>26527921.220183566</v>
      </c>
      <c r="AO100" s="238">
        <f t="shared" si="72"/>
        <v>0</v>
      </c>
      <c r="AP100" s="238">
        <f t="shared" si="73"/>
        <v>13263960.610091783</v>
      </c>
      <c r="AQ100" s="238">
        <f t="shared" si="74"/>
        <v>18725591.449541338</v>
      </c>
      <c r="AR100" s="238">
        <f t="shared" si="75"/>
        <v>780232.97706422245</v>
      </c>
      <c r="AS100" s="238">
        <f t="shared" si="38"/>
        <v>0</v>
      </c>
      <c r="AT100" s="244">
        <f t="shared" si="39"/>
        <v>59297706.256880909</v>
      </c>
      <c r="AU100" s="254"/>
      <c r="AV100" s="248">
        <f t="shared" si="40"/>
        <v>79.131546996293068</v>
      </c>
      <c r="AW100" s="130"/>
    </row>
    <row r="101" spans="1:49" ht="14.45" hidden="1" customHeight="1">
      <c r="A101" s="194">
        <f>'Input data'!A92</f>
        <v>1994</v>
      </c>
      <c r="B101" s="209">
        <f>'Input data'!B92</f>
        <v>34.837530000000001</v>
      </c>
      <c r="C101" s="114">
        <f>'Input data'!F92</f>
        <v>0.71479999999999999</v>
      </c>
      <c r="D101" s="114">
        <f>'Input data'!G92</f>
        <v>0.28959999999999997</v>
      </c>
      <c r="E101" s="127"/>
      <c r="F101" s="238"/>
      <c r="G101" s="239">
        <f t="shared" si="43"/>
        <v>542229171.15412509</v>
      </c>
      <c r="H101" s="118">
        <f t="shared" si="41"/>
        <v>0.1</v>
      </c>
      <c r="I101" s="118">
        <f t="shared" si="44"/>
        <v>0</v>
      </c>
      <c r="J101" s="118">
        <f t="shared" si="45"/>
        <v>0.1</v>
      </c>
      <c r="K101" s="118">
        <f t="shared" si="46"/>
        <v>0.28000000000000003</v>
      </c>
      <c r="L101" s="118">
        <f t="shared" si="47"/>
        <v>0.04</v>
      </c>
      <c r="M101" s="206">
        <f t="shared" si="48"/>
        <v>0.48</v>
      </c>
      <c r="N101" s="117">
        <f t="shared" si="42"/>
        <v>0</v>
      </c>
      <c r="O101" s="118">
        <f t="shared" si="49"/>
        <v>0.7</v>
      </c>
      <c r="P101" s="118">
        <f t="shared" si="50"/>
        <v>0.15</v>
      </c>
      <c r="Q101" s="118">
        <f t="shared" si="51"/>
        <v>0.15</v>
      </c>
      <c r="R101" s="118">
        <f t="shared" si="52"/>
        <v>0</v>
      </c>
      <c r="S101" s="206">
        <f t="shared" si="53"/>
        <v>0</v>
      </c>
      <c r="T101" s="117">
        <f t="shared" si="13"/>
        <v>0.34</v>
      </c>
      <c r="U101" s="118">
        <f t="shared" si="54"/>
        <v>0</v>
      </c>
      <c r="V101" s="118">
        <f t="shared" si="55"/>
        <v>0.17</v>
      </c>
      <c r="W101" s="118">
        <f t="shared" si="56"/>
        <v>0.24</v>
      </c>
      <c r="X101" s="118">
        <f t="shared" si="57"/>
        <v>0.05</v>
      </c>
      <c r="Y101" s="206">
        <f t="shared" si="58"/>
        <v>0.2</v>
      </c>
      <c r="Z101" s="237">
        <f t="shared" si="59"/>
        <v>6344081.3025032636</v>
      </c>
      <c r="AA101" s="238">
        <f t="shared" si="60"/>
        <v>0</v>
      </c>
      <c r="AB101" s="238">
        <f t="shared" si="61"/>
        <v>6344081.3025032636</v>
      </c>
      <c r="AC101" s="238">
        <f t="shared" si="62"/>
        <v>3552685.5294018285</v>
      </c>
      <c r="AD101" s="238">
        <f t="shared" si="63"/>
        <v>507526.50420026109</v>
      </c>
      <c r="AE101" s="238">
        <f t="shared" si="64"/>
        <v>0</v>
      </c>
      <c r="AF101" s="244">
        <f t="shared" si="25"/>
        <v>16748374.638608616</v>
      </c>
      <c r="AG101" s="237">
        <f t="shared" si="65"/>
        <v>0</v>
      </c>
      <c r="AH101" s="238">
        <f t="shared" si="66"/>
        <v>0</v>
      </c>
      <c r="AI101" s="238">
        <f t="shared" si="67"/>
        <v>2928037.5242322749</v>
      </c>
      <c r="AJ101" s="238">
        <f t="shared" si="68"/>
        <v>585607.50484645506</v>
      </c>
      <c r="AK101" s="238">
        <f t="shared" si="69"/>
        <v>0</v>
      </c>
      <c r="AL101" s="238">
        <f t="shared" si="70"/>
        <v>0</v>
      </c>
      <c r="AM101" s="244">
        <f t="shared" si="32"/>
        <v>3513645.0290787299</v>
      </c>
      <c r="AN101" s="237">
        <f t="shared" si="71"/>
        <v>27100613.974283174</v>
      </c>
      <c r="AO101" s="238">
        <f t="shared" si="72"/>
        <v>0</v>
      </c>
      <c r="AP101" s="238">
        <f t="shared" si="73"/>
        <v>13550306.987141587</v>
      </c>
      <c r="AQ101" s="238">
        <f t="shared" si="74"/>
        <v>19129845.158317532</v>
      </c>
      <c r="AR101" s="238">
        <f t="shared" si="75"/>
        <v>797076.88159656397</v>
      </c>
      <c r="AS101" s="238">
        <f t="shared" si="38"/>
        <v>0</v>
      </c>
      <c r="AT101" s="244">
        <f t="shared" si="39"/>
        <v>60577843.001338854</v>
      </c>
      <c r="AU101" s="254"/>
      <c r="AV101" s="248">
        <f t="shared" si="40"/>
        <v>80.839862669026189</v>
      </c>
      <c r="AW101" s="130"/>
    </row>
    <row r="102" spans="1:49" ht="14.45" hidden="1" customHeight="1">
      <c r="A102" s="194">
        <f>'Input data'!A93</f>
        <v>1995</v>
      </c>
      <c r="B102" s="209">
        <f>'Input data'!B93</f>
        <v>35.599199999999996</v>
      </c>
      <c r="C102" s="114">
        <f>'Input data'!F93</f>
        <v>0.71479999999999999</v>
      </c>
      <c r="D102" s="114">
        <f>'Input data'!G93</f>
        <v>0.28959999999999997</v>
      </c>
      <c r="E102" s="127"/>
      <c r="F102" s="238"/>
      <c r="G102" s="239">
        <f t="shared" si="43"/>
        <v>554084193.38999999</v>
      </c>
      <c r="H102" s="118">
        <f t="shared" si="41"/>
        <v>0.1</v>
      </c>
      <c r="I102" s="118">
        <f t="shared" si="44"/>
        <v>0</v>
      </c>
      <c r="J102" s="118">
        <f t="shared" si="45"/>
        <v>0.1</v>
      </c>
      <c r="K102" s="118">
        <f t="shared" si="46"/>
        <v>0.28000000000000003</v>
      </c>
      <c r="L102" s="118">
        <f t="shared" si="47"/>
        <v>0.04</v>
      </c>
      <c r="M102" s="206">
        <f t="shared" si="48"/>
        <v>0.48</v>
      </c>
      <c r="N102" s="117">
        <f t="shared" si="42"/>
        <v>0</v>
      </c>
      <c r="O102" s="118">
        <f t="shared" si="49"/>
        <v>0.7</v>
      </c>
      <c r="P102" s="118">
        <f t="shared" si="50"/>
        <v>0.15</v>
      </c>
      <c r="Q102" s="118">
        <f t="shared" si="51"/>
        <v>0.15</v>
      </c>
      <c r="R102" s="118">
        <f t="shared" si="52"/>
        <v>0</v>
      </c>
      <c r="S102" s="206">
        <f t="shared" si="53"/>
        <v>0</v>
      </c>
      <c r="T102" s="117">
        <f t="shared" si="13"/>
        <v>0.34</v>
      </c>
      <c r="U102" s="118">
        <f t="shared" si="54"/>
        <v>0</v>
      </c>
      <c r="V102" s="118">
        <f t="shared" si="55"/>
        <v>0.17</v>
      </c>
      <c r="W102" s="118">
        <f t="shared" si="56"/>
        <v>0.24</v>
      </c>
      <c r="X102" s="118">
        <f t="shared" si="57"/>
        <v>0.05</v>
      </c>
      <c r="Y102" s="206">
        <f t="shared" si="58"/>
        <v>0.2</v>
      </c>
      <c r="Z102" s="237">
        <f t="shared" si="59"/>
        <v>6482785.0626630001</v>
      </c>
      <c r="AA102" s="238">
        <f t="shared" si="60"/>
        <v>0</v>
      </c>
      <c r="AB102" s="238">
        <f t="shared" si="61"/>
        <v>6482785.0626630001</v>
      </c>
      <c r="AC102" s="238">
        <f t="shared" si="62"/>
        <v>3630359.6350912806</v>
      </c>
      <c r="AD102" s="238">
        <f t="shared" si="63"/>
        <v>518622.80501303996</v>
      </c>
      <c r="AE102" s="238">
        <f t="shared" si="64"/>
        <v>0</v>
      </c>
      <c r="AF102" s="244">
        <f t="shared" si="25"/>
        <v>17114552.565430321</v>
      </c>
      <c r="AG102" s="237">
        <f t="shared" si="65"/>
        <v>0</v>
      </c>
      <c r="AH102" s="238">
        <f t="shared" si="66"/>
        <v>0</v>
      </c>
      <c r="AI102" s="238">
        <f t="shared" si="67"/>
        <v>2992054.6443059994</v>
      </c>
      <c r="AJ102" s="238">
        <f t="shared" si="68"/>
        <v>598410.92886119999</v>
      </c>
      <c r="AK102" s="238">
        <f t="shared" si="69"/>
        <v>0</v>
      </c>
      <c r="AL102" s="238">
        <f t="shared" si="70"/>
        <v>0</v>
      </c>
      <c r="AM102" s="244">
        <f t="shared" si="32"/>
        <v>3590465.5731671993</v>
      </c>
      <c r="AN102" s="237">
        <f t="shared" si="71"/>
        <v>27693127.9856322</v>
      </c>
      <c r="AO102" s="238">
        <f t="shared" si="72"/>
        <v>0</v>
      </c>
      <c r="AP102" s="238">
        <f t="shared" si="73"/>
        <v>13846563.9928161</v>
      </c>
      <c r="AQ102" s="238">
        <f t="shared" si="74"/>
        <v>19548090.342799198</v>
      </c>
      <c r="AR102" s="238">
        <f t="shared" si="75"/>
        <v>814503.76428330003</v>
      </c>
      <c r="AS102" s="238">
        <f t="shared" si="38"/>
        <v>0</v>
      </c>
      <c r="AT102" s="244">
        <f t="shared" si="39"/>
        <v>61902286.085530803</v>
      </c>
      <c r="AU102" s="254"/>
      <c r="AV102" s="248">
        <f t="shared" si="40"/>
        <v>82.607304224128328</v>
      </c>
      <c r="AW102" s="130"/>
    </row>
    <row r="103" spans="1:49" ht="14.45" hidden="1" customHeight="1">
      <c r="A103" s="194">
        <f>'Input data'!A94</f>
        <v>1996</v>
      </c>
      <c r="B103" s="209">
        <f>'Input data'!B94</f>
        <v>36.4</v>
      </c>
      <c r="C103" s="114">
        <f>'Input data'!F94</f>
        <v>0.71479999999999999</v>
      </c>
      <c r="D103" s="114">
        <f>'Input data'!G94</f>
        <v>0.28959999999999997</v>
      </c>
      <c r="E103" s="127"/>
      <c r="F103" s="238"/>
      <c r="G103" s="239">
        <f t="shared" si="43"/>
        <v>566548255</v>
      </c>
      <c r="H103" s="118">
        <f t="shared" si="41"/>
        <v>0.1</v>
      </c>
      <c r="I103" s="118">
        <f t="shared" si="44"/>
        <v>0</v>
      </c>
      <c r="J103" s="118">
        <f t="shared" si="45"/>
        <v>0.1</v>
      </c>
      <c r="K103" s="118">
        <f t="shared" si="46"/>
        <v>0.28000000000000003</v>
      </c>
      <c r="L103" s="118">
        <f t="shared" si="47"/>
        <v>0.04</v>
      </c>
      <c r="M103" s="206">
        <f t="shared" si="48"/>
        <v>0.48</v>
      </c>
      <c r="N103" s="117">
        <f t="shared" si="42"/>
        <v>0</v>
      </c>
      <c r="O103" s="118">
        <f t="shared" si="49"/>
        <v>0.7</v>
      </c>
      <c r="P103" s="118">
        <f t="shared" si="50"/>
        <v>0.15</v>
      </c>
      <c r="Q103" s="118">
        <f t="shared" si="51"/>
        <v>0.15</v>
      </c>
      <c r="R103" s="118">
        <f t="shared" si="52"/>
        <v>0</v>
      </c>
      <c r="S103" s="206">
        <f t="shared" si="53"/>
        <v>0</v>
      </c>
      <c r="T103" s="117">
        <f t="shared" si="13"/>
        <v>0.34</v>
      </c>
      <c r="U103" s="118">
        <f t="shared" si="54"/>
        <v>0</v>
      </c>
      <c r="V103" s="118">
        <f t="shared" si="55"/>
        <v>0.17</v>
      </c>
      <c r="W103" s="118">
        <f t="shared" si="56"/>
        <v>0.24</v>
      </c>
      <c r="X103" s="118">
        <f t="shared" si="57"/>
        <v>0.05</v>
      </c>
      <c r="Y103" s="206">
        <f t="shared" si="58"/>
        <v>0.2</v>
      </c>
      <c r="Z103" s="237">
        <f t="shared" si="59"/>
        <v>6628614.5834999997</v>
      </c>
      <c r="AA103" s="238">
        <f t="shared" si="60"/>
        <v>0</v>
      </c>
      <c r="AB103" s="238">
        <f t="shared" si="61"/>
        <v>6628614.5834999997</v>
      </c>
      <c r="AC103" s="238">
        <f t="shared" si="62"/>
        <v>3712024.1667600009</v>
      </c>
      <c r="AD103" s="238">
        <f t="shared" si="63"/>
        <v>530289.16668000002</v>
      </c>
      <c r="AE103" s="238">
        <f t="shared" si="64"/>
        <v>0</v>
      </c>
      <c r="AF103" s="244">
        <f t="shared" si="25"/>
        <v>17499542.500440001</v>
      </c>
      <c r="AG103" s="237">
        <f t="shared" si="65"/>
        <v>0</v>
      </c>
      <c r="AH103" s="238">
        <f t="shared" si="66"/>
        <v>0</v>
      </c>
      <c r="AI103" s="238">
        <f t="shared" si="67"/>
        <v>3059360.5769999996</v>
      </c>
      <c r="AJ103" s="238">
        <f t="shared" si="68"/>
        <v>611872.11540000001</v>
      </c>
      <c r="AK103" s="238">
        <f t="shared" si="69"/>
        <v>0</v>
      </c>
      <c r="AL103" s="238">
        <f t="shared" si="70"/>
        <v>0</v>
      </c>
      <c r="AM103" s="244">
        <f t="shared" si="32"/>
        <v>3671232.6923999996</v>
      </c>
      <c r="AN103" s="237">
        <f t="shared" si="71"/>
        <v>28316081.784900002</v>
      </c>
      <c r="AO103" s="238">
        <f t="shared" si="72"/>
        <v>0</v>
      </c>
      <c r="AP103" s="238">
        <f t="shared" si="73"/>
        <v>14158040.892450001</v>
      </c>
      <c r="AQ103" s="238">
        <f t="shared" si="74"/>
        <v>19987822.4364</v>
      </c>
      <c r="AR103" s="238">
        <f t="shared" si="75"/>
        <v>832825.93485000008</v>
      </c>
      <c r="AS103" s="238">
        <f t="shared" si="38"/>
        <v>0</v>
      </c>
      <c r="AT103" s="244">
        <f t="shared" si="39"/>
        <v>63294771.048599996</v>
      </c>
      <c r="AU103" s="254"/>
      <c r="AV103" s="248">
        <f t="shared" si="40"/>
        <v>84.465546241439995</v>
      </c>
      <c r="AW103" s="130"/>
    </row>
    <row r="104" spans="1:49" ht="14.45" hidden="1" customHeight="1">
      <c r="A104" s="194">
        <f>'Input data'!A95</f>
        <v>1997</v>
      </c>
      <c r="B104" s="209">
        <f>'Input data'!B95</f>
        <v>37.242660000000001</v>
      </c>
      <c r="C104" s="114">
        <f>'Input data'!F95</f>
        <v>0.71479999999999999</v>
      </c>
      <c r="D104" s="114">
        <f>'Input data'!G95</f>
        <v>0.28959999999999997</v>
      </c>
      <c r="E104" s="127"/>
      <c r="F104" s="238"/>
      <c r="G104" s="239">
        <f t="shared" si="43"/>
        <v>579663847.10325003</v>
      </c>
      <c r="H104" s="118">
        <f t="shared" si="41"/>
        <v>0.1</v>
      </c>
      <c r="I104" s="118">
        <f t="shared" si="44"/>
        <v>0</v>
      </c>
      <c r="J104" s="118">
        <f t="shared" si="45"/>
        <v>0.1</v>
      </c>
      <c r="K104" s="118">
        <f t="shared" si="46"/>
        <v>0.28000000000000003</v>
      </c>
      <c r="L104" s="118">
        <f t="shared" si="47"/>
        <v>0.04</v>
      </c>
      <c r="M104" s="206">
        <f t="shared" si="48"/>
        <v>0.48</v>
      </c>
      <c r="N104" s="117">
        <f t="shared" si="42"/>
        <v>0</v>
      </c>
      <c r="O104" s="118">
        <f t="shared" si="49"/>
        <v>0.7</v>
      </c>
      <c r="P104" s="118">
        <f t="shared" si="50"/>
        <v>0.15</v>
      </c>
      <c r="Q104" s="118">
        <f t="shared" si="51"/>
        <v>0.15</v>
      </c>
      <c r="R104" s="118">
        <f t="shared" si="52"/>
        <v>0</v>
      </c>
      <c r="S104" s="206">
        <f t="shared" si="53"/>
        <v>0</v>
      </c>
      <c r="T104" s="117">
        <f t="shared" si="13"/>
        <v>0.34</v>
      </c>
      <c r="U104" s="118">
        <f t="shared" si="54"/>
        <v>0</v>
      </c>
      <c r="V104" s="118">
        <f t="shared" si="55"/>
        <v>0.17</v>
      </c>
      <c r="W104" s="118">
        <f t="shared" si="56"/>
        <v>0.24</v>
      </c>
      <c r="X104" s="118">
        <f t="shared" si="57"/>
        <v>0.05</v>
      </c>
      <c r="Y104" s="206">
        <f t="shared" si="58"/>
        <v>0.2</v>
      </c>
      <c r="Z104" s="237">
        <f t="shared" si="59"/>
        <v>6782067.0111080259</v>
      </c>
      <c r="AA104" s="238">
        <f t="shared" si="60"/>
        <v>0</v>
      </c>
      <c r="AB104" s="238">
        <f t="shared" si="61"/>
        <v>6782067.0111080259</v>
      </c>
      <c r="AC104" s="238">
        <f t="shared" si="62"/>
        <v>3797957.5262204944</v>
      </c>
      <c r="AD104" s="238">
        <f t="shared" si="63"/>
        <v>542565.36088864203</v>
      </c>
      <c r="AE104" s="238">
        <f t="shared" si="64"/>
        <v>0</v>
      </c>
      <c r="AF104" s="244">
        <f t="shared" si="25"/>
        <v>17904656.909325186</v>
      </c>
      <c r="AG104" s="237">
        <f t="shared" si="65"/>
        <v>0</v>
      </c>
      <c r="AH104" s="238">
        <f t="shared" si="66"/>
        <v>0</v>
      </c>
      <c r="AI104" s="238">
        <f t="shared" si="67"/>
        <v>3130184.7743575498</v>
      </c>
      <c r="AJ104" s="238">
        <f t="shared" si="68"/>
        <v>626036.95487151004</v>
      </c>
      <c r="AK104" s="238">
        <f t="shared" si="69"/>
        <v>0</v>
      </c>
      <c r="AL104" s="238">
        <f t="shared" si="70"/>
        <v>0</v>
      </c>
      <c r="AM104" s="244">
        <f t="shared" si="32"/>
        <v>3756221.72922906</v>
      </c>
      <c r="AN104" s="237">
        <f t="shared" si="71"/>
        <v>28971599.078220438</v>
      </c>
      <c r="AO104" s="238">
        <f t="shared" si="72"/>
        <v>0</v>
      </c>
      <c r="AP104" s="238">
        <f t="shared" si="73"/>
        <v>14485799.539110219</v>
      </c>
      <c r="AQ104" s="238">
        <f t="shared" si="74"/>
        <v>20450540.525802661</v>
      </c>
      <c r="AR104" s="238">
        <f t="shared" si="75"/>
        <v>852105.85524177761</v>
      </c>
      <c r="AS104" s="238">
        <f t="shared" si="38"/>
        <v>0</v>
      </c>
      <c r="AT104" s="244">
        <f t="shared" si="39"/>
        <v>64760044.998375088</v>
      </c>
      <c r="AU104" s="254"/>
      <c r="AV104" s="248">
        <f t="shared" si="40"/>
        <v>86.420923636929331</v>
      </c>
      <c r="AW104" s="130"/>
    </row>
    <row r="105" spans="1:49" ht="14.45" hidden="1" customHeight="1">
      <c r="A105" s="194">
        <f>'Input data'!A96</f>
        <v>1998</v>
      </c>
      <c r="B105" s="209">
        <f>'Input data'!B96</f>
        <v>38.128999999999998</v>
      </c>
      <c r="C105" s="114">
        <f>'Input data'!F96</f>
        <v>0.71479999999999999</v>
      </c>
      <c r="D105" s="114">
        <f>'Input data'!G96</f>
        <v>0.28959999999999997</v>
      </c>
      <c r="E105" s="127"/>
      <c r="F105" s="238"/>
      <c r="G105" s="239">
        <f t="shared" si="43"/>
        <v>593459297.11250007</v>
      </c>
      <c r="H105" s="118">
        <f t="shared" si="41"/>
        <v>0.1</v>
      </c>
      <c r="I105" s="118">
        <f t="shared" si="44"/>
        <v>0</v>
      </c>
      <c r="J105" s="118">
        <f t="shared" si="45"/>
        <v>0.1</v>
      </c>
      <c r="K105" s="118">
        <f t="shared" si="46"/>
        <v>0.28000000000000003</v>
      </c>
      <c r="L105" s="118">
        <f t="shared" si="47"/>
        <v>0.04</v>
      </c>
      <c r="M105" s="206">
        <f t="shared" si="48"/>
        <v>0.48</v>
      </c>
      <c r="N105" s="117">
        <f t="shared" si="42"/>
        <v>0</v>
      </c>
      <c r="O105" s="118">
        <f t="shared" si="49"/>
        <v>0.7</v>
      </c>
      <c r="P105" s="118">
        <f t="shared" si="50"/>
        <v>0.15</v>
      </c>
      <c r="Q105" s="118">
        <f t="shared" si="51"/>
        <v>0.15</v>
      </c>
      <c r="R105" s="118">
        <f t="shared" si="52"/>
        <v>0</v>
      </c>
      <c r="S105" s="206">
        <f t="shared" si="53"/>
        <v>0</v>
      </c>
      <c r="T105" s="117">
        <f t="shared" si="13"/>
        <v>0.34</v>
      </c>
      <c r="U105" s="118">
        <f t="shared" si="54"/>
        <v>0</v>
      </c>
      <c r="V105" s="118">
        <f t="shared" si="55"/>
        <v>0.17</v>
      </c>
      <c r="W105" s="118">
        <f t="shared" si="56"/>
        <v>0.24</v>
      </c>
      <c r="X105" s="118">
        <f t="shared" si="57"/>
        <v>0.05</v>
      </c>
      <c r="Y105" s="206">
        <f t="shared" si="58"/>
        <v>0.2</v>
      </c>
      <c r="Z105" s="237">
        <f t="shared" si="59"/>
        <v>6943473.7762162508</v>
      </c>
      <c r="AA105" s="238">
        <f t="shared" si="60"/>
        <v>0</v>
      </c>
      <c r="AB105" s="238">
        <f t="shared" si="61"/>
        <v>6943473.7762162508</v>
      </c>
      <c r="AC105" s="238">
        <f t="shared" si="62"/>
        <v>3888345.3146811011</v>
      </c>
      <c r="AD105" s="238">
        <f t="shared" si="63"/>
        <v>555477.90209730004</v>
      </c>
      <c r="AE105" s="238">
        <f t="shared" si="64"/>
        <v>0</v>
      </c>
      <c r="AF105" s="244">
        <f t="shared" si="25"/>
        <v>18330770.769210901</v>
      </c>
      <c r="AG105" s="237">
        <f t="shared" si="65"/>
        <v>0</v>
      </c>
      <c r="AH105" s="238">
        <f t="shared" si="66"/>
        <v>0</v>
      </c>
      <c r="AI105" s="238">
        <f t="shared" si="67"/>
        <v>3204680.2044075006</v>
      </c>
      <c r="AJ105" s="238">
        <f t="shared" si="68"/>
        <v>640936.0408815</v>
      </c>
      <c r="AK105" s="238">
        <f t="shared" si="69"/>
        <v>0</v>
      </c>
      <c r="AL105" s="238">
        <f t="shared" si="70"/>
        <v>0</v>
      </c>
      <c r="AM105" s="244">
        <f t="shared" si="32"/>
        <v>3845616.2452890007</v>
      </c>
      <c r="AN105" s="237">
        <f t="shared" si="71"/>
        <v>29661095.669682756</v>
      </c>
      <c r="AO105" s="238">
        <f t="shared" si="72"/>
        <v>0</v>
      </c>
      <c r="AP105" s="238">
        <f t="shared" si="73"/>
        <v>14830547.834841378</v>
      </c>
      <c r="AQ105" s="238">
        <f t="shared" si="74"/>
        <v>20937244.002129</v>
      </c>
      <c r="AR105" s="238">
        <f t="shared" si="75"/>
        <v>872385.1667553751</v>
      </c>
      <c r="AS105" s="238">
        <f t="shared" si="38"/>
        <v>0</v>
      </c>
      <c r="AT105" s="244">
        <f t="shared" si="39"/>
        <v>66301272.673408508</v>
      </c>
      <c r="AU105" s="254"/>
      <c r="AV105" s="248">
        <f t="shared" si="40"/>
        <v>88.477659687908414</v>
      </c>
      <c r="AW105" s="130"/>
    </row>
    <row r="106" spans="1:49" ht="14.45" hidden="1" customHeight="1">
      <c r="A106" s="194">
        <f>'Input data'!A97</f>
        <v>1999</v>
      </c>
      <c r="B106" s="209">
        <f>'Input data'!B97</f>
        <v>39.059930000000001</v>
      </c>
      <c r="C106" s="114">
        <f>'Input data'!F97</f>
        <v>0.71479999999999999</v>
      </c>
      <c r="D106" s="114">
        <f>'Input data'!G97</f>
        <v>0.28959999999999997</v>
      </c>
      <c r="E106" s="127"/>
      <c r="F106" s="238"/>
      <c r="G106" s="239">
        <f t="shared" si="43"/>
        <v>607948768.73412514</v>
      </c>
      <c r="H106" s="118">
        <f t="shared" si="41"/>
        <v>0.1</v>
      </c>
      <c r="I106" s="118">
        <f t="shared" si="44"/>
        <v>0</v>
      </c>
      <c r="J106" s="118">
        <f t="shared" si="45"/>
        <v>0.1</v>
      </c>
      <c r="K106" s="118">
        <f t="shared" si="46"/>
        <v>0.28000000000000003</v>
      </c>
      <c r="L106" s="118">
        <f t="shared" si="47"/>
        <v>0.04</v>
      </c>
      <c r="M106" s="206">
        <f t="shared" si="48"/>
        <v>0.48</v>
      </c>
      <c r="N106" s="117">
        <f t="shared" si="42"/>
        <v>0</v>
      </c>
      <c r="O106" s="118">
        <f t="shared" si="49"/>
        <v>0.7</v>
      </c>
      <c r="P106" s="118">
        <f t="shared" si="50"/>
        <v>0.15</v>
      </c>
      <c r="Q106" s="118">
        <f t="shared" si="51"/>
        <v>0.15</v>
      </c>
      <c r="R106" s="118">
        <f t="shared" si="52"/>
        <v>0</v>
      </c>
      <c r="S106" s="206">
        <f t="shared" si="53"/>
        <v>0</v>
      </c>
      <c r="T106" s="117">
        <f t="shared" si="13"/>
        <v>0.34</v>
      </c>
      <c r="U106" s="118">
        <f t="shared" si="54"/>
        <v>0</v>
      </c>
      <c r="V106" s="118">
        <f t="shared" si="55"/>
        <v>0.17</v>
      </c>
      <c r="W106" s="118">
        <f t="shared" si="56"/>
        <v>0.24</v>
      </c>
      <c r="X106" s="118">
        <f t="shared" si="57"/>
        <v>0.05</v>
      </c>
      <c r="Y106" s="206">
        <f t="shared" si="58"/>
        <v>0.2</v>
      </c>
      <c r="Z106" s="237">
        <f t="shared" si="59"/>
        <v>7113000.5941892648</v>
      </c>
      <c r="AA106" s="238">
        <f t="shared" si="60"/>
        <v>0</v>
      </c>
      <c r="AB106" s="238">
        <f t="shared" si="61"/>
        <v>7113000.5941892648</v>
      </c>
      <c r="AC106" s="238">
        <f t="shared" si="62"/>
        <v>3983280.3327459889</v>
      </c>
      <c r="AD106" s="238">
        <f t="shared" si="63"/>
        <v>569040.04753514112</v>
      </c>
      <c r="AE106" s="238">
        <f t="shared" si="64"/>
        <v>0</v>
      </c>
      <c r="AF106" s="244">
        <f t="shared" si="25"/>
        <v>18778321.568659659</v>
      </c>
      <c r="AG106" s="237">
        <f t="shared" si="65"/>
        <v>0</v>
      </c>
      <c r="AH106" s="238">
        <f t="shared" si="66"/>
        <v>0</v>
      </c>
      <c r="AI106" s="238">
        <f t="shared" si="67"/>
        <v>3282923.3511642758</v>
      </c>
      <c r="AJ106" s="238">
        <f t="shared" si="68"/>
        <v>656584.67023285513</v>
      </c>
      <c r="AK106" s="238">
        <f t="shared" si="69"/>
        <v>0</v>
      </c>
      <c r="AL106" s="238">
        <f t="shared" si="70"/>
        <v>0</v>
      </c>
      <c r="AM106" s="244">
        <f t="shared" si="32"/>
        <v>3939508.021397131</v>
      </c>
      <c r="AN106" s="237">
        <f t="shared" si="71"/>
        <v>30385279.461331576</v>
      </c>
      <c r="AO106" s="238">
        <f t="shared" si="72"/>
        <v>0</v>
      </c>
      <c r="AP106" s="238">
        <f t="shared" si="73"/>
        <v>15192639.730665788</v>
      </c>
      <c r="AQ106" s="238">
        <f t="shared" si="74"/>
        <v>21448432.560939934</v>
      </c>
      <c r="AR106" s="238">
        <f t="shared" si="75"/>
        <v>893684.69003916404</v>
      </c>
      <c r="AS106" s="238">
        <f t="shared" si="38"/>
        <v>0</v>
      </c>
      <c r="AT106" s="244">
        <f t="shared" si="39"/>
        <v>67920036.44297646</v>
      </c>
      <c r="AU106" s="254"/>
      <c r="AV106" s="248">
        <f t="shared" si="40"/>
        <v>90.637866033033248</v>
      </c>
      <c r="AW106" s="130"/>
    </row>
    <row r="107" spans="1:49">
      <c r="A107" s="194">
        <f>'Input data'!A98</f>
        <v>2000</v>
      </c>
      <c r="B107" s="209">
        <f>'Input data'!B98</f>
        <v>44</v>
      </c>
      <c r="C107" s="114">
        <f>'Input data'!F98</f>
        <v>0.71479999999999999</v>
      </c>
      <c r="D107" s="114">
        <f>'Input data'!G98</f>
        <v>0.28959999999999997</v>
      </c>
      <c r="E107" s="237">
        <f t="shared" ref="E107:E139" si="76">B107*$C$4*($C$7*$C$11+$C$8*$C$10+$C$7*$C$12)*10^6</f>
        <v>684838550</v>
      </c>
      <c r="F107" s="238">
        <v>0</v>
      </c>
      <c r="G107" s="239">
        <f>E107-F107</f>
        <v>684838550</v>
      </c>
      <c r="H107" s="118">
        <f t="shared" si="41"/>
        <v>0.1</v>
      </c>
      <c r="I107" s="118">
        <f t="shared" si="44"/>
        <v>0</v>
      </c>
      <c r="J107" s="118">
        <f t="shared" si="45"/>
        <v>0.1</v>
      </c>
      <c r="K107" s="118">
        <f t="shared" si="46"/>
        <v>0.28000000000000003</v>
      </c>
      <c r="L107" s="118">
        <f t="shared" si="47"/>
        <v>0.04</v>
      </c>
      <c r="M107" s="206">
        <f t="shared" si="48"/>
        <v>0.48</v>
      </c>
      <c r="N107" s="117">
        <f t="shared" si="42"/>
        <v>0</v>
      </c>
      <c r="O107" s="118">
        <f t="shared" si="49"/>
        <v>0.7</v>
      </c>
      <c r="P107" s="118">
        <f t="shared" si="50"/>
        <v>0.15</v>
      </c>
      <c r="Q107" s="118">
        <f t="shared" si="51"/>
        <v>0.15</v>
      </c>
      <c r="R107" s="118">
        <f t="shared" si="52"/>
        <v>0</v>
      </c>
      <c r="S107" s="206">
        <f t="shared" si="53"/>
        <v>0</v>
      </c>
      <c r="T107" s="117">
        <f>$C$18</f>
        <v>0.34</v>
      </c>
      <c r="U107" s="118">
        <f t="shared" si="54"/>
        <v>0</v>
      </c>
      <c r="V107" s="118">
        <f t="shared" si="55"/>
        <v>0.17</v>
      </c>
      <c r="W107" s="118">
        <f t="shared" si="56"/>
        <v>0.24</v>
      </c>
      <c r="X107" s="118">
        <f t="shared" si="57"/>
        <v>0.05</v>
      </c>
      <c r="Y107" s="206">
        <f t="shared" si="58"/>
        <v>0.2</v>
      </c>
      <c r="Z107" s="237">
        <f t="shared" si="59"/>
        <v>8012611.0350000001</v>
      </c>
      <c r="AA107" s="238">
        <f t="shared" si="60"/>
        <v>0</v>
      </c>
      <c r="AB107" s="238">
        <f t="shared" si="61"/>
        <v>8012611.0350000001</v>
      </c>
      <c r="AC107" s="238">
        <f t="shared" si="62"/>
        <v>4487062.1796000013</v>
      </c>
      <c r="AD107" s="238">
        <f t="shared" si="63"/>
        <v>641008.8827999999</v>
      </c>
      <c r="AE107" s="238">
        <f t="shared" si="64"/>
        <v>0</v>
      </c>
      <c r="AF107" s="244">
        <f>SUM(Z107:AE107)</f>
        <v>21153293.132400002</v>
      </c>
      <c r="AG107" s="237">
        <f t="shared" si="65"/>
        <v>0</v>
      </c>
      <c r="AH107" s="238">
        <f t="shared" si="66"/>
        <v>0</v>
      </c>
      <c r="AI107" s="238">
        <f t="shared" si="67"/>
        <v>3698128.17</v>
      </c>
      <c r="AJ107" s="238">
        <f t="shared" si="68"/>
        <v>739625.63399999985</v>
      </c>
      <c r="AK107" s="238">
        <f t="shared" si="69"/>
        <v>0</v>
      </c>
      <c r="AL107" s="238">
        <f t="shared" si="70"/>
        <v>0</v>
      </c>
      <c r="AM107" s="244">
        <f>SUM(AG107:AL107)</f>
        <v>4437753.8039999995</v>
      </c>
      <c r="AN107" s="237">
        <f t="shared" si="71"/>
        <v>34228230.729000002</v>
      </c>
      <c r="AO107" s="238">
        <f t="shared" si="72"/>
        <v>0</v>
      </c>
      <c r="AP107" s="238">
        <f t="shared" si="73"/>
        <v>17114115.364500001</v>
      </c>
      <c r="AQ107" s="238">
        <f t="shared" si="74"/>
        <v>24161104.043999996</v>
      </c>
      <c r="AR107" s="238">
        <f t="shared" si="75"/>
        <v>1006712.6685</v>
      </c>
      <c r="AS107" s="238">
        <f>Y107*$C$42*N107*$C$12</f>
        <v>0</v>
      </c>
      <c r="AT107" s="244">
        <f>SUM(AN107:AS107)</f>
        <v>76510162.806000009</v>
      </c>
      <c r="AU107" s="255">
        <v>0</v>
      </c>
      <c r="AV107" s="248">
        <f>(AF107+AM107+AT107)/10^6-AU107</f>
        <v>102.10120974240002</v>
      </c>
      <c r="AW107" s="259">
        <f t="shared" ref="AW107:AW139" si="77">((B107*$C$46*$C$47*$C$48*$C$49)-$C$50)*$C$51*$C$52</f>
        <v>2.2185409303296706</v>
      </c>
    </row>
    <row r="108" spans="1:49">
      <c r="A108" s="194">
        <f>'Input data'!A99</f>
        <v>2001</v>
      </c>
      <c r="B108" s="209">
        <f>'Input data'!B99</f>
        <v>44.91</v>
      </c>
      <c r="C108" s="114">
        <f>'Input data'!F99</f>
        <v>0.71479999999999999</v>
      </c>
      <c r="D108" s="114">
        <f>'Input data'!G99</f>
        <v>0.28959999999999997</v>
      </c>
      <c r="E108" s="237">
        <f t="shared" si="76"/>
        <v>699002256.375</v>
      </c>
      <c r="F108" s="238">
        <v>0</v>
      </c>
      <c r="G108" s="239">
        <f t="shared" ref="G108:G158" si="78">E108-F108</f>
        <v>699002256.375</v>
      </c>
      <c r="H108" s="118">
        <f t="shared" si="41"/>
        <v>0.1</v>
      </c>
      <c r="I108" s="118">
        <f t="shared" si="44"/>
        <v>0</v>
      </c>
      <c r="J108" s="118">
        <f t="shared" si="45"/>
        <v>0.1</v>
      </c>
      <c r="K108" s="118">
        <f t="shared" si="46"/>
        <v>0.28000000000000003</v>
      </c>
      <c r="L108" s="118">
        <f t="shared" si="47"/>
        <v>0.04</v>
      </c>
      <c r="M108" s="206">
        <f t="shared" si="48"/>
        <v>0.48</v>
      </c>
      <c r="N108" s="117">
        <f t="shared" si="42"/>
        <v>0</v>
      </c>
      <c r="O108" s="118">
        <f t="shared" si="49"/>
        <v>0.7</v>
      </c>
      <c r="P108" s="118">
        <f t="shared" si="50"/>
        <v>0.15</v>
      </c>
      <c r="Q108" s="118">
        <f t="shared" si="51"/>
        <v>0.15</v>
      </c>
      <c r="R108" s="118">
        <f t="shared" si="52"/>
        <v>0</v>
      </c>
      <c r="S108" s="206">
        <f t="shared" si="53"/>
        <v>0</v>
      </c>
      <c r="T108" s="117">
        <f t="shared" ref="T108:T124" si="79">$C$18</f>
        <v>0.34</v>
      </c>
      <c r="U108" s="118">
        <f t="shared" si="54"/>
        <v>0</v>
      </c>
      <c r="V108" s="118">
        <f t="shared" si="55"/>
        <v>0.17</v>
      </c>
      <c r="W108" s="118">
        <f t="shared" si="56"/>
        <v>0.24</v>
      </c>
      <c r="X108" s="118">
        <f t="shared" si="57"/>
        <v>0.05</v>
      </c>
      <c r="Y108" s="206">
        <f t="shared" si="58"/>
        <v>0.2</v>
      </c>
      <c r="Z108" s="237">
        <f t="shared" si="59"/>
        <v>8178326.3995874999</v>
      </c>
      <c r="AA108" s="238">
        <f t="shared" si="60"/>
        <v>0</v>
      </c>
      <c r="AB108" s="238">
        <f t="shared" si="61"/>
        <v>8178326.3995874999</v>
      </c>
      <c r="AC108" s="238">
        <f t="shared" si="62"/>
        <v>4579862.7837690003</v>
      </c>
      <c r="AD108" s="238">
        <f t="shared" si="63"/>
        <v>654266.11196699995</v>
      </c>
      <c r="AE108" s="238">
        <f t="shared" si="64"/>
        <v>0</v>
      </c>
      <c r="AF108" s="244">
        <f t="shared" ref="AF108:AF158" si="80">SUM(Z108:AE108)</f>
        <v>21590781.694910999</v>
      </c>
      <c r="AG108" s="237">
        <f t="shared" si="65"/>
        <v>0</v>
      </c>
      <c r="AH108" s="238">
        <f t="shared" si="66"/>
        <v>0</v>
      </c>
      <c r="AI108" s="238">
        <f t="shared" si="67"/>
        <v>3774612.1844249996</v>
      </c>
      <c r="AJ108" s="238">
        <f t="shared" si="68"/>
        <v>754922.43688499997</v>
      </c>
      <c r="AK108" s="238">
        <f t="shared" si="69"/>
        <v>0</v>
      </c>
      <c r="AL108" s="238">
        <f t="shared" si="70"/>
        <v>0</v>
      </c>
      <c r="AM108" s="244">
        <f t="shared" ref="AM108:AM158" si="81">SUM(AG108:AL108)</f>
        <v>4529534.6213099994</v>
      </c>
      <c r="AN108" s="237">
        <f t="shared" si="71"/>
        <v>34936132.773622498</v>
      </c>
      <c r="AO108" s="238">
        <f t="shared" si="72"/>
        <v>0</v>
      </c>
      <c r="AP108" s="238">
        <f t="shared" si="73"/>
        <v>17468066.386811249</v>
      </c>
      <c r="AQ108" s="238">
        <f t="shared" si="74"/>
        <v>24660799.604909997</v>
      </c>
      <c r="AR108" s="238">
        <f t="shared" si="75"/>
        <v>1027533.31687125</v>
      </c>
      <c r="AS108" s="238">
        <f t="shared" ref="AS108:AS158" si="82">Y108*$C$42*N108*$C$12</f>
        <v>0</v>
      </c>
      <c r="AT108" s="244">
        <f t="shared" ref="AT108:AT158" si="83">SUM(AN108:AS108)</f>
        <v>78092532.082214996</v>
      </c>
      <c r="AU108" s="256">
        <v>0</v>
      </c>
      <c r="AV108" s="248">
        <f t="shared" ref="AV108:AV158" si="84">(AF108+AM108+AT108)/10^6-AU108</f>
        <v>104.21284839843599</v>
      </c>
      <c r="AW108" s="259">
        <f t="shared" si="77"/>
        <v>2.2644243904796704</v>
      </c>
    </row>
    <row r="109" spans="1:49">
      <c r="A109" s="194">
        <f>'Input data'!A100</f>
        <v>2002</v>
      </c>
      <c r="B109" s="209">
        <f>'Input data'!B100</f>
        <v>45.533000000000001</v>
      </c>
      <c r="C109" s="114">
        <f>'Input data'!F100</f>
        <v>0.71479999999999999</v>
      </c>
      <c r="D109" s="114">
        <f>'Input data'!G100</f>
        <v>0.28959999999999997</v>
      </c>
      <c r="E109" s="237">
        <f t="shared" si="76"/>
        <v>708698947.66250014</v>
      </c>
      <c r="F109" s="238">
        <v>0</v>
      </c>
      <c r="G109" s="239">
        <f t="shared" si="78"/>
        <v>708698947.66250014</v>
      </c>
      <c r="H109" s="118">
        <f t="shared" si="41"/>
        <v>0.1</v>
      </c>
      <c r="I109" s="118">
        <f t="shared" si="44"/>
        <v>0</v>
      </c>
      <c r="J109" s="118">
        <f t="shared" si="45"/>
        <v>0.1</v>
      </c>
      <c r="K109" s="118">
        <f t="shared" si="46"/>
        <v>0.28000000000000003</v>
      </c>
      <c r="L109" s="118">
        <f t="shared" si="47"/>
        <v>0.04</v>
      </c>
      <c r="M109" s="206">
        <f t="shared" si="48"/>
        <v>0.48</v>
      </c>
      <c r="N109" s="117">
        <f t="shared" si="42"/>
        <v>0</v>
      </c>
      <c r="O109" s="118">
        <f t="shared" si="49"/>
        <v>0.7</v>
      </c>
      <c r="P109" s="118">
        <f t="shared" si="50"/>
        <v>0.15</v>
      </c>
      <c r="Q109" s="118">
        <f t="shared" si="51"/>
        <v>0.15</v>
      </c>
      <c r="R109" s="118">
        <f t="shared" si="52"/>
        <v>0</v>
      </c>
      <c r="S109" s="206">
        <f t="shared" si="53"/>
        <v>0</v>
      </c>
      <c r="T109" s="117">
        <f t="shared" si="79"/>
        <v>0.34</v>
      </c>
      <c r="U109" s="118">
        <f t="shared" si="54"/>
        <v>0</v>
      </c>
      <c r="V109" s="118">
        <f t="shared" si="55"/>
        <v>0.17</v>
      </c>
      <c r="W109" s="118">
        <f t="shared" si="56"/>
        <v>0.24</v>
      </c>
      <c r="X109" s="118">
        <f t="shared" si="57"/>
        <v>0.05</v>
      </c>
      <c r="Y109" s="206">
        <f t="shared" si="58"/>
        <v>0.2</v>
      </c>
      <c r="Z109" s="237">
        <f t="shared" si="59"/>
        <v>8291777.6876512524</v>
      </c>
      <c r="AA109" s="238">
        <f t="shared" si="60"/>
        <v>0</v>
      </c>
      <c r="AB109" s="238">
        <f t="shared" si="61"/>
        <v>8291777.6876512524</v>
      </c>
      <c r="AC109" s="238">
        <f t="shared" si="62"/>
        <v>4643395.5050847018</v>
      </c>
      <c r="AD109" s="238">
        <f t="shared" si="63"/>
        <v>663342.21501210006</v>
      </c>
      <c r="AE109" s="238">
        <f t="shared" si="64"/>
        <v>0</v>
      </c>
      <c r="AF109" s="244">
        <f t="shared" si="80"/>
        <v>21890293.095399305</v>
      </c>
      <c r="AG109" s="237">
        <f t="shared" si="65"/>
        <v>0</v>
      </c>
      <c r="AH109" s="238">
        <f t="shared" si="66"/>
        <v>0</v>
      </c>
      <c r="AI109" s="238">
        <f t="shared" si="67"/>
        <v>3826974.3173775007</v>
      </c>
      <c r="AJ109" s="238">
        <f t="shared" si="68"/>
        <v>765394.86347550002</v>
      </c>
      <c r="AK109" s="238">
        <f t="shared" si="69"/>
        <v>0</v>
      </c>
      <c r="AL109" s="238">
        <f t="shared" si="70"/>
        <v>0</v>
      </c>
      <c r="AM109" s="244">
        <f t="shared" si="81"/>
        <v>4592369.1808530008</v>
      </c>
      <c r="AN109" s="237">
        <f t="shared" si="71"/>
        <v>35420773.404171757</v>
      </c>
      <c r="AO109" s="238">
        <f t="shared" si="72"/>
        <v>0</v>
      </c>
      <c r="AP109" s="238">
        <f t="shared" si="73"/>
        <v>17710386.702085879</v>
      </c>
      <c r="AQ109" s="238">
        <f t="shared" si="74"/>
        <v>25002898.873532999</v>
      </c>
      <c r="AR109" s="238">
        <f t="shared" si="75"/>
        <v>1041787.4530638753</v>
      </c>
      <c r="AS109" s="238">
        <f t="shared" si="82"/>
        <v>0</v>
      </c>
      <c r="AT109" s="244">
        <f t="shared" si="83"/>
        <v>79175846.432854503</v>
      </c>
      <c r="AU109" s="256">
        <v>0</v>
      </c>
      <c r="AV109" s="248">
        <f t="shared" si="84"/>
        <v>105.6585087091068</v>
      </c>
      <c r="AW109" s="259">
        <f t="shared" si="77"/>
        <v>2.2958369131977472</v>
      </c>
    </row>
    <row r="110" spans="1:49">
      <c r="A110" s="194">
        <f>'Input data'!A101</f>
        <v>2003</v>
      </c>
      <c r="B110" s="209">
        <f>'Input data'!B101</f>
        <v>46.116</v>
      </c>
      <c r="C110" s="114">
        <f>'Input data'!F101</f>
        <v>0.71479999999999999</v>
      </c>
      <c r="D110" s="114">
        <f>'Input data'!G101</f>
        <v>0.28959999999999997</v>
      </c>
      <c r="E110" s="237">
        <f t="shared" si="76"/>
        <v>717773058.45000017</v>
      </c>
      <c r="F110" s="238">
        <v>0</v>
      </c>
      <c r="G110" s="239">
        <f t="shared" si="78"/>
        <v>717773058.45000017</v>
      </c>
      <c r="H110" s="118">
        <f t="shared" si="41"/>
        <v>0.1</v>
      </c>
      <c r="I110" s="118">
        <f t="shared" si="44"/>
        <v>0</v>
      </c>
      <c r="J110" s="118">
        <f t="shared" si="45"/>
        <v>0.1</v>
      </c>
      <c r="K110" s="118">
        <f t="shared" si="46"/>
        <v>0.28000000000000003</v>
      </c>
      <c r="L110" s="118">
        <f t="shared" si="47"/>
        <v>0.04</v>
      </c>
      <c r="M110" s="206">
        <f t="shared" si="48"/>
        <v>0.48</v>
      </c>
      <c r="N110" s="117">
        <f t="shared" si="42"/>
        <v>0</v>
      </c>
      <c r="O110" s="118">
        <f t="shared" si="49"/>
        <v>0.7</v>
      </c>
      <c r="P110" s="118">
        <f t="shared" si="50"/>
        <v>0.15</v>
      </c>
      <c r="Q110" s="118">
        <f t="shared" si="51"/>
        <v>0.15</v>
      </c>
      <c r="R110" s="118">
        <f t="shared" si="52"/>
        <v>0</v>
      </c>
      <c r="S110" s="206">
        <f t="shared" si="53"/>
        <v>0</v>
      </c>
      <c r="T110" s="117">
        <f t="shared" si="79"/>
        <v>0.34</v>
      </c>
      <c r="U110" s="118">
        <f t="shared" si="54"/>
        <v>0</v>
      </c>
      <c r="V110" s="118">
        <f t="shared" si="55"/>
        <v>0.17</v>
      </c>
      <c r="W110" s="118">
        <f t="shared" si="56"/>
        <v>0.24</v>
      </c>
      <c r="X110" s="118">
        <f t="shared" si="57"/>
        <v>0.05</v>
      </c>
      <c r="Y110" s="206">
        <f t="shared" si="58"/>
        <v>0.2</v>
      </c>
      <c r="Z110" s="237">
        <f t="shared" si="59"/>
        <v>8397944.7838650011</v>
      </c>
      <c r="AA110" s="238">
        <f t="shared" si="60"/>
        <v>0</v>
      </c>
      <c r="AB110" s="238">
        <f t="shared" si="61"/>
        <v>8397944.7838650011</v>
      </c>
      <c r="AC110" s="238">
        <f t="shared" si="62"/>
        <v>4702849.078964402</v>
      </c>
      <c r="AD110" s="238">
        <f t="shared" si="63"/>
        <v>671835.58270920021</v>
      </c>
      <c r="AE110" s="238">
        <f t="shared" si="64"/>
        <v>0</v>
      </c>
      <c r="AF110" s="244">
        <f t="shared" si="80"/>
        <v>22170574.229403604</v>
      </c>
      <c r="AG110" s="237">
        <f t="shared" si="65"/>
        <v>0</v>
      </c>
      <c r="AH110" s="238">
        <f t="shared" si="66"/>
        <v>0</v>
      </c>
      <c r="AI110" s="238">
        <f t="shared" si="67"/>
        <v>3875974.5156300007</v>
      </c>
      <c r="AJ110" s="238">
        <f t="shared" si="68"/>
        <v>775194.90312600019</v>
      </c>
      <c r="AK110" s="238">
        <f t="shared" si="69"/>
        <v>0</v>
      </c>
      <c r="AL110" s="238">
        <f t="shared" si="70"/>
        <v>0</v>
      </c>
      <c r="AM110" s="244">
        <f t="shared" si="81"/>
        <v>4651169.4187560007</v>
      </c>
      <c r="AN110" s="237">
        <f t="shared" si="71"/>
        <v>35874297.46133101</v>
      </c>
      <c r="AO110" s="238">
        <f t="shared" si="72"/>
        <v>0</v>
      </c>
      <c r="AP110" s="238">
        <f t="shared" si="73"/>
        <v>17937148.730665505</v>
      </c>
      <c r="AQ110" s="238">
        <f t="shared" si="74"/>
        <v>25323033.502116006</v>
      </c>
      <c r="AR110" s="238">
        <f t="shared" si="75"/>
        <v>1055126.3959215002</v>
      </c>
      <c r="AS110" s="238">
        <f t="shared" si="82"/>
        <v>0</v>
      </c>
      <c r="AT110" s="244">
        <f t="shared" si="83"/>
        <v>80189606.090034023</v>
      </c>
      <c r="AU110" s="256">
        <v>0</v>
      </c>
      <c r="AV110" s="248">
        <f t="shared" si="84"/>
        <v>107.01134973819363</v>
      </c>
      <c r="AW110" s="259">
        <f t="shared" si="77"/>
        <v>2.3252325805246157</v>
      </c>
    </row>
    <row r="111" spans="1:49">
      <c r="A111" s="194">
        <f>'Input data'!A102</f>
        <v>2004</v>
      </c>
      <c r="B111" s="209">
        <f>'Input data'!B102</f>
        <v>46.664999999999999</v>
      </c>
      <c r="C111" s="114">
        <f>'Input data'!F102</f>
        <v>0.71479999999999999</v>
      </c>
      <c r="D111" s="114">
        <f>'Input data'!G102</f>
        <v>0.28959999999999997</v>
      </c>
      <c r="E111" s="237">
        <f t="shared" si="76"/>
        <v>726317975.81250012</v>
      </c>
      <c r="F111" s="238">
        <v>0</v>
      </c>
      <c r="G111" s="239">
        <f t="shared" si="78"/>
        <v>726317975.81250012</v>
      </c>
      <c r="H111" s="118">
        <f t="shared" si="41"/>
        <v>0.1</v>
      </c>
      <c r="I111" s="118">
        <f t="shared" si="44"/>
        <v>0</v>
      </c>
      <c r="J111" s="118">
        <f t="shared" si="45"/>
        <v>0.1</v>
      </c>
      <c r="K111" s="118">
        <f t="shared" si="46"/>
        <v>0.28000000000000003</v>
      </c>
      <c r="L111" s="118">
        <f t="shared" si="47"/>
        <v>0.04</v>
      </c>
      <c r="M111" s="206">
        <f t="shared" si="48"/>
        <v>0.48</v>
      </c>
      <c r="N111" s="117">
        <f t="shared" si="42"/>
        <v>0</v>
      </c>
      <c r="O111" s="118">
        <f t="shared" si="49"/>
        <v>0.7</v>
      </c>
      <c r="P111" s="118">
        <f t="shared" si="50"/>
        <v>0.15</v>
      </c>
      <c r="Q111" s="118">
        <f t="shared" si="51"/>
        <v>0.15</v>
      </c>
      <c r="R111" s="118">
        <f t="shared" si="52"/>
        <v>0</v>
      </c>
      <c r="S111" s="206">
        <f t="shared" si="53"/>
        <v>0</v>
      </c>
      <c r="T111" s="117">
        <f t="shared" si="79"/>
        <v>0.34</v>
      </c>
      <c r="U111" s="118">
        <f t="shared" si="54"/>
        <v>0</v>
      </c>
      <c r="V111" s="118">
        <f t="shared" si="55"/>
        <v>0.17</v>
      </c>
      <c r="W111" s="118">
        <f t="shared" si="56"/>
        <v>0.24</v>
      </c>
      <c r="X111" s="118">
        <f t="shared" si="57"/>
        <v>0.05</v>
      </c>
      <c r="Y111" s="206">
        <f t="shared" si="58"/>
        <v>0.2</v>
      </c>
      <c r="Z111" s="237">
        <f t="shared" si="59"/>
        <v>8497920.3170062508</v>
      </c>
      <c r="AA111" s="238">
        <f t="shared" si="60"/>
        <v>0</v>
      </c>
      <c r="AB111" s="238">
        <f t="shared" si="61"/>
        <v>8497920.3170062508</v>
      </c>
      <c r="AC111" s="238">
        <f t="shared" si="62"/>
        <v>4758835.3775235014</v>
      </c>
      <c r="AD111" s="238">
        <f t="shared" si="63"/>
        <v>679833.62536050007</v>
      </c>
      <c r="AE111" s="238">
        <f t="shared" si="64"/>
        <v>0</v>
      </c>
      <c r="AF111" s="244">
        <f t="shared" si="80"/>
        <v>22434509.636896502</v>
      </c>
      <c r="AG111" s="237">
        <f t="shared" si="65"/>
        <v>0</v>
      </c>
      <c r="AH111" s="238">
        <f t="shared" si="66"/>
        <v>0</v>
      </c>
      <c r="AI111" s="238">
        <f t="shared" si="67"/>
        <v>3922117.0693875002</v>
      </c>
      <c r="AJ111" s="238">
        <f t="shared" si="68"/>
        <v>784423.41387749999</v>
      </c>
      <c r="AK111" s="238">
        <f t="shared" si="69"/>
        <v>0</v>
      </c>
      <c r="AL111" s="238">
        <f t="shared" si="70"/>
        <v>0</v>
      </c>
      <c r="AM111" s="244">
        <f t="shared" si="81"/>
        <v>4706540.4832650004</v>
      </c>
      <c r="AN111" s="237">
        <f t="shared" si="71"/>
        <v>36301372.431108758</v>
      </c>
      <c r="AO111" s="238">
        <f t="shared" si="72"/>
        <v>0</v>
      </c>
      <c r="AP111" s="238">
        <f t="shared" si="73"/>
        <v>18150686.215554379</v>
      </c>
      <c r="AQ111" s="238">
        <f t="shared" si="74"/>
        <v>25624498.186665002</v>
      </c>
      <c r="AR111" s="238">
        <f t="shared" si="75"/>
        <v>1067687.4244443753</v>
      </c>
      <c r="AS111" s="238">
        <f t="shared" si="82"/>
        <v>0</v>
      </c>
      <c r="AT111" s="244">
        <f t="shared" si="83"/>
        <v>81144244.25777252</v>
      </c>
      <c r="AU111" s="256">
        <v>0</v>
      </c>
      <c r="AV111" s="248">
        <f t="shared" si="84"/>
        <v>108.28529437793402</v>
      </c>
      <c r="AW111" s="259">
        <f t="shared" si="77"/>
        <v>2.3529139207689562</v>
      </c>
    </row>
    <row r="112" spans="1:49">
      <c r="A112" s="194">
        <f>'Input data'!A103</f>
        <v>2005</v>
      </c>
      <c r="B112" s="209">
        <f>'Input data'!B103</f>
        <v>47.198</v>
      </c>
      <c r="C112" s="114">
        <f>'Input data'!F103</f>
        <v>0.71479999999999999</v>
      </c>
      <c r="D112" s="114">
        <f>'Input data'!G103</f>
        <v>0.28959999999999997</v>
      </c>
      <c r="E112" s="237">
        <f t="shared" si="76"/>
        <v>734613860.97500002</v>
      </c>
      <c r="F112" s="238">
        <v>0</v>
      </c>
      <c r="G112" s="239">
        <f t="shared" si="78"/>
        <v>734613860.97500002</v>
      </c>
      <c r="H112" s="118">
        <f t="shared" si="41"/>
        <v>0.1</v>
      </c>
      <c r="I112" s="118">
        <f t="shared" si="44"/>
        <v>0</v>
      </c>
      <c r="J112" s="118">
        <f t="shared" si="45"/>
        <v>0.1</v>
      </c>
      <c r="K112" s="118">
        <f t="shared" si="46"/>
        <v>0.28000000000000003</v>
      </c>
      <c r="L112" s="118">
        <f t="shared" si="47"/>
        <v>0.04</v>
      </c>
      <c r="M112" s="206">
        <f t="shared" si="48"/>
        <v>0.48</v>
      </c>
      <c r="N112" s="117">
        <f t="shared" si="42"/>
        <v>0</v>
      </c>
      <c r="O112" s="118">
        <f t="shared" si="49"/>
        <v>0.7</v>
      </c>
      <c r="P112" s="118">
        <f t="shared" si="50"/>
        <v>0.15</v>
      </c>
      <c r="Q112" s="118">
        <f t="shared" si="51"/>
        <v>0.15</v>
      </c>
      <c r="R112" s="118">
        <f t="shared" si="52"/>
        <v>0</v>
      </c>
      <c r="S112" s="206">
        <f t="shared" si="53"/>
        <v>0</v>
      </c>
      <c r="T112" s="117">
        <f t="shared" si="79"/>
        <v>0.34</v>
      </c>
      <c r="U112" s="118">
        <f t="shared" si="54"/>
        <v>0</v>
      </c>
      <c r="V112" s="118">
        <f t="shared" si="55"/>
        <v>0.17</v>
      </c>
      <c r="W112" s="118">
        <f t="shared" si="56"/>
        <v>0.24</v>
      </c>
      <c r="X112" s="118">
        <f t="shared" si="57"/>
        <v>0.05</v>
      </c>
      <c r="Y112" s="206">
        <f t="shared" si="58"/>
        <v>0.2</v>
      </c>
      <c r="Z112" s="237">
        <f t="shared" si="59"/>
        <v>8594982.1734075006</v>
      </c>
      <c r="AA112" s="238">
        <f t="shared" si="60"/>
        <v>0</v>
      </c>
      <c r="AB112" s="238">
        <f t="shared" si="61"/>
        <v>8594982.1734075006</v>
      </c>
      <c r="AC112" s="238">
        <f t="shared" si="62"/>
        <v>4813190.017108201</v>
      </c>
      <c r="AD112" s="238">
        <f t="shared" si="63"/>
        <v>687598.57387259998</v>
      </c>
      <c r="AE112" s="238">
        <f t="shared" si="64"/>
        <v>0</v>
      </c>
      <c r="AF112" s="244">
        <f t="shared" si="80"/>
        <v>22690752.937795803</v>
      </c>
      <c r="AG112" s="237">
        <f t="shared" si="65"/>
        <v>0</v>
      </c>
      <c r="AH112" s="238">
        <f t="shared" si="66"/>
        <v>0</v>
      </c>
      <c r="AI112" s="238">
        <f t="shared" si="67"/>
        <v>3966914.8492649999</v>
      </c>
      <c r="AJ112" s="238">
        <f t="shared" si="68"/>
        <v>793382.9698529999</v>
      </c>
      <c r="AK112" s="238">
        <f t="shared" si="69"/>
        <v>0</v>
      </c>
      <c r="AL112" s="238">
        <f t="shared" si="70"/>
        <v>0</v>
      </c>
      <c r="AM112" s="244">
        <f t="shared" si="81"/>
        <v>4760297.8191179996</v>
      </c>
      <c r="AN112" s="237">
        <f t="shared" si="71"/>
        <v>36716000.771530502</v>
      </c>
      <c r="AO112" s="238">
        <f t="shared" si="72"/>
        <v>0</v>
      </c>
      <c r="AP112" s="238">
        <f t="shared" si="73"/>
        <v>18358000.385765251</v>
      </c>
      <c r="AQ112" s="238">
        <f t="shared" si="74"/>
        <v>25917177.015198</v>
      </c>
      <c r="AR112" s="238">
        <f t="shared" si="75"/>
        <v>1079882.37563325</v>
      </c>
      <c r="AS112" s="238">
        <f t="shared" si="82"/>
        <v>0</v>
      </c>
      <c r="AT112" s="244">
        <f t="shared" si="83"/>
        <v>82071060.54812701</v>
      </c>
      <c r="AU112" s="256">
        <v>0</v>
      </c>
      <c r="AV112" s="248">
        <f t="shared" si="84"/>
        <v>109.52211130504081</v>
      </c>
      <c r="AW112" s="259">
        <f t="shared" si="77"/>
        <v>2.3797885188568135</v>
      </c>
    </row>
    <row r="113" spans="1:49">
      <c r="A113" s="194">
        <f>'Input data'!A104</f>
        <v>2006</v>
      </c>
      <c r="B113" s="209">
        <f>'Input data'!B104</f>
        <v>47.731000000000002</v>
      </c>
      <c r="C113" s="114">
        <f>'Input data'!F104</f>
        <v>0.71479999999999999</v>
      </c>
      <c r="D113" s="114">
        <f>'Input data'!G104</f>
        <v>0.28959999999999997</v>
      </c>
      <c r="E113" s="237">
        <f t="shared" si="76"/>
        <v>742909746.13750005</v>
      </c>
      <c r="F113" s="238">
        <v>0</v>
      </c>
      <c r="G113" s="239">
        <f t="shared" si="78"/>
        <v>742909746.13750005</v>
      </c>
      <c r="H113" s="118">
        <f t="shared" si="41"/>
        <v>0.1</v>
      </c>
      <c r="I113" s="118">
        <f t="shared" si="44"/>
        <v>0</v>
      </c>
      <c r="J113" s="118">
        <f t="shared" si="45"/>
        <v>0.1</v>
      </c>
      <c r="K113" s="118">
        <f t="shared" si="46"/>
        <v>0.28000000000000003</v>
      </c>
      <c r="L113" s="118">
        <f t="shared" si="47"/>
        <v>0.04</v>
      </c>
      <c r="M113" s="206">
        <f t="shared" si="48"/>
        <v>0.48</v>
      </c>
      <c r="N113" s="117">
        <f t="shared" si="42"/>
        <v>0</v>
      </c>
      <c r="O113" s="118">
        <f t="shared" si="49"/>
        <v>0.7</v>
      </c>
      <c r="P113" s="118">
        <f t="shared" si="50"/>
        <v>0.15</v>
      </c>
      <c r="Q113" s="118">
        <f t="shared" si="51"/>
        <v>0.15</v>
      </c>
      <c r="R113" s="118">
        <f t="shared" si="52"/>
        <v>0</v>
      </c>
      <c r="S113" s="206">
        <f t="shared" si="53"/>
        <v>0</v>
      </c>
      <c r="T113" s="117">
        <f t="shared" si="79"/>
        <v>0.34</v>
      </c>
      <c r="U113" s="118">
        <f t="shared" si="54"/>
        <v>0</v>
      </c>
      <c r="V113" s="118">
        <f t="shared" si="55"/>
        <v>0.17</v>
      </c>
      <c r="W113" s="118">
        <f t="shared" si="56"/>
        <v>0.24</v>
      </c>
      <c r="X113" s="118">
        <f t="shared" si="57"/>
        <v>0.05</v>
      </c>
      <c r="Y113" s="206">
        <f t="shared" si="58"/>
        <v>0.2</v>
      </c>
      <c r="Z113" s="237">
        <f t="shared" si="59"/>
        <v>8692044.0298087504</v>
      </c>
      <c r="AA113" s="238">
        <f t="shared" si="60"/>
        <v>0</v>
      </c>
      <c r="AB113" s="238">
        <f t="shared" si="61"/>
        <v>8692044.0298087504</v>
      </c>
      <c r="AC113" s="238">
        <f t="shared" si="62"/>
        <v>4867544.6566929016</v>
      </c>
      <c r="AD113" s="238">
        <f t="shared" si="63"/>
        <v>695363.52238470002</v>
      </c>
      <c r="AE113" s="238">
        <f t="shared" si="64"/>
        <v>0</v>
      </c>
      <c r="AF113" s="244">
        <f t="shared" si="80"/>
        <v>22946996.238695104</v>
      </c>
      <c r="AG113" s="237">
        <f t="shared" si="65"/>
        <v>0</v>
      </c>
      <c r="AH113" s="238">
        <f t="shared" si="66"/>
        <v>0</v>
      </c>
      <c r="AI113" s="238">
        <f t="shared" si="67"/>
        <v>4011712.6291425</v>
      </c>
      <c r="AJ113" s="238">
        <f t="shared" si="68"/>
        <v>802342.52582850005</v>
      </c>
      <c r="AK113" s="238">
        <f t="shared" si="69"/>
        <v>0</v>
      </c>
      <c r="AL113" s="238">
        <f t="shared" si="70"/>
        <v>0</v>
      </c>
      <c r="AM113" s="244">
        <f t="shared" si="81"/>
        <v>4814055.1549709998</v>
      </c>
      <c r="AN113" s="237">
        <f t="shared" si="71"/>
        <v>37130629.111952253</v>
      </c>
      <c r="AO113" s="238">
        <f t="shared" si="72"/>
        <v>0</v>
      </c>
      <c r="AP113" s="238">
        <f t="shared" si="73"/>
        <v>18565314.555976126</v>
      </c>
      <c r="AQ113" s="238">
        <f t="shared" si="74"/>
        <v>26209855.843731001</v>
      </c>
      <c r="AR113" s="238">
        <f t="shared" si="75"/>
        <v>1092077.3268221251</v>
      </c>
      <c r="AS113" s="238">
        <f t="shared" si="82"/>
        <v>0</v>
      </c>
      <c r="AT113" s="244">
        <f t="shared" si="83"/>
        <v>82997876.838481516</v>
      </c>
      <c r="AU113" s="256">
        <v>0</v>
      </c>
      <c r="AV113" s="248">
        <f t="shared" si="84"/>
        <v>110.75892823214762</v>
      </c>
      <c r="AW113" s="259">
        <f t="shared" si="77"/>
        <v>2.4066631169446708</v>
      </c>
    </row>
    <row r="114" spans="1:49">
      <c r="A114" s="194">
        <f>'Input data'!A105</f>
        <v>2007</v>
      </c>
      <c r="B114" s="209">
        <f>'Input data'!B105</f>
        <v>48.256999999999998</v>
      </c>
      <c r="C114" s="114">
        <f>'Input data'!F105</f>
        <v>0.71479999999999999</v>
      </c>
      <c r="D114" s="114">
        <f>'Input data'!G105</f>
        <v>0.28959999999999997</v>
      </c>
      <c r="E114" s="237">
        <f t="shared" si="76"/>
        <v>751096679.7125001</v>
      </c>
      <c r="F114" s="238">
        <v>0</v>
      </c>
      <c r="G114" s="239">
        <f t="shared" si="78"/>
        <v>751096679.7125001</v>
      </c>
      <c r="H114" s="118">
        <f t="shared" si="41"/>
        <v>0.1</v>
      </c>
      <c r="I114" s="118">
        <f t="shared" si="44"/>
        <v>0</v>
      </c>
      <c r="J114" s="118">
        <f t="shared" si="45"/>
        <v>0.1</v>
      </c>
      <c r="K114" s="118">
        <f t="shared" si="46"/>
        <v>0.28000000000000003</v>
      </c>
      <c r="L114" s="118">
        <f t="shared" si="47"/>
        <v>0.04</v>
      </c>
      <c r="M114" s="206">
        <f t="shared" si="48"/>
        <v>0.48</v>
      </c>
      <c r="N114" s="117">
        <f t="shared" si="42"/>
        <v>0</v>
      </c>
      <c r="O114" s="118">
        <f t="shared" si="49"/>
        <v>0.7</v>
      </c>
      <c r="P114" s="118">
        <f t="shared" si="50"/>
        <v>0.15</v>
      </c>
      <c r="Q114" s="118">
        <f t="shared" si="51"/>
        <v>0.15</v>
      </c>
      <c r="R114" s="118">
        <f t="shared" si="52"/>
        <v>0</v>
      </c>
      <c r="S114" s="206">
        <f t="shared" si="53"/>
        <v>0</v>
      </c>
      <c r="T114" s="117">
        <f t="shared" si="79"/>
        <v>0.34</v>
      </c>
      <c r="U114" s="118">
        <f t="shared" si="54"/>
        <v>0</v>
      </c>
      <c r="V114" s="118">
        <f t="shared" si="55"/>
        <v>0.17</v>
      </c>
      <c r="W114" s="118">
        <f t="shared" si="56"/>
        <v>0.24</v>
      </c>
      <c r="X114" s="118">
        <f t="shared" si="57"/>
        <v>0.05</v>
      </c>
      <c r="Y114" s="206">
        <f t="shared" si="58"/>
        <v>0.2</v>
      </c>
      <c r="Z114" s="237">
        <f t="shared" si="59"/>
        <v>8787831.1526362505</v>
      </c>
      <c r="AA114" s="238">
        <f t="shared" si="60"/>
        <v>0</v>
      </c>
      <c r="AB114" s="238">
        <f t="shared" si="61"/>
        <v>8787831.1526362505</v>
      </c>
      <c r="AC114" s="238">
        <f t="shared" si="62"/>
        <v>4921185.4454763019</v>
      </c>
      <c r="AD114" s="238">
        <f t="shared" si="63"/>
        <v>703026.49221090006</v>
      </c>
      <c r="AE114" s="238">
        <f t="shared" si="64"/>
        <v>0</v>
      </c>
      <c r="AF114" s="244">
        <f t="shared" si="80"/>
        <v>23199874.242959701</v>
      </c>
      <c r="AG114" s="237">
        <f t="shared" si="65"/>
        <v>0</v>
      </c>
      <c r="AH114" s="238">
        <f t="shared" si="66"/>
        <v>0</v>
      </c>
      <c r="AI114" s="238">
        <f t="shared" si="67"/>
        <v>4055922.0704474999</v>
      </c>
      <c r="AJ114" s="238">
        <f t="shared" si="68"/>
        <v>811184.41408949997</v>
      </c>
      <c r="AK114" s="238">
        <f t="shared" si="69"/>
        <v>0</v>
      </c>
      <c r="AL114" s="238">
        <f t="shared" si="70"/>
        <v>0</v>
      </c>
      <c r="AM114" s="244">
        <f t="shared" si="81"/>
        <v>4867106.4845369998</v>
      </c>
      <c r="AN114" s="237">
        <f t="shared" si="71"/>
        <v>37539812.052030757</v>
      </c>
      <c r="AO114" s="238">
        <f t="shared" si="72"/>
        <v>0</v>
      </c>
      <c r="AP114" s="238">
        <f t="shared" si="73"/>
        <v>18769906.026015379</v>
      </c>
      <c r="AQ114" s="238">
        <f t="shared" si="74"/>
        <v>26498690.860257</v>
      </c>
      <c r="AR114" s="238">
        <f t="shared" si="75"/>
        <v>1104112.1191773752</v>
      </c>
      <c r="AS114" s="238">
        <f t="shared" si="82"/>
        <v>0</v>
      </c>
      <c r="AT114" s="244">
        <f t="shared" si="83"/>
        <v>83912521.057480514</v>
      </c>
      <c r="AU114" s="256">
        <v>0</v>
      </c>
      <c r="AV114" s="248">
        <f t="shared" si="84"/>
        <v>111.97950178497722</v>
      </c>
      <c r="AW114" s="259">
        <f t="shared" si="77"/>
        <v>2.4331847653390661</v>
      </c>
    </row>
    <row r="115" spans="1:49">
      <c r="A115" s="194">
        <f>'Input data'!A106</f>
        <v>2008</v>
      </c>
      <c r="B115" s="209">
        <f>'Input data'!B106</f>
        <v>48.792999999999999</v>
      </c>
      <c r="C115" s="114">
        <f>'Input data'!F106</f>
        <v>0.71479999999999999</v>
      </c>
      <c r="D115" s="114">
        <f>'Input data'!G106</f>
        <v>0.28959999999999997</v>
      </c>
      <c r="E115" s="237">
        <f t="shared" si="76"/>
        <v>759439258.41250002</v>
      </c>
      <c r="F115" s="238">
        <v>0</v>
      </c>
      <c r="G115" s="239">
        <f t="shared" si="78"/>
        <v>759439258.41250002</v>
      </c>
      <c r="H115" s="118">
        <f t="shared" si="41"/>
        <v>0.1</v>
      </c>
      <c r="I115" s="118">
        <f t="shared" si="44"/>
        <v>0</v>
      </c>
      <c r="J115" s="118">
        <f t="shared" si="45"/>
        <v>0.1</v>
      </c>
      <c r="K115" s="118">
        <f t="shared" si="46"/>
        <v>0.28000000000000003</v>
      </c>
      <c r="L115" s="118">
        <f t="shared" si="47"/>
        <v>0.04</v>
      </c>
      <c r="M115" s="206">
        <f t="shared" si="48"/>
        <v>0.48</v>
      </c>
      <c r="N115" s="117">
        <f t="shared" si="42"/>
        <v>0</v>
      </c>
      <c r="O115" s="118">
        <f t="shared" si="49"/>
        <v>0.7</v>
      </c>
      <c r="P115" s="118">
        <f t="shared" si="50"/>
        <v>0.15</v>
      </c>
      <c r="Q115" s="118">
        <f t="shared" si="51"/>
        <v>0.15</v>
      </c>
      <c r="R115" s="118">
        <f t="shared" si="52"/>
        <v>0</v>
      </c>
      <c r="S115" s="206">
        <f t="shared" si="53"/>
        <v>0</v>
      </c>
      <c r="T115" s="117">
        <f t="shared" si="79"/>
        <v>0.34</v>
      </c>
      <c r="U115" s="118">
        <f t="shared" si="54"/>
        <v>0</v>
      </c>
      <c r="V115" s="118">
        <f t="shared" si="55"/>
        <v>0.17</v>
      </c>
      <c r="W115" s="118">
        <f t="shared" si="56"/>
        <v>0.24</v>
      </c>
      <c r="X115" s="118">
        <f t="shared" si="57"/>
        <v>0.05</v>
      </c>
      <c r="Y115" s="206">
        <f t="shared" si="58"/>
        <v>0.2</v>
      </c>
      <c r="Z115" s="237">
        <f t="shared" si="59"/>
        <v>8885439.3234262504</v>
      </c>
      <c r="AA115" s="238">
        <f t="shared" si="60"/>
        <v>0</v>
      </c>
      <c r="AB115" s="238">
        <f t="shared" si="61"/>
        <v>8885439.3234262504</v>
      </c>
      <c r="AC115" s="238">
        <f t="shared" si="62"/>
        <v>4975846.0211187014</v>
      </c>
      <c r="AD115" s="238">
        <f t="shared" si="63"/>
        <v>710835.14587409992</v>
      </c>
      <c r="AE115" s="238">
        <f t="shared" si="64"/>
        <v>0</v>
      </c>
      <c r="AF115" s="244">
        <f t="shared" si="80"/>
        <v>23457559.813845303</v>
      </c>
      <c r="AG115" s="237">
        <f t="shared" si="65"/>
        <v>0</v>
      </c>
      <c r="AH115" s="238">
        <f t="shared" si="66"/>
        <v>0</v>
      </c>
      <c r="AI115" s="238">
        <f t="shared" si="67"/>
        <v>4100971.9954275</v>
      </c>
      <c r="AJ115" s="238">
        <f t="shared" si="68"/>
        <v>820194.39908549993</v>
      </c>
      <c r="AK115" s="238">
        <f t="shared" si="69"/>
        <v>0</v>
      </c>
      <c r="AL115" s="238">
        <f t="shared" si="70"/>
        <v>0</v>
      </c>
      <c r="AM115" s="244">
        <f t="shared" si="81"/>
        <v>4921166.3945129998</v>
      </c>
      <c r="AN115" s="237">
        <f t="shared" si="71"/>
        <v>37956774.135456756</v>
      </c>
      <c r="AO115" s="238">
        <f t="shared" si="72"/>
        <v>0</v>
      </c>
      <c r="AP115" s="238">
        <f t="shared" si="73"/>
        <v>18978387.067728378</v>
      </c>
      <c r="AQ115" s="238">
        <f t="shared" si="74"/>
        <v>26793017.036793001</v>
      </c>
      <c r="AR115" s="238">
        <f t="shared" si="75"/>
        <v>1116375.709866375</v>
      </c>
      <c r="AS115" s="238">
        <f t="shared" si="82"/>
        <v>0</v>
      </c>
      <c r="AT115" s="244">
        <f t="shared" si="83"/>
        <v>84844553.949844509</v>
      </c>
      <c r="AU115" s="256">
        <v>0</v>
      </c>
      <c r="AV115" s="248">
        <f t="shared" si="84"/>
        <v>113.22328015820281</v>
      </c>
      <c r="AW115" s="259">
        <f t="shared" si="77"/>
        <v>2.4602106275812643</v>
      </c>
    </row>
    <row r="116" spans="1:49">
      <c r="A116" s="194">
        <f>'Input data'!A107</f>
        <v>2009</v>
      </c>
      <c r="B116" s="209">
        <f>'Input data'!B107</f>
        <v>49.32</v>
      </c>
      <c r="C116" s="114">
        <f>'Input data'!F107</f>
        <v>0.71479999999999999</v>
      </c>
      <c r="D116" s="114">
        <f>'Input data'!G107</f>
        <v>0.28959999999999997</v>
      </c>
      <c r="E116" s="237">
        <f t="shared" si="76"/>
        <v>767641756.5</v>
      </c>
      <c r="F116" s="238">
        <v>0</v>
      </c>
      <c r="G116" s="239">
        <f t="shared" si="78"/>
        <v>767641756.5</v>
      </c>
      <c r="H116" s="118">
        <f t="shared" si="41"/>
        <v>0.1</v>
      </c>
      <c r="I116" s="118">
        <f t="shared" si="44"/>
        <v>0</v>
      </c>
      <c r="J116" s="118">
        <f t="shared" si="45"/>
        <v>0.1</v>
      </c>
      <c r="K116" s="118">
        <f t="shared" si="46"/>
        <v>0.28000000000000003</v>
      </c>
      <c r="L116" s="118">
        <f t="shared" si="47"/>
        <v>0.04</v>
      </c>
      <c r="M116" s="206">
        <f t="shared" si="48"/>
        <v>0.48</v>
      </c>
      <c r="N116" s="117">
        <f t="shared" si="42"/>
        <v>0</v>
      </c>
      <c r="O116" s="118">
        <f t="shared" si="49"/>
        <v>0.7</v>
      </c>
      <c r="P116" s="118">
        <f t="shared" si="50"/>
        <v>0.15</v>
      </c>
      <c r="Q116" s="118">
        <f t="shared" si="51"/>
        <v>0.15</v>
      </c>
      <c r="R116" s="118">
        <f t="shared" si="52"/>
        <v>0</v>
      </c>
      <c r="S116" s="206">
        <f t="shared" si="53"/>
        <v>0</v>
      </c>
      <c r="T116" s="117">
        <f t="shared" si="79"/>
        <v>0.34</v>
      </c>
      <c r="U116" s="118">
        <f t="shared" si="54"/>
        <v>0</v>
      </c>
      <c r="V116" s="118">
        <f t="shared" si="55"/>
        <v>0.17</v>
      </c>
      <c r="W116" s="118">
        <f t="shared" si="56"/>
        <v>0.24</v>
      </c>
      <c r="X116" s="118">
        <f t="shared" si="57"/>
        <v>0.05</v>
      </c>
      <c r="Y116" s="206">
        <f t="shared" si="58"/>
        <v>0.2</v>
      </c>
      <c r="Z116" s="237">
        <f t="shared" si="59"/>
        <v>8981408.5510499999</v>
      </c>
      <c r="AA116" s="238">
        <f t="shared" si="60"/>
        <v>0</v>
      </c>
      <c r="AB116" s="238">
        <f t="shared" si="61"/>
        <v>8981408.5510499999</v>
      </c>
      <c r="AC116" s="238">
        <f t="shared" si="62"/>
        <v>5029588.7885880005</v>
      </c>
      <c r="AD116" s="238">
        <f t="shared" si="63"/>
        <v>718512.68408399995</v>
      </c>
      <c r="AE116" s="238">
        <f t="shared" si="64"/>
        <v>0</v>
      </c>
      <c r="AF116" s="244">
        <f t="shared" si="80"/>
        <v>23710918.574772</v>
      </c>
      <c r="AG116" s="237">
        <f t="shared" si="65"/>
        <v>0</v>
      </c>
      <c r="AH116" s="238">
        <f t="shared" si="66"/>
        <v>0</v>
      </c>
      <c r="AI116" s="238">
        <f t="shared" si="67"/>
        <v>4145265.4850999992</v>
      </c>
      <c r="AJ116" s="238">
        <f t="shared" si="68"/>
        <v>829053.09701999987</v>
      </c>
      <c r="AK116" s="238">
        <f t="shared" si="69"/>
        <v>0</v>
      </c>
      <c r="AL116" s="238">
        <f t="shared" si="70"/>
        <v>0</v>
      </c>
      <c r="AM116" s="244">
        <f t="shared" si="81"/>
        <v>4974318.5821199995</v>
      </c>
      <c r="AN116" s="237">
        <f t="shared" si="71"/>
        <v>38366734.989869997</v>
      </c>
      <c r="AO116" s="238">
        <f t="shared" si="72"/>
        <v>0</v>
      </c>
      <c r="AP116" s="238">
        <f t="shared" si="73"/>
        <v>19183367.494934998</v>
      </c>
      <c r="AQ116" s="238">
        <f t="shared" si="74"/>
        <v>27082401.169319998</v>
      </c>
      <c r="AR116" s="238">
        <f t="shared" si="75"/>
        <v>1128433.3820549999</v>
      </c>
      <c r="AS116" s="238">
        <f t="shared" si="82"/>
        <v>0</v>
      </c>
      <c r="AT116" s="244">
        <f t="shared" si="83"/>
        <v>85760937.03617999</v>
      </c>
      <c r="AU116" s="256">
        <v>0</v>
      </c>
      <c r="AV116" s="248">
        <f t="shared" si="84"/>
        <v>114.446174193072</v>
      </c>
      <c r="AW116" s="259">
        <f t="shared" si="77"/>
        <v>2.4867826973604399</v>
      </c>
    </row>
    <row r="117" spans="1:49">
      <c r="A117" s="194">
        <f>'Input data'!A108</f>
        <v>2010</v>
      </c>
      <c r="B117" s="209">
        <f>'Input data'!B108</f>
        <v>49.87</v>
      </c>
      <c r="C117" s="114">
        <f>'Input data'!F108</f>
        <v>0.71479999999999999</v>
      </c>
      <c r="D117" s="114">
        <f>'Input data'!G108</f>
        <v>0.28959999999999997</v>
      </c>
      <c r="E117" s="237">
        <f t="shared" si="76"/>
        <v>776202238.37500012</v>
      </c>
      <c r="F117" s="238">
        <v>0</v>
      </c>
      <c r="G117" s="239">
        <f t="shared" si="78"/>
        <v>776202238.37500012</v>
      </c>
      <c r="H117" s="118">
        <f t="shared" si="41"/>
        <v>0.1</v>
      </c>
      <c r="I117" s="118">
        <f t="shared" si="44"/>
        <v>0</v>
      </c>
      <c r="J117" s="118">
        <f t="shared" si="45"/>
        <v>0.1</v>
      </c>
      <c r="K117" s="118">
        <f t="shared" si="46"/>
        <v>0.28000000000000003</v>
      </c>
      <c r="L117" s="118">
        <f t="shared" si="47"/>
        <v>0.04</v>
      </c>
      <c r="M117" s="206">
        <f t="shared" si="48"/>
        <v>0.48</v>
      </c>
      <c r="N117" s="117">
        <f t="shared" si="42"/>
        <v>0</v>
      </c>
      <c r="O117" s="118">
        <f t="shared" si="49"/>
        <v>0.7</v>
      </c>
      <c r="P117" s="118">
        <f t="shared" si="50"/>
        <v>0.15</v>
      </c>
      <c r="Q117" s="118">
        <f t="shared" si="51"/>
        <v>0.15</v>
      </c>
      <c r="R117" s="118">
        <f t="shared" si="52"/>
        <v>0</v>
      </c>
      <c r="S117" s="206">
        <f t="shared" si="53"/>
        <v>0</v>
      </c>
      <c r="T117" s="117">
        <f t="shared" si="79"/>
        <v>0.34</v>
      </c>
      <c r="U117" s="118">
        <f t="shared" si="54"/>
        <v>0</v>
      </c>
      <c r="V117" s="118">
        <f t="shared" si="55"/>
        <v>0.17</v>
      </c>
      <c r="W117" s="118">
        <f t="shared" si="56"/>
        <v>0.24</v>
      </c>
      <c r="X117" s="118">
        <f t="shared" si="57"/>
        <v>0.05</v>
      </c>
      <c r="Y117" s="206">
        <f t="shared" si="58"/>
        <v>0.2</v>
      </c>
      <c r="Z117" s="237">
        <f t="shared" si="59"/>
        <v>9081566.188987501</v>
      </c>
      <c r="AA117" s="238">
        <f t="shared" si="60"/>
        <v>0</v>
      </c>
      <c r="AB117" s="238">
        <f t="shared" si="61"/>
        <v>9081566.188987501</v>
      </c>
      <c r="AC117" s="238">
        <f t="shared" si="62"/>
        <v>5085677.0658330023</v>
      </c>
      <c r="AD117" s="238">
        <f t="shared" si="63"/>
        <v>726525.29511900002</v>
      </c>
      <c r="AE117" s="238">
        <f t="shared" si="64"/>
        <v>0</v>
      </c>
      <c r="AF117" s="244">
        <f t="shared" si="80"/>
        <v>23975334.738927003</v>
      </c>
      <c r="AG117" s="237">
        <f t="shared" si="65"/>
        <v>0</v>
      </c>
      <c r="AH117" s="238">
        <f t="shared" si="66"/>
        <v>0</v>
      </c>
      <c r="AI117" s="238">
        <f t="shared" si="67"/>
        <v>4191492.0872250008</v>
      </c>
      <c r="AJ117" s="238">
        <f t="shared" si="68"/>
        <v>838298.41744500003</v>
      </c>
      <c r="AK117" s="238">
        <f t="shared" si="69"/>
        <v>0</v>
      </c>
      <c r="AL117" s="238">
        <f t="shared" si="70"/>
        <v>0</v>
      </c>
      <c r="AM117" s="244">
        <f t="shared" si="81"/>
        <v>5029790.5046700006</v>
      </c>
      <c r="AN117" s="237">
        <f t="shared" si="71"/>
        <v>38794587.873982511</v>
      </c>
      <c r="AO117" s="238">
        <f t="shared" si="72"/>
        <v>0</v>
      </c>
      <c r="AP117" s="238">
        <f t="shared" si="73"/>
        <v>19397293.936991256</v>
      </c>
      <c r="AQ117" s="238">
        <f t="shared" si="74"/>
        <v>27384414.969870001</v>
      </c>
      <c r="AR117" s="238">
        <f t="shared" si="75"/>
        <v>1141017.2904112502</v>
      </c>
      <c r="AS117" s="238">
        <f t="shared" si="82"/>
        <v>0</v>
      </c>
      <c r="AT117" s="244">
        <f t="shared" si="83"/>
        <v>86717314.071255013</v>
      </c>
      <c r="AU117" s="256">
        <v>0</v>
      </c>
      <c r="AV117" s="248">
        <f t="shared" si="84"/>
        <v>115.72243931485201</v>
      </c>
      <c r="AW117" s="259">
        <f t="shared" si="77"/>
        <v>2.5145144589895607</v>
      </c>
    </row>
    <row r="118" spans="1:49">
      <c r="A118" s="194">
        <f>'Input data'!A109</f>
        <v>2011</v>
      </c>
      <c r="B118" s="209">
        <f>'Input data'!B109</f>
        <v>51.771000000000001</v>
      </c>
      <c r="C118" s="114">
        <f>'Input data'!F109</f>
        <v>0.71479999999999999</v>
      </c>
      <c r="D118" s="114">
        <f>'Input data'!G109</f>
        <v>0.28959999999999997</v>
      </c>
      <c r="E118" s="237">
        <f t="shared" si="76"/>
        <v>805790376.63750017</v>
      </c>
      <c r="F118" s="238">
        <v>0</v>
      </c>
      <c r="G118" s="239">
        <f t="shared" si="78"/>
        <v>805790376.63750017</v>
      </c>
      <c r="H118" s="118">
        <f t="shared" si="41"/>
        <v>0.1</v>
      </c>
      <c r="I118" s="118">
        <f t="shared" si="44"/>
        <v>0</v>
      </c>
      <c r="J118" s="118">
        <f t="shared" si="45"/>
        <v>0.1</v>
      </c>
      <c r="K118" s="118">
        <f t="shared" si="46"/>
        <v>0.28000000000000003</v>
      </c>
      <c r="L118" s="118">
        <f t="shared" si="47"/>
        <v>0.04</v>
      </c>
      <c r="M118" s="206">
        <f t="shared" si="48"/>
        <v>0.48</v>
      </c>
      <c r="N118" s="117">
        <f t="shared" si="42"/>
        <v>0</v>
      </c>
      <c r="O118" s="118">
        <f t="shared" si="49"/>
        <v>0.7</v>
      </c>
      <c r="P118" s="118">
        <f t="shared" si="50"/>
        <v>0.15</v>
      </c>
      <c r="Q118" s="118">
        <f t="shared" si="51"/>
        <v>0.15</v>
      </c>
      <c r="R118" s="118">
        <f t="shared" si="52"/>
        <v>0</v>
      </c>
      <c r="S118" s="206">
        <f t="shared" si="53"/>
        <v>0</v>
      </c>
      <c r="T118" s="117">
        <f t="shared" si="79"/>
        <v>0.34</v>
      </c>
      <c r="U118" s="118">
        <f t="shared" si="54"/>
        <v>0</v>
      </c>
      <c r="V118" s="118">
        <f t="shared" si="55"/>
        <v>0.17</v>
      </c>
      <c r="W118" s="118">
        <f t="shared" si="56"/>
        <v>0.24</v>
      </c>
      <c r="X118" s="118">
        <f t="shared" si="57"/>
        <v>0.05</v>
      </c>
      <c r="Y118" s="206">
        <f t="shared" si="58"/>
        <v>0.2</v>
      </c>
      <c r="Z118" s="237">
        <f t="shared" si="59"/>
        <v>9427747.4066587519</v>
      </c>
      <c r="AA118" s="238">
        <f t="shared" si="60"/>
        <v>0</v>
      </c>
      <c r="AB118" s="238">
        <f t="shared" si="61"/>
        <v>9427747.4066587519</v>
      </c>
      <c r="AC118" s="238">
        <f t="shared" si="62"/>
        <v>5279538.5477289017</v>
      </c>
      <c r="AD118" s="238">
        <f t="shared" si="63"/>
        <v>754219.79253270011</v>
      </c>
      <c r="AE118" s="238">
        <f t="shared" si="64"/>
        <v>0</v>
      </c>
      <c r="AF118" s="244">
        <f t="shared" si="80"/>
        <v>24889253.153579105</v>
      </c>
      <c r="AG118" s="237">
        <f t="shared" si="65"/>
        <v>0</v>
      </c>
      <c r="AH118" s="238">
        <f t="shared" si="66"/>
        <v>0</v>
      </c>
      <c r="AI118" s="238">
        <f t="shared" si="67"/>
        <v>4351268.0338425012</v>
      </c>
      <c r="AJ118" s="238">
        <f t="shared" si="68"/>
        <v>870253.60676850006</v>
      </c>
      <c r="AK118" s="238">
        <f t="shared" si="69"/>
        <v>0</v>
      </c>
      <c r="AL118" s="238">
        <f t="shared" si="70"/>
        <v>0</v>
      </c>
      <c r="AM118" s="244">
        <f t="shared" si="81"/>
        <v>5221521.6406110013</v>
      </c>
      <c r="AN118" s="237">
        <f t="shared" si="71"/>
        <v>40273403.024342261</v>
      </c>
      <c r="AO118" s="238">
        <f t="shared" si="72"/>
        <v>0</v>
      </c>
      <c r="AP118" s="238">
        <f t="shared" si="73"/>
        <v>20136701.512171131</v>
      </c>
      <c r="AQ118" s="238">
        <f t="shared" si="74"/>
        <v>28428284.487771004</v>
      </c>
      <c r="AR118" s="238">
        <f t="shared" si="75"/>
        <v>1184511.8536571253</v>
      </c>
      <c r="AS118" s="238">
        <f t="shared" si="82"/>
        <v>0</v>
      </c>
      <c r="AT118" s="244">
        <f t="shared" si="83"/>
        <v>90022900.877941519</v>
      </c>
      <c r="AU118" s="256">
        <v>0</v>
      </c>
      <c r="AV118" s="248">
        <f t="shared" si="84"/>
        <v>120.13367567213163</v>
      </c>
      <c r="AW118" s="259">
        <f t="shared" si="77"/>
        <v>2.6103655114567585</v>
      </c>
    </row>
    <row r="119" spans="1:49">
      <c r="A119" s="194">
        <f>'Input data'!A110</f>
        <v>2012</v>
      </c>
      <c r="B119" s="209">
        <f>'Input data'!B110</f>
        <v>52.325000000000003</v>
      </c>
      <c r="C119" s="114">
        <f>'Input data'!F110</f>
        <v>0.71479999999999999</v>
      </c>
      <c r="D119" s="114">
        <f>'Input data'!G110</f>
        <v>0.28959999999999997</v>
      </c>
      <c r="E119" s="237">
        <f t="shared" si="76"/>
        <v>814413116.56250012</v>
      </c>
      <c r="F119" s="238">
        <v>0</v>
      </c>
      <c r="G119" s="239">
        <f t="shared" si="78"/>
        <v>814413116.56250012</v>
      </c>
      <c r="H119" s="118">
        <f t="shared" si="41"/>
        <v>0.1</v>
      </c>
      <c r="I119" s="118">
        <f t="shared" si="44"/>
        <v>0</v>
      </c>
      <c r="J119" s="118">
        <f t="shared" si="45"/>
        <v>0.1</v>
      </c>
      <c r="K119" s="118">
        <f t="shared" si="46"/>
        <v>0.28000000000000003</v>
      </c>
      <c r="L119" s="118">
        <f t="shared" si="47"/>
        <v>0.04</v>
      </c>
      <c r="M119" s="206">
        <f t="shared" si="48"/>
        <v>0.48</v>
      </c>
      <c r="N119" s="117">
        <f t="shared" si="42"/>
        <v>0</v>
      </c>
      <c r="O119" s="118">
        <f t="shared" si="49"/>
        <v>0.7</v>
      </c>
      <c r="P119" s="118">
        <f t="shared" si="50"/>
        <v>0.15</v>
      </c>
      <c r="Q119" s="118">
        <f t="shared" si="51"/>
        <v>0.15</v>
      </c>
      <c r="R119" s="118">
        <f t="shared" si="52"/>
        <v>0</v>
      </c>
      <c r="S119" s="206">
        <f t="shared" si="53"/>
        <v>0</v>
      </c>
      <c r="T119" s="117">
        <f t="shared" si="79"/>
        <v>0.34</v>
      </c>
      <c r="U119" s="118">
        <f t="shared" si="54"/>
        <v>0</v>
      </c>
      <c r="V119" s="118">
        <f t="shared" si="55"/>
        <v>0.17</v>
      </c>
      <c r="W119" s="118">
        <f t="shared" si="56"/>
        <v>0.24</v>
      </c>
      <c r="X119" s="118">
        <f t="shared" si="57"/>
        <v>0.05</v>
      </c>
      <c r="Y119" s="206">
        <f t="shared" si="58"/>
        <v>0.2</v>
      </c>
      <c r="Z119" s="237">
        <f t="shared" si="59"/>
        <v>9528633.4637812506</v>
      </c>
      <c r="AA119" s="238">
        <f t="shared" si="60"/>
        <v>0</v>
      </c>
      <c r="AB119" s="238">
        <f t="shared" si="61"/>
        <v>9528633.4637812506</v>
      </c>
      <c r="AC119" s="238">
        <f t="shared" si="62"/>
        <v>5336034.7397175012</v>
      </c>
      <c r="AD119" s="238">
        <f t="shared" si="63"/>
        <v>762290.67710250011</v>
      </c>
      <c r="AE119" s="238">
        <f t="shared" si="64"/>
        <v>0</v>
      </c>
      <c r="AF119" s="244">
        <f t="shared" si="80"/>
        <v>25155592.344382502</v>
      </c>
      <c r="AG119" s="237">
        <f t="shared" si="65"/>
        <v>0</v>
      </c>
      <c r="AH119" s="238">
        <f t="shared" si="66"/>
        <v>0</v>
      </c>
      <c r="AI119" s="238">
        <f t="shared" si="67"/>
        <v>4397830.8294375008</v>
      </c>
      <c r="AJ119" s="238">
        <f t="shared" si="68"/>
        <v>879566.16588750004</v>
      </c>
      <c r="AK119" s="238">
        <f t="shared" si="69"/>
        <v>0</v>
      </c>
      <c r="AL119" s="238">
        <f t="shared" si="70"/>
        <v>0</v>
      </c>
      <c r="AM119" s="244">
        <f t="shared" si="81"/>
        <v>5277396.995325001</v>
      </c>
      <c r="AN119" s="237">
        <f t="shared" si="71"/>
        <v>40704367.56579376</v>
      </c>
      <c r="AO119" s="238">
        <f t="shared" si="72"/>
        <v>0</v>
      </c>
      <c r="AP119" s="238">
        <f t="shared" si="73"/>
        <v>20352183.78289688</v>
      </c>
      <c r="AQ119" s="238">
        <f t="shared" si="74"/>
        <v>28732494.752325002</v>
      </c>
      <c r="AR119" s="238">
        <f t="shared" si="75"/>
        <v>1197187.2813468752</v>
      </c>
      <c r="AS119" s="238">
        <f t="shared" si="82"/>
        <v>0</v>
      </c>
      <c r="AT119" s="244">
        <f t="shared" si="83"/>
        <v>90986233.382362515</v>
      </c>
      <c r="AU119" s="256">
        <v>0</v>
      </c>
      <c r="AV119" s="248">
        <f t="shared" si="84"/>
        <v>121.41922272207</v>
      </c>
      <c r="AW119" s="259">
        <f t="shared" si="77"/>
        <v>2.6382989586250001</v>
      </c>
    </row>
    <row r="120" spans="1:49">
      <c r="A120" s="194">
        <f>'Input data'!A111</f>
        <v>2013</v>
      </c>
      <c r="B120" s="209">
        <f>'Input data'!B111</f>
        <v>53.103999999999999</v>
      </c>
      <c r="C120" s="114">
        <f>'Input data'!F111</f>
        <v>0.71479999999999999</v>
      </c>
      <c r="D120" s="114">
        <f>'Input data'!G111</f>
        <v>0.28959999999999997</v>
      </c>
      <c r="E120" s="237">
        <f t="shared" si="76"/>
        <v>826537871.80000007</v>
      </c>
      <c r="F120" s="238">
        <v>0</v>
      </c>
      <c r="G120" s="239">
        <f t="shared" si="78"/>
        <v>826537871.80000007</v>
      </c>
      <c r="H120" s="118">
        <f t="shared" si="41"/>
        <v>0.1</v>
      </c>
      <c r="I120" s="118">
        <f t="shared" si="44"/>
        <v>0</v>
      </c>
      <c r="J120" s="118">
        <f t="shared" si="45"/>
        <v>0.1</v>
      </c>
      <c r="K120" s="118">
        <f t="shared" si="46"/>
        <v>0.28000000000000003</v>
      </c>
      <c r="L120" s="118">
        <f t="shared" si="47"/>
        <v>0.04</v>
      </c>
      <c r="M120" s="206">
        <f t="shared" si="48"/>
        <v>0.48</v>
      </c>
      <c r="N120" s="117">
        <f t="shared" si="42"/>
        <v>0</v>
      </c>
      <c r="O120" s="118">
        <f t="shared" si="49"/>
        <v>0.7</v>
      </c>
      <c r="P120" s="118">
        <f t="shared" si="50"/>
        <v>0.15</v>
      </c>
      <c r="Q120" s="118">
        <f t="shared" si="51"/>
        <v>0.15</v>
      </c>
      <c r="R120" s="118">
        <f t="shared" si="52"/>
        <v>0</v>
      </c>
      <c r="S120" s="206">
        <f t="shared" si="53"/>
        <v>0</v>
      </c>
      <c r="T120" s="117">
        <f t="shared" si="79"/>
        <v>0.34</v>
      </c>
      <c r="U120" s="118">
        <f t="shared" si="54"/>
        <v>0</v>
      </c>
      <c r="V120" s="118">
        <f t="shared" si="55"/>
        <v>0.17</v>
      </c>
      <c r="W120" s="118">
        <f t="shared" si="56"/>
        <v>0.24</v>
      </c>
      <c r="X120" s="118">
        <f t="shared" si="57"/>
        <v>0.05</v>
      </c>
      <c r="Y120" s="206">
        <f t="shared" si="58"/>
        <v>0.2</v>
      </c>
      <c r="Z120" s="237">
        <f t="shared" si="59"/>
        <v>9670493.100060001</v>
      </c>
      <c r="AA120" s="238">
        <f t="shared" si="60"/>
        <v>0</v>
      </c>
      <c r="AB120" s="238">
        <f t="shared" si="61"/>
        <v>9670493.100060001</v>
      </c>
      <c r="AC120" s="238">
        <f t="shared" si="62"/>
        <v>5415476.1360336011</v>
      </c>
      <c r="AD120" s="238">
        <f t="shared" si="63"/>
        <v>773639.44800480001</v>
      </c>
      <c r="AE120" s="238">
        <f t="shared" si="64"/>
        <v>0</v>
      </c>
      <c r="AF120" s="244">
        <f t="shared" si="80"/>
        <v>25530101.784158405</v>
      </c>
      <c r="AG120" s="237">
        <f t="shared" si="65"/>
        <v>0</v>
      </c>
      <c r="AH120" s="238">
        <f t="shared" si="66"/>
        <v>0</v>
      </c>
      <c r="AI120" s="238">
        <f t="shared" si="67"/>
        <v>4463304.5077200001</v>
      </c>
      <c r="AJ120" s="238">
        <f t="shared" si="68"/>
        <v>892660.90154400002</v>
      </c>
      <c r="AK120" s="238">
        <f t="shared" si="69"/>
        <v>0</v>
      </c>
      <c r="AL120" s="238">
        <f t="shared" si="70"/>
        <v>0</v>
      </c>
      <c r="AM120" s="244">
        <f t="shared" si="81"/>
        <v>5355965.4092640001</v>
      </c>
      <c r="AN120" s="237">
        <f t="shared" si="71"/>
        <v>41310362.832564011</v>
      </c>
      <c r="AO120" s="238">
        <f t="shared" si="72"/>
        <v>0</v>
      </c>
      <c r="AP120" s="238">
        <f t="shared" si="73"/>
        <v>20655181.416282006</v>
      </c>
      <c r="AQ120" s="238">
        <f t="shared" si="74"/>
        <v>29160256.117104001</v>
      </c>
      <c r="AR120" s="238">
        <f t="shared" si="75"/>
        <v>1215010.6715460003</v>
      </c>
      <c r="AS120" s="238">
        <f t="shared" si="82"/>
        <v>0</v>
      </c>
      <c r="AT120" s="244">
        <f t="shared" si="83"/>
        <v>92340811.037496015</v>
      </c>
      <c r="AU120" s="256">
        <v>0</v>
      </c>
      <c r="AV120" s="248">
        <f t="shared" si="84"/>
        <v>123.22687823091842</v>
      </c>
      <c r="AW120" s="259">
        <f t="shared" si="77"/>
        <v>2.6775772173687913</v>
      </c>
    </row>
    <row r="121" spans="1:49">
      <c r="A121" s="194">
        <f>'Input data'!A112</f>
        <v>2014</v>
      </c>
      <c r="B121" s="209">
        <f>'Input data'!B112</f>
        <v>53.911999999999999</v>
      </c>
      <c r="C121" s="114">
        <f>'Input data'!F112</f>
        <v>0.71479999999999999</v>
      </c>
      <c r="D121" s="114">
        <f>'Input data'!G112</f>
        <v>0.28959999999999997</v>
      </c>
      <c r="E121" s="237">
        <f t="shared" si="76"/>
        <v>839113997.90000021</v>
      </c>
      <c r="F121" s="238">
        <v>0</v>
      </c>
      <c r="G121" s="239">
        <f t="shared" si="78"/>
        <v>839113997.90000021</v>
      </c>
      <c r="H121" s="118">
        <f t="shared" si="41"/>
        <v>0.1</v>
      </c>
      <c r="I121" s="118">
        <f t="shared" ref="I121:I171" si="85">$D$16</f>
        <v>0</v>
      </c>
      <c r="J121" s="118">
        <f t="shared" ref="J121:J124" si="86">$E$16</f>
        <v>0.1</v>
      </c>
      <c r="K121" s="118">
        <f t="shared" ref="K121:K124" si="87">$F$16</f>
        <v>0.28000000000000003</v>
      </c>
      <c r="L121" s="118">
        <f t="shared" ref="L121:L124" si="88">$G$16</f>
        <v>0.04</v>
      </c>
      <c r="M121" s="206">
        <f t="shared" ref="M121:M124" si="89">$H$16</f>
        <v>0.48</v>
      </c>
      <c r="N121" s="117">
        <f t="shared" si="42"/>
        <v>0</v>
      </c>
      <c r="O121" s="118">
        <f t="shared" ref="O121:O171" si="90">$D$17</f>
        <v>0.7</v>
      </c>
      <c r="P121" s="118">
        <f t="shared" ref="P121:P171" si="91">$E$17</f>
        <v>0.15</v>
      </c>
      <c r="Q121" s="118">
        <f t="shared" ref="Q121:Q171" si="92">$F$17</f>
        <v>0.15</v>
      </c>
      <c r="R121" s="118">
        <f t="shared" ref="R121:R171" si="93">$G$17</f>
        <v>0</v>
      </c>
      <c r="S121" s="206">
        <f t="shared" ref="S121:S171" si="94">$H$17</f>
        <v>0</v>
      </c>
      <c r="T121" s="117">
        <f t="shared" si="79"/>
        <v>0.34</v>
      </c>
      <c r="U121" s="118">
        <f t="shared" ref="U121:U124" si="95">$D$18</f>
        <v>0</v>
      </c>
      <c r="V121" s="118">
        <f t="shared" ref="V121:V124" si="96">$E$18</f>
        <v>0.17</v>
      </c>
      <c r="W121" s="118">
        <f t="shared" ref="W121:W124" si="97">$F$18</f>
        <v>0.24</v>
      </c>
      <c r="X121" s="118">
        <f t="shared" ref="X121:X124" si="98">$G$18</f>
        <v>0.05</v>
      </c>
      <c r="Y121" s="206">
        <f t="shared" ref="Y121:Y124" si="99">$H$18</f>
        <v>0.2</v>
      </c>
      <c r="Z121" s="237">
        <f t="shared" ref="Z121:Z158" si="100">H121*$C$35*G121*$C$10</f>
        <v>9817633.7754300032</v>
      </c>
      <c r="AA121" s="238">
        <f t="shared" ref="AA121:AA158" si="101">I121*$C$36*G121*$C$10</f>
        <v>0</v>
      </c>
      <c r="AB121" s="238">
        <f t="shared" ref="AB121:AB158" si="102">J121*$C$37*G121*$C$10</f>
        <v>9817633.7754300032</v>
      </c>
      <c r="AC121" s="238">
        <f t="shared" ref="AC121:AC158" si="103">K121*$C$40*G121*$C$10</f>
        <v>5497874.9142408026</v>
      </c>
      <c r="AD121" s="238">
        <f t="shared" ref="AD121:AD158" si="104">L121*$C$41*G121*$C$10</f>
        <v>785410.70203440019</v>
      </c>
      <c r="AE121" s="238">
        <f t="shared" ref="AE121:AE158" si="105">M121*$C$42*G121*$C$10</f>
        <v>0</v>
      </c>
      <c r="AF121" s="244">
        <f t="shared" si="80"/>
        <v>25918553.167135209</v>
      </c>
      <c r="AG121" s="237">
        <f t="shared" ref="AG121:AG158" si="106">N121*$C$35*G121*$C$11</f>
        <v>0</v>
      </c>
      <c r="AH121" s="238">
        <f t="shared" ref="AH121:AH158" si="107">O121*$C$36*G121*$C$11</f>
        <v>0</v>
      </c>
      <c r="AI121" s="238">
        <f t="shared" ref="AI121:AI158" si="108">P121*$C$37*G121*$C$11</f>
        <v>4531215.5886600008</v>
      </c>
      <c r="AJ121" s="238">
        <f t="shared" ref="AJ121:AJ158" si="109">Q121*$C$38*G121*$C$11</f>
        <v>906243.11773200019</v>
      </c>
      <c r="AK121" s="238">
        <f t="shared" ref="AK121:AK158" si="110">R121*$C$41*G121*$C$11</f>
        <v>0</v>
      </c>
      <c r="AL121" s="238">
        <f t="shared" ref="AL121:AL158" si="111">S121*$C$42*G121*$C$11</f>
        <v>0</v>
      </c>
      <c r="AM121" s="244">
        <f t="shared" si="81"/>
        <v>5437458.7063920014</v>
      </c>
      <c r="AN121" s="237">
        <f t="shared" ref="AN121:AN158" si="112">T121*$C$35*G121*$C$12</f>
        <v>41938917.615042008</v>
      </c>
      <c r="AO121" s="238">
        <f t="shared" ref="AO121:AO158" si="113">U121*$C$36*G121*$C$12</f>
        <v>0</v>
      </c>
      <c r="AP121" s="238">
        <f t="shared" ref="AP121:AP158" si="114">V121*$C$37*G121*$C$12</f>
        <v>20969458.807521004</v>
      </c>
      <c r="AQ121" s="238">
        <f t="shared" ref="AQ121:AQ158" si="115">W121*$C$39*G121*$C$12</f>
        <v>29603941.845912006</v>
      </c>
      <c r="AR121" s="238">
        <f t="shared" ref="AR121:AR158" si="116">X121*$C$41*G121*$C$12</f>
        <v>1233497.5769130003</v>
      </c>
      <c r="AS121" s="238">
        <f t="shared" si="82"/>
        <v>0</v>
      </c>
      <c r="AT121" s="244">
        <f t="shared" si="83"/>
        <v>93745815.845388025</v>
      </c>
      <c r="AU121" s="256">
        <v>0</v>
      </c>
      <c r="AV121" s="248">
        <f t="shared" si="84"/>
        <v>125.10182771891525</v>
      </c>
      <c r="AW121" s="259">
        <f t="shared" si="77"/>
        <v>2.7183176962712094</v>
      </c>
    </row>
    <row r="122" spans="1:49">
      <c r="A122" s="194">
        <f>'Input data'!A113</f>
        <v>2015</v>
      </c>
      <c r="B122" s="209">
        <f>'Input data'!B113</f>
        <v>54.75</v>
      </c>
      <c r="C122" s="114">
        <f>'Input data'!F113</f>
        <v>0.71479999999999999</v>
      </c>
      <c r="D122" s="114">
        <f>'Input data'!G113</f>
        <v>0.28959999999999997</v>
      </c>
      <c r="E122" s="237">
        <f t="shared" si="76"/>
        <v>852157059.37500012</v>
      </c>
      <c r="F122" s="238">
        <v>0</v>
      </c>
      <c r="G122" s="239">
        <f t="shared" si="78"/>
        <v>852157059.37500012</v>
      </c>
      <c r="H122" s="118">
        <f t="shared" ref="H122:H124" si="117">$C$16</f>
        <v>0.1</v>
      </c>
      <c r="I122" s="118">
        <f t="shared" si="85"/>
        <v>0</v>
      </c>
      <c r="J122" s="118">
        <f t="shared" si="86"/>
        <v>0.1</v>
      </c>
      <c r="K122" s="118">
        <f t="shared" si="87"/>
        <v>0.28000000000000003</v>
      </c>
      <c r="L122" s="118">
        <f t="shared" si="88"/>
        <v>0.04</v>
      </c>
      <c r="M122" s="206">
        <f t="shared" si="89"/>
        <v>0.48</v>
      </c>
      <c r="N122" s="117">
        <f t="shared" ref="N122:N171" si="118">$C$17</f>
        <v>0</v>
      </c>
      <c r="O122" s="118">
        <f t="shared" si="90"/>
        <v>0.7</v>
      </c>
      <c r="P122" s="118">
        <f t="shared" si="91"/>
        <v>0.15</v>
      </c>
      <c r="Q122" s="118">
        <f t="shared" si="92"/>
        <v>0.15</v>
      </c>
      <c r="R122" s="118">
        <f t="shared" si="93"/>
        <v>0</v>
      </c>
      <c r="S122" s="206">
        <f t="shared" si="94"/>
        <v>0</v>
      </c>
      <c r="T122" s="117">
        <f t="shared" si="79"/>
        <v>0.34</v>
      </c>
      <c r="U122" s="118">
        <f t="shared" si="95"/>
        <v>0</v>
      </c>
      <c r="V122" s="118">
        <f t="shared" si="96"/>
        <v>0.17</v>
      </c>
      <c r="W122" s="118">
        <f t="shared" si="97"/>
        <v>0.24</v>
      </c>
      <c r="X122" s="118">
        <f t="shared" si="98"/>
        <v>0.05</v>
      </c>
      <c r="Y122" s="206">
        <f t="shared" si="99"/>
        <v>0.2</v>
      </c>
      <c r="Z122" s="237">
        <f t="shared" si="100"/>
        <v>9970237.594687501</v>
      </c>
      <c r="AA122" s="238">
        <f t="shared" si="101"/>
        <v>0</v>
      </c>
      <c r="AB122" s="238">
        <f t="shared" si="102"/>
        <v>9970237.594687501</v>
      </c>
      <c r="AC122" s="238">
        <f t="shared" si="103"/>
        <v>5583333.0530250017</v>
      </c>
      <c r="AD122" s="238">
        <f t="shared" si="104"/>
        <v>797619.00757500005</v>
      </c>
      <c r="AE122" s="238">
        <f t="shared" si="105"/>
        <v>0</v>
      </c>
      <c r="AF122" s="244">
        <f t="shared" si="80"/>
        <v>26321427.249975007</v>
      </c>
      <c r="AG122" s="237">
        <f t="shared" si="106"/>
        <v>0</v>
      </c>
      <c r="AH122" s="238">
        <f t="shared" si="107"/>
        <v>0</v>
      </c>
      <c r="AI122" s="238">
        <f t="shared" si="108"/>
        <v>4601648.1206250004</v>
      </c>
      <c r="AJ122" s="238">
        <f t="shared" si="109"/>
        <v>920329.62412500009</v>
      </c>
      <c r="AK122" s="238">
        <f t="shared" si="110"/>
        <v>0</v>
      </c>
      <c r="AL122" s="238">
        <f t="shared" si="111"/>
        <v>0</v>
      </c>
      <c r="AM122" s="244">
        <f t="shared" si="81"/>
        <v>5521977.7447500005</v>
      </c>
      <c r="AN122" s="237">
        <f t="shared" si="112"/>
        <v>42590809.827562511</v>
      </c>
      <c r="AO122" s="238">
        <f t="shared" si="113"/>
        <v>0</v>
      </c>
      <c r="AP122" s="238">
        <f t="shared" si="114"/>
        <v>21295404.913781255</v>
      </c>
      <c r="AQ122" s="238">
        <f t="shared" si="115"/>
        <v>30064101.054750003</v>
      </c>
      <c r="AR122" s="238">
        <f t="shared" si="116"/>
        <v>1252670.8772812502</v>
      </c>
      <c r="AS122" s="238">
        <f t="shared" si="82"/>
        <v>0</v>
      </c>
      <c r="AT122" s="244">
        <f t="shared" si="83"/>
        <v>95202986.67337501</v>
      </c>
      <c r="AU122" s="256">
        <v>0</v>
      </c>
      <c r="AV122" s="248">
        <f t="shared" si="84"/>
        <v>127.04639166810001</v>
      </c>
      <c r="AW122" s="259">
        <f t="shared" si="77"/>
        <v>2.7605708167170335</v>
      </c>
    </row>
    <row r="123" spans="1:49">
      <c r="A123" s="194">
        <f>'Input data'!A114</f>
        <v>2016</v>
      </c>
      <c r="B123" s="209">
        <f>'Input data'!B114</f>
        <v>55.62</v>
      </c>
      <c r="C123" s="114">
        <f>'Input data'!F114</f>
        <v>0.71479999999999999</v>
      </c>
      <c r="D123" s="114">
        <f>'Input data'!G114</f>
        <v>0.28959999999999997</v>
      </c>
      <c r="E123" s="237">
        <f t="shared" si="76"/>
        <v>865698185.25</v>
      </c>
      <c r="F123" s="238">
        <v>0</v>
      </c>
      <c r="G123" s="239">
        <f t="shared" si="78"/>
        <v>865698185.25</v>
      </c>
      <c r="H123" s="118">
        <f t="shared" si="117"/>
        <v>0.1</v>
      </c>
      <c r="I123" s="118">
        <f t="shared" si="85"/>
        <v>0</v>
      </c>
      <c r="J123" s="118">
        <f t="shared" si="86"/>
        <v>0.1</v>
      </c>
      <c r="K123" s="118">
        <f t="shared" si="87"/>
        <v>0.28000000000000003</v>
      </c>
      <c r="L123" s="118">
        <f t="shared" si="88"/>
        <v>0.04</v>
      </c>
      <c r="M123" s="206">
        <f t="shared" si="89"/>
        <v>0.48</v>
      </c>
      <c r="N123" s="117">
        <f t="shared" si="118"/>
        <v>0</v>
      </c>
      <c r="O123" s="118">
        <f t="shared" si="90"/>
        <v>0.7</v>
      </c>
      <c r="P123" s="118">
        <f t="shared" si="91"/>
        <v>0.15</v>
      </c>
      <c r="Q123" s="118">
        <f t="shared" si="92"/>
        <v>0.15</v>
      </c>
      <c r="R123" s="118">
        <f t="shared" si="93"/>
        <v>0</v>
      </c>
      <c r="S123" s="206">
        <f t="shared" si="94"/>
        <v>0</v>
      </c>
      <c r="T123" s="117">
        <f t="shared" si="79"/>
        <v>0.34</v>
      </c>
      <c r="U123" s="118">
        <f t="shared" si="95"/>
        <v>0</v>
      </c>
      <c r="V123" s="118">
        <f t="shared" si="96"/>
        <v>0.17</v>
      </c>
      <c r="W123" s="118">
        <f t="shared" si="97"/>
        <v>0.24</v>
      </c>
      <c r="X123" s="118">
        <f t="shared" si="98"/>
        <v>0.05</v>
      </c>
      <c r="Y123" s="206">
        <f t="shared" si="99"/>
        <v>0.2</v>
      </c>
      <c r="Z123" s="237">
        <f t="shared" si="100"/>
        <v>10128668.767424999</v>
      </c>
      <c r="AA123" s="238">
        <f t="shared" si="101"/>
        <v>0</v>
      </c>
      <c r="AB123" s="238">
        <f t="shared" si="102"/>
        <v>10128668.767424999</v>
      </c>
      <c r="AC123" s="238">
        <f t="shared" si="103"/>
        <v>5672054.5097580012</v>
      </c>
      <c r="AD123" s="238">
        <f t="shared" si="104"/>
        <v>810293.5013939999</v>
      </c>
      <c r="AE123" s="238">
        <f t="shared" si="105"/>
        <v>0</v>
      </c>
      <c r="AF123" s="244">
        <f t="shared" si="80"/>
        <v>26739685.546001997</v>
      </c>
      <c r="AG123" s="237">
        <f t="shared" si="106"/>
        <v>0</v>
      </c>
      <c r="AH123" s="238">
        <f t="shared" si="107"/>
        <v>0</v>
      </c>
      <c r="AI123" s="238">
        <f t="shared" si="108"/>
        <v>4674770.2003499996</v>
      </c>
      <c r="AJ123" s="238">
        <f t="shared" si="109"/>
        <v>934954.04006999987</v>
      </c>
      <c r="AK123" s="238">
        <f t="shared" si="110"/>
        <v>0</v>
      </c>
      <c r="AL123" s="238">
        <f t="shared" si="111"/>
        <v>0</v>
      </c>
      <c r="AM123" s="244">
        <f t="shared" si="81"/>
        <v>5609724.2404199997</v>
      </c>
      <c r="AN123" s="237">
        <f t="shared" si="112"/>
        <v>43267595.298795</v>
      </c>
      <c r="AO123" s="238">
        <f t="shared" si="113"/>
        <v>0</v>
      </c>
      <c r="AP123" s="238">
        <f t="shared" si="114"/>
        <v>21633797.6493975</v>
      </c>
      <c r="AQ123" s="238">
        <f t="shared" si="115"/>
        <v>30541831.975619994</v>
      </c>
      <c r="AR123" s="238">
        <f t="shared" si="116"/>
        <v>1272576.3323174999</v>
      </c>
      <c r="AS123" s="238">
        <f t="shared" si="82"/>
        <v>0</v>
      </c>
      <c r="AT123" s="244">
        <f t="shared" si="83"/>
        <v>96715801.256129995</v>
      </c>
      <c r="AU123" s="256">
        <v>0</v>
      </c>
      <c r="AV123" s="248">
        <f t="shared" si="84"/>
        <v>129.06521104255199</v>
      </c>
      <c r="AW123" s="259">
        <f t="shared" si="77"/>
        <v>2.8044374214758245</v>
      </c>
    </row>
    <row r="124" spans="1:49" ht="15.75" thickBot="1">
      <c r="A124" s="194">
        <f>'Input data'!A115</f>
        <v>2017</v>
      </c>
      <c r="B124" s="209">
        <f>'Input data'!B115</f>
        <v>56.521999999999998</v>
      </c>
      <c r="C124" s="114">
        <f>'Input data'!F115</f>
        <v>0.71479999999999999</v>
      </c>
      <c r="D124" s="114">
        <f>'Input data'!G115</f>
        <v>0.28959999999999997</v>
      </c>
      <c r="E124" s="237">
        <f t="shared" si="76"/>
        <v>879737375.5250001</v>
      </c>
      <c r="F124" s="238">
        <v>0</v>
      </c>
      <c r="G124" s="239">
        <f t="shared" si="78"/>
        <v>879737375.5250001</v>
      </c>
      <c r="H124" s="118">
        <f t="shared" si="117"/>
        <v>0.1</v>
      </c>
      <c r="I124" s="118">
        <f t="shared" si="85"/>
        <v>0</v>
      </c>
      <c r="J124" s="118">
        <f t="shared" si="86"/>
        <v>0.1</v>
      </c>
      <c r="K124" s="118">
        <f t="shared" si="87"/>
        <v>0.28000000000000003</v>
      </c>
      <c r="L124" s="118">
        <f t="shared" si="88"/>
        <v>0.04</v>
      </c>
      <c r="M124" s="206">
        <f t="shared" si="89"/>
        <v>0.48</v>
      </c>
      <c r="N124" s="117">
        <f t="shared" si="118"/>
        <v>0</v>
      </c>
      <c r="O124" s="118">
        <f t="shared" si="90"/>
        <v>0.7</v>
      </c>
      <c r="P124" s="118">
        <f t="shared" si="91"/>
        <v>0.15</v>
      </c>
      <c r="Q124" s="118">
        <f t="shared" si="92"/>
        <v>0.15</v>
      </c>
      <c r="R124" s="118">
        <f t="shared" si="93"/>
        <v>0</v>
      </c>
      <c r="S124" s="206">
        <f t="shared" si="94"/>
        <v>0</v>
      </c>
      <c r="T124" s="117">
        <f t="shared" si="79"/>
        <v>0.34</v>
      </c>
      <c r="U124" s="118">
        <f t="shared" si="95"/>
        <v>0</v>
      </c>
      <c r="V124" s="118">
        <f t="shared" si="96"/>
        <v>0.17</v>
      </c>
      <c r="W124" s="118">
        <f t="shared" si="97"/>
        <v>0.24</v>
      </c>
      <c r="X124" s="118">
        <f t="shared" si="98"/>
        <v>0.05</v>
      </c>
      <c r="Y124" s="206">
        <f t="shared" si="99"/>
        <v>0.2</v>
      </c>
      <c r="Z124" s="237">
        <f t="shared" si="100"/>
        <v>10292927.2936425</v>
      </c>
      <c r="AA124" s="238">
        <f t="shared" si="101"/>
        <v>0</v>
      </c>
      <c r="AB124" s="238">
        <f t="shared" si="102"/>
        <v>10292927.2936425</v>
      </c>
      <c r="AC124" s="238">
        <f t="shared" si="103"/>
        <v>5764039.2844398012</v>
      </c>
      <c r="AD124" s="238">
        <f t="shared" si="104"/>
        <v>823434.18349139998</v>
      </c>
      <c r="AE124" s="238">
        <f t="shared" si="105"/>
        <v>0</v>
      </c>
      <c r="AF124" s="244">
        <f t="shared" si="80"/>
        <v>27173328.055216204</v>
      </c>
      <c r="AG124" s="237">
        <f t="shared" si="106"/>
        <v>0</v>
      </c>
      <c r="AH124" s="238">
        <f t="shared" si="107"/>
        <v>0</v>
      </c>
      <c r="AI124" s="238">
        <f t="shared" si="108"/>
        <v>4750581.8278350001</v>
      </c>
      <c r="AJ124" s="238">
        <f t="shared" si="109"/>
        <v>950116.365567</v>
      </c>
      <c r="AK124" s="238">
        <f t="shared" si="110"/>
        <v>0</v>
      </c>
      <c r="AL124" s="238">
        <f t="shared" si="111"/>
        <v>0</v>
      </c>
      <c r="AM124" s="244">
        <f t="shared" si="81"/>
        <v>5700698.1934019998</v>
      </c>
      <c r="AN124" s="237">
        <f t="shared" si="112"/>
        <v>43969274.028739512</v>
      </c>
      <c r="AO124" s="238">
        <f t="shared" si="113"/>
        <v>0</v>
      </c>
      <c r="AP124" s="238">
        <f t="shared" si="114"/>
        <v>21984637.014369756</v>
      </c>
      <c r="AQ124" s="238">
        <f t="shared" si="115"/>
        <v>31037134.608521998</v>
      </c>
      <c r="AR124" s="238">
        <f t="shared" si="116"/>
        <v>1293213.9420217501</v>
      </c>
      <c r="AS124" s="238">
        <f t="shared" si="82"/>
        <v>0</v>
      </c>
      <c r="AT124" s="244">
        <f t="shared" si="83"/>
        <v>98284259.593653023</v>
      </c>
      <c r="AU124" s="256">
        <v>0</v>
      </c>
      <c r="AV124" s="248">
        <f t="shared" si="84"/>
        <v>131.15828584227123</v>
      </c>
      <c r="AW124" s="259">
        <f t="shared" si="77"/>
        <v>2.8499175105475834</v>
      </c>
    </row>
    <row r="125" spans="1:49" ht="21.75" thickBot="1">
      <c r="A125" s="1208" t="s">
        <v>647</v>
      </c>
      <c r="B125" s="1215"/>
      <c r="C125" s="1216"/>
      <c r="D125" s="1216"/>
      <c r="E125" s="1217"/>
      <c r="F125" s="1217"/>
      <c r="G125" s="1217"/>
      <c r="H125" s="1176"/>
      <c r="I125" s="1176"/>
      <c r="J125" s="1176"/>
      <c r="K125" s="1176"/>
      <c r="L125" s="1176"/>
      <c r="M125" s="1176"/>
      <c r="N125" s="1176"/>
      <c r="O125" s="1176"/>
      <c r="P125" s="1176"/>
      <c r="Q125" s="1176"/>
      <c r="R125" s="1176"/>
      <c r="S125" s="1176"/>
      <c r="T125" s="1176"/>
      <c r="U125" s="1176"/>
      <c r="V125" s="1176"/>
      <c r="W125" s="1176"/>
      <c r="X125" s="1176"/>
      <c r="Y125" s="1176"/>
      <c r="Z125" s="1210"/>
      <c r="AA125" s="1210"/>
      <c r="AB125" s="1210"/>
      <c r="AC125" s="1210"/>
      <c r="AD125" s="1210"/>
      <c r="AE125" s="1210"/>
      <c r="AF125" s="1210"/>
      <c r="AG125" s="1210"/>
      <c r="AH125" s="1210"/>
      <c r="AI125" s="1210"/>
      <c r="AJ125" s="1210"/>
      <c r="AK125" s="1210"/>
      <c r="AL125" s="1210"/>
      <c r="AM125" s="1210"/>
      <c r="AN125" s="1210"/>
      <c r="AO125" s="1210"/>
      <c r="AP125" s="1210"/>
      <c r="AQ125" s="1210"/>
      <c r="AR125" s="1210"/>
      <c r="AS125" s="1210"/>
      <c r="AT125" s="1210"/>
      <c r="AU125" s="1211"/>
      <c r="AV125" s="1212"/>
      <c r="AW125" s="1213"/>
    </row>
    <row r="126" spans="1:49">
      <c r="A126" s="194">
        <f>'Input data'!A116</f>
        <v>2018</v>
      </c>
      <c r="B126" s="209">
        <f>'Input data'!B116</f>
        <v>57.436</v>
      </c>
      <c r="C126" s="510">
        <f>'Recycling - Case 1'!E96</f>
        <v>0.72344242424242422</v>
      </c>
      <c r="D126" s="658">
        <f>'Recycling - Case 1'!F96</f>
        <v>0.29195303030303027</v>
      </c>
      <c r="E126" s="237">
        <f>B126*$C$4*($C$7*$C$11+$C$8*$C$10+$C$7*$C$12)*10^6</f>
        <v>893963339.95000005</v>
      </c>
      <c r="F126" s="238">
        <v>0</v>
      </c>
      <c r="G126" s="239">
        <f t="shared" si="78"/>
        <v>893963339.95000005</v>
      </c>
      <c r="H126" s="118">
        <f>($H$158-$H$124)/($A$158-$A$124)+H124</f>
        <v>0.10279720279720281</v>
      </c>
      <c r="I126" s="118">
        <f t="shared" si="85"/>
        <v>0</v>
      </c>
      <c r="J126" s="118">
        <f>($J$158-$J$124)/($A$158-$A$124)+J124</f>
        <v>0.10279720279720281</v>
      </c>
      <c r="K126" s="118">
        <f>($K$158-$K$124)/($A$158-$A$124)+K124</f>
        <v>0.28783216783216786</v>
      </c>
      <c r="L126" s="118">
        <f>($L$158-$L$124)/($A$158-$A$124)+L124</f>
        <v>4.1118881118881123E-2</v>
      </c>
      <c r="M126" s="118">
        <f>($M$158-$M$124)/($A$158-$A$124)+M124</f>
        <v>0.46545454545454545</v>
      </c>
      <c r="N126" s="117">
        <f t="shared" si="118"/>
        <v>0</v>
      </c>
      <c r="O126" s="118">
        <f t="shared" si="90"/>
        <v>0.7</v>
      </c>
      <c r="P126" s="118">
        <f t="shared" si="91"/>
        <v>0.15</v>
      </c>
      <c r="Q126" s="118">
        <f t="shared" si="92"/>
        <v>0.15</v>
      </c>
      <c r="R126" s="118">
        <f t="shared" si="93"/>
        <v>0</v>
      </c>
      <c r="S126" s="206">
        <f t="shared" si="94"/>
        <v>0</v>
      </c>
      <c r="T126" s="118">
        <f>($T$158-$T$124)/($A$158-$A$124)+T124</f>
        <v>0.34257575757575759</v>
      </c>
      <c r="U126" s="118">
        <f t="shared" ref="U126:U157" si="119">$D$16</f>
        <v>0</v>
      </c>
      <c r="V126" s="118">
        <f>($V$158-$V$124)/($A$158-$A$124)+V124</f>
        <v>0.17128787878787879</v>
      </c>
      <c r="W126" s="118">
        <f>($W$158-$W$124)/($A$158-$A$124)+W124</f>
        <v>0.24181818181818182</v>
      </c>
      <c r="X126" s="118">
        <f>($X$158-$X$124)/($A$158-$A$124)+X124</f>
        <v>5.0378787878787884E-2</v>
      </c>
      <c r="Y126" s="118">
        <f>($Y$158-$Y$124)/($A$158-$A$124)+Y124</f>
        <v>0.19393939393939394</v>
      </c>
      <c r="Z126" s="237">
        <f t="shared" si="100"/>
        <v>10751940.897762274</v>
      </c>
      <c r="AA126" s="238">
        <f t="shared" si="101"/>
        <v>0</v>
      </c>
      <c r="AB126" s="238">
        <f t="shared" si="102"/>
        <v>10751940.897762274</v>
      </c>
      <c r="AC126" s="238">
        <f t="shared" si="103"/>
        <v>6021086.9027468739</v>
      </c>
      <c r="AD126" s="238">
        <f t="shared" si="104"/>
        <v>860155.27182098199</v>
      </c>
      <c r="AE126" s="238">
        <f t="shared" si="105"/>
        <v>0</v>
      </c>
      <c r="AF126" s="244">
        <f t="shared" si="80"/>
        <v>28385123.970092405</v>
      </c>
      <c r="AG126" s="237">
        <f t="shared" si="106"/>
        <v>0</v>
      </c>
      <c r="AH126" s="238">
        <f t="shared" si="107"/>
        <v>0</v>
      </c>
      <c r="AI126" s="238">
        <f t="shared" si="108"/>
        <v>4827402.0357300006</v>
      </c>
      <c r="AJ126" s="238">
        <f t="shared" si="109"/>
        <v>965480.40714599984</v>
      </c>
      <c r="AK126" s="238">
        <f t="shared" si="110"/>
        <v>0</v>
      </c>
      <c r="AL126" s="238">
        <f t="shared" si="111"/>
        <v>0</v>
      </c>
      <c r="AM126" s="244">
        <f t="shared" si="81"/>
        <v>5792882.442876</v>
      </c>
      <c r="AN126" s="237">
        <f t="shared" si="112"/>
        <v>45018774.75896389</v>
      </c>
      <c r="AO126" s="238">
        <f t="shared" si="113"/>
        <v>0</v>
      </c>
      <c r="AP126" s="238">
        <f t="shared" si="114"/>
        <v>22509387.379481945</v>
      </c>
      <c r="AQ126" s="238">
        <f t="shared" si="115"/>
        <v>31777958.653386272</v>
      </c>
      <c r="AR126" s="238">
        <f t="shared" si="116"/>
        <v>1324081.6105577615</v>
      </c>
      <c r="AS126" s="238">
        <f t="shared" si="82"/>
        <v>0</v>
      </c>
      <c r="AT126" s="244">
        <f t="shared" si="83"/>
        <v>100630202.40238988</v>
      </c>
      <c r="AU126" s="256">
        <v>0</v>
      </c>
      <c r="AV126" s="248">
        <f t="shared" si="84"/>
        <v>134.80820881535828</v>
      </c>
      <c r="AW126" s="259">
        <f t="shared" si="77"/>
        <v>2.8960026562367029</v>
      </c>
    </row>
    <row r="127" spans="1:49">
      <c r="A127" s="194">
        <f>'Input data'!A117</f>
        <v>2019</v>
      </c>
      <c r="B127" s="209">
        <f>'Input data'!B117</f>
        <v>58.365000000000002</v>
      </c>
      <c r="C127" s="510">
        <f>'Recycling - Case 1'!E97</f>
        <v>0.73208484848484845</v>
      </c>
      <c r="D127" s="658">
        <f>'Recycling - Case 1'!F97</f>
        <v>0.29430606060606057</v>
      </c>
      <c r="E127" s="237">
        <f t="shared" si="76"/>
        <v>908422772.06250012</v>
      </c>
      <c r="F127" s="238">
        <v>0</v>
      </c>
      <c r="G127" s="239">
        <f t="shared" si="78"/>
        <v>908422772.06250012</v>
      </c>
      <c r="H127" s="118">
        <f t="shared" ref="H127:H157" si="120">($H$158-$H$124)/($A$158-$A$124)+H126</f>
        <v>0.10559440559440561</v>
      </c>
      <c r="I127" s="118">
        <f t="shared" si="85"/>
        <v>0</v>
      </c>
      <c r="J127" s="118">
        <f t="shared" ref="J127:J157" si="121">($J$158-$J$124)/($A$158-$A$124)+J126</f>
        <v>0.10559440559440561</v>
      </c>
      <c r="K127" s="118">
        <f t="shared" ref="K127:K157" si="122">($K$158-$K$124)/($A$158-$A$124)+K126</f>
        <v>0.2956643356643357</v>
      </c>
      <c r="L127" s="118">
        <f t="shared" ref="L127:L157" si="123">($L$158-$L$124)/($A$158-$A$124)+L126</f>
        <v>4.2237762237762239E-2</v>
      </c>
      <c r="M127" s="118">
        <f t="shared" ref="M127:M157" si="124">($M$158-$M$124)/($A$158-$A$124)+M126</f>
        <v>0.45090909090909093</v>
      </c>
      <c r="N127" s="117">
        <f t="shared" si="118"/>
        <v>0</v>
      </c>
      <c r="O127" s="118">
        <f t="shared" si="90"/>
        <v>0.7</v>
      </c>
      <c r="P127" s="118">
        <f t="shared" si="91"/>
        <v>0.15</v>
      </c>
      <c r="Q127" s="118">
        <f t="shared" si="92"/>
        <v>0.15</v>
      </c>
      <c r="R127" s="118">
        <f t="shared" si="93"/>
        <v>0</v>
      </c>
      <c r="S127" s="206">
        <f t="shared" si="94"/>
        <v>0</v>
      </c>
      <c r="T127" s="118">
        <f t="shared" ref="T127:T157" si="125">($T$158-$T$124)/($A$158-$A$124)+T126</f>
        <v>0.34515151515151515</v>
      </c>
      <c r="U127" s="118">
        <f t="shared" si="119"/>
        <v>0</v>
      </c>
      <c r="V127" s="118">
        <f t="shared" ref="V127:V157" si="126">($V$158-$V$124)/($A$158-$A$124)+V126</f>
        <v>0.17257575757575758</v>
      </c>
      <c r="W127" s="118">
        <f t="shared" ref="W127:W157" si="127">($W$158-$W$124)/($A$158-$A$124)+W126</f>
        <v>0.24363636363636365</v>
      </c>
      <c r="X127" s="118">
        <f t="shared" ref="X127:X157" si="128">($X$158-$X$124)/($A$158-$A$124)+X126</f>
        <v>5.0757575757575765E-2</v>
      </c>
      <c r="Y127" s="118">
        <f t="shared" ref="Y127:Y157" si="129">($Y$158-$Y$124)/($A$158-$A$124)+Y126</f>
        <v>0.18787878787878787</v>
      </c>
      <c r="Z127" s="237">
        <f t="shared" si="100"/>
        <v>11223150.429390343</v>
      </c>
      <c r="AA127" s="238">
        <f t="shared" si="101"/>
        <v>0</v>
      </c>
      <c r="AB127" s="238">
        <f t="shared" si="102"/>
        <v>11223150.429390343</v>
      </c>
      <c r="AC127" s="238">
        <f t="shared" si="103"/>
        <v>6284964.2404585928</v>
      </c>
      <c r="AD127" s="238">
        <f t="shared" si="104"/>
        <v>897852.03435122734</v>
      </c>
      <c r="AE127" s="238">
        <f t="shared" si="105"/>
        <v>0</v>
      </c>
      <c r="AF127" s="244">
        <f t="shared" si="80"/>
        <v>29629117.133590505</v>
      </c>
      <c r="AG127" s="237">
        <f t="shared" si="106"/>
        <v>0</v>
      </c>
      <c r="AH127" s="238">
        <f t="shared" si="107"/>
        <v>0</v>
      </c>
      <c r="AI127" s="238">
        <f t="shared" si="108"/>
        <v>4905482.969137501</v>
      </c>
      <c r="AJ127" s="238">
        <f t="shared" si="109"/>
        <v>981096.59382750001</v>
      </c>
      <c r="AK127" s="238">
        <f t="shared" si="110"/>
        <v>0</v>
      </c>
      <c r="AL127" s="238">
        <f t="shared" si="111"/>
        <v>0</v>
      </c>
      <c r="AM127" s="244">
        <f t="shared" si="81"/>
        <v>5886579.562965001</v>
      </c>
      <c r="AN127" s="237">
        <f t="shared" si="112"/>
        <v>46090893.937800169</v>
      </c>
      <c r="AO127" s="238">
        <f t="shared" si="113"/>
        <v>0</v>
      </c>
      <c r="AP127" s="238">
        <f t="shared" si="114"/>
        <v>23045446.968900084</v>
      </c>
      <c r="AQ127" s="238">
        <f t="shared" si="115"/>
        <v>32534748.661976598</v>
      </c>
      <c r="AR127" s="238">
        <f t="shared" si="116"/>
        <v>1355614.5275823581</v>
      </c>
      <c r="AS127" s="238">
        <f t="shared" si="82"/>
        <v>0</v>
      </c>
      <c r="AT127" s="244">
        <f t="shared" si="83"/>
        <v>103026704.09625922</v>
      </c>
      <c r="AU127" s="256">
        <v>0</v>
      </c>
      <c r="AV127" s="248">
        <f t="shared" si="84"/>
        <v>138.54240079281473</v>
      </c>
      <c r="AW127" s="259">
        <f t="shared" si="77"/>
        <v>2.9428441226975277</v>
      </c>
    </row>
    <row r="128" spans="1:49">
      <c r="A128" s="194">
        <f>'Input data'!A118</f>
        <v>2020</v>
      </c>
      <c r="B128" s="209">
        <f>'Input data'!B118</f>
        <v>59.308999999999997</v>
      </c>
      <c r="C128" s="510">
        <f>'Recycling - Case 1'!E98</f>
        <v>0.74072727272727268</v>
      </c>
      <c r="D128" s="658">
        <f>'Recycling - Case 1'!F98</f>
        <v>0.29665909090909087</v>
      </c>
      <c r="E128" s="237">
        <f t="shared" si="76"/>
        <v>923115671.86249995</v>
      </c>
      <c r="F128" s="238">
        <v>0</v>
      </c>
      <c r="G128" s="239">
        <f t="shared" si="78"/>
        <v>923115671.86249995</v>
      </c>
      <c r="H128" s="118">
        <f t="shared" si="120"/>
        <v>0.10839160839160841</v>
      </c>
      <c r="I128" s="118">
        <f t="shared" si="85"/>
        <v>0</v>
      </c>
      <c r="J128" s="118">
        <f t="shared" si="121"/>
        <v>0.10839160839160841</v>
      </c>
      <c r="K128" s="118">
        <f t="shared" si="122"/>
        <v>0.30349650349650353</v>
      </c>
      <c r="L128" s="118">
        <f t="shared" si="123"/>
        <v>4.3356643356643354E-2</v>
      </c>
      <c r="M128" s="118">
        <f t="shared" si="124"/>
        <v>0.4363636363636364</v>
      </c>
      <c r="N128" s="117">
        <f t="shared" si="118"/>
        <v>0</v>
      </c>
      <c r="O128" s="118">
        <f t="shared" si="90"/>
        <v>0.7</v>
      </c>
      <c r="P128" s="118">
        <f t="shared" si="91"/>
        <v>0.15</v>
      </c>
      <c r="Q128" s="118">
        <f t="shared" si="92"/>
        <v>0.15</v>
      </c>
      <c r="R128" s="118">
        <f t="shared" si="93"/>
        <v>0</v>
      </c>
      <c r="S128" s="206">
        <f t="shared" si="94"/>
        <v>0</v>
      </c>
      <c r="T128" s="118">
        <f t="shared" si="125"/>
        <v>0.34772727272727272</v>
      </c>
      <c r="U128" s="118">
        <f t="shared" si="119"/>
        <v>0</v>
      </c>
      <c r="V128" s="118">
        <f t="shared" si="126"/>
        <v>0.17386363636363636</v>
      </c>
      <c r="W128" s="118">
        <f t="shared" si="127"/>
        <v>0.24545454545454548</v>
      </c>
      <c r="X128" s="118">
        <f t="shared" si="128"/>
        <v>5.1136363636363646E-2</v>
      </c>
      <c r="Y128" s="118">
        <f t="shared" si="129"/>
        <v>0.1818181818181818</v>
      </c>
      <c r="Z128" s="237">
        <f t="shared" si="100"/>
        <v>11706785.111347161</v>
      </c>
      <c r="AA128" s="238">
        <f t="shared" si="101"/>
        <v>0</v>
      </c>
      <c r="AB128" s="238">
        <f t="shared" si="102"/>
        <v>11706785.111347161</v>
      </c>
      <c r="AC128" s="238">
        <f t="shared" si="103"/>
        <v>6555799.6623544106</v>
      </c>
      <c r="AD128" s="238">
        <f t="shared" si="104"/>
        <v>936542.80890777253</v>
      </c>
      <c r="AE128" s="238">
        <f t="shared" si="105"/>
        <v>0</v>
      </c>
      <c r="AF128" s="244">
        <f t="shared" si="80"/>
        <v>30905912.693956506</v>
      </c>
      <c r="AG128" s="237">
        <f t="shared" si="106"/>
        <v>0</v>
      </c>
      <c r="AH128" s="238">
        <f t="shared" si="107"/>
        <v>0</v>
      </c>
      <c r="AI128" s="238">
        <f t="shared" si="108"/>
        <v>4984824.6280574994</v>
      </c>
      <c r="AJ128" s="238">
        <f t="shared" si="109"/>
        <v>996964.92561149981</v>
      </c>
      <c r="AK128" s="238">
        <f t="shared" si="110"/>
        <v>0</v>
      </c>
      <c r="AL128" s="238">
        <f t="shared" si="111"/>
        <v>0</v>
      </c>
      <c r="AM128" s="244">
        <f t="shared" si="81"/>
        <v>5981789.5536689991</v>
      </c>
      <c r="AN128" s="237">
        <f t="shared" si="112"/>
        <v>47185896.763317011</v>
      </c>
      <c r="AO128" s="238">
        <f t="shared" si="113"/>
        <v>0</v>
      </c>
      <c r="AP128" s="238">
        <f t="shared" si="114"/>
        <v>23592948.381658506</v>
      </c>
      <c r="AQ128" s="238">
        <f t="shared" si="115"/>
        <v>33307691.83292966</v>
      </c>
      <c r="AR128" s="238">
        <f t="shared" si="116"/>
        <v>1387820.4930387361</v>
      </c>
      <c r="AS128" s="238">
        <f t="shared" si="82"/>
        <v>0</v>
      </c>
      <c r="AT128" s="244">
        <f t="shared" si="83"/>
        <v>105474357.4709439</v>
      </c>
      <c r="AU128" s="256">
        <v>0</v>
      </c>
      <c r="AV128" s="248">
        <f t="shared" si="84"/>
        <v>142.36205971856938</v>
      </c>
      <c r="AW128" s="259">
        <f t="shared" si="77"/>
        <v>2.9904419099300554</v>
      </c>
    </row>
    <row r="129" spans="1:49">
      <c r="A129" s="194">
        <f>'Input data'!A119</f>
        <v>2021</v>
      </c>
      <c r="B129" s="209">
        <f>'Input data'!B119</f>
        <v>59.991999999999997</v>
      </c>
      <c r="C129" s="510">
        <f>'Recycling - Case 1'!E99</f>
        <v>0.74936969696969691</v>
      </c>
      <c r="D129" s="658">
        <f>'Recycling - Case 1'!F99</f>
        <v>0.29901212121212117</v>
      </c>
      <c r="E129" s="237">
        <f t="shared" si="76"/>
        <v>933746233.9000001</v>
      </c>
      <c r="F129" s="238">
        <v>0</v>
      </c>
      <c r="G129" s="239">
        <f t="shared" si="78"/>
        <v>933746233.9000001</v>
      </c>
      <c r="H129" s="118">
        <f t="shared" si="120"/>
        <v>0.11118881118881122</v>
      </c>
      <c r="I129" s="118">
        <f t="shared" si="85"/>
        <v>0</v>
      </c>
      <c r="J129" s="118">
        <f t="shared" si="121"/>
        <v>0.11118881118881122</v>
      </c>
      <c r="K129" s="118">
        <f t="shared" si="122"/>
        <v>0.31132867132867137</v>
      </c>
      <c r="L129" s="118">
        <f t="shared" si="123"/>
        <v>4.4475524475524469E-2</v>
      </c>
      <c r="M129" s="118">
        <f t="shared" si="124"/>
        <v>0.42181818181818187</v>
      </c>
      <c r="N129" s="117">
        <f t="shared" si="118"/>
        <v>0</v>
      </c>
      <c r="O129" s="118">
        <f t="shared" si="90"/>
        <v>0.7</v>
      </c>
      <c r="P129" s="118">
        <f t="shared" si="91"/>
        <v>0.15</v>
      </c>
      <c r="Q129" s="118">
        <f t="shared" si="92"/>
        <v>0.15</v>
      </c>
      <c r="R129" s="118">
        <f t="shared" si="93"/>
        <v>0</v>
      </c>
      <c r="S129" s="206">
        <f t="shared" si="94"/>
        <v>0</v>
      </c>
      <c r="T129" s="118">
        <f t="shared" si="125"/>
        <v>0.35030303030303028</v>
      </c>
      <c r="U129" s="118">
        <f t="shared" si="119"/>
        <v>0</v>
      </c>
      <c r="V129" s="118">
        <f t="shared" si="126"/>
        <v>0.17515151515151514</v>
      </c>
      <c r="W129" s="118">
        <f t="shared" si="127"/>
        <v>0.24727272727272731</v>
      </c>
      <c r="X129" s="118">
        <f t="shared" si="128"/>
        <v>5.1515151515151528E-2</v>
      </c>
      <c r="Y129" s="118">
        <f t="shared" si="129"/>
        <v>0.17575757575757572</v>
      </c>
      <c r="Z129" s="237">
        <f t="shared" si="100"/>
        <v>12147189.642826369</v>
      </c>
      <c r="AA129" s="238">
        <f t="shared" si="101"/>
        <v>0</v>
      </c>
      <c r="AB129" s="238">
        <f t="shared" si="102"/>
        <v>12147189.642826369</v>
      </c>
      <c r="AC129" s="238">
        <f t="shared" si="103"/>
        <v>6802426.1999827661</v>
      </c>
      <c r="AD129" s="238">
        <f t="shared" si="104"/>
        <v>971775.17142610904</v>
      </c>
      <c r="AE129" s="238">
        <f t="shared" si="105"/>
        <v>0</v>
      </c>
      <c r="AF129" s="244">
        <f t="shared" si="80"/>
        <v>32068580.657061614</v>
      </c>
      <c r="AG129" s="237">
        <f t="shared" si="106"/>
        <v>0</v>
      </c>
      <c r="AH129" s="238">
        <f t="shared" si="107"/>
        <v>0</v>
      </c>
      <c r="AI129" s="238">
        <f t="shared" si="108"/>
        <v>5042229.6630600002</v>
      </c>
      <c r="AJ129" s="238">
        <f t="shared" si="109"/>
        <v>1008445.932612</v>
      </c>
      <c r="AK129" s="238">
        <f t="shared" si="110"/>
        <v>0</v>
      </c>
      <c r="AL129" s="238">
        <f t="shared" si="111"/>
        <v>0</v>
      </c>
      <c r="AM129" s="244">
        <f t="shared" si="81"/>
        <v>6050675.5956720002</v>
      </c>
      <c r="AN129" s="237">
        <f t="shared" si="112"/>
        <v>48082837.884574182</v>
      </c>
      <c r="AO129" s="238">
        <f t="shared" si="113"/>
        <v>0</v>
      </c>
      <c r="AP129" s="238">
        <f t="shared" si="114"/>
        <v>24041418.942287091</v>
      </c>
      <c r="AQ129" s="238">
        <f t="shared" si="115"/>
        <v>33940826.742052376</v>
      </c>
      <c r="AR129" s="238">
        <f t="shared" si="116"/>
        <v>1414201.1142521822</v>
      </c>
      <c r="AS129" s="238">
        <f t="shared" si="82"/>
        <v>0</v>
      </c>
      <c r="AT129" s="244">
        <f t="shared" si="83"/>
        <v>107479284.68316583</v>
      </c>
      <c r="AU129" s="256">
        <v>0</v>
      </c>
      <c r="AV129" s="248">
        <f t="shared" si="84"/>
        <v>145.59854093589945</v>
      </c>
      <c r="AW129" s="259">
        <f t="shared" si="77"/>
        <v>3.024879715734945</v>
      </c>
    </row>
    <row r="130" spans="1:49">
      <c r="A130" s="194">
        <f>'Input data'!A120</f>
        <v>2022</v>
      </c>
      <c r="B130" s="209">
        <f>'Input data'!B120</f>
        <v>60.682000000000002</v>
      </c>
      <c r="C130" s="510">
        <f>'Recycling - Case 1'!E100</f>
        <v>0.75801212121212114</v>
      </c>
      <c r="D130" s="658">
        <f>'Recycling - Case 1'!F100</f>
        <v>0.30136515151515147</v>
      </c>
      <c r="E130" s="237">
        <f t="shared" si="76"/>
        <v>944485747.52500021</v>
      </c>
      <c r="F130" s="238">
        <v>0</v>
      </c>
      <c r="G130" s="239">
        <f t="shared" si="78"/>
        <v>944485747.52500021</v>
      </c>
      <c r="H130" s="118">
        <f t="shared" si="120"/>
        <v>0.11398601398601402</v>
      </c>
      <c r="I130" s="118">
        <f t="shared" si="85"/>
        <v>0</v>
      </c>
      <c r="J130" s="118">
        <f t="shared" si="121"/>
        <v>0.11398601398601402</v>
      </c>
      <c r="K130" s="118">
        <f t="shared" si="122"/>
        <v>0.3191608391608392</v>
      </c>
      <c r="L130" s="118">
        <f t="shared" si="123"/>
        <v>4.5594405594405585E-2</v>
      </c>
      <c r="M130" s="118">
        <f t="shared" si="124"/>
        <v>0.40727272727272734</v>
      </c>
      <c r="N130" s="117">
        <f t="shared" si="118"/>
        <v>0</v>
      </c>
      <c r="O130" s="118">
        <f t="shared" si="90"/>
        <v>0.7</v>
      </c>
      <c r="P130" s="118">
        <f t="shared" si="91"/>
        <v>0.15</v>
      </c>
      <c r="Q130" s="118">
        <f t="shared" si="92"/>
        <v>0.15</v>
      </c>
      <c r="R130" s="118">
        <f t="shared" si="93"/>
        <v>0</v>
      </c>
      <c r="S130" s="206">
        <f t="shared" si="94"/>
        <v>0</v>
      </c>
      <c r="T130" s="118">
        <f t="shared" si="125"/>
        <v>0.35287878787878785</v>
      </c>
      <c r="U130" s="118">
        <f t="shared" si="119"/>
        <v>0</v>
      </c>
      <c r="V130" s="118">
        <f t="shared" si="126"/>
        <v>0.17643939393939392</v>
      </c>
      <c r="W130" s="118">
        <f t="shared" si="127"/>
        <v>0.24909090909090914</v>
      </c>
      <c r="X130" s="118">
        <f t="shared" si="128"/>
        <v>5.1893939393939409E-2</v>
      </c>
      <c r="Y130" s="118">
        <f t="shared" si="129"/>
        <v>0.16969696969696965</v>
      </c>
      <c r="Z130" s="237">
        <f t="shared" si="100"/>
        <v>12596005.378356142</v>
      </c>
      <c r="AA130" s="238">
        <f t="shared" si="101"/>
        <v>0</v>
      </c>
      <c r="AB130" s="238">
        <f t="shared" si="102"/>
        <v>12596005.378356142</v>
      </c>
      <c r="AC130" s="238">
        <f t="shared" si="103"/>
        <v>7053763.0118794385</v>
      </c>
      <c r="AD130" s="238">
        <f t="shared" si="104"/>
        <v>1007680.4302684908</v>
      </c>
      <c r="AE130" s="238">
        <f t="shared" si="105"/>
        <v>0</v>
      </c>
      <c r="AF130" s="244">
        <f t="shared" si="80"/>
        <v>33253454.198860217</v>
      </c>
      <c r="AG130" s="237">
        <f t="shared" si="106"/>
        <v>0</v>
      </c>
      <c r="AH130" s="238">
        <f t="shared" si="107"/>
        <v>0</v>
      </c>
      <c r="AI130" s="238">
        <f t="shared" si="108"/>
        <v>5100223.0366350012</v>
      </c>
      <c r="AJ130" s="238">
        <f t="shared" si="109"/>
        <v>1020044.6073270001</v>
      </c>
      <c r="AK130" s="238">
        <f t="shared" si="110"/>
        <v>0</v>
      </c>
      <c r="AL130" s="238">
        <f t="shared" si="111"/>
        <v>0</v>
      </c>
      <c r="AM130" s="244">
        <f t="shared" si="81"/>
        <v>6120267.6439620014</v>
      </c>
      <c r="AN130" s="237">
        <f t="shared" si="112"/>
        <v>48993480.906045698</v>
      </c>
      <c r="AO130" s="238">
        <f t="shared" si="113"/>
        <v>0</v>
      </c>
      <c r="AP130" s="238">
        <f t="shared" si="114"/>
        <v>24496740.453022849</v>
      </c>
      <c r="AQ130" s="238">
        <f t="shared" si="115"/>
        <v>34583633.58073815</v>
      </c>
      <c r="AR130" s="238">
        <f t="shared" si="116"/>
        <v>1440984.7325307564</v>
      </c>
      <c r="AS130" s="238">
        <f t="shared" si="82"/>
        <v>0</v>
      </c>
      <c r="AT130" s="244">
        <f t="shared" si="83"/>
        <v>109514839.67233746</v>
      </c>
      <c r="AU130" s="256">
        <v>0</v>
      </c>
      <c r="AV130" s="248">
        <f t="shared" si="84"/>
        <v>148.88856151515967</v>
      </c>
      <c r="AW130" s="259">
        <f t="shared" si="77"/>
        <v>3.0596704712332969</v>
      </c>
    </row>
    <row r="131" spans="1:49">
      <c r="A131" s="194">
        <f>'Input data'!A121</f>
        <v>2023</v>
      </c>
      <c r="B131" s="209">
        <f>'Input data'!B121</f>
        <v>61.381</v>
      </c>
      <c r="C131" s="510">
        <f>'Recycling - Case 1'!E101</f>
        <v>0.76665454545454537</v>
      </c>
      <c r="D131" s="658">
        <f>'Recycling - Case 1'!F101</f>
        <v>0.30371818181818178</v>
      </c>
      <c r="E131" s="237">
        <f t="shared" si="76"/>
        <v>955365341.76250005</v>
      </c>
      <c r="F131" s="238">
        <v>0</v>
      </c>
      <c r="G131" s="239">
        <f t="shared" si="78"/>
        <v>955365341.76250005</v>
      </c>
      <c r="H131" s="118">
        <f t="shared" si="120"/>
        <v>0.11678321678321682</v>
      </c>
      <c r="I131" s="118">
        <f t="shared" si="85"/>
        <v>0</v>
      </c>
      <c r="J131" s="118">
        <f t="shared" si="121"/>
        <v>0.11678321678321682</v>
      </c>
      <c r="K131" s="118">
        <f t="shared" si="122"/>
        <v>0.32699300699300704</v>
      </c>
      <c r="L131" s="118">
        <f t="shared" si="123"/>
        <v>4.67132867132867E-2</v>
      </c>
      <c r="M131" s="118">
        <f t="shared" si="124"/>
        <v>0.39272727272727281</v>
      </c>
      <c r="N131" s="117">
        <f t="shared" si="118"/>
        <v>0</v>
      </c>
      <c r="O131" s="118">
        <f t="shared" si="90"/>
        <v>0.7</v>
      </c>
      <c r="P131" s="118">
        <f t="shared" si="91"/>
        <v>0.15</v>
      </c>
      <c r="Q131" s="118">
        <f t="shared" si="92"/>
        <v>0.15</v>
      </c>
      <c r="R131" s="118">
        <f t="shared" si="93"/>
        <v>0</v>
      </c>
      <c r="S131" s="206">
        <f t="shared" si="94"/>
        <v>0</v>
      </c>
      <c r="T131" s="118">
        <f t="shared" si="125"/>
        <v>0.35545454545454541</v>
      </c>
      <c r="U131" s="118">
        <f t="shared" si="119"/>
        <v>0</v>
      </c>
      <c r="V131" s="118">
        <f t="shared" si="126"/>
        <v>0.17772727272727271</v>
      </c>
      <c r="W131" s="118">
        <f t="shared" si="127"/>
        <v>0.25090909090909097</v>
      </c>
      <c r="X131" s="118">
        <f t="shared" si="128"/>
        <v>5.227272727272729E-2</v>
      </c>
      <c r="Y131" s="118">
        <f t="shared" si="129"/>
        <v>0.16363636363636358</v>
      </c>
      <c r="Z131" s="237">
        <f t="shared" si="100"/>
        <v>13053764.624263981</v>
      </c>
      <c r="AA131" s="238">
        <f t="shared" si="101"/>
        <v>0</v>
      </c>
      <c r="AB131" s="238">
        <f t="shared" si="102"/>
        <v>13053764.624263981</v>
      </c>
      <c r="AC131" s="238">
        <f t="shared" si="103"/>
        <v>7310108.1895878278</v>
      </c>
      <c r="AD131" s="238">
        <f t="shared" si="104"/>
        <v>1044301.169941118</v>
      </c>
      <c r="AE131" s="238">
        <f t="shared" si="105"/>
        <v>0</v>
      </c>
      <c r="AF131" s="244">
        <f t="shared" si="80"/>
        <v>34461938.60805691</v>
      </c>
      <c r="AG131" s="237">
        <f t="shared" si="106"/>
        <v>0</v>
      </c>
      <c r="AH131" s="238">
        <f t="shared" si="107"/>
        <v>0</v>
      </c>
      <c r="AI131" s="238">
        <f t="shared" si="108"/>
        <v>5158972.8455175003</v>
      </c>
      <c r="AJ131" s="238">
        <f t="shared" si="109"/>
        <v>1031794.5691034999</v>
      </c>
      <c r="AK131" s="238">
        <f t="shared" si="110"/>
        <v>0</v>
      </c>
      <c r="AL131" s="238">
        <f t="shared" si="111"/>
        <v>0</v>
      </c>
      <c r="AM131" s="244">
        <f t="shared" si="81"/>
        <v>6190767.4146210002</v>
      </c>
      <c r="AN131" s="237">
        <f t="shared" si="112"/>
        <v>49919576.134984732</v>
      </c>
      <c r="AO131" s="238">
        <f t="shared" si="113"/>
        <v>0</v>
      </c>
      <c r="AP131" s="238">
        <f t="shared" si="114"/>
        <v>24959788.067492366</v>
      </c>
      <c r="AQ131" s="238">
        <f t="shared" si="115"/>
        <v>35237347.859989233</v>
      </c>
      <c r="AR131" s="238">
        <f t="shared" si="116"/>
        <v>1468222.8274995515</v>
      </c>
      <c r="AS131" s="238">
        <f t="shared" si="82"/>
        <v>0</v>
      </c>
      <c r="AT131" s="244">
        <f t="shared" si="83"/>
        <v>111584934.88996588</v>
      </c>
      <c r="AU131" s="256">
        <v>0</v>
      </c>
      <c r="AV131" s="248">
        <f t="shared" si="84"/>
        <v>152.2376409126438</v>
      </c>
      <c r="AW131" s="259">
        <f t="shared" si="77"/>
        <v>3.0949150191946715</v>
      </c>
    </row>
    <row r="132" spans="1:49">
      <c r="A132" s="194">
        <f>'Input data'!A122</f>
        <v>2024</v>
      </c>
      <c r="B132" s="209">
        <f>'Input data'!B122</f>
        <v>62.088000000000001</v>
      </c>
      <c r="C132" s="510">
        <f>'Recycling - Case 1'!E102</f>
        <v>0.7752969696969696</v>
      </c>
      <c r="D132" s="658">
        <f>'Recycling - Case 1'!F102</f>
        <v>0.30607121212121208</v>
      </c>
      <c r="E132" s="237">
        <f t="shared" si="76"/>
        <v>966369452.10000014</v>
      </c>
      <c r="F132" s="238">
        <v>0</v>
      </c>
      <c r="G132" s="239">
        <f t="shared" si="78"/>
        <v>966369452.10000014</v>
      </c>
      <c r="H132" s="118">
        <f t="shared" si="120"/>
        <v>0.11958041958041962</v>
      </c>
      <c r="I132" s="118">
        <f t="shared" si="85"/>
        <v>0</v>
      </c>
      <c r="J132" s="118">
        <f t="shared" si="121"/>
        <v>0.11958041958041962</v>
      </c>
      <c r="K132" s="118">
        <f t="shared" si="122"/>
        <v>0.33482517482517488</v>
      </c>
      <c r="L132" s="118">
        <f t="shared" si="123"/>
        <v>4.7832167832167816E-2</v>
      </c>
      <c r="M132" s="118">
        <f t="shared" si="124"/>
        <v>0.37818181818181829</v>
      </c>
      <c r="N132" s="117">
        <f t="shared" si="118"/>
        <v>0</v>
      </c>
      <c r="O132" s="118">
        <f t="shared" si="90"/>
        <v>0.7</v>
      </c>
      <c r="P132" s="118">
        <f t="shared" si="91"/>
        <v>0.15</v>
      </c>
      <c r="Q132" s="118">
        <f t="shared" si="92"/>
        <v>0.15</v>
      </c>
      <c r="R132" s="118">
        <f t="shared" si="93"/>
        <v>0</v>
      </c>
      <c r="S132" s="206">
        <f t="shared" si="94"/>
        <v>0</v>
      </c>
      <c r="T132" s="118">
        <f t="shared" si="125"/>
        <v>0.35803030303030298</v>
      </c>
      <c r="U132" s="118">
        <f t="shared" si="119"/>
        <v>0</v>
      </c>
      <c r="V132" s="118">
        <f t="shared" si="126"/>
        <v>0.17901515151515149</v>
      </c>
      <c r="W132" s="118">
        <f t="shared" si="127"/>
        <v>0.2527272727272728</v>
      </c>
      <c r="X132" s="118">
        <f t="shared" si="128"/>
        <v>5.2651515151515171E-2</v>
      </c>
      <c r="Y132" s="118">
        <f t="shared" si="129"/>
        <v>0.15757575757575751</v>
      </c>
      <c r="Z132" s="237">
        <f t="shared" si="100"/>
        <v>13520387.152562732</v>
      </c>
      <c r="AA132" s="238">
        <f t="shared" si="101"/>
        <v>0</v>
      </c>
      <c r="AB132" s="238">
        <f t="shared" si="102"/>
        <v>13520387.152562732</v>
      </c>
      <c r="AC132" s="238">
        <f t="shared" si="103"/>
        <v>7571416.8054351304</v>
      </c>
      <c r="AD132" s="238">
        <f t="shared" si="104"/>
        <v>1081630.9722050179</v>
      </c>
      <c r="AE132" s="238">
        <f t="shared" si="105"/>
        <v>0</v>
      </c>
      <c r="AF132" s="244">
        <f t="shared" si="80"/>
        <v>35693822.082765616</v>
      </c>
      <c r="AG132" s="237">
        <f t="shared" si="106"/>
        <v>0</v>
      </c>
      <c r="AH132" s="238">
        <f t="shared" si="107"/>
        <v>0</v>
      </c>
      <c r="AI132" s="238">
        <f t="shared" si="108"/>
        <v>5218395.04134</v>
      </c>
      <c r="AJ132" s="238">
        <f t="shared" si="109"/>
        <v>1043679.008268</v>
      </c>
      <c r="AK132" s="238">
        <f t="shared" si="110"/>
        <v>0</v>
      </c>
      <c r="AL132" s="238">
        <f t="shared" si="111"/>
        <v>0</v>
      </c>
      <c r="AM132" s="244">
        <f t="shared" si="81"/>
        <v>6262074.0496079996</v>
      </c>
      <c r="AN132" s="237">
        <f t="shared" si="112"/>
        <v>50860463.522864863</v>
      </c>
      <c r="AO132" s="238">
        <f t="shared" si="113"/>
        <v>0</v>
      </c>
      <c r="AP132" s="238">
        <f t="shared" si="114"/>
        <v>25430231.761432432</v>
      </c>
      <c r="AQ132" s="238">
        <f t="shared" si="115"/>
        <v>35901503.663198739</v>
      </c>
      <c r="AR132" s="238">
        <f t="shared" si="116"/>
        <v>1495895.9859666144</v>
      </c>
      <c r="AS132" s="238">
        <f t="shared" si="82"/>
        <v>0</v>
      </c>
      <c r="AT132" s="244">
        <f t="shared" si="83"/>
        <v>113688094.93346263</v>
      </c>
      <c r="AU132" s="256">
        <v>0</v>
      </c>
      <c r="AV132" s="248">
        <f t="shared" si="84"/>
        <v>155.64399106583625</v>
      </c>
      <c r="AW132" s="259">
        <f t="shared" si="77"/>
        <v>3.1305629382342866</v>
      </c>
    </row>
    <row r="133" spans="1:49">
      <c r="A133" s="194">
        <f>'Input data'!A123</f>
        <v>2025</v>
      </c>
      <c r="B133" s="209">
        <f>'Input data'!B123</f>
        <v>62.802999999999997</v>
      </c>
      <c r="C133" s="510">
        <f>'Recycling - Case 1'!E103</f>
        <v>0.78393939393939382</v>
      </c>
      <c r="D133" s="658">
        <f>'Recycling - Case 1'!F103</f>
        <v>0.30842424242424238</v>
      </c>
      <c r="E133" s="237">
        <f t="shared" si="76"/>
        <v>977498078.53750014</v>
      </c>
      <c r="F133" s="238">
        <v>0</v>
      </c>
      <c r="G133" s="239">
        <f t="shared" si="78"/>
        <v>977498078.53750014</v>
      </c>
      <c r="H133" s="118">
        <f t="shared" si="120"/>
        <v>0.12237762237762242</v>
      </c>
      <c r="I133" s="118">
        <f t="shared" si="85"/>
        <v>0</v>
      </c>
      <c r="J133" s="118">
        <f t="shared" si="121"/>
        <v>0.12237762237762242</v>
      </c>
      <c r="K133" s="118">
        <f t="shared" si="122"/>
        <v>0.34265734265734271</v>
      </c>
      <c r="L133" s="118">
        <f t="shared" si="123"/>
        <v>4.8951048951048931E-2</v>
      </c>
      <c r="M133" s="118">
        <f t="shared" si="124"/>
        <v>0.36363636363636376</v>
      </c>
      <c r="N133" s="117">
        <f t="shared" si="118"/>
        <v>0</v>
      </c>
      <c r="O133" s="118">
        <f t="shared" si="90"/>
        <v>0.7</v>
      </c>
      <c r="P133" s="118">
        <f t="shared" si="91"/>
        <v>0.15</v>
      </c>
      <c r="Q133" s="118">
        <f t="shared" si="92"/>
        <v>0.15</v>
      </c>
      <c r="R133" s="118">
        <f t="shared" si="93"/>
        <v>0</v>
      </c>
      <c r="S133" s="206">
        <f t="shared" si="94"/>
        <v>0</v>
      </c>
      <c r="T133" s="118">
        <f t="shared" si="125"/>
        <v>0.36060606060606054</v>
      </c>
      <c r="U133" s="118">
        <f t="shared" si="119"/>
        <v>0</v>
      </c>
      <c r="V133" s="118">
        <f t="shared" si="126"/>
        <v>0.18030303030303027</v>
      </c>
      <c r="W133" s="118">
        <f t="shared" si="127"/>
        <v>0.25454545454545463</v>
      </c>
      <c r="X133" s="118">
        <f t="shared" si="128"/>
        <v>5.3030303030303053E-2</v>
      </c>
      <c r="Y133" s="118">
        <f t="shared" si="129"/>
        <v>0.15151515151515144</v>
      </c>
      <c r="Z133" s="237">
        <f t="shared" si="100"/>
        <v>13995995.215423301</v>
      </c>
      <c r="AA133" s="238">
        <f t="shared" si="101"/>
        <v>0</v>
      </c>
      <c r="AB133" s="238">
        <f t="shared" si="102"/>
        <v>13995995.215423301</v>
      </c>
      <c r="AC133" s="238">
        <f t="shared" si="103"/>
        <v>7837757.3206370473</v>
      </c>
      <c r="AD133" s="238">
        <f t="shared" si="104"/>
        <v>1119679.6172338633</v>
      </c>
      <c r="AE133" s="238">
        <f t="shared" si="105"/>
        <v>0</v>
      </c>
      <c r="AF133" s="244">
        <f t="shared" si="80"/>
        <v>36949427.368717514</v>
      </c>
      <c r="AG133" s="237">
        <f t="shared" si="106"/>
        <v>0</v>
      </c>
      <c r="AH133" s="238">
        <f t="shared" si="107"/>
        <v>0</v>
      </c>
      <c r="AI133" s="238">
        <f t="shared" si="108"/>
        <v>5278489.6241025003</v>
      </c>
      <c r="AJ133" s="238">
        <f t="shared" si="109"/>
        <v>1055697.9248205002</v>
      </c>
      <c r="AK133" s="238">
        <f t="shared" si="110"/>
        <v>0</v>
      </c>
      <c r="AL133" s="238">
        <f t="shared" si="111"/>
        <v>0</v>
      </c>
      <c r="AM133" s="244">
        <f t="shared" si="81"/>
        <v>6334187.5489230007</v>
      </c>
      <c r="AN133" s="237">
        <f t="shared" si="112"/>
        <v>51816284.508656017</v>
      </c>
      <c r="AO133" s="238">
        <f t="shared" si="113"/>
        <v>0</v>
      </c>
      <c r="AP133" s="238">
        <f t="shared" si="114"/>
        <v>25908142.254328009</v>
      </c>
      <c r="AQ133" s="238">
        <f t="shared" si="115"/>
        <v>36576200.829639554</v>
      </c>
      <c r="AR133" s="238">
        <f t="shared" si="116"/>
        <v>1524008.3679016486</v>
      </c>
      <c r="AS133" s="238">
        <f t="shared" si="82"/>
        <v>0</v>
      </c>
      <c r="AT133" s="244">
        <f t="shared" si="83"/>
        <v>115824635.96052523</v>
      </c>
      <c r="AU133" s="256">
        <v>0</v>
      </c>
      <c r="AV133" s="248">
        <f t="shared" si="84"/>
        <v>159.10825087816576</v>
      </c>
      <c r="AW133" s="259">
        <f t="shared" si="77"/>
        <v>3.166614228352143</v>
      </c>
    </row>
    <row r="134" spans="1:49">
      <c r="A134" s="194">
        <f>'Input data'!A124</f>
        <v>2026</v>
      </c>
      <c r="B134" s="209">
        <f>'Input data'!B124</f>
        <v>63.420999999999999</v>
      </c>
      <c r="C134" s="510">
        <f>'Recycling - Case 1'!E104</f>
        <v>0.79258181818181805</v>
      </c>
      <c r="D134" s="658">
        <f>'Recycling - Case 1'!F104</f>
        <v>0.31077727272727268</v>
      </c>
      <c r="E134" s="237">
        <f t="shared" si="76"/>
        <v>987116947.26250017</v>
      </c>
      <c r="F134" s="238">
        <v>0</v>
      </c>
      <c r="G134" s="239">
        <f t="shared" si="78"/>
        <v>987116947.26250017</v>
      </c>
      <c r="H134" s="118">
        <f t="shared" si="120"/>
        <v>0.12517482517482523</v>
      </c>
      <c r="I134" s="118">
        <f t="shared" si="85"/>
        <v>0</v>
      </c>
      <c r="J134" s="118">
        <f t="shared" si="121"/>
        <v>0.12517482517482523</v>
      </c>
      <c r="K134" s="118">
        <f t="shared" si="122"/>
        <v>0.35048951048951055</v>
      </c>
      <c r="L134" s="118">
        <f t="shared" si="123"/>
        <v>5.0069930069930046E-2</v>
      </c>
      <c r="M134" s="118">
        <f t="shared" si="124"/>
        <v>0.34909090909090923</v>
      </c>
      <c r="N134" s="117">
        <f t="shared" si="118"/>
        <v>0</v>
      </c>
      <c r="O134" s="118">
        <f t="shared" si="90"/>
        <v>0.7</v>
      </c>
      <c r="P134" s="118">
        <f t="shared" si="91"/>
        <v>0.15</v>
      </c>
      <c r="Q134" s="118">
        <f t="shared" si="92"/>
        <v>0.15</v>
      </c>
      <c r="R134" s="118">
        <f t="shared" si="93"/>
        <v>0</v>
      </c>
      <c r="S134" s="206">
        <f t="shared" si="94"/>
        <v>0</v>
      </c>
      <c r="T134" s="118">
        <f t="shared" si="125"/>
        <v>0.36318181818181811</v>
      </c>
      <c r="U134" s="118">
        <f t="shared" si="119"/>
        <v>0</v>
      </c>
      <c r="V134" s="118">
        <f t="shared" si="126"/>
        <v>0.18159090909090905</v>
      </c>
      <c r="W134" s="118">
        <f t="shared" si="127"/>
        <v>0.25636363636363646</v>
      </c>
      <c r="X134" s="118">
        <f t="shared" si="128"/>
        <v>5.3409090909090934E-2</v>
      </c>
      <c r="Y134" s="118">
        <f t="shared" si="129"/>
        <v>0.14545454545454536</v>
      </c>
      <c r="Z134" s="237">
        <f t="shared" si="100"/>
        <v>14456776.382180806</v>
      </c>
      <c r="AA134" s="238">
        <f t="shared" si="101"/>
        <v>0</v>
      </c>
      <c r="AB134" s="238">
        <f t="shared" si="102"/>
        <v>14456776.382180806</v>
      </c>
      <c r="AC134" s="238">
        <f t="shared" si="103"/>
        <v>8095794.7740212483</v>
      </c>
      <c r="AD134" s="238">
        <f t="shared" si="104"/>
        <v>1156542.1105744634</v>
      </c>
      <c r="AE134" s="238">
        <f t="shared" si="105"/>
        <v>0</v>
      </c>
      <c r="AF134" s="244">
        <f t="shared" si="80"/>
        <v>38165889.64895732</v>
      </c>
      <c r="AG134" s="237">
        <f t="shared" si="106"/>
        <v>0</v>
      </c>
      <c r="AH134" s="238">
        <f t="shared" si="107"/>
        <v>0</v>
      </c>
      <c r="AI134" s="238">
        <f t="shared" si="108"/>
        <v>5330431.5152174998</v>
      </c>
      <c r="AJ134" s="238">
        <f t="shared" si="109"/>
        <v>1066086.3030435001</v>
      </c>
      <c r="AK134" s="238">
        <f t="shared" si="110"/>
        <v>0</v>
      </c>
      <c r="AL134" s="238">
        <f t="shared" si="111"/>
        <v>0</v>
      </c>
      <c r="AM134" s="244">
        <f t="shared" si="81"/>
        <v>6396517.8182609994</v>
      </c>
      <c r="AN134" s="237">
        <f t="shared" si="112"/>
        <v>52699930.366737455</v>
      </c>
      <c r="AO134" s="238">
        <f t="shared" si="113"/>
        <v>0</v>
      </c>
      <c r="AP134" s="238">
        <f t="shared" si="114"/>
        <v>26349965.183368728</v>
      </c>
      <c r="AQ134" s="238">
        <f t="shared" si="115"/>
        <v>37199950.847108819</v>
      </c>
      <c r="AR134" s="238">
        <f t="shared" si="116"/>
        <v>1549997.9519628675</v>
      </c>
      <c r="AS134" s="238">
        <f t="shared" si="82"/>
        <v>0</v>
      </c>
      <c r="AT134" s="244">
        <f t="shared" si="83"/>
        <v>117799844.34917788</v>
      </c>
      <c r="AU134" s="256">
        <v>0</v>
      </c>
      <c r="AV134" s="248">
        <f t="shared" si="84"/>
        <v>162.3622518163962</v>
      </c>
      <c r="AW134" s="259">
        <f t="shared" si="77"/>
        <v>3.1977746441463193</v>
      </c>
    </row>
    <row r="135" spans="1:49">
      <c r="A135" s="194">
        <f>'Input data'!A125</f>
        <v>2027</v>
      </c>
      <c r="B135" s="209">
        <f>'Input data'!B125</f>
        <v>64.046000000000006</v>
      </c>
      <c r="C135" s="510">
        <f>'Recycling - Case 1'!E105</f>
        <v>0.80122424242424228</v>
      </c>
      <c r="D135" s="658">
        <f>'Recycling - Case 1'!F105</f>
        <v>0.31313030303030298</v>
      </c>
      <c r="E135" s="237">
        <f t="shared" si="76"/>
        <v>996844767.57500017</v>
      </c>
      <c r="F135" s="238">
        <v>0</v>
      </c>
      <c r="G135" s="239">
        <f t="shared" si="78"/>
        <v>996844767.57500017</v>
      </c>
      <c r="H135" s="118">
        <f t="shared" si="120"/>
        <v>0.12797202797202803</v>
      </c>
      <c r="I135" s="118">
        <f t="shared" si="85"/>
        <v>0</v>
      </c>
      <c r="J135" s="118">
        <f t="shared" si="121"/>
        <v>0.12797202797202803</v>
      </c>
      <c r="K135" s="118">
        <f t="shared" si="122"/>
        <v>0.35832167832167838</v>
      </c>
      <c r="L135" s="118">
        <f t="shared" si="123"/>
        <v>5.1188811188811162E-2</v>
      </c>
      <c r="M135" s="118">
        <f t="shared" si="124"/>
        <v>0.3345454545454547</v>
      </c>
      <c r="N135" s="117">
        <f t="shared" si="118"/>
        <v>0</v>
      </c>
      <c r="O135" s="118">
        <f t="shared" si="90"/>
        <v>0.7</v>
      </c>
      <c r="P135" s="118">
        <f t="shared" si="91"/>
        <v>0.15</v>
      </c>
      <c r="Q135" s="118">
        <f t="shared" si="92"/>
        <v>0.15</v>
      </c>
      <c r="R135" s="118">
        <f t="shared" si="93"/>
        <v>0</v>
      </c>
      <c r="S135" s="206">
        <f t="shared" si="94"/>
        <v>0</v>
      </c>
      <c r="T135" s="118">
        <f t="shared" si="125"/>
        <v>0.36575757575757567</v>
      </c>
      <c r="U135" s="118">
        <f t="shared" si="119"/>
        <v>0</v>
      </c>
      <c r="V135" s="118">
        <f t="shared" si="126"/>
        <v>0.18287878787878784</v>
      </c>
      <c r="W135" s="118">
        <f t="shared" si="127"/>
        <v>0.25818181818181829</v>
      </c>
      <c r="X135" s="118">
        <f t="shared" si="128"/>
        <v>5.3787878787878815E-2</v>
      </c>
      <c r="Y135" s="118">
        <f t="shared" si="129"/>
        <v>0.13939393939393929</v>
      </c>
      <c r="Z135" s="237">
        <f t="shared" si="100"/>
        <v>14925484.83814569</v>
      </c>
      <c r="AA135" s="238">
        <f t="shared" si="101"/>
        <v>0</v>
      </c>
      <c r="AB135" s="238">
        <f t="shared" si="102"/>
        <v>14925484.83814569</v>
      </c>
      <c r="AC135" s="238">
        <f t="shared" si="103"/>
        <v>8358271.5093615856</v>
      </c>
      <c r="AD135" s="238">
        <f t="shared" si="104"/>
        <v>1194038.7870516542</v>
      </c>
      <c r="AE135" s="238">
        <f t="shared" si="105"/>
        <v>0</v>
      </c>
      <c r="AF135" s="244">
        <f t="shared" si="80"/>
        <v>39403279.972704619</v>
      </c>
      <c r="AG135" s="237">
        <f t="shared" si="106"/>
        <v>0</v>
      </c>
      <c r="AH135" s="238">
        <f t="shared" si="107"/>
        <v>0</v>
      </c>
      <c r="AI135" s="238">
        <f t="shared" si="108"/>
        <v>5382961.7449050006</v>
      </c>
      <c r="AJ135" s="238">
        <f t="shared" si="109"/>
        <v>1076592.348981</v>
      </c>
      <c r="AK135" s="238">
        <f t="shared" si="110"/>
        <v>0</v>
      </c>
      <c r="AL135" s="238">
        <f t="shared" si="111"/>
        <v>0</v>
      </c>
      <c r="AM135" s="244">
        <f t="shared" si="81"/>
        <v>6459554.093886001</v>
      </c>
      <c r="AN135" s="237">
        <f t="shared" si="112"/>
        <v>53596718.262443841</v>
      </c>
      <c r="AO135" s="238">
        <f t="shared" si="113"/>
        <v>0</v>
      </c>
      <c r="AP135" s="238">
        <f t="shared" si="114"/>
        <v>26798359.13122192</v>
      </c>
      <c r="AQ135" s="238">
        <f t="shared" si="115"/>
        <v>37832977.597019203</v>
      </c>
      <c r="AR135" s="238">
        <f t="shared" si="116"/>
        <v>1576374.0665424669</v>
      </c>
      <c r="AS135" s="238">
        <f t="shared" si="82"/>
        <v>0</v>
      </c>
      <c r="AT135" s="244">
        <f t="shared" si="83"/>
        <v>119804429.05722742</v>
      </c>
      <c r="AU135" s="256">
        <v>0</v>
      </c>
      <c r="AV135" s="248">
        <f t="shared" si="84"/>
        <v>165.66726312381803</v>
      </c>
      <c r="AW135" s="259">
        <f t="shared" si="77"/>
        <v>3.2292880096339567</v>
      </c>
    </row>
    <row r="136" spans="1:49">
      <c r="A136" s="194">
        <f>'Input data'!A126</f>
        <v>2028</v>
      </c>
      <c r="B136" s="209">
        <f>'Input data'!B126</f>
        <v>64.676000000000002</v>
      </c>
      <c r="C136" s="510">
        <f>'Recycling - Case 1'!E106</f>
        <v>0.80986666666666651</v>
      </c>
      <c r="D136" s="658">
        <f>'Recycling - Case 1'!F106</f>
        <v>0.31548333333333328</v>
      </c>
      <c r="E136" s="237">
        <f t="shared" si="76"/>
        <v>1006650410.4500002</v>
      </c>
      <c r="F136" s="238">
        <v>0</v>
      </c>
      <c r="G136" s="239">
        <f t="shared" si="78"/>
        <v>1006650410.4500002</v>
      </c>
      <c r="H136" s="118">
        <f t="shared" si="120"/>
        <v>0.13076923076923083</v>
      </c>
      <c r="I136" s="118">
        <f t="shared" si="85"/>
        <v>0</v>
      </c>
      <c r="J136" s="118">
        <f t="shared" si="121"/>
        <v>0.13076923076923083</v>
      </c>
      <c r="K136" s="118">
        <f t="shared" si="122"/>
        <v>0.36615384615384622</v>
      </c>
      <c r="L136" s="118">
        <f t="shared" si="123"/>
        <v>5.2307692307692277E-2</v>
      </c>
      <c r="M136" s="118">
        <f t="shared" si="124"/>
        <v>0.32000000000000017</v>
      </c>
      <c r="N136" s="117">
        <f t="shared" si="118"/>
        <v>0</v>
      </c>
      <c r="O136" s="118">
        <f t="shared" si="90"/>
        <v>0.7</v>
      </c>
      <c r="P136" s="118">
        <f t="shared" si="91"/>
        <v>0.15</v>
      </c>
      <c r="Q136" s="118">
        <f t="shared" si="92"/>
        <v>0.15</v>
      </c>
      <c r="R136" s="118">
        <f t="shared" si="93"/>
        <v>0</v>
      </c>
      <c r="S136" s="206">
        <f t="shared" si="94"/>
        <v>0</v>
      </c>
      <c r="T136" s="118">
        <f t="shared" si="125"/>
        <v>0.36833333333333323</v>
      </c>
      <c r="U136" s="118">
        <f t="shared" si="119"/>
        <v>0</v>
      </c>
      <c r="V136" s="118">
        <f t="shared" si="126"/>
        <v>0.18416666666666662</v>
      </c>
      <c r="W136" s="118">
        <f t="shared" si="127"/>
        <v>0.26000000000000012</v>
      </c>
      <c r="X136" s="118">
        <f t="shared" si="128"/>
        <v>5.4166666666666696E-2</v>
      </c>
      <c r="Y136" s="118">
        <f t="shared" si="129"/>
        <v>0.13333333333333322</v>
      </c>
      <c r="Z136" s="237">
        <f t="shared" si="100"/>
        <v>15401751.279885011</v>
      </c>
      <c r="AA136" s="238">
        <f t="shared" si="101"/>
        <v>0</v>
      </c>
      <c r="AB136" s="238">
        <f t="shared" si="102"/>
        <v>15401751.279885011</v>
      </c>
      <c r="AC136" s="238">
        <f t="shared" si="103"/>
        <v>8624980.7167356033</v>
      </c>
      <c r="AD136" s="238">
        <f t="shared" si="104"/>
        <v>1232140.1023907994</v>
      </c>
      <c r="AE136" s="238">
        <f t="shared" si="105"/>
        <v>0</v>
      </c>
      <c r="AF136" s="244">
        <f t="shared" si="80"/>
        <v>40660623.378896423</v>
      </c>
      <c r="AG136" s="237">
        <f t="shared" si="106"/>
        <v>0</v>
      </c>
      <c r="AH136" s="238">
        <f t="shared" si="107"/>
        <v>0</v>
      </c>
      <c r="AI136" s="238">
        <f t="shared" si="108"/>
        <v>5435912.21643</v>
      </c>
      <c r="AJ136" s="238">
        <f t="shared" si="109"/>
        <v>1087182.4432860001</v>
      </c>
      <c r="AK136" s="238">
        <f t="shared" si="110"/>
        <v>0</v>
      </c>
      <c r="AL136" s="238">
        <f t="shared" si="111"/>
        <v>0</v>
      </c>
      <c r="AM136" s="244">
        <f t="shared" si="81"/>
        <v>6523094.6597159998</v>
      </c>
      <c r="AN136" s="237">
        <f t="shared" si="112"/>
        <v>54505086.47381524</v>
      </c>
      <c r="AO136" s="238">
        <f t="shared" si="113"/>
        <v>0</v>
      </c>
      <c r="AP136" s="238">
        <f t="shared" si="114"/>
        <v>27252543.23690762</v>
      </c>
      <c r="AQ136" s="238">
        <f t="shared" si="115"/>
        <v>38474178.687399022</v>
      </c>
      <c r="AR136" s="238">
        <f t="shared" si="116"/>
        <v>1603090.778641626</v>
      </c>
      <c r="AS136" s="238">
        <f t="shared" si="82"/>
        <v>0</v>
      </c>
      <c r="AT136" s="244">
        <f t="shared" si="83"/>
        <v>121834899.17676352</v>
      </c>
      <c r="AU136" s="256">
        <v>0</v>
      </c>
      <c r="AV136" s="248">
        <f t="shared" si="84"/>
        <v>169.01861721537597</v>
      </c>
      <c r="AW136" s="259">
        <f t="shared" si="77"/>
        <v>3.2610534820454951</v>
      </c>
    </row>
    <row r="137" spans="1:49">
      <c r="A137" s="194">
        <f>'Input data'!A127</f>
        <v>2029</v>
      </c>
      <c r="B137" s="209">
        <f>'Input data'!B127</f>
        <v>65.313000000000002</v>
      </c>
      <c r="C137" s="510">
        <f>'Recycling - Case 1'!E107</f>
        <v>0.81850909090909074</v>
      </c>
      <c r="D137" s="658">
        <f>'Recycling - Case 1'!F107</f>
        <v>0.31783636363636358</v>
      </c>
      <c r="E137" s="237">
        <f t="shared" si="76"/>
        <v>1016565004.9125001</v>
      </c>
      <c r="F137" s="238">
        <v>0</v>
      </c>
      <c r="G137" s="239">
        <f t="shared" si="78"/>
        <v>1016565004.9125001</v>
      </c>
      <c r="H137" s="118">
        <f t="shared" si="120"/>
        <v>0.13356643356643363</v>
      </c>
      <c r="I137" s="118">
        <f t="shared" si="85"/>
        <v>0</v>
      </c>
      <c r="J137" s="118">
        <f t="shared" si="121"/>
        <v>0.13356643356643363</v>
      </c>
      <c r="K137" s="118">
        <f t="shared" si="122"/>
        <v>0.37398601398601405</v>
      </c>
      <c r="L137" s="118">
        <f t="shared" si="123"/>
        <v>5.3426573426573393E-2</v>
      </c>
      <c r="M137" s="118">
        <f t="shared" si="124"/>
        <v>0.30545454545454565</v>
      </c>
      <c r="N137" s="117">
        <f t="shared" si="118"/>
        <v>0</v>
      </c>
      <c r="O137" s="118">
        <f t="shared" si="90"/>
        <v>0.7</v>
      </c>
      <c r="P137" s="118">
        <f t="shared" si="91"/>
        <v>0.15</v>
      </c>
      <c r="Q137" s="118">
        <f t="shared" si="92"/>
        <v>0.15</v>
      </c>
      <c r="R137" s="118">
        <f t="shared" si="93"/>
        <v>0</v>
      </c>
      <c r="S137" s="206">
        <f t="shared" si="94"/>
        <v>0</v>
      </c>
      <c r="T137" s="118">
        <f t="shared" si="125"/>
        <v>0.3709090909090908</v>
      </c>
      <c r="U137" s="118">
        <f t="shared" si="119"/>
        <v>0</v>
      </c>
      <c r="V137" s="118">
        <f t="shared" si="126"/>
        <v>0.1854545454545454</v>
      </c>
      <c r="W137" s="118">
        <f t="shared" si="127"/>
        <v>0.26181818181818195</v>
      </c>
      <c r="X137" s="118">
        <f t="shared" si="128"/>
        <v>5.4545454545454577E-2</v>
      </c>
      <c r="Y137" s="118">
        <f t="shared" si="129"/>
        <v>0.12727272727272715</v>
      </c>
      <c r="Z137" s="237">
        <f t="shared" si="100"/>
        <v>15886138.576768985</v>
      </c>
      <c r="AA137" s="238">
        <f t="shared" si="101"/>
        <v>0</v>
      </c>
      <c r="AB137" s="238">
        <f t="shared" si="102"/>
        <v>15886138.576768985</v>
      </c>
      <c r="AC137" s="238">
        <f t="shared" si="103"/>
        <v>8896237.602990631</v>
      </c>
      <c r="AD137" s="238">
        <f t="shared" si="104"/>
        <v>1270891.0861415176</v>
      </c>
      <c r="AE137" s="238">
        <f t="shared" si="105"/>
        <v>0</v>
      </c>
      <c r="AF137" s="244">
        <f t="shared" si="80"/>
        <v>41939405.84267012</v>
      </c>
      <c r="AG137" s="237">
        <f t="shared" si="106"/>
        <v>0</v>
      </c>
      <c r="AH137" s="238">
        <f t="shared" si="107"/>
        <v>0</v>
      </c>
      <c r="AI137" s="238">
        <f t="shared" si="108"/>
        <v>5489451.0265275007</v>
      </c>
      <c r="AJ137" s="238">
        <f t="shared" si="109"/>
        <v>1097890.2053055002</v>
      </c>
      <c r="AK137" s="238">
        <f t="shared" si="110"/>
        <v>0</v>
      </c>
      <c r="AL137" s="238">
        <f t="shared" si="111"/>
        <v>0</v>
      </c>
      <c r="AM137" s="244">
        <f t="shared" si="81"/>
        <v>6587341.2318330007</v>
      </c>
      <c r="AN137" s="237">
        <f t="shared" si="112"/>
        <v>55426820.66784735</v>
      </c>
      <c r="AO137" s="238">
        <f t="shared" si="113"/>
        <v>0</v>
      </c>
      <c r="AP137" s="238">
        <f t="shared" si="114"/>
        <v>27713410.333923675</v>
      </c>
      <c r="AQ137" s="238">
        <f t="shared" si="115"/>
        <v>39124814.589068756</v>
      </c>
      <c r="AR137" s="238">
        <f t="shared" si="116"/>
        <v>1630200.6078778647</v>
      </c>
      <c r="AS137" s="238">
        <f t="shared" si="82"/>
        <v>0</v>
      </c>
      <c r="AT137" s="244">
        <f t="shared" si="83"/>
        <v>123895246.19871765</v>
      </c>
      <c r="AU137" s="256">
        <v>0</v>
      </c>
      <c r="AV137" s="248">
        <f t="shared" si="84"/>
        <v>172.42199327322078</v>
      </c>
      <c r="AW137" s="259">
        <f t="shared" si="77"/>
        <v>3.2931719041504954</v>
      </c>
    </row>
    <row r="138" spans="1:49">
      <c r="A138" s="123">
        <f>'Input data'!A128</f>
        <v>2030</v>
      </c>
      <c r="B138" s="209">
        <f>'Input data'!B128</f>
        <v>65.956000000000003</v>
      </c>
      <c r="C138" s="510">
        <f>'Recycling - Case 1'!E108</f>
        <v>0.82715151515151497</v>
      </c>
      <c r="D138" s="658">
        <f>'Recycling - Case 1'!F108</f>
        <v>0.32018939393939388</v>
      </c>
      <c r="E138" s="237">
        <f t="shared" si="76"/>
        <v>1026572986.4500002</v>
      </c>
      <c r="F138" s="238">
        <v>0</v>
      </c>
      <c r="G138" s="239">
        <f t="shared" si="78"/>
        <v>1026572986.4500002</v>
      </c>
      <c r="H138" s="118">
        <f t="shared" si="120"/>
        <v>0.13636363636363644</v>
      </c>
      <c r="I138" s="118">
        <f t="shared" si="85"/>
        <v>0</v>
      </c>
      <c r="J138" s="118">
        <f t="shared" si="121"/>
        <v>0.13636363636363644</v>
      </c>
      <c r="K138" s="118">
        <f t="shared" si="122"/>
        <v>0.38181818181818189</v>
      </c>
      <c r="L138" s="118">
        <f t="shared" si="123"/>
        <v>5.4545454545454508E-2</v>
      </c>
      <c r="M138" s="118">
        <f t="shared" si="124"/>
        <v>0.29090909090909112</v>
      </c>
      <c r="N138" s="117">
        <f t="shared" si="118"/>
        <v>0</v>
      </c>
      <c r="O138" s="118">
        <f t="shared" si="90"/>
        <v>0.7</v>
      </c>
      <c r="P138" s="118">
        <f t="shared" si="91"/>
        <v>0.15</v>
      </c>
      <c r="Q138" s="118">
        <f t="shared" si="92"/>
        <v>0.15</v>
      </c>
      <c r="R138" s="118">
        <f t="shared" si="93"/>
        <v>0</v>
      </c>
      <c r="S138" s="206">
        <f t="shared" si="94"/>
        <v>0</v>
      </c>
      <c r="T138" s="118">
        <f t="shared" si="125"/>
        <v>0.37348484848484836</v>
      </c>
      <c r="U138" s="118">
        <f t="shared" si="119"/>
        <v>0</v>
      </c>
      <c r="V138" s="118">
        <f t="shared" si="126"/>
        <v>0.18674242424242418</v>
      </c>
      <c r="W138" s="118">
        <f t="shared" si="127"/>
        <v>0.26363636363636378</v>
      </c>
      <c r="X138" s="118">
        <f t="shared" si="128"/>
        <v>5.4924242424242459E-2</v>
      </c>
      <c r="Y138" s="118">
        <f t="shared" si="129"/>
        <v>0.12121212121212109</v>
      </c>
      <c r="Z138" s="237">
        <f t="shared" si="100"/>
        <v>16378505.374725012</v>
      </c>
      <c r="AA138" s="238">
        <f t="shared" si="101"/>
        <v>0</v>
      </c>
      <c r="AB138" s="238">
        <f t="shared" si="102"/>
        <v>16378505.374725012</v>
      </c>
      <c r="AC138" s="238">
        <f t="shared" si="103"/>
        <v>9171963.0098460037</v>
      </c>
      <c r="AD138" s="238">
        <f t="shared" si="104"/>
        <v>1310280.4299779995</v>
      </c>
      <c r="AE138" s="238">
        <f t="shared" si="105"/>
        <v>0</v>
      </c>
      <c r="AF138" s="244">
        <f t="shared" si="80"/>
        <v>43239254.189274028</v>
      </c>
      <c r="AG138" s="237">
        <f t="shared" si="106"/>
        <v>0</v>
      </c>
      <c r="AH138" s="238">
        <f t="shared" si="107"/>
        <v>0</v>
      </c>
      <c r="AI138" s="238">
        <f t="shared" si="108"/>
        <v>5543494.1268300004</v>
      </c>
      <c r="AJ138" s="238">
        <f t="shared" si="109"/>
        <v>1108698.8253660002</v>
      </c>
      <c r="AK138" s="238">
        <f t="shared" si="110"/>
        <v>0</v>
      </c>
      <c r="AL138" s="238">
        <f t="shared" si="111"/>
        <v>0</v>
      </c>
      <c r="AM138" s="244">
        <f t="shared" si="81"/>
        <v>6652192.9521960001</v>
      </c>
      <c r="AN138" s="237">
        <f t="shared" si="112"/>
        <v>56361190.076528743</v>
      </c>
      <c r="AO138" s="238">
        <f t="shared" si="113"/>
        <v>0</v>
      </c>
      <c r="AP138" s="238">
        <f t="shared" si="114"/>
        <v>28180595.038264371</v>
      </c>
      <c r="AQ138" s="238">
        <f t="shared" si="115"/>
        <v>39784369.465785019</v>
      </c>
      <c r="AR138" s="238">
        <f t="shared" si="116"/>
        <v>1657682.0610743763</v>
      </c>
      <c r="AS138" s="238">
        <f t="shared" si="82"/>
        <v>0</v>
      </c>
      <c r="AT138" s="244">
        <f t="shared" si="83"/>
        <v>125983836.64165252</v>
      </c>
      <c r="AU138" s="256">
        <v>0</v>
      </c>
      <c r="AV138" s="248">
        <f t="shared" si="84"/>
        <v>175.87528378312254</v>
      </c>
      <c r="AW138" s="259">
        <f t="shared" si="77"/>
        <v>3.3255928545641762</v>
      </c>
    </row>
    <row r="139" spans="1:49">
      <c r="A139" s="194">
        <f>'Input data'!A129</f>
        <v>2031</v>
      </c>
      <c r="B139" s="209">
        <f>'Input data'!B129</f>
        <v>66.519000000000005</v>
      </c>
      <c r="C139" s="510">
        <f>'Recycling - Case 1'!E109</f>
        <v>0.8357939393939392</v>
      </c>
      <c r="D139" s="658">
        <f>'Recycling - Case 1'!F109</f>
        <v>0.32254242424242419</v>
      </c>
      <c r="E139" s="237">
        <f t="shared" si="76"/>
        <v>1035335806.9875003</v>
      </c>
      <c r="F139" s="238">
        <v>0</v>
      </c>
      <c r="G139" s="239">
        <f t="shared" si="78"/>
        <v>1035335806.9875003</v>
      </c>
      <c r="H139" s="118">
        <f t="shared" si="120"/>
        <v>0.13916083916083924</v>
      </c>
      <c r="I139" s="118">
        <f t="shared" si="85"/>
        <v>0</v>
      </c>
      <c r="J139" s="118">
        <f t="shared" si="121"/>
        <v>0.13916083916083924</v>
      </c>
      <c r="K139" s="118">
        <f t="shared" si="122"/>
        <v>0.38965034965034973</v>
      </c>
      <c r="L139" s="118">
        <f t="shared" si="123"/>
        <v>5.5664335664335624E-2</v>
      </c>
      <c r="M139" s="118">
        <f t="shared" si="124"/>
        <v>0.27636363636363659</v>
      </c>
      <c r="N139" s="117">
        <f t="shared" si="118"/>
        <v>0</v>
      </c>
      <c r="O139" s="118">
        <f t="shared" si="90"/>
        <v>0.7</v>
      </c>
      <c r="P139" s="118">
        <f t="shared" si="91"/>
        <v>0.15</v>
      </c>
      <c r="Q139" s="118">
        <f t="shared" si="92"/>
        <v>0.15</v>
      </c>
      <c r="R139" s="118">
        <f t="shared" si="93"/>
        <v>0</v>
      </c>
      <c r="S139" s="206">
        <f t="shared" si="94"/>
        <v>0</v>
      </c>
      <c r="T139" s="118">
        <f t="shared" si="125"/>
        <v>0.37606060606060593</v>
      </c>
      <c r="U139" s="118">
        <f t="shared" si="119"/>
        <v>0</v>
      </c>
      <c r="V139" s="118">
        <f t="shared" si="126"/>
        <v>0.18803030303030296</v>
      </c>
      <c r="W139" s="118">
        <f t="shared" si="127"/>
        <v>0.26545454545454561</v>
      </c>
      <c r="X139" s="118">
        <f t="shared" si="128"/>
        <v>5.530303030303034E-2</v>
      </c>
      <c r="Y139" s="118">
        <f t="shared" si="129"/>
        <v>0.11515151515151503</v>
      </c>
      <c r="Z139" s="237">
        <f t="shared" si="100"/>
        <v>16857149.366496492</v>
      </c>
      <c r="AA139" s="238">
        <f t="shared" si="101"/>
        <v>0</v>
      </c>
      <c r="AB139" s="238">
        <f t="shared" si="102"/>
        <v>16857149.366496492</v>
      </c>
      <c r="AC139" s="238">
        <f t="shared" si="103"/>
        <v>9440003.6452380326</v>
      </c>
      <c r="AD139" s="238">
        <f t="shared" si="104"/>
        <v>1348571.9493197177</v>
      </c>
      <c r="AE139" s="238">
        <f t="shared" si="105"/>
        <v>0</v>
      </c>
      <c r="AF139" s="244">
        <f t="shared" si="80"/>
        <v>44502874.327550739</v>
      </c>
      <c r="AG139" s="237">
        <f t="shared" si="106"/>
        <v>0</v>
      </c>
      <c r="AH139" s="238">
        <f t="shared" si="107"/>
        <v>0</v>
      </c>
      <c r="AI139" s="238">
        <f t="shared" si="108"/>
        <v>5590813.3577325009</v>
      </c>
      <c r="AJ139" s="238">
        <f t="shared" si="109"/>
        <v>1118162.6715465002</v>
      </c>
      <c r="AK139" s="238">
        <f t="shared" si="110"/>
        <v>0</v>
      </c>
      <c r="AL139" s="238">
        <f t="shared" si="111"/>
        <v>0</v>
      </c>
      <c r="AM139" s="244">
        <f t="shared" si="81"/>
        <v>6708976.0292790011</v>
      </c>
      <c r="AN139" s="237">
        <f t="shared" si="112"/>
        <v>57234304.62463899</v>
      </c>
      <c r="AO139" s="238">
        <f t="shared" si="113"/>
        <v>0</v>
      </c>
      <c r="AP139" s="238">
        <f t="shared" si="114"/>
        <v>28617152.312319495</v>
      </c>
      <c r="AQ139" s="238">
        <f t="shared" si="115"/>
        <v>40400685.617392264</v>
      </c>
      <c r="AR139" s="238">
        <f t="shared" si="116"/>
        <v>1683361.9007246778</v>
      </c>
      <c r="AS139" s="238">
        <f t="shared" si="82"/>
        <v>0</v>
      </c>
      <c r="AT139" s="244">
        <f t="shared" si="83"/>
        <v>127935504.45507544</v>
      </c>
      <c r="AU139" s="256">
        <v>0</v>
      </c>
      <c r="AV139" s="248">
        <f t="shared" si="84"/>
        <v>179.14735481190519</v>
      </c>
      <c r="AW139" s="259">
        <f t="shared" si="77"/>
        <v>3.3539800941954407</v>
      </c>
    </row>
    <row r="140" spans="1:49">
      <c r="A140" s="194">
        <f>'Input data'!A130</f>
        <v>2032</v>
      </c>
      <c r="B140" s="209">
        <f>'Input data'!B130</f>
        <v>67.087000000000003</v>
      </c>
      <c r="C140" s="510">
        <f>'Recycling - Case 1'!E110</f>
        <v>0.84443636363636343</v>
      </c>
      <c r="D140" s="658">
        <f>'Recycling - Case 1'!F110</f>
        <v>0.32489545454545449</v>
      </c>
      <c r="E140" s="237">
        <f t="shared" ref="E140:E157" si="130">B140*$C$4*($C$7*$C$11+$C$8*$C$10+$C$7*$C$12)*10^6</f>
        <v>1044176450.0875001</v>
      </c>
      <c r="F140" s="238">
        <v>0</v>
      </c>
      <c r="G140" s="239">
        <f t="shared" si="78"/>
        <v>1044176450.0875001</v>
      </c>
      <c r="H140" s="118">
        <f t="shared" si="120"/>
        <v>0.14195804195804204</v>
      </c>
      <c r="I140" s="118">
        <f t="shared" si="85"/>
        <v>0</v>
      </c>
      <c r="J140" s="118">
        <f t="shared" si="121"/>
        <v>0.14195804195804204</v>
      </c>
      <c r="K140" s="118">
        <f t="shared" si="122"/>
        <v>0.39748251748251756</v>
      </c>
      <c r="L140" s="118">
        <f t="shared" si="123"/>
        <v>5.6783216783216739E-2</v>
      </c>
      <c r="M140" s="118">
        <f t="shared" si="124"/>
        <v>0.26181818181818206</v>
      </c>
      <c r="N140" s="117">
        <f t="shared" si="118"/>
        <v>0</v>
      </c>
      <c r="O140" s="118">
        <f t="shared" si="90"/>
        <v>0.7</v>
      </c>
      <c r="P140" s="118">
        <f t="shared" si="91"/>
        <v>0.15</v>
      </c>
      <c r="Q140" s="118">
        <f t="shared" si="92"/>
        <v>0.15</v>
      </c>
      <c r="R140" s="118">
        <f t="shared" si="93"/>
        <v>0</v>
      </c>
      <c r="S140" s="206">
        <f t="shared" si="94"/>
        <v>0</v>
      </c>
      <c r="T140" s="118">
        <f t="shared" si="125"/>
        <v>0.37863636363636349</v>
      </c>
      <c r="U140" s="118">
        <f t="shared" si="119"/>
        <v>0</v>
      </c>
      <c r="V140" s="118">
        <f t="shared" si="126"/>
        <v>0.18931818181818175</v>
      </c>
      <c r="W140" s="118">
        <f t="shared" si="127"/>
        <v>0.26727272727272744</v>
      </c>
      <c r="X140" s="118">
        <f t="shared" si="128"/>
        <v>5.5681818181818221E-2</v>
      </c>
      <c r="Y140" s="118">
        <f t="shared" si="129"/>
        <v>0.10909090909090897</v>
      </c>
      <c r="Z140" s="237">
        <f t="shared" si="100"/>
        <v>17342821.584635124</v>
      </c>
      <c r="AA140" s="238">
        <f t="shared" si="101"/>
        <v>0</v>
      </c>
      <c r="AB140" s="238">
        <f t="shared" si="102"/>
        <v>17342821.584635124</v>
      </c>
      <c r="AC140" s="238">
        <f t="shared" si="103"/>
        <v>9711980.0873956662</v>
      </c>
      <c r="AD140" s="238">
        <f t="shared" si="104"/>
        <v>1387425.7267708082</v>
      </c>
      <c r="AE140" s="238">
        <f t="shared" si="105"/>
        <v>0</v>
      </c>
      <c r="AF140" s="244">
        <f t="shared" si="80"/>
        <v>45785048.983436726</v>
      </c>
      <c r="AG140" s="237">
        <f t="shared" si="106"/>
        <v>0</v>
      </c>
      <c r="AH140" s="238">
        <f t="shared" si="107"/>
        <v>0</v>
      </c>
      <c r="AI140" s="238">
        <f t="shared" si="108"/>
        <v>5638552.8304725001</v>
      </c>
      <c r="AJ140" s="238">
        <f t="shared" si="109"/>
        <v>1127710.5660945</v>
      </c>
      <c r="AK140" s="238">
        <f t="shared" si="110"/>
        <v>0</v>
      </c>
      <c r="AL140" s="238">
        <f t="shared" si="111"/>
        <v>0</v>
      </c>
      <c r="AM140" s="244">
        <f t="shared" si="81"/>
        <v>6766263.3965670001</v>
      </c>
      <c r="AN140" s="237">
        <f t="shared" si="112"/>
        <v>58118386.5862111</v>
      </c>
      <c r="AO140" s="238">
        <f t="shared" si="113"/>
        <v>0</v>
      </c>
      <c r="AP140" s="238">
        <f t="shared" si="114"/>
        <v>29059193.29310555</v>
      </c>
      <c r="AQ140" s="238">
        <f t="shared" si="115"/>
        <v>41024743.472619638</v>
      </c>
      <c r="AR140" s="238">
        <f t="shared" si="116"/>
        <v>1709364.311359152</v>
      </c>
      <c r="AS140" s="238">
        <f t="shared" si="82"/>
        <v>0</v>
      </c>
      <c r="AT140" s="244">
        <f t="shared" si="83"/>
        <v>129911687.66329545</v>
      </c>
      <c r="AU140" s="256">
        <v>0</v>
      </c>
      <c r="AV140" s="248">
        <f t="shared" si="84"/>
        <v>182.46300004329916</v>
      </c>
      <c r="AW140" s="259">
        <f t="shared" ref="AW140:AW158" si="131">((B140*$C$46*$C$47*$C$48*$C$49)-$C$50)*$C$51*$C$52</f>
        <v>3.3826194407506049</v>
      </c>
    </row>
    <row r="141" spans="1:49">
      <c r="A141" s="194">
        <f>'Input data'!A131</f>
        <v>2033</v>
      </c>
      <c r="B141" s="209">
        <f>'Input data'!B131</f>
        <v>67.659000000000006</v>
      </c>
      <c r="C141" s="510">
        <f>'Recycling - Case 1'!E111</f>
        <v>0.85307878787878766</v>
      </c>
      <c r="D141" s="658">
        <f>'Recycling - Case 1'!F111</f>
        <v>0.32724848484848479</v>
      </c>
      <c r="E141" s="237">
        <f t="shared" si="130"/>
        <v>1053079351.2375003</v>
      </c>
      <c r="F141" s="238">
        <v>0</v>
      </c>
      <c r="G141" s="239">
        <f t="shared" si="78"/>
        <v>1053079351.2375003</v>
      </c>
      <c r="H141" s="118">
        <f t="shared" si="120"/>
        <v>0.14475524475524484</v>
      </c>
      <c r="I141" s="118">
        <f t="shared" si="85"/>
        <v>0</v>
      </c>
      <c r="J141" s="118">
        <f t="shared" si="121"/>
        <v>0.14475524475524484</v>
      </c>
      <c r="K141" s="118">
        <f t="shared" si="122"/>
        <v>0.4053146853146854</v>
      </c>
      <c r="L141" s="118">
        <f t="shared" si="123"/>
        <v>5.7902097902097854E-2</v>
      </c>
      <c r="M141" s="118">
        <f t="shared" si="124"/>
        <v>0.2472727272727275</v>
      </c>
      <c r="N141" s="117">
        <f t="shared" si="118"/>
        <v>0</v>
      </c>
      <c r="O141" s="118">
        <f t="shared" si="90"/>
        <v>0.7</v>
      </c>
      <c r="P141" s="118">
        <f t="shared" si="91"/>
        <v>0.15</v>
      </c>
      <c r="Q141" s="118">
        <f t="shared" si="92"/>
        <v>0.15</v>
      </c>
      <c r="R141" s="118">
        <f t="shared" si="93"/>
        <v>0</v>
      </c>
      <c r="S141" s="206">
        <f t="shared" si="94"/>
        <v>0</v>
      </c>
      <c r="T141" s="118">
        <f t="shared" si="125"/>
        <v>0.38121212121212106</v>
      </c>
      <c r="U141" s="118">
        <f t="shared" si="119"/>
        <v>0</v>
      </c>
      <c r="V141" s="118">
        <f t="shared" si="126"/>
        <v>0.19060606060606053</v>
      </c>
      <c r="W141" s="118">
        <f t="shared" si="127"/>
        <v>0.26909090909090927</v>
      </c>
      <c r="X141" s="118">
        <f t="shared" si="128"/>
        <v>5.6060606060606102E-2</v>
      </c>
      <c r="Y141" s="118">
        <f t="shared" si="129"/>
        <v>0.10303030303030292</v>
      </c>
      <c r="Z141" s="237">
        <f t="shared" si="100"/>
        <v>17835334.830504224</v>
      </c>
      <c r="AA141" s="238">
        <f t="shared" si="101"/>
        <v>0</v>
      </c>
      <c r="AB141" s="238">
        <f t="shared" si="102"/>
        <v>17835334.830504224</v>
      </c>
      <c r="AC141" s="238">
        <f t="shared" si="103"/>
        <v>9987787.5050823614</v>
      </c>
      <c r="AD141" s="238">
        <f t="shared" si="104"/>
        <v>1426826.7864403357</v>
      </c>
      <c r="AE141" s="238">
        <f t="shared" si="105"/>
        <v>0</v>
      </c>
      <c r="AF141" s="244">
        <f t="shared" si="80"/>
        <v>47085283.952531144</v>
      </c>
      <c r="AG141" s="237">
        <f t="shared" si="106"/>
        <v>0</v>
      </c>
      <c r="AH141" s="238">
        <f t="shared" si="107"/>
        <v>0</v>
      </c>
      <c r="AI141" s="238">
        <f t="shared" si="108"/>
        <v>5686628.4966825005</v>
      </c>
      <c r="AJ141" s="238">
        <f t="shared" si="109"/>
        <v>1137325.6993365004</v>
      </c>
      <c r="AK141" s="238">
        <f t="shared" si="110"/>
        <v>0</v>
      </c>
      <c r="AL141" s="238">
        <f t="shared" si="111"/>
        <v>0</v>
      </c>
      <c r="AM141" s="244">
        <f t="shared" si="81"/>
        <v>6823954.1960190013</v>
      </c>
      <c r="AN141" s="237">
        <f t="shared" si="112"/>
        <v>59012652.15361996</v>
      </c>
      <c r="AO141" s="238">
        <f t="shared" si="113"/>
        <v>0</v>
      </c>
      <c r="AP141" s="238">
        <f t="shared" si="114"/>
        <v>29506326.07680998</v>
      </c>
      <c r="AQ141" s="238">
        <f t="shared" si="115"/>
        <v>41655989.755496487</v>
      </c>
      <c r="AR141" s="238">
        <f t="shared" si="116"/>
        <v>1735666.2398123541</v>
      </c>
      <c r="AS141" s="238">
        <f t="shared" si="82"/>
        <v>0</v>
      </c>
      <c r="AT141" s="244">
        <f t="shared" si="83"/>
        <v>131910634.22573879</v>
      </c>
      <c r="AU141" s="256">
        <v>0</v>
      </c>
      <c r="AV141" s="248">
        <f t="shared" si="84"/>
        <v>185.81987237428893</v>
      </c>
      <c r="AW141" s="259">
        <f t="shared" si="131"/>
        <v>3.4114604728448907</v>
      </c>
    </row>
    <row r="142" spans="1:49">
      <c r="A142" s="194">
        <f>'Input data'!A132</f>
        <v>2034</v>
      </c>
      <c r="B142" s="209">
        <f>'Input data'!B132</f>
        <v>68.236999999999995</v>
      </c>
      <c r="C142" s="510">
        <f>'Recycling - Case 1'!E112</f>
        <v>0.86172121212121189</v>
      </c>
      <c r="D142" s="658">
        <f>'Recycling - Case 1'!F112</f>
        <v>0.32960151515151509</v>
      </c>
      <c r="E142" s="237">
        <f t="shared" si="130"/>
        <v>1062075639.4625</v>
      </c>
      <c r="F142" s="238">
        <v>0</v>
      </c>
      <c r="G142" s="239">
        <f t="shared" si="78"/>
        <v>1062075639.4625</v>
      </c>
      <c r="H142" s="118">
        <f t="shared" si="120"/>
        <v>0.14755244755244765</v>
      </c>
      <c r="I142" s="118">
        <f t="shared" si="85"/>
        <v>0</v>
      </c>
      <c r="J142" s="118">
        <f t="shared" si="121"/>
        <v>0.14755244755244765</v>
      </c>
      <c r="K142" s="118">
        <f t="shared" si="122"/>
        <v>0.41314685314685323</v>
      </c>
      <c r="L142" s="118">
        <f t="shared" si="123"/>
        <v>5.902097902097897E-2</v>
      </c>
      <c r="M142" s="118">
        <f t="shared" si="124"/>
        <v>0.23272727272727295</v>
      </c>
      <c r="N142" s="117">
        <f t="shared" si="118"/>
        <v>0</v>
      </c>
      <c r="O142" s="118">
        <f t="shared" si="90"/>
        <v>0.7</v>
      </c>
      <c r="P142" s="118">
        <f t="shared" si="91"/>
        <v>0.15</v>
      </c>
      <c r="Q142" s="118">
        <f t="shared" si="92"/>
        <v>0.15</v>
      </c>
      <c r="R142" s="118">
        <f t="shared" si="93"/>
        <v>0</v>
      </c>
      <c r="S142" s="206">
        <f t="shared" si="94"/>
        <v>0</v>
      </c>
      <c r="T142" s="118">
        <f t="shared" si="125"/>
        <v>0.38378787878787862</v>
      </c>
      <c r="U142" s="118">
        <f t="shared" si="119"/>
        <v>0</v>
      </c>
      <c r="V142" s="118">
        <f t="shared" si="126"/>
        <v>0.19189393939393931</v>
      </c>
      <c r="W142" s="118">
        <f t="shared" si="127"/>
        <v>0.2709090909090911</v>
      </c>
      <c r="X142" s="118">
        <f t="shared" si="128"/>
        <v>5.6439393939393984E-2</v>
      </c>
      <c r="Y142" s="118">
        <f t="shared" si="129"/>
        <v>9.6969696969696859E-2</v>
      </c>
      <c r="Z142" s="237">
        <f t="shared" si="100"/>
        <v>18335287.630357169</v>
      </c>
      <c r="AA142" s="238">
        <f t="shared" si="101"/>
        <v>0</v>
      </c>
      <c r="AB142" s="238">
        <f t="shared" si="102"/>
        <v>18335287.630357169</v>
      </c>
      <c r="AC142" s="238">
        <f t="shared" si="103"/>
        <v>10267761.07300001</v>
      </c>
      <c r="AD142" s="238">
        <f t="shared" si="104"/>
        <v>1466823.0104285714</v>
      </c>
      <c r="AE142" s="238">
        <f t="shared" si="105"/>
        <v>0</v>
      </c>
      <c r="AF142" s="244">
        <f t="shared" si="80"/>
        <v>48405159.344142921</v>
      </c>
      <c r="AG142" s="237">
        <f t="shared" si="106"/>
        <v>0</v>
      </c>
      <c r="AH142" s="238">
        <f t="shared" si="107"/>
        <v>0</v>
      </c>
      <c r="AI142" s="238">
        <f t="shared" si="108"/>
        <v>5735208.4530974999</v>
      </c>
      <c r="AJ142" s="238">
        <f t="shared" si="109"/>
        <v>1147041.6906194999</v>
      </c>
      <c r="AK142" s="238">
        <f t="shared" si="110"/>
        <v>0</v>
      </c>
      <c r="AL142" s="238">
        <f t="shared" si="111"/>
        <v>0</v>
      </c>
      <c r="AM142" s="244">
        <f t="shared" si="81"/>
        <v>6882250.1437170003</v>
      </c>
      <c r="AN142" s="237">
        <f t="shared" si="112"/>
        <v>59918928.246894106</v>
      </c>
      <c r="AO142" s="238">
        <f t="shared" si="113"/>
        <v>0</v>
      </c>
      <c r="AP142" s="238">
        <f t="shared" si="114"/>
        <v>29959464.123447053</v>
      </c>
      <c r="AQ142" s="238">
        <f t="shared" si="115"/>
        <v>42295714.056631193</v>
      </c>
      <c r="AR142" s="238">
        <f t="shared" si="116"/>
        <v>1762321.4190262994</v>
      </c>
      <c r="AS142" s="238">
        <f t="shared" si="82"/>
        <v>0</v>
      </c>
      <c r="AT142" s="244">
        <f t="shared" si="83"/>
        <v>133936427.84599864</v>
      </c>
      <c r="AU142" s="256">
        <v>0</v>
      </c>
      <c r="AV142" s="248">
        <f t="shared" si="84"/>
        <v>189.22383733385854</v>
      </c>
      <c r="AW142" s="259">
        <f t="shared" si="131"/>
        <v>3.4406040332478574</v>
      </c>
    </row>
    <row r="143" spans="1:49">
      <c r="A143" s="194">
        <f>'Input data'!A133</f>
        <v>2035</v>
      </c>
      <c r="B143" s="209">
        <f>'Input data'!B133</f>
        <v>68.819000000000003</v>
      </c>
      <c r="C143" s="510">
        <f>'Recycling - Case 1'!E113</f>
        <v>0.87036363636363612</v>
      </c>
      <c r="D143" s="658">
        <f>'Recycling - Case 1'!F113</f>
        <v>0.33195454545454539</v>
      </c>
      <c r="E143" s="237">
        <f t="shared" si="130"/>
        <v>1071134185.7375001</v>
      </c>
      <c r="F143" s="238">
        <v>0</v>
      </c>
      <c r="G143" s="239">
        <f t="shared" si="78"/>
        <v>1071134185.7375001</v>
      </c>
      <c r="H143" s="118">
        <f t="shared" si="120"/>
        <v>0.15034965034965045</v>
      </c>
      <c r="I143" s="118">
        <f t="shared" si="85"/>
        <v>0</v>
      </c>
      <c r="J143" s="118">
        <f t="shared" si="121"/>
        <v>0.15034965034965045</v>
      </c>
      <c r="K143" s="118">
        <f t="shared" si="122"/>
        <v>0.42097902097902107</v>
      </c>
      <c r="L143" s="118">
        <f t="shared" si="123"/>
        <v>6.0139860139860085E-2</v>
      </c>
      <c r="M143" s="118">
        <f t="shared" si="124"/>
        <v>0.21818181818181839</v>
      </c>
      <c r="N143" s="117">
        <f t="shared" si="118"/>
        <v>0</v>
      </c>
      <c r="O143" s="118">
        <f t="shared" si="90"/>
        <v>0.7</v>
      </c>
      <c r="P143" s="118">
        <f t="shared" si="91"/>
        <v>0.15</v>
      </c>
      <c r="Q143" s="118">
        <f t="shared" si="92"/>
        <v>0.15</v>
      </c>
      <c r="R143" s="118">
        <f t="shared" si="93"/>
        <v>0</v>
      </c>
      <c r="S143" s="206">
        <f t="shared" si="94"/>
        <v>0</v>
      </c>
      <c r="T143" s="118">
        <f t="shared" si="125"/>
        <v>0.38636363636363619</v>
      </c>
      <c r="U143" s="118">
        <f t="shared" si="119"/>
        <v>0</v>
      </c>
      <c r="V143" s="118">
        <f t="shared" si="126"/>
        <v>0.19318181818181809</v>
      </c>
      <c r="W143" s="118">
        <f t="shared" si="127"/>
        <v>0.27272727272727293</v>
      </c>
      <c r="X143" s="118">
        <f t="shared" si="128"/>
        <v>5.6818181818181865E-2</v>
      </c>
      <c r="Y143" s="118">
        <f t="shared" si="129"/>
        <v>9.0909090909090801E-2</v>
      </c>
      <c r="Z143" s="237">
        <f t="shared" si="100"/>
        <v>18842224.08547331</v>
      </c>
      <c r="AA143" s="238">
        <f t="shared" si="101"/>
        <v>0</v>
      </c>
      <c r="AB143" s="238">
        <f t="shared" si="102"/>
        <v>18842224.08547331</v>
      </c>
      <c r="AC143" s="238">
        <f t="shared" si="103"/>
        <v>10551645.487865048</v>
      </c>
      <c r="AD143" s="238">
        <f t="shared" si="104"/>
        <v>1507377.9268378625</v>
      </c>
      <c r="AE143" s="238">
        <f t="shared" si="105"/>
        <v>0</v>
      </c>
      <c r="AF143" s="244">
        <f t="shared" si="80"/>
        <v>49743471.585649528</v>
      </c>
      <c r="AG143" s="237">
        <f t="shared" si="106"/>
        <v>0</v>
      </c>
      <c r="AH143" s="238">
        <f t="shared" si="107"/>
        <v>0</v>
      </c>
      <c r="AI143" s="238">
        <f t="shared" si="108"/>
        <v>5784124.6029825006</v>
      </c>
      <c r="AJ143" s="238">
        <f t="shared" si="109"/>
        <v>1156824.9205964999</v>
      </c>
      <c r="AK143" s="238">
        <f t="shared" si="110"/>
        <v>0</v>
      </c>
      <c r="AL143" s="238">
        <f t="shared" si="111"/>
        <v>0</v>
      </c>
      <c r="AM143" s="244">
        <f t="shared" si="81"/>
        <v>6940949.5235790005</v>
      </c>
      <c r="AN143" s="237">
        <f t="shared" si="112"/>
        <v>60835552.958136618</v>
      </c>
      <c r="AO143" s="238">
        <f t="shared" si="113"/>
        <v>0</v>
      </c>
      <c r="AP143" s="238">
        <f t="shared" si="114"/>
        <v>30417776.479068309</v>
      </c>
      <c r="AQ143" s="238">
        <f t="shared" si="115"/>
        <v>42942743.264567077</v>
      </c>
      <c r="AR143" s="238">
        <f t="shared" si="116"/>
        <v>1789280.9693569618</v>
      </c>
      <c r="AS143" s="238">
        <f t="shared" si="82"/>
        <v>0</v>
      </c>
      <c r="AT143" s="244">
        <f t="shared" si="83"/>
        <v>135985353.67112896</v>
      </c>
      <c r="AU143" s="256">
        <v>0</v>
      </c>
      <c r="AV143" s="248">
        <f t="shared" si="84"/>
        <v>192.66977478035747</v>
      </c>
      <c r="AW143" s="259">
        <f t="shared" si="131"/>
        <v>3.4699492791899456</v>
      </c>
    </row>
    <row r="144" spans="1:49">
      <c r="A144" s="194">
        <f>'Input data'!A134</f>
        <v>2036</v>
      </c>
      <c r="B144" s="209">
        <f>'Input data'!B134</f>
        <v>69.322999999999993</v>
      </c>
      <c r="C144" s="510">
        <f>'Recycling - Case 1'!E114</f>
        <v>0.87900606060606035</v>
      </c>
      <c r="D144" s="658">
        <f>'Recycling - Case 1'!F114</f>
        <v>0.33430757575757569</v>
      </c>
      <c r="E144" s="237">
        <f t="shared" si="130"/>
        <v>1078978700.0374999</v>
      </c>
      <c r="F144" s="238">
        <v>0</v>
      </c>
      <c r="G144" s="239">
        <f t="shared" si="78"/>
        <v>1078978700.0374999</v>
      </c>
      <c r="H144" s="118">
        <f t="shared" si="120"/>
        <v>0.15314685314685325</v>
      </c>
      <c r="I144" s="118">
        <f t="shared" si="85"/>
        <v>0</v>
      </c>
      <c r="J144" s="118">
        <f t="shared" si="121"/>
        <v>0.15314685314685325</v>
      </c>
      <c r="K144" s="118">
        <f t="shared" si="122"/>
        <v>0.4288111888111889</v>
      </c>
      <c r="L144" s="118">
        <f t="shared" si="123"/>
        <v>6.1258741258741201E-2</v>
      </c>
      <c r="M144" s="118">
        <f t="shared" si="124"/>
        <v>0.20363636363636384</v>
      </c>
      <c r="N144" s="117">
        <f t="shared" si="118"/>
        <v>0</v>
      </c>
      <c r="O144" s="118">
        <f t="shared" si="90"/>
        <v>0.7</v>
      </c>
      <c r="P144" s="118">
        <f t="shared" si="91"/>
        <v>0.15</v>
      </c>
      <c r="Q144" s="118">
        <f t="shared" si="92"/>
        <v>0.15</v>
      </c>
      <c r="R144" s="118">
        <f t="shared" si="93"/>
        <v>0</v>
      </c>
      <c r="S144" s="206">
        <f t="shared" si="94"/>
        <v>0</v>
      </c>
      <c r="T144" s="118">
        <f t="shared" si="125"/>
        <v>0.38893939393939375</v>
      </c>
      <c r="U144" s="118">
        <f t="shared" si="119"/>
        <v>0</v>
      </c>
      <c r="V144" s="118">
        <f t="shared" si="126"/>
        <v>0.19446969696969688</v>
      </c>
      <c r="W144" s="118">
        <f t="shared" si="127"/>
        <v>0.27454545454545476</v>
      </c>
      <c r="X144" s="118">
        <f t="shared" si="128"/>
        <v>5.7196969696969746E-2</v>
      </c>
      <c r="Y144" s="118">
        <f t="shared" si="129"/>
        <v>8.4848484848484743E-2</v>
      </c>
      <c r="Z144" s="237">
        <f t="shared" si="100"/>
        <v>19333336.525217399</v>
      </c>
      <c r="AA144" s="238">
        <f t="shared" si="101"/>
        <v>0</v>
      </c>
      <c r="AB144" s="238">
        <f t="shared" si="102"/>
        <v>19333336.525217399</v>
      </c>
      <c r="AC144" s="238">
        <f t="shared" si="103"/>
        <v>10826668.454121739</v>
      </c>
      <c r="AD144" s="238">
        <f t="shared" si="104"/>
        <v>1546666.9220173892</v>
      </c>
      <c r="AE144" s="238">
        <f t="shared" si="105"/>
        <v>0</v>
      </c>
      <c r="AF144" s="244">
        <f t="shared" si="80"/>
        <v>51040008.426573925</v>
      </c>
      <c r="AG144" s="237">
        <f t="shared" si="106"/>
        <v>0</v>
      </c>
      <c r="AH144" s="238">
        <f t="shared" si="107"/>
        <v>0</v>
      </c>
      <c r="AI144" s="238">
        <f t="shared" si="108"/>
        <v>5826484.9802024998</v>
      </c>
      <c r="AJ144" s="238">
        <f t="shared" si="109"/>
        <v>1165296.9960404998</v>
      </c>
      <c r="AK144" s="238">
        <f t="shared" si="110"/>
        <v>0</v>
      </c>
      <c r="AL144" s="238">
        <f t="shared" si="111"/>
        <v>0</v>
      </c>
      <c r="AM144" s="244">
        <f t="shared" si="81"/>
        <v>6991781.9762429995</v>
      </c>
      <c r="AN144" s="237">
        <f t="shared" si="112"/>
        <v>61689626.284916714</v>
      </c>
      <c r="AO144" s="238">
        <f t="shared" si="113"/>
        <v>0</v>
      </c>
      <c r="AP144" s="238">
        <f t="shared" si="114"/>
        <v>30844813.142458357</v>
      </c>
      <c r="AQ144" s="238">
        <f t="shared" si="115"/>
        <v>43545618.554058917</v>
      </c>
      <c r="AR144" s="238">
        <f t="shared" si="116"/>
        <v>1814400.7730857884</v>
      </c>
      <c r="AS144" s="238">
        <f t="shared" si="82"/>
        <v>0</v>
      </c>
      <c r="AT144" s="244">
        <f t="shared" si="83"/>
        <v>137894458.75451979</v>
      </c>
      <c r="AU144" s="256">
        <v>0</v>
      </c>
      <c r="AV144" s="248">
        <f t="shared" si="84"/>
        <v>195.92624915733671</v>
      </c>
      <c r="AW144" s="259">
        <f t="shared" si="131"/>
        <v>3.4953616571191763</v>
      </c>
    </row>
    <row r="145" spans="1:49">
      <c r="A145" s="194">
        <f>'Input data'!A135</f>
        <v>2037</v>
      </c>
      <c r="B145" s="209">
        <f>'Input data'!B135</f>
        <v>69.83</v>
      </c>
      <c r="C145" s="510">
        <f>'Recycling - Case 1'!E115</f>
        <v>0.88764848484848458</v>
      </c>
      <c r="D145" s="658">
        <f>'Recycling - Case 1'!F115</f>
        <v>0.33666060606060599</v>
      </c>
      <c r="E145" s="237">
        <f t="shared" si="130"/>
        <v>1086869907.875</v>
      </c>
      <c r="F145" s="238">
        <v>0</v>
      </c>
      <c r="G145" s="239">
        <f t="shared" si="78"/>
        <v>1086869907.875</v>
      </c>
      <c r="H145" s="118">
        <f t="shared" si="120"/>
        <v>0.15594405594405605</v>
      </c>
      <c r="I145" s="118">
        <f t="shared" si="85"/>
        <v>0</v>
      </c>
      <c r="J145" s="118">
        <f t="shared" si="121"/>
        <v>0.15594405594405605</v>
      </c>
      <c r="K145" s="118">
        <f t="shared" si="122"/>
        <v>0.43664335664335674</v>
      </c>
      <c r="L145" s="118">
        <f t="shared" si="123"/>
        <v>6.2377622377622316E-2</v>
      </c>
      <c r="M145" s="118">
        <f t="shared" si="124"/>
        <v>0.18909090909090928</v>
      </c>
      <c r="N145" s="117">
        <f t="shared" si="118"/>
        <v>0</v>
      </c>
      <c r="O145" s="118">
        <f t="shared" si="90"/>
        <v>0.7</v>
      </c>
      <c r="P145" s="118">
        <f t="shared" si="91"/>
        <v>0.15</v>
      </c>
      <c r="Q145" s="118">
        <f t="shared" si="92"/>
        <v>0.15</v>
      </c>
      <c r="R145" s="118">
        <f t="shared" si="93"/>
        <v>0</v>
      </c>
      <c r="S145" s="206">
        <f t="shared" si="94"/>
        <v>0</v>
      </c>
      <c r="T145" s="118">
        <f t="shared" si="125"/>
        <v>0.39151515151515132</v>
      </c>
      <c r="U145" s="118">
        <f t="shared" si="119"/>
        <v>0</v>
      </c>
      <c r="V145" s="118">
        <f t="shared" si="126"/>
        <v>0.19575757575757566</v>
      </c>
      <c r="W145" s="118">
        <f t="shared" si="127"/>
        <v>0.27636363636363659</v>
      </c>
      <c r="X145" s="118">
        <f t="shared" si="128"/>
        <v>5.7575757575757627E-2</v>
      </c>
      <c r="Y145" s="118">
        <f t="shared" si="129"/>
        <v>7.8787878787878685E-2</v>
      </c>
      <c r="Z145" s="237">
        <f t="shared" si="100"/>
        <v>19830435.500955693</v>
      </c>
      <c r="AA145" s="238">
        <f t="shared" si="101"/>
        <v>0</v>
      </c>
      <c r="AB145" s="238">
        <f t="shared" si="102"/>
        <v>19830435.500955693</v>
      </c>
      <c r="AC145" s="238">
        <f t="shared" si="103"/>
        <v>11105043.880535185</v>
      </c>
      <c r="AD145" s="238">
        <f t="shared" si="104"/>
        <v>1586434.8400764531</v>
      </c>
      <c r="AE145" s="238">
        <f t="shared" si="105"/>
        <v>0</v>
      </c>
      <c r="AF145" s="244">
        <f t="shared" si="80"/>
        <v>52352349.722523026</v>
      </c>
      <c r="AG145" s="237">
        <f t="shared" si="106"/>
        <v>0</v>
      </c>
      <c r="AH145" s="238">
        <f t="shared" si="107"/>
        <v>0</v>
      </c>
      <c r="AI145" s="238">
        <f t="shared" si="108"/>
        <v>5869097.5025249999</v>
      </c>
      <c r="AJ145" s="238">
        <f t="shared" si="109"/>
        <v>1173819.5005049999</v>
      </c>
      <c r="AK145" s="238">
        <f t="shared" si="110"/>
        <v>0</v>
      </c>
      <c r="AL145" s="238">
        <f t="shared" si="111"/>
        <v>0</v>
      </c>
      <c r="AM145" s="244">
        <f t="shared" si="81"/>
        <v>7042917.0030300003</v>
      </c>
      <c r="AN145" s="237">
        <f t="shared" si="112"/>
        <v>62552327.388864055</v>
      </c>
      <c r="AO145" s="238">
        <f t="shared" si="113"/>
        <v>0</v>
      </c>
      <c r="AP145" s="238">
        <f t="shared" si="114"/>
        <v>31276163.694432028</v>
      </c>
      <c r="AQ145" s="238">
        <f t="shared" si="115"/>
        <v>44154584.039198212</v>
      </c>
      <c r="AR145" s="238">
        <f t="shared" si="116"/>
        <v>1839774.3349665925</v>
      </c>
      <c r="AS145" s="238">
        <f t="shared" si="82"/>
        <v>0</v>
      </c>
      <c r="AT145" s="244">
        <f t="shared" si="83"/>
        <v>139822849.45746091</v>
      </c>
      <c r="AU145" s="256">
        <v>0</v>
      </c>
      <c r="AV145" s="248">
        <f t="shared" si="84"/>
        <v>199.21811618301393</v>
      </c>
      <c r="AW145" s="259">
        <f t="shared" si="131"/>
        <v>3.5209252992027475</v>
      </c>
    </row>
    <row r="146" spans="1:49">
      <c r="A146" s="194">
        <f>'Input data'!A136</f>
        <v>2038</v>
      </c>
      <c r="B146" s="209">
        <f>'Input data'!B136</f>
        <v>70.341999999999999</v>
      </c>
      <c r="C146" s="510">
        <f>'Recycling - Case 1'!E116</f>
        <v>0.89629090909090881</v>
      </c>
      <c r="D146" s="658">
        <f>'Recycling - Case 1'!F116</f>
        <v>0.33901363636363629</v>
      </c>
      <c r="E146" s="237">
        <f t="shared" si="130"/>
        <v>1094838938.2750001</v>
      </c>
      <c r="F146" s="238">
        <v>0</v>
      </c>
      <c r="G146" s="239">
        <f t="shared" si="78"/>
        <v>1094838938.2750001</v>
      </c>
      <c r="H146" s="118">
        <f t="shared" si="120"/>
        <v>0.15874125874125886</v>
      </c>
      <c r="I146" s="118">
        <f t="shared" si="85"/>
        <v>0</v>
      </c>
      <c r="J146" s="118">
        <f t="shared" si="121"/>
        <v>0.15874125874125886</v>
      </c>
      <c r="K146" s="118">
        <f t="shared" si="122"/>
        <v>0.44447552447552457</v>
      </c>
      <c r="L146" s="118">
        <f t="shared" si="123"/>
        <v>6.3496503496503431E-2</v>
      </c>
      <c r="M146" s="118">
        <f t="shared" si="124"/>
        <v>0.17454545454545473</v>
      </c>
      <c r="N146" s="117">
        <f t="shared" si="118"/>
        <v>0</v>
      </c>
      <c r="O146" s="118">
        <f t="shared" si="90"/>
        <v>0.7</v>
      </c>
      <c r="P146" s="118">
        <f t="shared" si="91"/>
        <v>0.15</v>
      </c>
      <c r="Q146" s="118">
        <f t="shared" si="92"/>
        <v>0.15</v>
      </c>
      <c r="R146" s="118">
        <f t="shared" si="93"/>
        <v>0</v>
      </c>
      <c r="S146" s="206">
        <f t="shared" si="94"/>
        <v>0</v>
      </c>
      <c r="T146" s="118">
        <f t="shared" si="125"/>
        <v>0.39409090909090888</v>
      </c>
      <c r="U146" s="118">
        <f t="shared" si="119"/>
        <v>0</v>
      </c>
      <c r="V146" s="118">
        <f t="shared" si="126"/>
        <v>0.19704545454545444</v>
      </c>
      <c r="W146" s="118">
        <f t="shared" si="127"/>
        <v>0.27818181818181842</v>
      </c>
      <c r="X146" s="118">
        <f t="shared" si="128"/>
        <v>5.7954545454545509E-2</v>
      </c>
      <c r="Y146" s="118">
        <f t="shared" si="129"/>
        <v>7.2727272727272627E-2</v>
      </c>
      <c r="Z146" s="237">
        <f t="shared" si="100"/>
        <v>20334145.008143879</v>
      </c>
      <c r="AA146" s="238">
        <f t="shared" si="101"/>
        <v>0</v>
      </c>
      <c r="AB146" s="238">
        <f t="shared" si="102"/>
        <v>20334145.008143879</v>
      </c>
      <c r="AC146" s="238">
        <f t="shared" si="103"/>
        <v>11387121.204560567</v>
      </c>
      <c r="AD146" s="238">
        <f t="shared" si="104"/>
        <v>1626731.6006515075</v>
      </c>
      <c r="AE146" s="238">
        <f t="shared" si="105"/>
        <v>0</v>
      </c>
      <c r="AF146" s="244">
        <f t="shared" si="80"/>
        <v>53682142.821499832</v>
      </c>
      <c r="AG146" s="237">
        <f t="shared" si="106"/>
        <v>0</v>
      </c>
      <c r="AH146" s="238">
        <f t="shared" si="107"/>
        <v>0</v>
      </c>
      <c r="AI146" s="238">
        <f t="shared" si="108"/>
        <v>5912130.2666850006</v>
      </c>
      <c r="AJ146" s="238">
        <f t="shared" si="109"/>
        <v>1182426.0533370001</v>
      </c>
      <c r="AK146" s="238">
        <f t="shared" si="110"/>
        <v>0</v>
      </c>
      <c r="AL146" s="238">
        <f t="shared" si="111"/>
        <v>0</v>
      </c>
      <c r="AM146" s="244">
        <f t="shared" si="81"/>
        <v>7094556.3200220009</v>
      </c>
      <c r="AN146" s="237">
        <f t="shared" si="112"/>
        <v>63425512.656459272</v>
      </c>
      <c r="AO146" s="238">
        <f t="shared" si="113"/>
        <v>0</v>
      </c>
      <c r="AP146" s="238">
        <f t="shared" si="114"/>
        <v>31712756.328229636</v>
      </c>
      <c r="AQ146" s="238">
        <f t="shared" si="115"/>
        <v>44770950.110441901</v>
      </c>
      <c r="AR146" s="238">
        <f t="shared" si="116"/>
        <v>1865456.2546017461</v>
      </c>
      <c r="AS146" s="238">
        <f t="shared" si="82"/>
        <v>0</v>
      </c>
      <c r="AT146" s="244">
        <f t="shared" si="83"/>
        <v>141774675.34973255</v>
      </c>
      <c r="AU146" s="256">
        <v>0</v>
      </c>
      <c r="AV146" s="248">
        <f t="shared" si="84"/>
        <v>202.55137449125439</v>
      </c>
      <c r="AW146" s="259">
        <f t="shared" si="131"/>
        <v>3.5467410482102202</v>
      </c>
    </row>
    <row r="147" spans="1:49">
      <c r="A147" s="194">
        <f>'Input data'!A137</f>
        <v>2039</v>
      </c>
      <c r="B147" s="209">
        <f>'Input data'!B137</f>
        <v>70.856999999999999</v>
      </c>
      <c r="C147" s="510">
        <f>'Recycling - Case 1'!E117</f>
        <v>0.90493333333333303</v>
      </c>
      <c r="D147" s="658">
        <f>'Recycling - Case 1'!F117</f>
        <v>0.3413666666666666</v>
      </c>
      <c r="E147" s="237">
        <f t="shared" si="130"/>
        <v>1102854662.2125003</v>
      </c>
      <c r="F147" s="238">
        <v>0</v>
      </c>
      <c r="G147" s="239">
        <f t="shared" si="78"/>
        <v>1102854662.2125003</v>
      </c>
      <c r="H147" s="118">
        <f t="shared" si="120"/>
        <v>0.16153846153846166</v>
      </c>
      <c r="I147" s="118">
        <f t="shared" si="85"/>
        <v>0</v>
      </c>
      <c r="J147" s="118">
        <f t="shared" si="121"/>
        <v>0.16153846153846166</v>
      </c>
      <c r="K147" s="118">
        <f t="shared" si="122"/>
        <v>0.45230769230769241</v>
      </c>
      <c r="L147" s="118">
        <f t="shared" si="123"/>
        <v>6.4615384615384547E-2</v>
      </c>
      <c r="M147" s="118">
        <f t="shared" si="124"/>
        <v>0.16000000000000017</v>
      </c>
      <c r="N147" s="117">
        <f t="shared" si="118"/>
        <v>0</v>
      </c>
      <c r="O147" s="118">
        <f t="shared" si="90"/>
        <v>0.7</v>
      </c>
      <c r="P147" s="118">
        <f t="shared" si="91"/>
        <v>0.15</v>
      </c>
      <c r="Q147" s="118">
        <f t="shared" si="92"/>
        <v>0.15</v>
      </c>
      <c r="R147" s="118">
        <f t="shared" si="93"/>
        <v>0</v>
      </c>
      <c r="S147" s="206">
        <f t="shared" si="94"/>
        <v>0</v>
      </c>
      <c r="T147" s="118">
        <f t="shared" si="125"/>
        <v>0.39666666666666645</v>
      </c>
      <c r="U147" s="118">
        <f t="shared" si="119"/>
        <v>0</v>
      </c>
      <c r="V147" s="118">
        <f t="shared" si="126"/>
        <v>0.19833333333333322</v>
      </c>
      <c r="W147" s="118">
        <f t="shared" si="127"/>
        <v>0.28000000000000025</v>
      </c>
      <c r="X147" s="118">
        <f t="shared" si="128"/>
        <v>5.833333333333339E-2</v>
      </c>
      <c r="Y147" s="118">
        <f t="shared" si="129"/>
        <v>6.6666666666666569E-2</v>
      </c>
      <c r="Z147" s="237">
        <f t="shared" si="100"/>
        <v>20843953.115816273</v>
      </c>
      <c r="AA147" s="238">
        <f t="shared" si="101"/>
        <v>0</v>
      </c>
      <c r="AB147" s="238">
        <f t="shared" si="102"/>
        <v>20843953.115816273</v>
      </c>
      <c r="AC147" s="238">
        <f t="shared" si="103"/>
        <v>11672613.744857106</v>
      </c>
      <c r="AD147" s="238">
        <f t="shared" si="104"/>
        <v>1667516.2492652987</v>
      </c>
      <c r="AE147" s="238">
        <f t="shared" si="105"/>
        <v>0</v>
      </c>
      <c r="AF147" s="244">
        <f t="shared" si="80"/>
        <v>55028036.225754946</v>
      </c>
      <c r="AG147" s="237">
        <f t="shared" si="106"/>
        <v>0</v>
      </c>
      <c r="AH147" s="238">
        <f t="shared" si="107"/>
        <v>0</v>
      </c>
      <c r="AI147" s="238">
        <f t="shared" si="108"/>
        <v>5955415.1759475013</v>
      </c>
      <c r="AJ147" s="238">
        <f t="shared" si="109"/>
        <v>1191083.0351895003</v>
      </c>
      <c r="AK147" s="238">
        <f t="shared" si="110"/>
        <v>0</v>
      </c>
      <c r="AL147" s="238">
        <f t="shared" si="111"/>
        <v>0</v>
      </c>
      <c r="AM147" s="244">
        <f t="shared" si="81"/>
        <v>7146498.2111370014</v>
      </c>
      <c r="AN147" s="237">
        <f t="shared" si="112"/>
        <v>64307455.353610858</v>
      </c>
      <c r="AO147" s="238">
        <f t="shared" si="113"/>
        <v>0</v>
      </c>
      <c r="AP147" s="238">
        <f t="shared" si="114"/>
        <v>32153727.676805429</v>
      </c>
      <c r="AQ147" s="238">
        <f t="shared" si="115"/>
        <v>45393497.896666557</v>
      </c>
      <c r="AR147" s="238">
        <f t="shared" si="116"/>
        <v>1891395.7456944396</v>
      </c>
      <c r="AS147" s="238">
        <f t="shared" si="82"/>
        <v>0</v>
      </c>
      <c r="AT147" s="244">
        <f t="shared" si="83"/>
        <v>143746076.67277727</v>
      </c>
      <c r="AU147" s="256">
        <v>0</v>
      </c>
      <c r="AV147" s="248">
        <f t="shared" si="84"/>
        <v>205.92061110966921</v>
      </c>
      <c r="AW147" s="259">
        <f t="shared" si="131"/>
        <v>3.5727080613720332</v>
      </c>
    </row>
    <row r="148" spans="1:49">
      <c r="A148" s="194">
        <f>'Input data'!A138</f>
        <v>2040</v>
      </c>
      <c r="B148" s="209">
        <f>'Input data'!B138</f>
        <v>71.375</v>
      </c>
      <c r="C148" s="510">
        <f>'Recycling - Case 1'!E118</f>
        <v>0.91357575757575726</v>
      </c>
      <c r="D148" s="658">
        <f>'Recycling - Case 1'!F118</f>
        <v>0.3437196969696969</v>
      </c>
      <c r="E148" s="237">
        <f t="shared" si="130"/>
        <v>1110917079.6875</v>
      </c>
      <c r="F148" s="238">
        <v>0</v>
      </c>
      <c r="G148" s="239">
        <f t="shared" si="78"/>
        <v>1110917079.6875</v>
      </c>
      <c r="H148" s="118">
        <f t="shared" si="120"/>
        <v>0.16433566433566446</v>
      </c>
      <c r="I148" s="118">
        <f t="shared" si="85"/>
        <v>0</v>
      </c>
      <c r="J148" s="118">
        <f t="shared" si="121"/>
        <v>0.16433566433566446</v>
      </c>
      <c r="K148" s="118">
        <f t="shared" si="122"/>
        <v>0.46013986013986025</v>
      </c>
      <c r="L148" s="118">
        <f t="shared" si="123"/>
        <v>6.5734265734265662E-2</v>
      </c>
      <c r="M148" s="118">
        <f t="shared" si="124"/>
        <v>0.14545454545454561</v>
      </c>
      <c r="N148" s="117">
        <f t="shared" si="118"/>
        <v>0</v>
      </c>
      <c r="O148" s="118">
        <f t="shared" si="90"/>
        <v>0.7</v>
      </c>
      <c r="P148" s="118">
        <f t="shared" si="91"/>
        <v>0.15</v>
      </c>
      <c r="Q148" s="118">
        <f t="shared" si="92"/>
        <v>0.15</v>
      </c>
      <c r="R148" s="118">
        <f t="shared" si="93"/>
        <v>0</v>
      </c>
      <c r="S148" s="206">
        <f t="shared" si="94"/>
        <v>0</v>
      </c>
      <c r="T148" s="118">
        <f t="shared" si="125"/>
        <v>0.39924242424242401</v>
      </c>
      <c r="U148" s="118">
        <f t="shared" si="119"/>
        <v>0</v>
      </c>
      <c r="V148" s="118">
        <f t="shared" si="126"/>
        <v>0.199621212121212</v>
      </c>
      <c r="W148" s="118">
        <f t="shared" si="127"/>
        <v>0.28181818181818208</v>
      </c>
      <c r="X148" s="118">
        <f t="shared" si="128"/>
        <v>5.8712121212121271E-2</v>
      </c>
      <c r="Y148" s="118">
        <f t="shared" si="129"/>
        <v>6.0606060606060511E-2</v>
      </c>
      <c r="Z148" s="237">
        <f t="shared" si="100"/>
        <v>21359905.66853695</v>
      </c>
      <c r="AA148" s="238">
        <f t="shared" si="101"/>
        <v>0</v>
      </c>
      <c r="AB148" s="238">
        <f t="shared" si="102"/>
        <v>21359905.66853695</v>
      </c>
      <c r="AC148" s="238">
        <f t="shared" si="103"/>
        <v>11961547.174380684</v>
      </c>
      <c r="AD148" s="238">
        <f t="shared" si="104"/>
        <v>1708792.4534829524</v>
      </c>
      <c r="AE148" s="238">
        <f t="shared" si="105"/>
        <v>0</v>
      </c>
      <c r="AF148" s="244">
        <f t="shared" si="80"/>
        <v>56390150.964937538</v>
      </c>
      <c r="AG148" s="237">
        <f t="shared" si="106"/>
        <v>0</v>
      </c>
      <c r="AH148" s="238">
        <f t="shared" si="107"/>
        <v>0</v>
      </c>
      <c r="AI148" s="238">
        <f t="shared" si="108"/>
        <v>5998952.2303125001</v>
      </c>
      <c r="AJ148" s="238">
        <f t="shared" si="109"/>
        <v>1199790.4460624999</v>
      </c>
      <c r="AK148" s="238">
        <f t="shared" si="110"/>
        <v>0</v>
      </c>
      <c r="AL148" s="238">
        <f t="shared" si="111"/>
        <v>0</v>
      </c>
      <c r="AM148" s="244">
        <f t="shared" si="81"/>
        <v>7198742.6763749998</v>
      </c>
      <c r="AN148" s="237">
        <f t="shared" si="112"/>
        <v>65198208.519932486</v>
      </c>
      <c r="AO148" s="238">
        <f t="shared" si="113"/>
        <v>0</v>
      </c>
      <c r="AP148" s="238">
        <f t="shared" si="114"/>
        <v>32599104.259966243</v>
      </c>
      <c r="AQ148" s="238">
        <f t="shared" si="115"/>
        <v>46022264.837599471</v>
      </c>
      <c r="AR148" s="238">
        <f t="shared" si="116"/>
        <v>1917594.3682333115</v>
      </c>
      <c r="AS148" s="238">
        <f t="shared" si="82"/>
        <v>0</v>
      </c>
      <c r="AT148" s="244">
        <f t="shared" si="83"/>
        <v>145737171.98573154</v>
      </c>
      <c r="AU148" s="256">
        <v>0</v>
      </c>
      <c r="AV148" s="248">
        <f t="shared" si="84"/>
        <v>209.32606562704407</v>
      </c>
      <c r="AW148" s="259">
        <f t="shared" si="131"/>
        <v>3.5988263386881876</v>
      </c>
    </row>
    <row r="149" spans="1:49">
      <c r="A149" s="194">
        <f>'Input data'!A139</f>
        <v>2041</v>
      </c>
      <c r="B149" s="209">
        <f>'Input data'!B139</f>
        <v>71.819000000000003</v>
      </c>
      <c r="C149" s="510">
        <f>'Recycling - Case 1'!E119</f>
        <v>0.92221818181818149</v>
      </c>
      <c r="D149" s="658">
        <f>'Recycling - Case 1'!F119</f>
        <v>0.3460727272727272</v>
      </c>
      <c r="E149" s="237">
        <f t="shared" si="130"/>
        <v>1117827723.2375002</v>
      </c>
      <c r="F149" s="238">
        <v>0</v>
      </c>
      <c r="G149" s="239">
        <f t="shared" si="78"/>
        <v>1117827723.2375002</v>
      </c>
      <c r="H149" s="118">
        <f t="shared" si="120"/>
        <v>0.16713286713286726</v>
      </c>
      <c r="I149" s="118">
        <f t="shared" si="85"/>
        <v>0</v>
      </c>
      <c r="J149" s="118">
        <f t="shared" si="121"/>
        <v>0.16713286713286726</v>
      </c>
      <c r="K149" s="118">
        <f t="shared" si="122"/>
        <v>0.46797202797202808</v>
      </c>
      <c r="L149" s="118">
        <f t="shared" si="123"/>
        <v>6.6853146853146778E-2</v>
      </c>
      <c r="M149" s="118">
        <f t="shared" si="124"/>
        <v>0.13090909090909106</v>
      </c>
      <c r="N149" s="117">
        <f t="shared" si="118"/>
        <v>0</v>
      </c>
      <c r="O149" s="118">
        <f t="shared" si="90"/>
        <v>0.7</v>
      </c>
      <c r="P149" s="118">
        <f t="shared" si="91"/>
        <v>0.15</v>
      </c>
      <c r="Q149" s="118">
        <f t="shared" si="92"/>
        <v>0.15</v>
      </c>
      <c r="R149" s="118">
        <f t="shared" si="93"/>
        <v>0</v>
      </c>
      <c r="S149" s="206">
        <f t="shared" si="94"/>
        <v>0</v>
      </c>
      <c r="T149" s="118">
        <f t="shared" si="125"/>
        <v>0.40181818181818157</v>
      </c>
      <c r="U149" s="118">
        <f t="shared" si="119"/>
        <v>0</v>
      </c>
      <c r="V149" s="118">
        <f t="shared" si="126"/>
        <v>0.20090909090909079</v>
      </c>
      <c r="W149" s="118">
        <f t="shared" si="127"/>
        <v>0.28363636363636391</v>
      </c>
      <c r="X149" s="118">
        <f t="shared" si="128"/>
        <v>5.9090909090909152E-2</v>
      </c>
      <c r="Y149" s="118">
        <f t="shared" si="129"/>
        <v>5.4545454545454453E-2</v>
      </c>
      <c r="Z149" s="237">
        <f t="shared" si="100"/>
        <v>21858613.024398774</v>
      </c>
      <c r="AA149" s="238">
        <f t="shared" si="101"/>
        <v>0</v>
      </c>
      <c r="AB149" s="238">
        <f t="shared" si="102"/>
        <v>21858613.024398774</v>
      </c>
      <c r="AC149" s="238">
        <f t="shared" si="103"/>
        <v>12240823.293663304</v>
      </c>
      <c r="AD149" s="238">
        <f t="shared" si="104"/>
        <v>1748689.0419518985</v>
      </c>
      <c r="AE149" s="238">
        <f t="shared" si="105"/>
        <v>0</v>
      </c>
      <c r="AF149" s="244">
        <f t="shared" si="80"/>
        <v>57706738.384412751</v>
      </c>
      <c r="AG149" s="237">
        <f t="shared" si="106"/>
        <v>0</v>
      </c>
      <c r="AH149" s="238">
        <f t="shared" si="107"/>
        <v>0</v>
      </c>
      <c r="AI149" s="238">
        <f t="shared" si="108"/>
        <v>6036269.7054825006</v>
      </c>
      <c r="AJ149" s="238">
        <f t="shared" si="109"/>
        <v>1207253.9410965</v>
      </c>
      <c r="AK149" s="238">
        <f t="shared" si="110"/>
        <v>0</v>
      </c>
      <c r="AL149" s="238">
        <f t="shared" si="111"/>
        <v>0</v>
      </c>
      <c r="AM149" s="244">
        <f t="shared" si="81"/>
        <v>7243523.6465790011</v>
      </c>
      <c r="AN149" s="237">
        <f t="shared" si="112"/>
        <v>66027034.990575716</v>
      </c>
      <c r="AO149" s="238">
        <f t="shared" si="113"/>
        <v>0</v>
      </c>
      <c r="AP149" s="238">
        <f t="shared" si="114"/>
        <v>33013517.495287858</v>
      </c>
      <c r="AQ149" s="238">
        <f t="shared" si="115"/>
        <v>46607318.816877052</v>
      </c>
      <c r="AR149" s="238">
        <f t="shared" si="116"/>
        <v>1941971.6173698774</v>
      </c>
      <c r="AS149" s="238">
        <f t="shared" si="82"/>
        <v>0</v>
      </c>
      <c r="AT149" s="244">
        <f t="shared" si="83"/>
        <v>147589842.92011052</v>
      </c>
      <c r="AU149" s="256">
        <v>0</v>
      </c>
      <c r="AV149" s="248">
        <f t="shared" si="84"/>
        <v>212.54010495110225</v>
      </c>
      <c r="AW149" s="259">
        <f t="shared" si="131"/>
        <v>3.6212134335306052</v>
      </c>
    </row>
    <row r="150" spans="1:49">
      <c r="A150" s="194">
        <f>'Input data'!A140</f>
        <v>2042</v>
      </c>
      <c r="B150" s="209">
        <f>'Input data'!B140</f>
        <v>72.265000000000001</v>
      </c>
      <c r="C150" s="510">
        <f>'Recycling - Case 1'!E120</f>
        <v>0.93086060606060572</v>
      </c>
      <c r="D150" s="658">
        <f>'Recycling - Case 1'!F120</f>
        <v>0.3484257575757575</v>
      </c>
      <c r="E150" s="237">
        <f t="shared" si="130"/>
        <v>1124769495.8125</v>
      </c>
      <c r="F150" s="238">
        <v>0</v>
      </c>
      <c r="G150" s="239">
        <f t="shared" si="78"/>
        <v>1124769495.8125</v>
      </c>
      <c r="H150" s="118">
        <f t="shared" si="120"/>
        <v>0.16993006993007007</v>
      </c>
      <c r="I150" s="118">
        <f t="shared" si="85"/>
        <v>0</v>
      </c>
      <c r="J150" s="118">
        <f t="shared" si="121"/>
        <v>0.16993006993007007</v>
      </c>
      <c r="K150" s="118">
        <f t="shared" si="122"/>
        <v>0.47580419580419592</v>
      </c>
      <c r="L150" s="118">
        <f t="shared" si="123"/>
        <v>6.7972027972027893E-2</v>
      </c>
      <c r="M150" s="118">
        <f t="shared" si="124"/>
        <v>0.11636363636363652</v>
      </c>
      <c r="N150" s="117">
        <f t="shared" si="118"/>
        <v>0</v>
      </c>
      <c r="O150" s="118">
        <f t="shared" si="90"/>
        <v>0.7</v>
      </c>
      <c r="P150" s="118">
        <f t="shared" si="91"/>
        <v>0.15</v>
      </c>
      <c r="Q150" s="118">
        <f t="shared" si="92"/>
        <v>0.15</v>
      </c>
      <c r="R150" s="118">
        <f t="shared" si="93"/>
        <v>0</v>
      </c>
      <c r="S150" s="206">
        <f t="shared" si="94"/>
        <v>0</v>
      </c>
      <c r="T150" s="118">
        <f t="shared" si="125"/>
        <v>0.40439393939393914</v>
      </c>
      <c r="U150" s="118">
        <f t="shared" si="119"/>
        <v>0</v>
      </c>
      <c r="V150" s="118">
        <f t="shared" si="126"/>
        <v>0.20219696969696957</v>
      </c>
      <c r="W150" s="118">
        <f t="shared" si="127"/>
        <v>0.28545454545454574</v>
      </c>
      <c r="X150" s="118">
        <f t="shared" si="128"/>
        <v>5.9469696969697033E-2</v>
      </c>
      <c r="Y150" s="118">
        <f t="shared" si="129"/>
        <v>4.8484848484848395E-2</v>
      </c>
      <c r="Z150" s="237">
        <f t="shared" si="100"/>
        <v>22362462.612199452</v>
      </c>
      <c r="AA150" s="238">
        <f t="shared" si="101"/>
        <v>0</v>
      </c>
      <c r="AB150" s="238">
        <f t="shared" si="102"/>
        <v>22362462.612199452</v>
      </c>
      <c r="AC150" s="238">
        <f t="shared" si="103"/>
        <v>12522979.062831683</v>
      </c>
      <c r="AD150" s="238">
        <f t="shared" si="104"/>
        <v>1788997.0089759524</v>
      </c>
      <c r="AE150" s="238">
        <f t="shared" si="105"/>
        <v>0</v>
      </c>
      <c r="AF150" s="244">
        <f t="shared" si="80"/>
        <v>59036901.296206541</v>
      </c>
      <c r="AG150" s="237">
        <f t="shared" si="106"/>
        <v>0</v>
      </c>
      <c r="AH150" s="238">
        <f t="shared" si="107"/>
        <v>0</v>
      </c>
      <c r="AI150" s="238">
        <f t="shared" si="108"/>
        <v>6073755.2773874998</v>
      </c>
      <c r="AJ150" s="238">
        <f t="shared" si="109"/>
        <v>1214751.0554774997</v>
      </c>
      <c r="AK150" s="238">
        <f t="shared" si="110"/>
        <v>0</v>
      </c>
      <c r="AL150" s="238">
        <f t="shared" si="111"/>
        <v>0</v>
      </c>
      <c r="AM150" s="244">
        <f t="shared" si="81"/>
        <v>7288506.3328649998</v>
      </c>
      <c r="AN150" s="237">
        <f t="shared" si="112"/>
        <v>66862945.196297489</v>
      </c>
      <c r="AO150" s="238">
        <f t="shared" si="113"/>
        <v>0</v>
      </c>
      <c r="AP150" s="238">
        <f t="shared" si="114"/>
        <v>33431472.598148745</v>
      </c>
      <c r="AQ150" s="238">
        <f t="shared" si="115"/>
        <v>47197373.079739474</v>
      </c>
      <c r="AR150" s="238">
        <f t="shared" si="116"/>
        <v>1966557.2116558116</v>
      </c>
      <c r="AS150" s="238">
        <f t="shared" si="82"/>
        <v>0</v>
      </c>
      <c r="AT150" s="244">
        <f t="shared" si="83"/>
        <v>149458348.08584154</v>
      </c>
      <c r="AU150" s="256">
        <v>0</v>
      </c>
      <c r="AV150" s="248">
        <f t="shared" si="84"/>
        <v>215.78375571491307</v>
      </c>
      <c r="AW150" s="259">
        <f t="shared" si="131"/>
        <v>3.643701371142583</v>
      </c>
    </row>
    <row r="151" spans="1:49">
      <c r="A151" s="194">
        <f>'Input data'!A141</f>
        <v>2043</v>
      </c>
      <c r="B151" s="209">
        <f>'Input data'!B141</f>
        <v>72.713999999999999</v>
      </c>
      <c r="C151" s="510">
        <f>'Recycling - Case 1'!E121</f>
        <v>0.93950303030302995</v>
      </c>
      <c r="D151" s="658">
        <f>'Recycling - Case 1'!F121</f>
        <v>0.3507787878787878</v>
      </c>
      <c r="E151" s="237">
        <f t="shared" si="130"/>
        <v>1131757961.925</v>
      </c>
      <c r="F151" s="238">
        <v>0</v>
      </c>
      <c r="G151" s="239">
        <f t="shared" si="78"/>
        <v>1131757961.925</v>
      </c>
      <c r="H151" s="118">
        <f t="shared" si="120"/>
        <v>0.17272727272727287</v>
      </c>
      <c r="I151" s="118">
        <f t="shared" si="85"/>
        <v>0</v>
      </c>
      <c r="J151" s="118">
        <f t="shared" si="121"/>
        <v>0.17272727272727287</v>
      </c>
      <c r="K151" s="118">
        <f t="shared" si="122"/>
        <v>0.48363636363636375</v>
      </c>
      <c r="L151" s="118">
        <f t="shared" si="123"/>
        <v>6.9090909090909008E-2</v>
      </c>
      <c r="M151" s="118">
        <f t="shared" si="124"/>
        <v>0.10181818181818197</v>
      </c>
      <c r="N151" s="117">
        <f t="shared" si="118"/>
        <v>0</v>
      </c>
      <c r="O151" s="118">
        <f t="shared" si="90"/>
        <v>0.7</v>
      </c>
      <c r="P151" s="118">
        <f t="shared" si="91"/>
        <v>0.15</v>
      </c>
      <c r="Q151" s="118">
        <f t="shared" si="92"/>
        <v>0.15</v>
      </c>
      <c r="R151" s="118">
        <f t="shared" si="93"/>
        <v>0</v>
      </c>
      <c r="S151" s="206">
        <f t="shared" si="94"/>
        <v>0</v>
      </c>
      <c r="T151" s="118">
        <f t="shared" si="125"/>
        <v>0.4069696969696967</v>
      </c>
      <c r="U151" s="118">
        <f t="shared" si="119"/>
        <v>0</v>
      </c>
      <c r="V151" s="118">
        <f t="shared" si="126"/>
        <v>0.20348484848484835</v>
      </c>
      <c r="W151" s="118">
        <f t="shared" si="127"/>
        <v>0.28727272727272757</v>
      </c>
      <c r="X151" s="118">
        <f t="shared" si="128"/>
        <v>5.9848484848484915E-2</v>
      </c>
      <c r="Y151" s="118">
        <f t="shared" si="129"/>
        <v>4.2424242424242337E-2</v>
      </c>
      <c r="Z151" s="237">
        <f t="shared" si="100"/>
        <v>22871799.539629791</v>
      </c>
      <c r="AA151" s="238">
        <f t="shared" si="101"/>
        <v>0</v>
      </c>
      <c r="AB151" s="238">
        <f t="shared" si="102"/>
        <v>22871799.539629791</v>
      </c>
      <c r="AC151" s="238">
        <f t="shared" si="103"/>
        <v>12808207.742192676</v>
      </c>
      <c r="AD151" s="238">
        <f t="shared" si="104"/>
        <v>1829743.9631703799</v>
      </c>
      <c r="AE151" s="238">
        <f t="shared" si="105"/>
        <v>0</v>
      </c>
      <c r="AF151" s="244">
        <f t="shared" si="80"/>
        <v>60381550.784622639</v>
      </c>
      <c r="AG151" s="237">
        <f t="shared" si="106"/>
        <v>0</v>
      </c>
      <c r="AH151" s="238">
        <f t="shared" si="107"/>
        <v>0</v>
      </c>
      <c r="AI151" s="238">
        <f t="shared" si="108"/>
        <v>6111492.9943949999</v>
      </c>
      <c r="AJ151" s="238">
        <f t="shared" si="109"/>
        <v>1222298.5988789999</v>
      </c>
      <c r="AK151" s="238">
        <f t="shared" si="110"/>
        <v>0</v>
      </c>
      <c r="AL151" s="238">
        <f t="shared" si="111"/>
        <v>0</v>
      </c>
      <c r="AM151" s="244">
        <f t="shared" si="81"/>
        <v>7333791.5932740001</v>
      </c>
      <c r="AN151" s="237">
        <f t="shared" si="112"/>
        <v>67706905.636725828</v>
      </c>
      <c r="AO151" s="238">
        <f t="shared" si="113"/>
        <v>0</v>
      </c>
      <c r="AP151" s="238">
        <f t="shared" si="114"/>
        <v>33853452.818362914</v>
      </c>
      <c r="AQ151" s="238">
        <f t="shared" si="115"/>
        <v>47793109.861218311</v>
      </c>
      <c r="AR151" s="238">
        <f t="shared" si="116"/>
        <v>1991379.5775507635</v>
      </c>
      <c r="AS151" s="238">
        <f t="shared" si="82"/>
        <v>0</v>
      </c>
      <c r="AT151" s="244">
        <f t="shared" si="83"/>
        <v>151344847.89385781</v>
      </c>
      <c r="AU151" s="256">
        <v>0</v>
      </c>
      <c r="AV151" s="248">
        <f t="shared" si="84"/>
        <v>219.06019027175444</v>
      </c>
      <c r="AW151" s="259">
        <f t="shared" si="131"/>
        <v>3.6663405729089016</v>
      </c>
    </row>
    <row r="152" spans="1:49">
      <c r="A152" s="194">
        <f>'Input data'!A142</f>
        <v>2044</v>
      </c>
      <c r="B152" s="209">
        <f>'Input data'!B142</f>
        <v>73.165000000000006</v>
      </c>
      <c r="C152" s="510">
        <f>'Recycling - Case 1'!E122</f>
        <v>0.94814545454545418</v>
      </c>
      <c r="D152" s="658">
        <f>'Recycling - Case 1'!F122</f>
        <v>0.3531318181818181</v>
      </c>
      <c r="E152" s="237">
        <f t="shared" si="130"/>
        <v>1138777557.0625005</v>
      </c>
      <c r="F152" s="238">
        <v>0</v>
      </c>
      <c r="G152" s="239">
        <f t="shared" si="78"/>
        <v>1138777557.0625005</v>
      </c>
      <c r="H152" s="118">
        <f t="shared" si="120"/>
        <v>0.17552447552447567</v>
      </c>
      <c r="I152" s="118">
        <f t="shared" si="85"/>
        <v>0</v>
      </c>
      <c r="J152" s="118">
        <f t="shared" si="121"/>
        <v>0.17552447552447567</v>
      </c>
      <c r="K152" s="118">
        <f t="shared" si="122"/>
        <v>0.49146853146853159</v>
      </c>
      <c r="L152" s="118">
        <f t="shared" si="123"/>
        <v>7.0209790209790124E-2</v>
      </c>
      <c r="M152" s="118">
        <f t="shared" si="124"/>
        <v>8.7272727272727432E-2</v>
      </c>
      <c r="N152" s="117">
        <f t="shared" si="118"/>
        <v>0</v>
      </c>
      <c r="O152" s="118">
        <f t="shared" si="90"/>
        <v>0.7</v>
      </c>
      <c r="P152" s="118">
        <f t="shared" si="91"/>
        <v>0.15</v>
      </c>
      <c r="Q152" s="118">
        <f t="shared" si="92"/>
        <v>0.15</v>
      </c>
      <c r="R152" s="118">
        <f t="shared" si="93"/>
        <v>0</v>
      </c>
      <c r="S152" s="206">
        <f t="shared" si="94"/>
        <v>0</v>
      </c>
      <c r="T152" s="118">
        <f t="shared" si="125"/>
        <v>0.40954545454545427</v>
      </c>
      <c r="U152" s="118">
        <f t="shared" si="119"/>
        <v>0</v>
      </c>
      <c r="V152" s="118">
        <f t="shared" si="126"/>
        <v>0.20477272727272713</v>
      </c>
      <c r="W152" s="118">
        <f t="shared" si="127"/>
        <v>0.2890909090909094</v>
      </c>
      <c r="X152" s="118">
        <f t="shared" si="128"/>
        <v>6.0227272727272796E-2</v>
      </c>
      <c r="Y152" s="118">
        <f t="shared" si="129"/>
        <v>3.6363636363636279E-2</v>
      </c>
      <c r="Z152" s="237">
        <f t="shared" si="100"/>
        <v>23386350.012765367</v>
      </c>
      <c r="AA152" s="238">
        <f t="shared" si="101"/>
        <v>0</v>
      </c>
      <c r="AB152" s="238">
        <f t="shared" si="102"/>
        <v>23386350.012765367</v>
      </c>
      <c r="AC152" s="238">
        <f t="shared" si="103"/>
        <v>13096356.007148599</v>
      </c>
      <c r="AD152" s="238">
        <f t="shared" si="104"/>
        <v>1870908.0010212257</v>
      </c>
      <c r="AE152" s="238">
        <f t="shared" si="105"/>
        <v>0</v>
      </c>
      <c r="AF152" s="244">
        <f t="shared" si="80"/>
        <v>61739964.033700563</v>
      </c>
      <c r="AG152" s="237">
        <f t="shared" si="106"/>
        <v>0</v>
      </c>
      <c r="AH152" s="238">
        <f t="shared" si="107"/>
        <v>0</v>
      </c>
      <c r="AI152" s="238">
        <f t="shared" si="108"/>
        <v>6149398.8081375016</v>
      </c>
      <c r="AJ152" s="238">
        <f t="shared" si="109"/>
        <v>1229879.7616275004</v>
      </c>
      <c r="AK152" s="238">
        <f t="shared" si="110"/>
        <v>0</v>
      </c>
      <c r="AL152" s="238">
        <f t="shared" si="111"/>
        <v>0</v>
      </c>
      <c r="AM152" s="244">
        <f t="shared" si="81"/>
        <v>7379278.5697650015</v>
      </c>
      <c r="AN152" s="237">
        <f t="shared" si="112"/>
        <v>68558032.318298593</v>
      </c>
      <c r="AO152" s="238">
        <f t="shared" si="113"/>
        <v>0</v>
      </c>
      <c r="AP152" s="238">
        <f t="shared" si="114"/>
        <v>34279016.159149297</v>
      </c>
      <c r="AQ152" s="238">
        <f t="shared" si="115"/>
        <v>48393905.165857919</v>
      </c>
      <c r="AR152" s="238">
        <f t="shared" si="116"/>
        <v>2016412.7152440797</v>
      </c>
      <c r="AS152" s="238">
        <f t="shared" si="82"/>
        <v>0</v>
      </c>
      <c r="AT152" s="244">
        <f t="shared" si="83"/>
        <v>153247366.35854989</v>
      </c>
      <c r="AU152" s="256">
        <v>0</v>
      </c>
      <c r="AV152" s="248">
        <f t="shared" si="84"/>
        <v>222.36660896201545</v>
      </c>
      <c r="AW152" s="259">
        <f t="shared" si="131"/>
        <v>3.6890806174447812</v>
      </c>
    </row>
    <row r="153" spans="1:49">
      <c r="A153" s="194">
        <f>'Input data'!A143</f>
        <v>2045</v>
      </c>
      <c r="B153" s="209">
        <f>'Input data'!B143</f>
        <v>73.62</v>
      </c>
      <c r="C153" s="510">
        <f>'Recycling - Case 1'!E123</f>
        <v>0.95678787878787841</v>
      </c>
      <c r="D153" s="658">
        <f>'Recycling - Case 1'!F123</f>
        <v>0.3554848484848484</v>
      </c>
      <c r="E153" s="237">
        <f t="shared" si="130"/>
        <v>1145859410.2500002</v>
      </c>
      <c r="F153" s="238">
        <v>0</v>
      </c>
      <c r="G153" s="239">
        <f t="shared" si="78"/>
        <v>1145859410.2500002</v>
      </c>
      <c r="H153" s="118">
        <f t="shared" si="120"/>
        <v>0.17832167832167847</v>
      </c>
      <c r="I153" s="118">
        <f t="shared" si="85"/>
        <v>0</v>
      </c>
      <c r="J153" s="118">
        <f t="shared" si="121"/>
        <v>0.17832167832167847</v>
      </c>
      <c r="K153" s="118">
        <f t="shared" si="122"/>
        <v>0.49930069930069942</v>
      </c>
      <c r="L153" s="118">
        <f t="shared" si="123"/>
        <v>7.1328671328671239E-2</v>
      </c>
      <c r="M153" s="118">
        <f t="shared" si="124"/>
        <v>7.272727272727289E-2</v>
      </c>
      <c r="N153" s="117">
        <f t="shared" si="118"/>
        <v>0</v>
      </c>
      <c r="O153" s="118">
        <f t="shared" si="90"/>
        <v>0.7</v>
      </c>
      <c r="P153" s="118">
        <f t="shared" si="91"/>
        <v>0.15</v>
      </c>
      <c r="Q153" s="118">
        <f t="shared" si="92"/>
        <v>0.15</v>
      </c>
      <c r="R153" s="118">
        <f t="shared" si="93"/>
        <v>0</v>
      </c>
      <c r="S153" s="206">
        <f t="shared" si="94"/>
        <v>0</v>
      </c>
      <c r="T153" s="118">
        <f t="shared" si="125"/>
        <v>0.41212121212121183</v>
      </c>
      <c r="U153" s="118">
        <f t="shared" si="119"/>
        <v>0</v>
      </c>
      <c r="V153" s="118">
        <f t="shared" si="126"/>
        <v>0.20606060606060592</v>
      </c>
      <c r="W153" s="118">
        <f t="shared" si="127"/>
        <v>0.29090909090909123</v>
      </c>
      <c r="X153" s="118">
        <f t="shared" si="128"/>
        <v>6.0606060606060677E-2</v>
      </c>
      <c r="Y153" s="118">
        <f t="shared" si="129"/>
        <v>3.0303030303030217E-2</v>
      </c>
      <c r="Z153" s="237">
        <f t="shared" si="100"/>
        <v>23906794.059306845</v>
      </c>
      <c r="AA153" s="238">
        <f t="shared" si="101"/>
        <v>0</v>
      </c>
      <c r="AB153" s="238">
        <f t="shared" si="102"/>
        <v>23906794.059306845</v>
      </c>
      <c r="AC153" s="238">
        <f t="shared" si="103"/>
        <v>13387804.673211824</v>
      </c>
      <c r="AD153" s="238">
        <f t="shared" si="104"/>
        <v>1912543.5247445437</v>
      </c>
      <c r="AE153" s="238">
        <f t="shared" si="105"/>
        <v>0</v>
      </c>
      <c r="AF153" s="244">
        <f t="shared" si="80"/>
        <v>63113936.316570058</v>
      </c>
      <c r="AG153" s="237">
        <f t="shared" si="106"/>
        <v>0</v>
      </c>
      <c r="AH153" s="238">
        <f t="shared" si="107"/>
        <v>0</v>
      </c>
      <c r="AI153" s="238">
        <f t="shared" si="108"/>
        <v>6187640.8153500007</v>
      </c>
      <c r="AJ153" s="238">
        <f t="shared" si="109"/>
        <v>1237528.1630700002</v>
      </c>
      <c r="AK153" s="238">
        <f t="shared" si="110"/>
        <v>0</v>
      </c>
      <c r="AL153" s="238">
        <f t="shared" si="111"/>
        <v>0</v>
      </c>
      <c r="AM153" s="244">
        <f t="shared" si="81"/>
        <v>7425168.9784200005</v>
      </c>
      <c r="AN153" s="237">
        <f t="shared" si="112"/>
        <v>69418246.453690872</v>
      </c>
      <c r="AO153" s="238">
        <f t="shared" si="113"/>
        <v>0</v>
      </c>
      <c r="AP153" s="238">
        <f t="shared" si="114"/>
        <v>34709123.226845436</v>
      </c>
      <c r="AQ153" s="238">
        <f t="shared" si="115"/>
        <v>49001115.143781878</v>
      </c>
      <c r="AR153" s="238">
        <f t="shared" si="116"/>
        <v>2041713.130990912</v>
      </c>
      <c r="AS153" s="238">
        <f t="shared" si="82"/>
        <v>0</v>
      </c>
      <c r="AT153" s="244">
        <f t="shared" si="83"/>
        <v>155170197.95530909</v>
      </c>
      <c r="AU153" s="256">
        <v>0</v>
      </c>
      <c r="AV153" s="248">
        <f t="shared" si="84"/>
        <v>225.70930325029914</v>
      </c>
      <c r="AW153" s="259">
        <f t="shared" si="131"/>
        <v>3.7120223475197802</v>
      </c>
    </row>
    <row r="154" spans="1:49">
      <c r="A154" s="194">
        <f>'Input data'!A144</f>
        <v>2046</v>
      </c>
      <c r="B154" s="209">
        <f>'Input data'!B144</f>
        <v>73.995000000000005</v>
      </c>
      <c r="C154" s="510">
        <f>'Recycling - Case 1'!E124</f>
        <v>0.96543030303030264</v>
      </c>
      <c r="D154" s="658">
        <f>'Recycling - Case 1'!F124</f>
        <v>0.3578378787878787</v>
      </c>
      <c r="E154" s="237">
        <f t="shared" si="130"/>
        <v>1151696102.4375002</v>
      </c>
      <c r="F154" s="238">
        <v>0</v>
      </c>
      <c r="G154" s="239">
        <f t="shared" si="78"/>
        <v>1151696102.4375002</v>
      </c>
      <c r="H154" s="118">
        <f t="shared" si="120"/>
        <v>0.18111888111888128</v>
      </c>
      <c r="I154" s="118">
        <f t="shared" si="85"/>
        <v>0</v>
      </c>
      <c r="J154" s="118">
        <f t="shared" si="121"/>
        <v>0.18111888111888128</v>
      </c>
      <c r="K154" s="118">
        <f t="shared" si="122"/>
        <v>0.5071328671328672</v>
      </c>
      <c r="L154" s="118">
        <f t="shared" si="123"/>
        <v>7.2447552447552355E-2</v>
      </c>
      <c r="M154" s="118">
        <f t="shared" si="124"/>
        <v>5.8181818181818348E-2</v>
      </c>
      <c r="N154" s="117">
        <f t="shared" si="118"/>
        <v>0</v>
      </c>
      <c r="O154" s="118">
        <f t="shared" si="90"/>
        <v>0.7</v>
      </c>
      <c r="P154" s="118">
        <f t="shared" si="91"/>
        <v>0.15</v>
      </c>
      <c r="Q154" s="118">
        <f t="shared" si="92"/>
        <v>0.15</v>
      </c>
      <c r="R154" s="118">
        <f t="shared" si="93"/>
        <v>0</v>
      </c>
      <c r="S154" s="206">
        <f t="shared" si="94"/>
        <v>0</v>
      </c>
      <c r="T154" s="118">
        <f t="shared" si="125"/>
        <v>0.4146969696969694</v>
      </c>
      <c r="U154" s="118">
        <f t="shared" si="119"/>
        <v>0</v>
      </c>
      <c r="V154" s="118">
        <f t="shared" si="126"/>
        <v>0.2073484848484847</v>
      </c>
      <c r="W154" s="118">
        <f t="shared" si="127"/>
        <v>0.29272727272727306</v>
      </c>
      <c r="X154" s="118">
        <f t="shared" si="128"/>
        <v>6.0984848484848558E-2</v>
      </c>
      <c r="Y154" s="118">
        <f t="shared" si="129"/>
        <v>2.4242424242424156E-2</v>
      </c>
      <c r="Z154" s="237">
        <f t="shared" si="100"/>
        <v>24405487.407107417</v>
      </c>
      <c r="AA154" s="238">
        <f t="shared" si="101"/>
        <v>0</v>
      </c>
      <c r="AB154" s="238">
        <f t="shared" si="102"/>
        <v>24405487.407107417</v>
      </c>
      <c r="AC154" s="238">
        <f t="shared" si="103"/>
        <v>13667072.947980141</v>
      </c>
      <c r="AD154" s="238">
        <f t="shared" si="104"/>
        <v>1952438.9925685886</v>
      </c>
      <c r="AE154" s="238">
        <f t="shared" si="105"/>
        <v>0</v>
      </c>
      <c r="AF154" s="244">
        <f t="shared" si="80"/>
        <v>64430486.754763566</v>
      </c>
      <c r="AG154" s="237">
        <f t="shared" si="106"/>
        <v>0</v>
      </c>
      <c r="AH154" s="238">
        <f t="shared" si="107"/>
        <v>0</v>
      </c>
      <c r="AI154" s="238">
        <f t="shared" si="108"/>
        <v>6219158.9531625006</v>
      </c>
      <c r="AJ154" s="238">
        <f t="shared" si="109"/>
        <v>1243831.7906325001</v>
      </c>
      <c r="AK154" s="238">
        <f t="shared" si="110"/>
        <v>0</v>
      </c>
      <c r="AL154" s="238">
        <f t="shared" si="111"/>
        <v>0</v>
      </c>
      <c r="AM154" s="244">
        <f t="shared" si="81"/>
        <v>7462990.7437950009</v>
      </c>
      <c r="AN154" s="237">
        <f t="shared" si="112"/>
        <v>70207917.902818337</v>
      </c>
      <c r="AO154" s="238">
        <f t="shared" si="113"/>
        <v>0</v>
      </c>
      <c r="AP154" s="238">
        <f t="shared" si="114"/>
        <v>35103958.951409169</v>
      </c>
      <c r="AQ154" s="238">
        <f t="shared" si="115"/>
        <v>49558530.284342453</v>
      </c>
      <c r="AR154" s="238">
        <f t="shared" si="116"/>
        <v>2064938.7618476022</v>
      </c>
      <c r="AS154" s="238">
        <f t="shared" si="82"/>
        <v>0</v>
      </c>
      <c r="AT154" s="244">
        <f t="shared" si="83"/>
        <v>156935345.90041757</v>
      </c>
      <c r="AU154" s="256">
        <v>0</v>
      </c>
      <c r="AV154" s="248">
        <f t="shared" si="84"/>
        <v>228.82882339897614</v>
      </c>
      <c r="AW154" s="259">
        <f t="shared" si="131"/>
        <v>3.7309303668123635</v>
      </c>
    </row>
    <row r="155" spans="1:49">
      <c r="A155" s="194">
        <f>'Input data'!A145</f>
        <v>2047</v>
      </c>
      <c r="B155" s="209">
        <f>'Input data'!B145</f>
        <v>74.373000000000005</v>
      </c>
      <c r="C155" s="510">
        <f>'Recycling - Case 1'!E125</f>
        <v>0.97407272727272687</v>
      </c>
      <c r="D155" s="658">
        <f>'Recycling - Case 1'!F125</f>
        <v>0.36019090909090901</v>
      </c>
      <c r="E155" s="237">
        <f t="shared" si="130"/>
        <v>1157579488.1625001</v>
      </c>
      <c r="F155" s="238">
        <v>0</v>
      </c>
      <c r="G155" s="239">
        <f t="shared" si="78"/>
        <v>1157579488.1625001</v>
      </c>
      <c r="H155" s="118">
        <f t="shared" si="120"/>
        <v>0.18391608391608408</v>
      </c>
      <c r="I155" s="118">
        <f t="shared" si="85"/>
        <v>0</v>
      </c>
      <c r="J155" s="118">
        <f t="shared" si="121"/>
        <v>0.18391608391608408</v>
      </c>
      <c r="K155" s="118">
        <f t="shared" si="122"/>
        <v>0.51496503496503498</v>
      </c>
      <c r="L155" s="118">
        <f t="shared" si="123"/>
        <v>7.356643356643347E-2</v>
      </c>
      <c r="M155" s="118">
        <f t="shared" si="124"/>
        <v>4.3636363636363806E-2</v>
      </c>
      <c r="N155" s="117">
        <f t="shared" si="118"/>
        <v>0</v>
      </c>
      <c r="O155" s="118">
        <f t="shared" si="90"/>
        <v>0.7</v>
      </c>
      <c r="P155" s="118">
        <f t="shared" si="91"/>
        <v>0.15</v>
      </c>
      <c r="Q155" s="118">
        <f t="shared" si="92"/>
        <v>0.15</v>
      </c>
      <c r="R155" s="118">
        <f t="shared" si="93"/>
        <v>0</v>
      </c>
      <c r="S155" s="206">
        <f t="shared" si="94"/>
        <v>0</v>
      </c>
      <c r="T155" s="118">
        <f t="shared" si="125"/>
        <v>0.41727272727272696</v>
      </c>
      <c r="U155" s="118">
        <f t="shared" si="119"/>
        <v>0</v>
      </c>
      <c r="V155" s="118">
        <f t="shared" si="126"/>
        <v>0.20863636363636348</v>
      </c>
      <c r="W155" s="118">
        <f t="shared" si="127"/>
        <v>0.29454545454545489</v>
      </c>
      <c r="X155" s="118">
        <f t="shared" si="128"/>
        <v>6.136363636363644E-2</v>
      </c>
      <c r="Y155" s="118">
        <f t="shared" si="129"/>
        <v>1.8181818181818094E-2</v>
      </c>
      <c r="Z155" s="237">
        <f t="shared" si="100"/>
        <v>24909005.895278547</v>
      </c>
      <c r="AA155" s="238">
        <f t="shared" si="101"/>
        <v>0</v>
      </c>
      <c r="AB155" s="238">
        <f t="shared" si="102"/>
        <v>24909005.895278547</v>
      </c>
      <c r="AC155" s="238">
        <f t="shared" si="103"/>
        <v>13949043.301355973</v>
      </c>
      <c r="AD155" s="238">
        <f t="shared" si="104"/>
        <v>1992720.4716222791</v>
      </c>
      <c r="AE155" s="238">
        <f t="shared" si="105"/>
        <v>0</v>
      </c>
      <c r="AF155" s="244">
        <f t="shared" si="80"/>
        <v>65759775.563535348</v>
      </c>
      <c r="AG155" s="237">
        <f t="shared" si="106"/>
        <v>0</v>
      </c>
      <c r="AH155" s="238">
        <f t="shared" si="107"/>
        <v>0</v>
      </c>
      <c r="AI155" s="238">
        <f t="shared" si="108"/>
        <v>6250929.2360775005</v>
      </c>
      <c r="AJ155" s="238">
        <f t="shared" si="109"/>
        <v>1250185.8472155</v>
      </c>
      <c r="AK155" s="238">
        <f t="shared" si="110"/>
        <v>0</v>
      </c>
      <c r="AL155" s="238">
        <f t="shared" si="111"/>
        <v>0</v>
      </c>
      <c r="AM155" s="244">
        <f t="shared" si="81"/>
        <v>7501115.0832930002</v>
      </c>
      <c r="AN155" s="237">
        <f t="shared" si="112"/>
        <v>71004873.45889847</v>
      </c>
      <c r="AO155" s="238">
        <f t="shared" si="113"/>
        <v>0</v>
      </c>
      <c r="AP155" s="238">
        <f t="shared" si="114"/>
        <v>35502436.729449235</v>
      </c>
      <c r="AQ155" s="238">
        <f t="shared" si="115"/>
        <v>50121087.147457838</v>
      </c>
      <c r="AR155" s="238">
        <f t="shared" si="116"/>
        <v>2088378.6311440766</v>
      </c>
      <c r="AS155" s="238">
        <f t="shared" si="82"/>
        <v>0</v>
      </c>
      <c r="AT155" s="244">
        <f t="shared" si="83"/>
        <v>158716775.96694961</v>
      </c>
      <c r="AU155" s="256">
        <v>0</v>
      </c>
      <c r="AV155" s="248">
        <f t="shared" si="84"/>
        <v>231.97766661377796</v>
      </c>
      <c r="AW155" s="259">
        <f t="shared" si="131"/>
        <v>3.7499896502592862</v>
      </c>
    </row>
    <row r="156" spans="1:49">
      <c r="A156" s="194">
        <f>'Input data'!A146</f>
        <v>2048</v>
      </c>
      <c r="B156" s="209">
        <f>'Input data'!B146</f>
        <v>74.753</v>
      </c>
      <c r="C156" s="510">
        <f>'Recycling - Case 1'!E126</f>
        <v>0.9827151515151511</v>
      </c>
      <c r="D156" s="658">
        <f>'Recycling - Case 1'!F126</f>
        <v>0.36254393939393931</v>
      </c>
      <c r="E156" s="237">
        <f t="shared" si="130"/>
        <v>1163494002.9125004</v>
      </c>
      <c r="F156" s="238">
        <v>0</v>
      </c>
      <c r="G156" s="239">
        <f t="shared" si="78"/>
        <v>1163494002.9125004</v>
      </c>
      <c r="H156" s="118">
        <f t="shared" si="120"/>
        <v>0.18671328671328688</v>
      </c>
      <c r="I156" s="118">
        <f t="shared" si="85"/>
        <v>0</v>
      </c>
      <c r="J156" s="118">
        <f t="shared" si="121"/>
        <v>0.18671328671328688</v>
      </c>
      <c r="K156" s="118">
        <f t="shared" si="122"/>
        <v>0.52279720279720276</v>
      </c>
      <c r="L156" s="118">
        <f t="shared" si="123"/>
        <v>7.4685314685314586E-2</v>
      </c>
      <c r="M156" s="118">
        <f t="shared" si="124"/>
        <v>2.9090909090909261E-2</v>
      </c>
      <c r="N156" s="117">
        <f t="shared" si="118"/>
        <v>0</v>
      </c>
      <c r="O156" s="118">
        <f t="shared" si="90"/>
        <v>0.7</v>
      </c>
      <c r="P156" s="118">
        <f t="shared" si="91"/>
        <v>0.15</v>
      </c>
      <c r="Q156" s="118">
        <f t="shared" si="92"/>
        <v>0.15</v>
      </c>
      <c r="R156" s="118">
        <f t="shared" si="93"/>
        <v>0</v>
      </c>
      <c r="S156" s="206">
        <f t="shared" si="94"/>
        <v>0</v>
      </c>
      <c r="T156" s="118">
        <f t="shared" si="125"/>
        <v>0.41984848484848453</v>
      </c>
      <c r="U156" s="118">
        <f t="shared" si="119"/>
        <v>0</v>
      </c>
      <c r="V156" s="118">
        <f t="shared" si="126"/>
        <v>0.20992424242424226</v>
      </c>
      <c r="W156" s="118">
        <f t="shared" si="127"/>
        <v>0.29636363636363672</v>
      </c>
      <c r="X156" s="118">
        <f t="shared" si="128"/>
        <v>6.1742424242424321E-2</v>
      </c>
      <c r="Y156" s="118">
        <f t="shared" si="129"/>
        <v>1.2121212121212033E-2</v>
      </c>
      <c r="Z156" s="237">
        <f t="shared" si="100"/>
        <v>25417055.354534008</v>
      </c>
      <c r="AA156" s="238">
        <f t="shared" si="101"/>
        <v>0</v>
      </c>
      <c r="AB156" s="238">
        <f t="shared" si="102"/>
        <v>25417055.354534008</v>
      </c>
      <c r="AC156" s="238">
        <f t="shared" si="103"/>
        <v>14233550.998539031</v>
      </c>
      <c r="AD156" s="238">
        <f t="shared" si="104"/>
        <v>2033364.4283627162</v>
      </c>
      <c r="AE156" s="238">
        <f t="shared" si="105"/>
        <v>0</v>
      </c>
      <c r="AF156" s="244">
        <f t="shared" si="80"/>
        <v>67101026.135969765</v>
      </c>
      <c r="AG156" s="237">
        <f t="shared" si="106"/>
        <v>0</v>
      </c>
      <c r="AH156" s="238">
        <f t="shared" si="107"/>
        <v>0</v>
      </c>
      <c r="AI156" s="238">
        <f t="shared" si="108"/>
        <v>6282867.6157275019</v>
      </c>
      <c r="AJ156" s="238">
        <f t="shared" si="109"/>
        <v>1256573.5231455003</v>
      </c>
      <c r="AK156" s="238">
        <f t="shared" si="110"/>
        <v>0</v>
      </c>
      <c r="AL156" s="238">
        <f t="shared" si="111"/>
        <v>0</v>
      </c>
      <c r="AM156" s="244">
        <f t="shared" si="81"/>
        <v>7539441.1388730025</v>
      </c>
      <c r="AN156" s="237">
        <f t="shared" si="112"/>
        <v>71808205.555207387</v>
      </c>
      <c r="AO156" s="238">
        <f t="shared" si="113"/>
        <v>0</v>
      </c>
      <c r="AP156" s="238">
        <f t="shared" si="114"/>
        <v>35904102.777603693</v>
      </c>
      <c r="AQ156" s="238">
        <f t="shared" si="115"/>
        <v>50688145.097793549</v>
      </c>
      <c r="AR156" s="238">
        <f t="shared" si="116"/>
        <v>2112006.0457413979</v>
      </c>
      <c r="AS156" s="238">
        <f t="shared" si="82"/>
        <v>0</v>
      </c>
      <c r="AT156" s="244">
        <f t="shared" si="83"/>
        <v>160512459.47634605</v>
      </c>
      <c r="AU156" s="256">
        <v>0</v>
      </c>
      <c r="AV156" s="248">
        <f t="shared" si="84"/>
        <v>235.1529267511888</v>
      </c>
      <c r="AW156" s="259">
        <f t="shared" si="131"/>
        <v>3.76914977647577</v>
      </c>
    </row>
    <row r="157" spans="1:49">
      <c r="A157" s="194">
        <f>'Input data'!A147</f>
        <v>2049</v>
      </c>
      <c r="B157" s="209">
        <f>'Input data'!B147</f>
        <v>75.134</v>
      </c>
      <c r="C157" s="510">
        <f>'Recycling - Case 1'!E127</f>
        <v>0.99135757575757533</v>
      </c>
      <c r="D157" s="658">
        <f>'Recycling - Case 1'!F127</f>
        <v>0.36489696969696961</v>
      </c>
      <c r="E157" s="237">
        <f t="shared" si="130"/>
        <v>1169424082.1750002</v>
      </c>
      <c r="F157" s="238">
        <v>0</v>
      </c>
      <c r="G157" s="239">
        <f t="shared" si="78"/>
        <v>1169424082.1750002</v>
      </c>
      <c r="H157" s="118">
        <f t="shared" si="120"/>
        <v>0.18951048951048968</v>
      </c>
      <c r="I157" s="118">
        <f t="shared" si="85"/>
        <v>0</v>
      </c>
      <c r="J157" s="118">
        <f t="shared" si="121"/>
        <v>0.18951048951048968</v>
      </c>
      <c r="K157" s="118">
        <f t="shared" si="122"/>
        <v>0.53062937062937054</v>
      </c>
      <c r="L157" s="118">
        <f t="shared" si="123"/>
        <v>7.5804195804195701E-2</v>
      </c>
      <c r="M157" s="118">
        <f t="shared" si="124"/>
        <v>1.4545454545454715E-2</v>
      </c>
      <c r="N157" s="117">
        <f t="shared" si="118"/>
        <v>0</v>
      </c>
      <c r="O157" s="118">
        <f t="shared" si="90"/>
        <v>0.7</v>
      </c>
      <c r="P157" s="118">
        <f t="shared" si="91"/>
        <v>0.15</v>
      </c>
      <c r="Q157" s="118">
        <f t="shared" si="92"/>
        <v>0.15</v>
      </c>
      <c r="R157" s="118">
        <f t="shared" si="93"/>
        <v>0</v>
      </c>
      <c r="S157" s="206">
        <f t="shared" si="94"/>
        <v>0</v>
      </c>
      <c r="T157" s="118">
        <f t="shared" si="125"/>
        <v>0.42242424242424209</v>
      </c>
      <c r="U157" s="118">
        <f t="shared" si="119"/>
        <v>0</v>
      </c>
      <c r="V157" s="118">
        <f t="shared" si="126"/>
        <v>0.21121212121212105</v>
      </c>
      <c r="W157" s="118">
        <f t="shared" si="127"/>
        <v>0.29818181818181855</v>
      </c>
      <c r="X157" s="118">
        <f t="shared" si="128"/>
        <v>6.2121212121212202E-2</v>
      </c>
      <c r="Y157" s="118">
        <f t="shared" si="129"/>
        <v>6.0606060606059721E-3</v>
      </c>
      <c r="Z157" s="237">
        <f t="shared" si="100"/>
        <v>25929321.240225706</v>
      </c>
      <c r="AA157" s="238">
        <f t="shared" si="101"/>
        <v>0</v>
      </c>
      <c r="AB157" s="238">
        <f t="shared" si="102"/>
        <v>25929321.240225706</v>
      </c>
      <c r="AC157" s="238">
        <f t="shared" si="103"/>
        <v>14520419.894526381</v>
      </c>
      <c r="AD157" s="238">
        <f t="shared" si="104"/>
        <v>2074345.699218052</v>
      </c>
      <c r="AE157" s="238">
        <f t="shared" si="105"/>
        <v>0</v>
      </c>
      <c r="AF157" s="244">
        <f t="shared" si="80"/>
        <v>68453408.074195847</v>
      </c>
      <c r="AG157" s="237">
        <f t="shared" si="106"/>
        <v>0</v>
      </c>
      <c r="AH157" s="238">
        <f t="shared" si="107"/>
        <v>0</v>
      </c>
      <c r="AI157" s="238">
        <f t="shared" si="108"/>
        <v>6314890.0437450008</v>
      </c>
      <c r="AJ157" s="238">
        <f t="shared" si="109"/>
        <v>1262978.008749</v>
      </c>
      <c r="AK157" s="238">
        <f t="shared" si="110"/>
        <v>0</v>
      </c>
      <c r="AL157" s="238">
        <f t="shared" si="111"/>
        <v>0</v>
      </c>
      <c r="AM157" s="244">
        <f t="shared" si="81"/>
        <v>7577868.0524940006</v>
      </c>
      <c r="AN157" s="237">
        <f t="shared" si="112"/>
        <v>72616983.051859543</v>
      </c>
      <c r="AO157" s="238">
        <f t="shared" si="113"/>
        <v>0</v>
      </c>
      <c r="AP157" s="238">
        <f t="shared" si="114"/>
        <v>36308491.525929771</v>
      </c>
      <c r="AQ157" s="238">
        <f t="shared" si="115"/>
        <v>51259046.860136256</v>
      </c>
      <c r="AR157" s="238">
        <f t="shared" si="116"/>
        <v>2135793.619172344</v>
      </c>
      <c r="AS157" s="238">
        <f t="shared" si="82"/>
        <v>0</v>
      </c>
      <c r="AT157" s="244">
        <f t="shared" si="83"/>
        <v>162320315.05709791</v>
      </c>
      <c r="AU157" s="256">
        <v>0</v>
      </c>
      <c r="AV157" s="248">
        <f t="shared" si="84"/>
        <v>238.35159118378778</v>
      </c>
      <c r="AW157" s="259">
        <f t="shared" si="131"/>
        <v>3.7883603240770336</v>
      </c>
    </row>
    <row r="158" spans="1:49" ht="15.75" thickBot="1">
      <c r="A158" s="196">
        <f>'Input data'!A148</f>
        <v>2050</v>
      </c>
      <c r="B158" s="210">
        <f>'Input data'!B148</f>
        <v>75.518000000000001</v>
      </c>
      <c r="C158" s="807">
        <f>'Recycling - Case 1'!E128</f>
        <v>1</v>
      </c>
      <c r="D158" s="808">
        <f>'Recycling - Case 1'!F128</f>
        <v>0.36725000000000002</v>
      </c>
      <c r="E158" s="240">
        <f>B158*$C$4*($C$7*$C$11+$C$8*$C$10+$C$7*$C$12)*10^6</f>
        <v>1175400854.9750001</v>
      </c>
      <c r="F158" s="241">
        <v>0</v>
      </c>
      <c r="G158" s="242">
        <f t="shared" si="78"/>
        <v>1175400854.9750001</v>
      </c>
      <c r="H158" s="121">
        <f>'Recycling - Case 1'!C45</f>
        <v>0.19230769230769232</v>
      </c>
      <c r="I158" s="121">
        <f>'Recycling - Case 1'!D45</f>
        <v>0</v>
      </c>
      <c r="J158" s="121">
        <f>'Recycling - Case 1'!E45</f>
        <v>0.19230769230769232</v>
      </c>
      <c r="K158" s="121">
        <f>'Recycling - Case 1'!F45</f>
        <v>0.53846153846153855</v>
      </c>
      <c r="L158" s="121">
        <f>'Recycling - Case 1'!G45</f>
        <v>7.6923076923076927E-2</v>
      </c>
      <c r="M158" s="121">
        <f>'Recycling - Case 1'!H45</f>
        <v>0</v>
      </c>
      <c r="N158" s="121">
        <f>'Recycling - Case 1'!J45</f>
        <v>0</v>
      </c>
      <c r="O158" s="121">
        <f>'Recycling - Case 1'!K45</f>
        <v>0.7</v>
      </c>
      <c r="P158" s="121">
        <f>'Recycling - Case 1'!L45</f>
        <v>0.15</v>
      </c>
      <c r="Q158" s="121">
        <f>'Recycling - Case 1'!M45</f>
        <v>0.15</v>
      </c>
      <c r="R158" s="121">
        <f>'Recycling - Case 1'!N45</f>
        <v>0</v>
      </c>
      <c r="S158" s="121">
        <f>'Recycling - Case 1'!O45</f>
        <v>0</v>
      </c>
      <c r="T158" s="121">
        <f>'Recycling - Case 1'!Q45</f>
        <v>0.42500000000000004</v>
      </c>
      <c r="U158" s="121">
        <f>'Recycling - Case 1'!R45</f>
        <v>0</v>
      </c>
      <c r="V158" s="121">
        <f>'Recycling - Case 1'!S45</f>
        <v>0.21250000000000002</v>
      </c>
      <c r="W158" s="121">
        <f>'Recycling - Case 1'!T45</f>
        <v>0.3</v>
      </c>
      <c r="X158" s="121">
        <f>'Recycling - Case 1'!U45</f>
        <v>6.25E-2</v>
      </c>
      <c r="Y158" s="121">
        <f>'Recycling - Case 1'!V45</f>
        <v>0</v>
      </c>
      <c r="Z158" s="240">
        <f t="shared" si="100"/>
        <v>26446519.236937504</v>
      </c>
      <c r="AA158" s="241">
        <f t="shared" si="101"/>
        <v>0</v>
      </c>
      <c r="AB158" s="241">
        <f t="shared" si="102"/>
        <v>26446519.236937504</v>
      </c>
      <c r="AC158" s="241">
        <f t="shared" si="103"/>
        <v>14810050.772685004</v>
      </c>
      <c r="AD158" s="241">
        <f t="shared" si="104"/>
        <v>2115721.5389550002</v>
      </c>
      <c r="AE158" s="241">
        <f t="shared" si="105"/>
        <v>0</v>
      </c>
      <c r="AF158" s="245">
        <f t="shared" si="80"/>
        <v>69818810.78551501</v>
      </c>
      <c r="AG158" s="240">
        <f t="shared" si="106"/>
        <v>0</v>
      </c>
      <c r="AH158" s="241">
        <f t="shared" si="107"/>
        <v>0</v>
      </c>
      <c r="AI158" s="241">
        <f t="shared" si="108"/>
        <v>6347164.6168649998</v>
      </c>
      <c r="AJ158" s="241">
        <f t="shared" si="109"/>
        <v>1269432.923373</v>
      </c>
      <c r="AK158" s="241">
        <f t="shared" si="110"/>
        <v>0</v>
      </c>
      <c r="AL158" s="241">
        <f t="shared" si="111"/>
        <v>0</v>
      </c>
      <c r="AM158" s="245">
        <f t="shared" si="81"/>
        <v>7616597.5402379995</v>
      </c>
      <c r="AN158" s="240">
        <f t="shared" si="112"/>
        <v>73433168.414563134</v>
      </c>
      <c r="AO158" s="241">
        <f t="shared" si="113"/>
        <v>0</v>
      </c>
      <c r="AP158" s="241">
        <f t="shared" si="114"/>
        <v>36716584.207281567</v>
      </c>
      <c r="AQ158" s="241">
        <f t="shared" si="115"/>
        <v>51835177.7043975</v>
      </c>
      <c r="AR158" s="241">
        <f t="shared" si="116"/>
        <v>2159799.0710165626</v>
      </c>
      <c r="AS158" s="241">
        <f t="shared" si="82"/>
        <v>0</v>
      </c>
      <c r="AT158" s="245">
        <f t="shared" si="83"/>
        <v>164144729.39725876</v>
      </c>
      <c r="AU158" s="257">
        <v>0</v>
      </c>
      <c r="AV158" s="251">
        <f t="shared" si="84"/>
        <v>241.58013772301177</v>
      </c>
      <c r="AW158" s="260">
        <f t="shared" si="131"/>
        <v>3.8077221358326381</v>
      </c>
    </row>
    <row r="159" spans="1:49" ht="21.75" thickBot="1">
      <c r="A159" s="972" t="s">
        <v>710</v>
      </c>
    </row>
    <row r="160" spans="1:49">
      <c r="A160" s="195">
        <f>'Input data'!A116</f>
        <v>2018</v>
      </c>
      <c r="B160" s="208">
        <f>'Input data'!B116</f>
        <v>57.436</v>
      </c>
      <c r="C160" s="803">
        <f>'Recycling - Case 2'!E96</f>
        <v>0.73673846153846156</v>
      </c>
      <c r="D160" s="907">
        <f>'Recycling - Case 2'!F96</f>
        <v>0.29557307692307688</v>
      </c>
      <c r="E160" s="1194">
        <f>B160*$C$4*($C$7*$C$11+$C$8*$C$10+$C$7*$C$12)*10^6</f>
        <v>893963339.95000005</v>
      </c>
      <c r="F160" s="936">
        <v>0</v>
      </c>
      <c r="G160" s="937">
        <f t="shared" ref="G160:G192" si="132">E160-F160</f>
        <v>893963339.95000005</v>
      </c>
      <c r="H160" s="1021">
        <f>($H$172-$H$124)/($A$172-$A$124)+H124</f>
        <v>0.10710059171597634</v>
      </c>
      <c r="I160" s="839">
        <f t="shared" si="85"/>
        <v>0</v>
      </c>
      <c r="J160" s="839">
        <f>($J$172-$J$124)/($A$172-$A$124)+J124</f>
        <v>0.10710059171597634</v>
      </c>
      <c r="K160" s="839">
        <f>($K$172-$K$124)/($A$172-$A$124)+K124</f>
        <v>0.29988165680473378</v>
      </c>
      <c r="L160" s="839">
        <f>($L$172-$L$124)/($A$172-$A$124)+L124</f>
        <v>4.2840236686390532E-2</v>
      </c>
      <c r="M160" s="1022">
        <f>($M$172-$M$124)/($A$172-$A$124)+M124</f>
        <v>0.44307692307692303</v>
      </c>
      <c r="N160" s="1021">
        <f t="shared" si="118"/>
        <v>0</v>
      </c>
      <c r="O160" s="839">
        <f t="shared" si="90"/>
        <v>0.7</v>
      </c>
      <c r="P160" s="839">
        <f t="shared" si="91"/>
        <v>0.15</v>
      </c>
      <c r="Q160" s="839">
        <f t="shared" si="92"/>
        <v>0.15</v>
      </c>
      <c r="R160" s="839">
        <f t="shared" si="93"/>
        <v>0</v>
      </c>
      <c r="S160" s="1022">
        <f t="shared" si="94"/>
        <v>0</v>
      </c>
      <c r="T160" s="1021">
        <f>($T$172-$T$124)/($A$172-$A$124)+T124</f>
        <v>0.34653846153846157</v>
      </c>
      <c r="U160" s="839">
        <f t="shared" ref="U160:U171" si="133">$D$16</f>
        <v>0</v>
      </c>
      <c r="V160" s="839">
        <f>($V$172-$V$124)/($A$172-$A$124)+V124</f>
        <v>0.17326923076923079</v>
      </c>
      <c r="W160" s="839">
        <f>($W$172-$W$124)/($A$172-$A$124)+W124</f>
        <v>0.2446153846153846</v>
      </c>
      <c r="X160" s="839">
        <f>($X$172-$X$124)/($A$172-$A$124)+X124</f>
        <v>5.0961538461538461E-2</v>
      </c>
      <c r="Y160" s="1022">
        <f>($Y$172-$Y$124)/($A$172-$A$124)+Y124</f>
        <v>0.18461538461538463</v>
      </c>
      <c r="Z160" s="1194">
        <f>H160*$C$35*G160*$C$10</f>
        <v>11202048.313681155</v>
      </c>
      <c r="AA160" s="936">
        <f t="shared" ref="AA160:AA192" si="134">I160*$C$36*G160*$C$10</f>
        <v>0</v>
      </c>
      <c r="AB160" s="936">
        <f t="shared" ref="AB160:AB192" si="135">J160*$C$37*G160*$C$10</f>
        <v>11202048.313681155</v>
      </c>
      <c r="AC160" s="936">
        <f t="shared" ref="AC160:AC192" si="136">K160*$C$40*G160*$C$10</f>
        <v>6273147.0556614473</v>
      </c>
      <c r="AD160" s="936">
        <f t="shared" ref="AD160:AD192" si="137">L160*$C$41*G160*$C$10</f>
        <v>896163.86509449244</v>
      </c>
      <c r="AE160" s="936">
        <f t="shared" ref="AE160:AE192" si="138">M160*$C$42*G160*$C$10</f>
        <v>0</v>
      </c>
      <c r="AF160" s="1203">
        <f t="shared" ref="AF160:AF192" si="139">SUM(Z160:AE160)</f>
        <v>29573407.548118252</v>
      </c>
      <c r="AG160" s="237">
        <f t="shared" ref="AG160:AG192" si="140">N160*$C$35*G160*$C$11</f>
        <v>0</v>
      </c>
      <c r="AH160" s="238">
        <f t="shared" ref="AH160:AH192" si="141">O160*$C$36*G160*$C$11</f>
        <v>0</v>
      </c>
      <c r="AI160" s="238">
        <f t="shared" ref="AI160:AI192" si="142">P160*$C$37*G160*$C$11</f>
        <v>4827402.0357300006</v>
      </c>
      <c r="AJ160" s="238">
        <f t="shared" ref="AJ160:AJ192" si="143">Q160*$C$38*G160*$C$11</f>
        <v>965480.40714599984</v>
      </c>
      <c r="AK160" s="238">
        <f t="shared" ref="AK160:AK192" si="144">R160*$C$41*G160*$C$11</f>
        <v>0</v>
      </c>
      <c r="AL160" s="238">
        <f t="shared" ref="AL160:AL192" si="145">S160*$C$42*G160*$C$11</f>
        <v>0</v>
      </c>
      <c r="AM160" s="244">
        <f t="shared" ref="AM160:AM192" si="146">SUM(AG160:AL160)</f>
        <v>5792882.442876</v>
      </c>
      <c r="AN160" s="237">
        <f t="shared" ref="AN160:AN192" si="147">T160*$C$35*G160*$C$12</f>
        <v>45539524.03321448</v>
      </c>
      <c r="AO160" s="238">
        <f t="shared" ref="AO160:AO192" si="148">U160*$C$36*G160*$C$12</f>
        <v>0</v>
      </c>
      <c r="AP160" s="238">
        <f t="shared" ref="AP160:AP192" si="149">V160*$C$37*G160*$C$12</f>
        <v>22769762.01660724</v>
      </c>
      <c r="AQ160" s="238">
        <f t="shared" ref="AQ160:AQ192" si="150">W160*$C$39*G160*$C$12</f>
        <v>32145546.376386695</v>
      </c>
      <c r="AR160" s="238">
        <f t="shared" ref="AR160:AR192" si="151">X160*$C$41*G160*$C$12</f>
        <v>1339397.765682779</v>
      </c>
      <c r="AS160" s="238">
        <f t="shared" ref="AS160:AS192" si="152">Y160*$C$42*N160*$C$12</f>
        <v>0</v>
      </c>
      <c r="AT160" s="244">
        <f t="shared" ref="AT160:AT192" si="153">SUM(AN160:AS160)</f>
        <v>101794230.19189118</v>
      </c>
      <c r="AU160" s="256">
        <v>0</v>
      </c>
      <c r="AV160" s="248">
        <f>(AF160+AM160+AT160)/10^6-AU160</f>
        <v>137.16052018288545</v>
      </c>
      <c r="AW160" s="259">
        <f t="shared" ref="AW160:AW192" si="154">((B160*$C$46*$C$47*$C$48*$C$49)-$C$50)*$C$51*$C$52</f>
        <v>2.8960026562367029</v>
      </c>
    </row>
    <row r="161" spans="1:49">
      <c r="A161" s="194">
        <f>'Input data'!A117</f>
        <v>2019</v>
      </c>
      <c r="B161" s="209">
        <f>'Input data'!B117</f>
        <v>58.365000000000002</v>
      </c>
      <c r="C161" s="510">
        <f>'Recycling - Case 2'!E97</f>
        <v>0.75867692307692314</v>
      </c>
      <c r="D161" s="658">
        <f>'Recycling - Case 2'!F97</f>
        <v>0.3015461538461538</v>
      </c>
      <c r="E161" s="237">
        <f t="shared" ref="E161:E191" si="155">B161*$C$4*($C$7*$C$11+$C$8*$C$10+$C$7*$C$12)*10^6</f>
        <v>908422772.06250012</v>
      </c>
      <c r="F161" s="238">
        <v>0</v>
      </c>
      <c r="G161" s="239">
        <f t="shared" si="132"/>
        <v>908422772.06250012</v>
      </c>
      <c r="H161" s="117">
        <f t="shared" ref="H161:H171" si="156">($H$172-$H$124)/($A$172-$A$124)+H160</f>
        <v>0.11420118343195268</v>
      </c>
      <c r="I161" s="118">
        <f t="shared" si="85"/>
        <v>0</v>
      </c>
      <c r="J161" s="118">
        <f t="shared" ref="J161:J171" si="157">($J$172-$J$124)/($A$172-$A$124)+J160</f>
        <v>0.11420118343195268</v>
      </c>
      <c r="K161" s="118">
        <f t="shared" ref="K161:K171" si="158">($K$172-$K$124)/($A$172-$A$124)+K160</f>
        <v>0.31976331360946753</v>
      </c>
      <c r="L161" s="118">
        <f t="shared" ref="L161:L171" si="159">($L$172-$L$124)/($A$172-$A$124)+L160</f>
        <v>4.5680473372781062E-2</v>
      </c>
      <c r="M161" s="206">
        <f t="shared" ref="M161:M171" si="160">($M$172-$M$124)/($A$172-$A$124)+M160</f>
        <v>0.40615384615384609</v>
      </c>
      <c r="N161" s="117">
        <f t="shared" si="118"/>
        <v>0</v>
      </c>
      <c r="O161" s="118">
        <f t="shared" si="90"/>
        <v>0.7</v>
      </c>
      <c r="P161" s="118">
        <f t="shared" si="91"/>
        <v>0.15</v>
      </c>
      <c r="Q161" s="118">
        <f t="shared" si="92"/>
        <v>0.15</v>
      </c>
      <c r="R161" s="118">
        <f t="shared" si="93"/>
        <v>0</v>
      </c>
      <c r="S161" s="206">
        <f t="shared" si="94"/>
        <v>0</v>
      </c>
      <c r="T161" s="117">
        <f t="shared" ref="T161:T171" si="161">($T$172-$T$124)/($A$172-$A$124)+T160</f>
        <v>0.35307692307692312</v>
      </c>
      <c r="U161" s="118">
        <f t="shared" si="133"/>
        <v>0</v>
      </c>
      <c r="V161" s="118">
        <f t="shared" ref="V161:V171" si="162">($V$172-$V$124)/($A$172-$A$124)+V160</f>
        <v>0.17653846153846156</v>
      </c>
      <c r="W161" s="118">
        <f t="shared" ref="W161:W171" si="163">($W$172-$W$124)/($A$172-$A$124)+W160</f>
        <v>0.2492307692307692</v>
      </c>
      <c r="X161" s="118">
        <f t="shared" ref="X161:X171" si="164">($X$172-$X$124)/($A$172-$A$124)+X160</f>
        <v>5.1923076923076919E-2</v>
      </c>
      <c r="Y161" s="206">
        <f t="shared" ref="Y161:Y171" si="165">($Y$172-$Y$124)/($A$172-$A$124)+Y160</f>
        <v>0.16923076923076924</v>
      </c>
      <c r="Z161" s="237">
        <f t="shared" ref="Z161:Z191" si="166">H161*$C$35*G161*$C$10</f>
        <v>12137925.808250485</v>
      </c>
      <c r="AA161" s="238">
        <f t="shared" si="134"/>
        <v>0</v>
      </c>
      <c r="AB161" s="238">
        <f t="shared" si="135"/>
        <v>12137925.808250485</v>
      </c>
      <c r="AC161" s="238">
        <f t="shared" si="136"/>
        <v>6797238.4526202716</v>
      </c>
      <c r="AD161" s="238">
        <f t="shared" si="137"/>
        <v>971034.06466003857</v>
      </c>
      <c r="AE161" s="238">
        <f t="shared" si="138"/>
        <v>0</v>
      </c>
      <c r="AF161" s="1204">
        <f t="shared" si="139"/>
        <v>32044124.13378128</v>
      </c>
      <c r="AG161" s="237">
        <f t="shared" si="140"/>
        <v>0</v>
      </c>
      <c r="AH161" s="238">
        <f t="shared" si="141"/>
        <v>0</v>
      </c>
      <c r="AI161" s="238">
        <f t="shared" si="142"/>
        <v>4905482.969137501</v>
      </c>
      <c r="AJ161" s="238">
        <f t="shared" si="143"/>
        <v>981096.59382750001</v>
      </c>
      <c r="AK161" s="238">
        <f t="shared" si="144"/>
        <v>0</v>
      </c>
      <c r="AL161" s="238">
        <f t="shared" si="145"/>
        <v>0</v>
      </c>
      <c r="AM161" s="244">
        <f t="shared" si="146"/>
        <v>5886579.562965001</v>
      </c>
      <c r="AN161" s="237">
        <f t="shared" si="147"/>
        <v>47149238.230286986</v>
      </c>
      <c r="AO161" s="238">
        <f t="shared" si="148"/>
        <v>0</v>
      </c>
      <c r="AP161" s="238">
        <f t="shared" si="149"/>
        <v>23574619.115143493</v>
      </c>
      <c r="AQ161" s="238">
        <f t="shared" si="150"/>
        <v>33281815.221379038</v>
      </c>
      <c r="AR161" s="238">
        <f t="shared" si="151"/>
        <v>1386742.3008907931</v>
      </c>
      <c r="AS161" s="238">
        <f t="shared" si="152"/>
        <v>0</v>
      </c>
      <c r="AT161" s="244">
        <f t="shared" si="153"/>
        <v>105392414.86770031</v>
      </c>
      <c r="AU161" s="256">
        <v>0</v>
      </c>
      <c r="AV161" s="248">
        <f t="shared" ref="AV161:AV192" si="167">(AF161+AM161+AT161)/10^6-AU161</f>
        <v>143.32311856444659</v>
      </c>
      <c r="AW161" s="259">
        <f t="shared" si="154"/>
        <v>2.9428441226975277</v>
      </c>
    </row>
    <row r="162" spans="1:49">
      <c r="A162" s="194">
        <f>'Input data'!A118</f>
        <v>2020</v>
      </c>
      <c r="B162" s="209">
        <f>'Input data'!B118</f>
        <v>59.308999999999997</v>
      </c>
      <c r="C162" s="510">
        <f>'Recycling - Case 2'!E98</f>
        <v>0.78061538461538471</v>
      </c>
      <c r="D162" s="658">
        <f>'Recycling - Case 2'!F98</f>
        <v>0.30751923076923071</v>
      </c>
      <c r="E162" s="237">
        <f t="shared" si="155"/>
        <v>923115671.86249995</v>
      </c>
      <c r="F162" s="238">
        <v>0</v>
      </c>
      <c r="G162" s="239">
        <f t="shared" si="132"/>
        <v>923115671.86249995</v>
      </c>
      <c r="H162" s="117">
        <f t="shared" si="156"/>
        <v>0.12130177514792902</v>
      </c>
      <c r="I162" s="118">
        <f t="shared" si="85"/>
        <v>0</v>
      </c>
      <c r="J162" s="118">
        <f t="shared" si="157"/>
        <v>0.12130177514792902</v>
      </c>
      <c r="K162" s="118">
        <f t="shared" si="158"/>
        <v>0.33964497041420127</v>
      </c>
      <c r="L162" s="118">
        <f t="shared" si="159"/>
        <v>4.8520710059171593E-2</v>
      </c>
      <c r="M162" s="206">
        <f t="shared" si="160"/>
        <v>0.36923076923076914</v>
      </c>
      <c r="N162" s="117">
        <f t="shared" si="118"/>
        <v>0</v>
      </c>
      <c r="O162" s="118">
        <f t="shared" si="90"/>
        <v>0.7</v>
      </c>
      <c r="P162" s="118">
        <f t="shared" si="91"/>
        <v>0.15</v>
      </c>
      <c r="Q162" s="118">
        <f t="shared" si="92"/>
        <v>0.15</v>
      </c>
      <c r="R162" s="118">
        <f t="shared" si="93"/>
        <v>0</v>
      </c>
      <c r="S162" s="206">
        <f t="shared" si="94"/>
        <v>0</v>
      </c>
      <c r="T162" s="117">
        <f t="shared" si="161"/>
        <v>0.35961538461538467</v>
      </c>
      <c r="U162" s="118">
        <f t="shared" si="133"/>
        <v>0</v>
      </c>
      <c r="V162" s="118">
        <f t="shared" si="162"/>
        <v>0.17980769230769234</v>
      </c>
      <c r="W162" s="118">
        <f t="shared" si="163"/>
        <v>0.25384615384615383</v>
      </c>
      <c r="X162" s="118">
        <f t="shared" si="164"/>
        <v>5.2884615384615377E-2</v>
      </c>
      <c r="Y162" s="206">
        <f t="shared" si="165"/>
        <v>0.15384615384615385</v>
      </c>
      <c r="Z162" s="237">
        <f t="shared" si="166"/>
        <v>13101141.650663944</v>
      </c>
      <c r="AA162" s="238">
        <f t="shared" si="134"/>
        <v>0</v>
      </c>
      <c r="AB162" s="238">
        <f t="shared" si="135"/>
        <v>13101141.650663944</v>
      </c>
      <c r="AC162" s="238">
        <f t="shared" si="136"/>
        <v>7336639.3243718091</v>
      </c>
      <c r="AD162" s="238">
        <f t="shared" si="137"/>
        <v>1048091.3320531152</v>
      </c>
      <c r="AE162" s="238">
        <f t="shared" si="138"/>
        <v>0</v>
      </c>
      <c r="AF162" s="1204">
        <f t="shared" si="139"/>
        <v>34587013.957752816</v>
      </c>
      <c r="AG162" s="237">
        <f t="shared" si="140"/>
        <v>0</v>
      </c>
      <c r="AH162" s="238">
        <f t="shared" si="141"/>
        <v>0</v>
      </c>
      <c r="AI162" s="238">
        <f t="shared" si="142"/>
        <v>4984824.6280574994</v>
      </c>
      <c r="AJ162" s="238">
        <f t="shared" si="143"/>
        <v>996964.92561149981</v>
      </c>
      <c r="AK162" s="238">
        <f t="shared" si="144"/>
        <v>0</v>
      </c>
      <c r="AL162" s="238">
        <f t="shared" si="145"/>
        <v>0</v>
      </c>
      <c r="AM162" s="244">
        <f t="shared" si="146"/>
        <v>5981789.5536689991</v>
      </c>
      <c r="AN162" s="237">
        <f t="shared" si="147"/>
        <v>48799089.81505435</v>
      </c>
      <c r="AO162" s="238">
        <f t="shared" si="148"/>
        <v>0</v>
      </c>
      <c r="AP162" s="238">
        <f t="shared" si="149"/>
        <v>24399544.907527175</v>
      </c>
      <c r="AQ162" s="238">
        <f t="shared" si="150"/>
        <v>34446416.340038359</v>
      </c>
      <c r="AR162" s="238">
        <f t="shared" si="151"/>
        <v>1435267.3475015983</v>
      </c>
      <c r="AS162" s="238">
        <f t="shared" si="152"/>
        <v>0</v>
      </c>
      <c r="AT162" s="244">
        <f t="shared" si="153"/>
        <v>109080318.41012147</v>
      </c>
      <c r="AU162" s="256">
        <v>0</v>
      </c>
      <c r="AV162" s="248">
        <f t="shared" si="167"/>
        <v>149.6491219215433</v>
      </c>
      <c r="AW162" s="259">
        <f t="shared" si="154"/>
        <v>2.9904419099300554</v>
      </c>
    </row>
    <row r="163" spans="1:49">
      <c r="A163" s="194">
        <f>'Input data'!A119</f>
        <v>2021</v>
      </c>
      <c r="B163" s="209">
        <f>'Input data'!B119</f>
        <v>59.991999999999997</v>
      </c>
      <c r="C163" s="510">
        <f>'Recycling - Case 2'!E99</f>
        <v>0.80255384615384628</v>
      </c>
      <c r="D163" s="658">
        <f>'Recycling - Case 2'!F99</f>
        <v>0.31349230769230763</v>
      </c>
      <c r="E163" s="237">
        <f t="shared" si="155"/>
        <v>933746233.9000001</v>
      </c>
      <c r="F163" s="238">
        <v>0</v>
      </c>
      <c r="G163" s="239">
        <f t="shared" si="132"/>
        <v>933746233.9000001</v>
      </c>
      <c r="H163" s="117">
        <f t="shared" si="156"/>
        <v>0.12840236686390535</v>
      </c>
      <c r="I163" s="118">
        <f t="shared" si="85"/>
        <v>0</v>
      </c>
      <c r="J163" s="118">
        <f t="shared" si="157"/>
        <v>0.12840236686390535</v>
      </c>
      <c r="K163" s="118">
        <f t="shared" si="158"/>
        <v>0.35952662721893502</v>
      </c>
      <c r="L163" s="118">
        <f t="shared" si="159"/>
        <v>5.1360946745562124E-2</v>
      </c>
      <c r="M163" s="206">
        <f t="shared" si="160"/>
        <v>0.33230769230769219</v>
      </c>
      <c r="N163" s="117">
        <f t="shared" si="118"/>
        <v>0</v>
      </c>
      <c r="O163" s="118">
        <f t="shared" si="90"/>
        <v>0.7</v>
      </c>
      <c r="P163" s="118">
        <f t="shared" si="91"/>
        <v>0.15</v>
      </c>
      <c r="Q163" s="118">
        <f t="shared" si="92"/>
        <v>0.15</v>
      </c>
      <c r="R163" s="118">
        <f t="shared" si="93"/>
        <v>0</v>
      </c>
      <c r="S163" s="206">
        <f t="shared" si="94"/>
        <v>0</v>
      </c>
      <c r="T163" s="117">
        <f t="shared" si="161"/>
        <v>0.36615384615384622</v>
      </c>
      <c r="U163" s="118">
        <f t="shared" si="133"/>
        <v>0</v>
      </c>
      <c r="V163" s="118">
        <f t="shared" si="162"/>
        <v>0.18307692307692311</v>
      </c>
      <c r="W163" s="118">
        <f t="shared" si="163"/>
        <v>0.25846153846153846</v>
      </c>
      <c r="X163" s="118">
        <f t="shared" si="164"/>
        <v>5.3846153846153835E-2</v>
      </c>
      <c r="Y163" s="206">
        <f t="shared" si="165"/>
        <v>0.13846153846153847</v>
      </c>
      <c r="Z163" s="237">
        <f t="shared" si="166"/>
        <v>14027741.49851308</v>
      </c>
      <c r="AA163" s="238">
        <f t="shared" si="134"/>
        <v>0</v>
      </c>
      <c r="AB163" s="238">
        <f t="shared" si="135"/>
        <v>14027741.49851308</v>
      </c>
      <c r="AC163" s="238">
        <f t="shared" si="136"/>
        <v>7855535.2391673271</v>
      </c>
      <c r="AD163" s="238">
        <f t="shared" si="137"/>
        <v>1122219.3198810462</v>
      </c>
      <c r="AE163" s="238">
        <f t="shared" si="138"/>
        <v>0</v>
      </c>
      <c r="AF163" s="1204">
        <f t="shared" si="139"/>
        <v>37033237.55607453</v>
      </c>
      <c r="AG163" s="237">
        <f t="shared" si="140"/>
        <v>0</v>
      </c>
      <c r="AH163" s="238">
        <f t="shared" si="141"/>
        <v>0</v>
      </c>
      <c r="AI163" s="238">
        <f t="shared" si="142"/>
        <v>5042229.6630600002</v>
      </c>
      <c r="AJ163" s="238">
        <f t="shared" si="143"/>
        <v>1008445.932612</v>
      </c>
      <c r="AK163" s="238">
        <f t="shared" si="144"/>
        <v>0</v>
      </c>
      <c r="AL163" s="238">
        <f t="shared" si="145"/>
        <v>0</v>
      </c>
      <c r="AM163" s="244">
        <f t="shared" si="146"/>
        <v>6050675.5956720002</v>
      </c>
      <c r="AN163" s="237">
        <f t="shared" si="147"/>
        <v>50258531.90650063</v>
      </c>
      <c r="AO163" s="238">
        <f t="shared" si="148"/>
        <v>0</v>
      </c>
      <c r="AP163" s="238">
        <f t="shared" si="149"/>
        <v>25129265.953250315</v>
      </c>
      <c r="AQ163" s="238">
        <f t="shared" si="150"/>
        <v>35476610.757529855</v>
      </c>
      <c r="AR163" s="238">
        <f t="shared" si="151"/>
        <v>1478192.1148970767</v>
      </c>
      <c r="AS163" s="238">
        <f t="shared" si="152"/>
        <v>0</v>
      </c>
      <c r="AT163" s="244">
        <f t="shared" si="153"/>
        <v>112342600.73217787</v>
      </c>
      <c r="AU163" s="256">
        <v>0</v>
      </c>
      <c r="AV163" s="248">
        <f t="shared" si="167"/>
        <v>155.4265138839244</v>
      </c>
      <c r="AW163" s="259">
        <f t="shared" si="154"/>
        <v>3.024879715734945</v>
      </c>
    </row>
    <row r="164" spans="1:49">
      <c r="A164" s="194">
        <f>'Input data'!A120</f>
        <v>2022</v>
      </c>
      <c r="B164" s="209">
        <f>'Input data'!B120</f>
        <v>60.682000000000002</v>
      </c>
      <c r="C164" s="510">
        <f>'Recycling - Case 2'!E100</f>
        <v>0.82449230769230786</v>
      </c>
      <c r="D164" s="658">
        <f>'Recycling - Case 2'!F100</f>
        <v>0.31946538461538454</v>
      </c>
      <c r="E164" s="237">
        <f t="shared" si="155"/>
        <v>944485747.52500021</v>
      </c>
      <c r="F164" s="238">
        <v>0</v>
      </c>
      <c r="G164" s="239">
        <f t="shared" si="132"/>
        <v>944485747.52500021</v>
      </c>
      <c r="H164" s="117">
        <f t="shared" si="156"/>
        <v>0.13550295857988168</v>
      </c>
      <c r="I164" s="118">
        <f t="shared" si="85"/>
        <v>0</v>
      </c>
      <c r="J164" s="118">
        <f t="shared" si="157"/>
        <v>0.13550295857988168</v>
      </c>
      <c r="K164" s="118">
        <f t="shared" si="158"/>
        <v>0.37940828402366877</v>
      </c>
      <c r="L164" s="118">
        <f t="shared" si="159"/>
        <v>5.4201183431952654E-2</v>
      </c>
      <c r="M164" s="206">
        <f t="shared" si="160"/>
        <v>0.29538461538461525</v>
      </c>
      <c r="N164" s="117">
        <f t="shared" si="118"/>
        <v>0</v>
      </c>
      <c r="O164" s="118">
        <f t="shared" si="90"/>
        <v>0.7</v>
      </c>
      <c r="P164" s="118">
        <f t="shared" si="91"/>
        <v>0.15</v>
      </c>
      <c r="Q164" s="118">
        <f t="shared" si="92"/>
        <v>0.15</v>
      </c>
      <c r="R164" s="118">
        <f t="shared" si="93"/>
        <v>0</v>
      </c>
      <c r="S164" s="206">
        <f t="shared" si="94"/>
        <v>0</v>
      </c>
      <c r="T164" s="117">
        <f t="shared" si="161"/>
        <v>0.37269230769230777</v>
      </c>
      <c r="U164" s="118">
        <f t="shared" si="133"/>
        <v>0</v>
      </c>
      <c r="V164" s="118">
        <f t="shared" si="162"/>
        <v>0.18634615384615388</v>
      </c>
      <c r="W164" s="118">
        <f t="shared" si="163"/>
        <v>0.2630769230769231</v>
      </c>
      <c r="X164" s="118">
        <f t="shared" si="164"/>
        <v>5.4807692307692293E-2</v>
      </c>
      <c r="Y164" s="206">
        <f t="shared" si="165"/>
        <v>0.12307692307692308</v>
      </c>
      <c r="Z164" s="237">
        <f t="shared" si="166"/>
        <v>14973731.735761737</v>
      </c>
      <c r="AA164" s="238">
        <f t="shared" si="134"/>
        <v>0</v>
      </c>
      <c r="AB164" s="238">
        <f t="shared" si="135"/>
        <v>14973731.735761737</v>
      </c>
      <c r="AC164" s="238">
        <f t="shared" si="136"/>
        <v>8385289.7720265742</v>
      </c>
      <c r="AD164" s="238">
        <f t="shared" si="137"/>
        <v>1197898.5388609385</v>
      </c>
      <c r="AE164" s="238">
        <f t="shared" si="138"/>
        <v>0</v>
      </c>
      <c r="AF164" s="1204">
        <f t="shared" si="139"/>
        <v>39530651.782410987</v>
      </c>
      <c r="AG164" s="237">
        <f t="shared" si="140"/>
        <v>0</v>
      </c>
      <c r="AH164" s="238">
        <f t="shared" si="141"/>
        <v>0</v>
      </c>
      <c r="AI164" s="238">
        <f t="shared" si="142"/>
        <v>5100223.0366350012</v>
      </c>
      <c r="AJ164" s="238">
        <f t="shared" si="143"/>
        <v>1020044.6073270001</v>
      </c>
      <c r="AK164" s="238">
        <f t="shared" si="144"/>
        <v>0</v>
      </c>
      <c r="AL164" s="238">
        <f t="shared" si="145"/>
        <v>0</v>
      </c>
      <c r="AM164" s="244">
        <f t="shared" si="146"/>
        <v>6120267.6439620014</v>
      </c>
      <c r="AN164" s="237">
        <f t="shared" si="147"/>
        <v>51744378.20565524</v>
      </c>
      <c r="AO164" s="238">
        <f t="shared" si="148"/>
        <v>0</v>
      </c>
      <c r="AP164" s="238">
        <f t="shared" si="149"/>
        <v>25872189.10282762</v>
      </c>
      <c r="AQ164" s="238">
        <f t="shared" si="150"/>
        <v>36525443.439286046</v>
      </c>
      <c r="AR164" s="238">
        <f t="shared" si="151"/>
        <v>1521893.476636918</v>
      </c>
      <c r="AS164" s="238">
        <f t="shared" si="152"/>
        <v>0</v>
      </c>
      <c r="AT164" s="244">
        <f t="shared" si="153"/>
        <v>115663904.22440583</v>
      </c>
      <c r="AU164" s="256">
        <v>0</v>
      </c>
      <c r="AV164" s="248">
        <f t="shared" si="167"/>
        <v>161.31482365077883</v>
      </c>
      <c r="AW164" s="259">
        <f t="shared" si="154"/>
        <v>3.0596704712332969</v>
      </c>
    </row>
    <row r="165" spans="1:49">
      <c r="A165" s="194">
        <f>'Input data'!A121</f>
        <v>2023</v>
      </c>
      <c r="B165" s="209">
        <f>'Input data'!B121</f>
        <v>61.381</v>
      </c>
      <c r="C165" s="510">
        <f>'Recycling - Case 2'!E101</f>
        <v>0.84643076923076943</v>
      </c>
      <c r="D165" s="658">
        <f>'Recycling - Case 2'!F101</f>
        <v>0.32543846153846145</v>
      </c>
      <c r="E165" s="237">
        <f t="shared" si="155"/>
        <v>955365341.76250005</v>
      </c>
      <c r="F165" s="238">
        <v>0</v>
      </c>
      <c r="G165" s="239">
        <f t="shared" si="132"/>
        <v>955365341.76250005</v>
      </c>
      <c r="H165" s="117">
        <f t="shared" si="156"/>
        <v>0.142603550295858</v>
      </c>
      <c r="I165" s="118">
        <f t="shared" si="85"/>
        <v>0</v>
      </c>
      <c r="J165" s="118">
        <f t="shared" si="157"/>
        <v>0.142603550295858</v>
      </c>
      <c r="K165" s="118">
        <f t="shared" si="158"/>
        <v>0.39928994082840252</v>
      </c>
      <c r="L165" s="118">
        <f t="shared" si="159"/>
        <v>5.7041420118343185E-2</v>
      </c>
      <c r="M165" s="206">
        <f t="shared" si="160"/>
        <v>0.2584615384615383</v>
      </c>
      <c r="N165" s="117">
        <f t="shared" si="118"/>
        <v>0</v>
      </c>
      <c r="O165" s="118">
        <f t="shared" si="90"/>
        <v>0.7</v>
      </c>
      <c r="P165" s="118">
        <f t="shared" si="91"/>
        <v>0.15</v>
      </c>
      <c r="Q165" s="118">
        <f t="shared" si="92"/>
        <v>0.15</v>
      </c>
      <c r="R165" s="118">
        <f t="shared" si="93"/>
        <v>0</v>
      </c>
      <c r="S165" s="206">
        <f t="shared" si="94"/>
        <v>0</v>
      </c>
      <c r="T165" s="117">
        <f t="shared" si="161"/>
        <v>0.37923076923076932</v>
      </c>
      <c r="U165" s="118">
        <f t="shared" si="133"/>
        <v>0</v>
      </c>
      <c r="V165" s="118">
        <f t="shared" si="162"/>
        <v>0.18961538461538466</v>
      </c>
      <c r="W165" s="118">
        <f t="shared" si="163"/>
        <v>0.26769230769230773</v>
      </c>
      <c r="X165" s="118">
        <f t="shared" si="164"/>
        <v>5.5769230769230752E-2</v>
      </c>
      <c r="Y165" s="206">
        <f t="shared" si="165"/>
        <v>0.1076923076923077</v>
      </c>
      <c r="Z165" s="237">
        <f t="shared" si="166"/>
        <v>15939903.279098943</v>
      </c>
      <c r="AA165" s="238">
        <f t="shared" si="134"/>
        <v>0</v>
      </c>
      <c r="AB165" s="238">
        <f t="shared" si="135"/>
        <v>15939903.279098943</v>
      </c>
      <c r="AC165" s="238">
        <f t="shared" si="136"/>
        <v>8926345.8362954129</v>
      </c>
      <c r="AD165" s="238">
        <f t="shared" si="137"/>
        <v>1275192.2623279151</v>
      </c>
      <c r="AE165" s="238">
        <f t="shared" si="138"/>
        <v>0</v>
      </c>
      <c r="AF165" s="1204">
        <f t="shared" si="139"/>
        <v>42081344.656821214</v>
      </c>
      <c r="AG165" s="237">
        <f t="shared" si="140"/>
        <v>0</v>
      </c>
      <c r="AH165" s="238">
        <f t="shared" si="141"/>
        <v>0</v>
      </c>
      <c r="AI165" s="238">
        <f t="shared" si="142"/>
        <v>5158972.8455175003</v>
      </c>
      <c r="AJ165" s="238">
        <f t="shared" si="143"/>
        <v>1031794.5691034999</v>
      </c>
      <c r="AK165" s="238">
        <f t="shared" si="144"/>
        <v>0</v>
      </c>
      <c r="AL165" s="238">
        <f t="shared" si="145"/>
        <v>0</v>
      </c>
      <c r="AM165" s="244">
        <f t="shared" si="146"/>
        <v>6190767.4146210002</v>
      </c>
      <c r="AN165" s="237">
        <f t="shared" si="147"/>
        <v>53258678.217592418</v>
      </c>
      <c r="AO165" s="238">
        <f t="shared" si="148"/>
        <v>0</v>
      </c>
      <c r="AP165" s="238">
        <f t="shared" si="149"/>
        <v>26629339.108796209</v>
      </c>
      <c r="AQ165" s="238">
        <f t="shared" si="150"/>
        <v>37594361.094771124</v>
      </c>
      <c r="AR165" s="238">
        <f t="shared" si="151"/>
        <v>1566431.7122821293</v>
      </c>
      <c r="AS165" s="238">
        <f t="shared" si="152"/>
        <v>0</v>
      </c>
      <c r="AT165" s="244">
        <f t="shared" si="153"/>
        <v>119048810.13344188</v>
      </c>
      <c r="AU165" s="256">
        <v>0</v>
      </c>
      <c r="AV165" s="248">
        <f t="shared" si="167"/>
        <v>167.32092220488411</v>
      </c>
      <c r="AW165" s="259">
        <f t="shared" si="154"/>
        <v>3.0949150191946715</v>
      </c>
    </row>
    <row r="166" spans="1:49">
      <c r="A166" s="194">
        <f>'Input data'!A122</f>
        <v>2024</v>
      </c>
      <c r="B166" s="209">
        <f>'Input data'!B122</f>
        <v>62.088000000000001</v>
      </c>
      <c r="C166" s="510">
        <f>'Recycling - Case 2'!E102</f>
        <v>0.868369230769231</v>
      </c>
      <c r="D166" s="658">
        <f>'Recycling - Case 2'!F102</f>
        <v>0.33141153846153837</v>
      </c>
      <c r="E166" s="237">
        <f t="shared" si="155"/>
        <v>966369452.10000014</v>
      </c>
      <c r="F166" s="238">
        <v>0</v>
      </c>
      <c r="G166" s="239">
        <f t="shared" si="132"/>
        <v>966369452.10000014</v>
      </c>
      <c r="H166" s="117">
        <f t="shared" si="156"/>
        <v>0.14970414201183432</v>
      </c>
      <c r="I166" s="118">
        <f t="shared" si="85"/>
        <v>0</v>
      </c>
      <c r="J166" s="118">
        <f t="shared" si="157"/>
        <v>0.14970414201183432</v>
      </c>
      <c r="K166" s="118">
        <f t="shared" si="158"/>
        <v>0.41917159763313627</v>
      </c>
      <c r="L166" s="118">
        <f t="shared" si="159"/>
        <v>5.9881656804733716E-2</v>
      </c>
      <c r="M166" s="206">
        <f t="shared" si="160"/>
        <v>0.22153846153846138</v>
      </c>
      <c r="N166" s="117">
        <f t="shared" si="118"/>
        <v>0</v>
      </c>
      <c r="O166" s="118">
        <f t="shared" si="90"/>
        <v>0.7</v>
      </c>
      <c r="P166" s="118">
        <f t="shared" si="91"/>
        <v>0.15</v>
      </c>
      <c r="Q166" s="118">
        <f t="shared" si="92"/>
        <v>0.15</v>
      </c>
      <c r="R166" s="118">
        <f t="shared" si="93"/>
        <v>0</v>
      </c>
      <c r="S166" s="206">
        <f t="shared" si="94"/>
        <v>0</v>
      </c>
      <c r="T166" s="117">
        <f t="shared" si="161"/>
        <v>0.38576923076923086</v>
      </c>
      <c r="U166" s="118">
        <f t="shared" si="133"/>
        <v>0</v>
      </c>
      <c r="V166" s="118">
        <f t="shared" si="162"/>
        <v>0.19288461538461543</v>
      </c>
      <c r="W166" s="118">
        <f t="shared" si="163"/>
        <v>0.27230769230769236</v>
      </c>
      <c r="X166" s="118">
        <f t="shared" si="164"/>
        <v>5.673076923076921E-2</v>
      </c>
      <c r="Y166" s="206">
        <f t="shared" si="165"/>
        <v>9.2307692307692313E-2</v>
      </c>
      <c r="Z166" s="237">
        <f t="shared" si="166"/>
        <v>16926332.634090006</v>
      </c>
      <c r="AA166" s="238">
        <f t="shared" si="134"/>
        <v>0</v>
      </c>
      <c r="AB166" s="238">
        <f t="shared" si="135"/>
        <v>16926332.634090006</v>
      </c>
      <c r="AC166" s="238">
        <f t="shared" si="136"/>
        <v>9478746.2750904057</v>
      </c>
      <c r="AD166" s="238">
        <f t="shared" si="137"/>
        <v>1354106.6107272001</v>
      </c>
      <c r="AE166" s="238">
        <f t="shared" si="138"/>
        <v>0</v>
      </c>
      <c r="AF166" s="1204">
        <f t="shared" si="139"/>
        <v>44685518.153997615</v>
      </c>
      <c r="AG166" s="237">
        <f t="shared" si="140"/>
        <v>0</v>
      </c>
      <c r="AH166" s="238">
        <f t="shared" si="141"/>
        <v>0</v>
      </c>
      <c r="AI166" s="238">
        <f t="shared" si="142"/>
        <v>5218395.04134</v>
      </c>
      <c r="AJ166" s="238">
        <f t="shared" si="143"/>
        <v>1043679.008268</v>
      </c>
      <c r="AK166" s="238">
        <f t="shared" si="144"/>
        <v>0</v>
      </c>
      <c r="AL166" s="238">
        <f t="shared" si="145"/>
        <v>0</v>
      </c>
      <c r="AM166" s="244">
        <f t="shared" si="146"/>
        <v>6262074.0496079996</v>
      </c>
      <c r="AN166" s="237">
        <f t="shared" si="147"/>
        <v>54800953.225798517</v>
      </c>
      <c r="AO166" s="238">
        <f t="shared" si="148"/>
        <v>0</v>
      </c>
      <c r="AP166" s="238">
        <f t="shared" si="149"/>
        <v>27400476.612899259</v>
      </c>
      <c r="AQ166" s="238">
        <f t="shared" si="150"/>
        <v>38683025.806446008</v>
      </c>
      <c r="AR166" s="238">
        <f t="shared" si="151"/>
        <v>1611792.7419352494</v>
      </c>
      <c r="AS166" s="238">
        <f t="shared" si="152"/>
        <v>0</v>
      </c>
      <c r="AT166" s="244">
        <f t="shared" si="153"/>
        <v>122496248.38707903</v>
      </c>
      <c r="AU166" s="256">
        <v>0</v>
      </c>
      <c r="AV166" s="248">
        <f t="shared" si="167"/>
        <v>173.44384059068466</v>
      </c>
      <c r="AW166" s="259">
        <f t="shared" si="154"/>
        <v>3.1305629382342866</v>
      </c>
    </row>
    <row r="167" spans="1:49">
      <c r="A167" s="194">
        <f>'Input data'!A123</f>
        <v>2025</v>
      </c>
      <c r="B167" s="209">
        <f>'Input data'!B123</f>
        <v>62.802999999999997</v>
      </c>
      <c r="C167" s="510">
        <f>'Recycling - Case 2'!E103</f>
        <v>0.89030769230769258</v>
      </c>
      <c r="D167" s="658">
        <f>'Recycling - Case 2'!F103</f>
        <v>0.33738461538461528</v>
      </c>
      <c r="E167" s="237">
        <f t="shared" si="155"/>
        <v>977498078.53750014</v>
      </c>
      <c r="F167" s="238">
        <v>0</v>
      </c>
      <c r="G167" s="239">
        <f t="shared" si="132"/>
        <v>977498078.53750014</v>
      </c>
      <c r="H167" s="117">
        <f t="shared" si="156"/>
        <v>0.15680473372781065</v>
      </c>
      <c r="I167" s="118">
        <f t="shared" si="85"/>
        <v>0</v>
      </c>
      <c r="J167" s="118">
        <f t="shared" si="157"/>
        <v>0.15680473372781065</v>
      </c>
      <c r="K167" s="118">
        <f t="shared" si="158"/>
        <v>0.43905325443787002</v>
      </c>
      <c r="L167" s="118">
        <f t="shared" si="159"/>
        <v>6.2721893491124253E-2</v>
      </c>
      <c r="M167" s="206">
        <f t="shared" si="160"/>
        <v>0.18461538461538446</v>
      </c>
      <c r="N167" s="117">
        <f t="shared" si="118"/>
        <v>0</v>
      </c>
      <c r="O167" s="118">
        <f t="shared" si="90"/>
        <v>0.7</v>
      </c>
      <c r="P167" s="118">
        <f t="shared" si="91"/>
        <v>0.15</v>
      </c>
      <c r="Q167" s="118">
        <f t="shared" si="92"/>
        <v>0.15</v>
      </c>
      <c r="R167" s="118">
        <f t="shared" si="93"/>
        <v>0</v>
      </c>
      <c r="S167" s="206">
        <f t="shared" si="94"/>
        <v>0</v>
      </c>
      <c r="T167" s="117">
        <f t="shared" si="161"/>
        <v>0.39230769230769241</v>
      </c>
      <c r="U167" s="118">
        <f t="shared" si="133"/>
        <v>0</v>
      </c>
      <c r="V167" s="118">
        <f t="shared" si="162"/>
        <v>0.19615384615384621</v>
      </c>
      <c r="W167" s="118">
        <f t="shared" si="163"/>
        <v>0.27692307692307699</v>
      </c>
      <c r="X167" s="118">
        <f t="shared" si="164"/>
        <v>5.7692307692307668E-2</v>
      </c>
      <c r="Y167" s="206">
        <f t="shared" si="165"/>
        <v>7.6923076923076927E-2</v>
      </c>
      <c r="Z167" s="237">
        <f t="shared" si="166"/>
        <v>17933330.13316875</v>
      </c>
      <c r="AA167" s="238">
        <f t="shared" si="134"/>
        <v>0</v>
      </c>
      <c r="AB167" s="238">
        <f t="shared" si="135"/>
        <v>17933330.13316875</v>
      </c>
      <c r="AC167" s="238">
        <f t="shared" si="136"/>
        <v>10042664.874574507</v>
      </c>
      <c r="AD167" s="238">
        <f t="shared" si="137"/>
        <v>1434666.4106535001</v>
      </c>
      <c r="AE167" s="238">
        <f t="shared" si="138"/>
        <v>0</v>
      </c>
      <c r="AF167" s="1204">
        <f t="shared" si="139"/>
        <v>47343991.551565506</v>
      </c>
      <c r="AG167" s="237">
        <f t="shared" si="140"/>
        <v>0</v>
      </c>
      <c r="AH167" s="238">
        <f t="shared" si="141"/>
        <v>0</v>
      </c>
      <c r="AI167" s="238">
        <f t="shared" si="142"/>
        <v>5278489.6241025003</v>
      </c>
      <c r="AJ167" s="238">
        <f t="shared" si="143"/>
        <v>1055697.9248205002</v>
      </c>
      <c r="AK167" s="238">
        <f t="shared" si="144"/>
        <v>0</v>
      </c>
      <c r="AL167" s="238">
        <f t="shared" si="145"/>
        <v>0</v>
      </c>
      <c r="AM167" s="244">
        <f t="shared" si="146"/>
        <v>6334187.5489230007</v>
      </c>
      <c r="AN167" s="237">
        <f t="shared" si="147"/>
        <v>56371562.26765877</v>
      </c>
      <c r="AO167" s="238">
        <f t="shared" si="148"/>
        <v>0</v>
      </c>
      <c r="AP167" s="238">
        <f t="shared" si="149"/>
        <v>28185781.133829385</v>
      </c>
      <c r="AQ167" s="238">
        <f t="shared" si="150"/>
        <v>39791691.012465015</v>
      </c>
      <c r="AR167" s="238">
        <f t="shared" si="151"/>
        <v>1657987.1255193744</v>
      </c>
      <c r="AS167" s="238">
        <f t="shared" si="152"/>
        <v>0</v>
      </c>
      <c r="AT167" s="244">
        <f t="shared" si="153"/>
        <v>126007021.53947255</v>
      </c>
      <c r="AU167" s="256">
        <v>0</v>
      </c>
      <c r="AV167" s="248">
        <f t="shared" si="167"/>
        <v>179.68520063996107</v>
      </c>
      <c r="AW167" s="259">
        <f t="shared" si="154"/>
        <v>3.166614228352143</v>
      </c>
    </row>
    <row r="168" spans="1:49">
      <c r="A168" s="194">
        <f>'Input data'!A124</f>
        <v>2026</v>
      </c>
      <c r="B168" s="209">
        <f>'Input data'!B124</f>
        <v>63.420999999999999</v>
      </c>
      <c r="C168" s="510">
        <f>'Recycling - Case 2'!E104</f>
        <v>0.91224615384615415</v>
      </c>
      <c r="D168" s="658">
        <f>'Recycling - Case 2'!F104</f>
        <v>0.3433576923076922</v>
      </c>
      <c r="E168" s="237">
        <f t="shared" si="155"/>
        <v>987116947.26250017</v>
      </c>
      <c r="F168" s="238">
        <v>0</v>
      </c>
      <c r="G168" s="239">
        <f t="shared" si="132"/>
        <v>987116947.26250017</v>
      </c>
      <c r="H168" s="117">
        <f t="shared" si="156"/>
        <v>0.16390532544378697</v>
      </c>
      <c r="I168" s="118">
        <f t="shared" si="85"/>
        <v>0</v>
      </c>
      <c r="J168" s="118">
        <f t="shared" si="157"/>
        <v>0.16390532544378697</v>
      </c>
      <c r="K168" s="118">
        <f t="shared" si="158"/>
        <v>0.45893491124260377</v>
      </c>
      <c r="L168" s="118">
        <f t="shared" si="159"/>
        <v>6.5562130177514791E-2</v>
      </c>
      <c r="M168" s="206">
        <f t="shared" si="160"/>
        <v>0.14769230769230754</v>
      </c>
      <c r="N168" s="117">
        <f t="shared" si="118"/>
        <v>0</v>
      </c>
      <c r="O168" s="118">
        <f t="shared" si="90"/>
        <v>0.7</v>
      </c>
      <c r="P168" s="118">
        <f t="shared" si="91"/>
        <v>0.15</v>
      </c>
      <c r="Q168" s="118">
        <f t="shared" si="92"/>
        <v>0.15</v>
      </c>
      <c r="R168" s="118">
        <f t="shared" si="93"/>
        <v>0</v>
      </c>
      <c r="S168" s="206">
        <f t="shared" si="94"/>
        <v>0</v>
      </c>
      <c r="T168" s="117">
        <f t="shared" si="161"/>
        <v>0.39884615384615396</v>
      </c>
      <c r="U168" s="118">
        <f t="shared" si="133"/>
        <v>0</v>
      </c>
      <c r="V168" s="118">
        <f t="shared" si="162"/>
        <v>0.19942307692307698</v>
      </c>
      <c r="W168" s="118">
        <f t="shared" si="163"/>
        <v>0.28153846153846163</v>
      </c>
      <c r="X168" s="118">
        <f t="shared" si="164"/>
        <v>5.8653846153846126E-2</v>
      </c>
      <c r="Y168" s="206">
        <f t="shared" si="165"/>
        <v>6.1538461538461542E-2</v>
      </c>
      <c r="Z168" s="237">
        <f t="shared" si="166"/>
        <v>18929865.765580099</v>
      </c>
      <c r="AA168" s="238">
        <f t="shared" si="134"/>
        <v>0</v>
      </c>
      <c r="AB168" s="238">
        <f t="shared" si="135"/>
        <v>18929865.765580099</v>
      </c>
      <c r="AC168" s="238">
        <f t="shared" si="136"/>
        <v>10600724.828724861</v>
      </c>
      <c r="AD168" s="238">
        <f t="shared" si="137"/>
        <v>1514389.2612464079</v>
      </c>
      <c r="AE168" s="238">
        <f t="shared" si="138"/>
        <v>0</v>
      </c>
      <c r="AF168" s="1204">
        <f t="shared" si="139"/>
        <v>49974845.621131465</v>
      </c>
      <c r="AG168" s="237">
        <f t="shared" si="140"/>
        <v>0</v>
      </c>
      <c r="AH168" s="238">
        <f t="shared" si="141"/>
        <v>0</v>
      </c>
      <c r="AI168" s="238">
        <f t="shared" si="142"/>
        <v>5330431.5152174998</v>
      </c>
      <c r="AJ168" s="238">
        <f t="shared" si="143"/>
        <v>1066086.3030435001</v>
      </c>
      <c r="AK168" s="238">
        <f t="shared" si="144"/>
        <v>0</v>
      </c>
      <c r="AL168" s="238">
        <f t="shared" si="145"/>
        <v>0</v>
      </c>
      <c r="AM168" s="244">
        <f t="shared" si="146"/>
        <v>6396517.8182609994</v>
      </c>
      <c r="AN168" s="237">
        <f t="shared" si="147"/>
        <v>57875046.278364733</v>
      </c>
      <c r="AO168" s="238">
        <f t="shared" si="148"/>
        <v>0</v>
      </c>
      <c r="AP168" s="238">
        <f t="shared" si="149"/>
        <v>28937523.139182366</v>
      </c>
      <c r="AQ168" s="238">
        <f t="shared" si="150"/>
        <v>40852973.843551576</v>
      </c>
      <c r="AR168" s="238">
        <f t="shared" si="151"/>
        <v>1702207.2434813143</v>
      </c>
      <c r="AS168" s="238">
        <f t="shared" si="152"/>
        <v>0</v>
      </c>
      <c r="AT168" s="244">
        <f t="shared" si="153"/>
        <v>129367750.50457999</v>
      </c>
      <c r="AU168" s="256">
        <v>0</v>
      </c>
      <c r="AV168" s="248">
        <f t="shared" si="167"/>
        <v>185.73911394397246</v>
      </c>
      <c r="AW168" s="259">
        <f t="shared" si="154"/>
        <v>3.1977746441463193</v>
      </c>
    </row>
    <row r="169" spans="1:49">
      <c r="A169" s="194">
        <f>'Input data'!A125</f>
        <v>2027</v>
      </c>
      <c r="B169" s="209">
        <f>'Input data'!B125</f>
        <v>64.046000000000006</v>
      </c>
      <c r="C169" s="510">
        <f>'Recycling - Case 2'!E105</f>
        <v>0.93418461538461572</v>
      </c>
      <c r="D169" s="658">
        <f>'Recycling - Case 2'!F105</f>
        <v>0.34933076923076911</v>
      </c>
      <c r="E169" s="237">
        <f t="shared" si="155"/>
        <v>996844767.57500017</v>
      </c>
      <c r="F169" s="238">
        <v>0</v>
      </c>
      <c r="G169" s="239">
        <f t="shared" si="132"/>
        <v>996844767.57500017</v>
      </c>
      <c r="H169" s="117">
        <f t="shared" si="156"/>
        <v>0.17100591715976329</v>
      </c>
      <c r="I169" s="118">
        <f t="shared" si="85"/>
        <v>0</v>
      </c>
      <c r="J169" s="118">
        <f t="shared" si="157"/>
        <v>0.17100591715976329</v>
      </c>
      <c r="K169" s="118">
        <f t="shared" si="158"/>
        <v>0.47881656804733752</v>
      </c>
      <c r="L169" s="118">
        <f t="shared" si="159"/>
        <v>6.8402366863905328E-2</v>
      </c>
      <c r="M169" s="206">
        <f t="shared" si="160"/>
        <v>0.11076923076923062</v>
      </c>
      <c r="N169" s="117">
        <f t="shared" si="118"/>
        <v>0</v>
      </c>
      <c r="O169" s="118">
        <f t="shared" si="90"/>
        <v>0.7</v>
      </c>
      <c r="P169" s="118">
        <f t="shared" si="91"/>
        <v>0.15</v>
      </c>
      <c r="Q169" s="118">
        <f t="shared" si="92"/>
        <v>0.15</v>
      </c>
      <c r="R169" s="118">
        <f t="shared" si="93"/>
        <v>0</v>
      </c>
      <c r="S169" s="206">
        <f t="shared" si="94"/>
        <v>0</v>
      </c>
      <c r="T169" s="117">
        <f t="shared" si="161"/>
        <v>0.40538461538461551</v>
      </c>
      <c r="U169" s="118">
        <f t="shared" si="133"/>
        <v>0</v>
      </c>
      <c r="V169" s="118">
        <f t="shared" si="162"/>
        <v>0.20269230769230775</v>
      </c>
      <c r="W169" s="118">
        <f t="shared" si="163"/>
        <v>0.28615384615384626</v>
      </c>
      <c r="X169" s="118">
        <f t="shared" si="164"/>
        <v>5.9615384615384584E-2</v>
      </c>
      <c r="Y169" s="206">
        <f t="shared" si="165"/>
        <v>4.6153846153846156E-2</v>
      </c>
      <c r="Z169" s="237">
        <f t="shared" si="166"/>
        <v>19944563.388173655</v>
      </c>
      <c r="AA169" s="238">
        <f t="shared" si="134"/>
        <v>0</v>
      </c>
      <c r="AB169" s="238">
        <f t="shared" si="135"/>
        <v>19944563.388173655</v>
      </c>
      <c r="AC169" s="238">
        <f t="shared" si="136"/>
        <v>11168955.497377254</v>
      </c>
      <c r="AD169" s="238">
        <f t="shared" si="137"/>
        <v>1595565.0710538928</v>
      </c>
      <c r="AE169" s="238">
        <f t="shared" si="138"/>
        <v>0</v>
      </c>
      <c r="AF169" s="1204">
        <f t="shared" si="139"/>
        <v>52653647.344778456</v>
      </c>
      <c r="AG169" s="237">
        <f t="shared" si="140"/>
        <v>0</v>
      </c>
      <c r="AH169" s="238">
        <f t="shared" si="141"/>
        <v>0</v>
      </c>
      <c r="AI169" s="238">
        <f t="shared" si="142"/>
        <v>5382961.7449050006</v>
      </c>
      <c r="AJ169" s="238">
        <f t="shared" si="143"/>
        <v>1076592.348981</v>
      </c>
      <c r="AK169" s="238">
        <f t="shared" si="144"/>
        <v>0</v>
      </c>
      <c r="AL169" s="238">
        <f t="shared" si="145"/>
        <v>0</v>
      </c>
      <c r="AM169" s="244">
        <f t="shared" si="146"/>
        <v>6459554.093886001</v>
      </c>
      <c r="AN169" s="237">
        <f t="shared" si="147"/>
        <v>59403513.307129003</v>
      </c>
      <c r="AO169" s="238">
        <f t="shared" si="148"/>
        <v>0</v>
      </c>
      <c r="AP169" s="238">
        <f t="shared" si="149"/>
        <v>29701756.653564502</v>
      </c>
      <c r="AQ169" s="238">
        <f t="shared" si="150"/>
        <v>41931891.74620872</v>
      </c>
      <c r="AR169" s="238">
        <f t="shared" si="151"/>
        <v>1747162.1560920281</v>
      </c>
      <c r="AS169" s="238">
        <f t="shared" si="152"/>
        <v>0</v>
      </c>
      <c r="AT169" s="244">
        <f t="shared" si="153"/>
        <v>132784323.86299427</v>
      </c>
      <c r="AU169" s="256">
        <v>0</v>
      </c>
      <c r="AV169" s="248">
        <f t="shared" si="167"/>
        <v>191.89752530165873</v>
      </c>
      <c r="AW169" s="259">
        <f t="shared" si="154"/>
        <v>3.2292880096339567</v>
      </c>
    </row>
    <row r="170" spans="1:49">
      <c r="A170" s="194">
        <f>'Input data'!A126</f>
        <v>2028</v>
      </c>
      <c r="B170" s="209">
        <f>'Input data'!B126</f>
        <v>64.676000000000002</v>
      </c>
      <c r="C170" s="510">
        <f>'Recycling - Case 2'!E106</f>
        <v>0.9561230769230773</v>
      </c>
      <c r="D170" s="658">
        <f>'Recycling - Case 2'!F106</f>
        <v>0.35530384615384603</v>
      </c>
      <c r="E170" s="237">
        <f t="shared" si="155"/>
        <v>1006650410.4500002</v>
      </c>
      <c r="F170" s="238">
        <v>0</v>
      </c>
      <c r="G170" s="239">
        <f t="shared" si="132"/>
        <v>1006650410.4500002</v>
      </c>
      <c r="H170" s="117">
        <f t="shared" si="156"/>
        <v>0.17810650887573962</v>
      </c>
      <c r="I170" s="118">
        <f t="shared" si="85"/>
        <v>0</v>
      </c>
      <c r="J170" s="118">
        <f t="shared" si="157"/>
        <v>0.17810650887573962</v>
      </c>
      <c r="K170" s="118">
        <f t="shared" si="158"/>
        <v>0.49869822485207127</v>
      </c>
      <c r="L170" s="118">
        <f t="shared" si="159"/>
        <v>7.1242603550295866E-2</v>
      </c>
      <c r="M170" s="206">
        <f t="shared" si="160"/>
        <v>7.38461538461537E-2</v>
      </c>
      <c r="N170" s="117">
        <f t="shared" si="118"/>
        <v>0</v>
      </c>
      <c r="O170" s="118">
        <f t="shared" si="90"/>
        <v>0.7</v>
      </c>
      <c r="P170" s="118">
        <f t="shared" si="91"/>
        <v>0.15</v>
      </c>
      <c r="Q170" s="118">
        <f t="shared" si="92"/>
        <v>0.15</v>
      </c>
      <c r="R170" s="118">
        <f t="shared" si="93"/>
        <v>0</v>
      </c>
      <c r="S170" s="206">
        <f t="shared" si="94"/>
        <v>0</v>
      </c>
      <c r="T170" s="117">
        <f t="shared" si="161"/>
        <v>0.41192307692307706</v>
      </c>
      <c r="U170" s="118">
        <f t="shared" si="133"/>
        <v>0</v>
      </c>
      <c r="V170" s="118">
        <f t="shared" si="162"/>
        <v>0.20596153846153853</v>
      </c>
      <c r="W170" s="118">
        <f t="shared" si="163"/>
        <v>0.29076923076923089</v>
      </c>
      <c r="X170" s="118">
        <f t="shared" si="164"/>
        <v>6.0576923076923042E-2</v>
      </c>
      <c r="Y170" s="206">
        <f t="shared" si="165"/>
        <v>3.0769230769230771E-2</v>
      </c>
      <c r="Z170" s="237">
        <f t="shared" si="166"/>
        <v>20977045.860838849</v>
      </c>
      <c r="AA170" s="238">
        <f t="shared" si="134"/>
        <v>0</v>
      </c>
      <c r="AB170" s="238">
        <f t="shared" si="135"/>
        <v>20977045.860838849</v>
      </c>
      <c r="AC170" s="238">
        <f t="shared" si="136"/>
        <v>11747145.682069762</v>
      </c>
      <c r="AD170" s="238">
        <f t="shared" si="137"/>
        <v>1678163.6688671082</v>
      </c>
      <c r="AE170" s="238">
        <f t="shared" si="138"/>
        <v>0</v>
      </c>
      <c r="AF170" s="1204">
        <f t="shared" si="139"/>
        <v>55379401.072614573</v>
      </c>
      <c r="AG170" s="237">
        <f t="shared" si="140"/>
        <v>0</v>
      </c>
      <c r="AH170" s="238">
        <f t="shared" si="141"/>
        <v>0</v>
      </c>
      <c r="AI170" s="238">
        <f t="shared" si="142"/>
        <v>5435912.21643</v>
      </c>
      <c r="AJ170" s="238">
        <f t="shared" si="143"/>
        <v>1087182.4432860001</v>
      </c>
      <c r="AK170" s="238">
        <f t="shared" si="144"/>
        <v>0</v>
      </c>
      <c r="AL170" s="238">
        <f t="shared" si="145"/>
        <v>0</v>
      </c>
      <c r="AM170" s="244">
        <f t="shared" si="146"/>
        <v>6523094.6597159998</v>
      </c>
      <c r="AN170" s="237">
        <f t="shared" si="147"/>
        <v>60955392.565391041</v>
      </c>
      <c r="AO170" s="238">
        <f t="shared" si="148"/>
        <v>0</v>
      </c>
      <c r="AP170" s="238">
        <f t="shared" si="149"/>
        <v>30477696.282695521</v>
      </c>
      <c r="AQ170" s="238">
        <f t="shared" si="150"/>
        <v>43027335.928511336</v>
      </c>
      <c r="AR170" s="238">
        <f t="shared" si="151"/>
        <v>1792805.6636879703</v>
      </c>
      <c r="AS170" s="238">
        <f t="shared" si="152"/>
        <v>0</v>
      </c>
      <c r="AT170" s="244">
        <f t="shared" si="153"/>
        <v>136253230.44028589</v>
      </c>
      <c r="AU170" s="256">
        <v>0</v>
      </c>
      <c r="AV170" s="248">
        <f t="shared" si="167"/>
        <v>198.15572617261648</v>
      </c>
      <c r="AW170" s="259">
        <f t="shared" si="154"/>
        <v>3.2610534820454951</v>
      </c>
    </row>
    <row r="171" spans="1:49">
      <c r="A171" s="194">
        <f>'Input data'!A127</f>
        <v>2029</v>
      </c>
      <c r="B171" s="209">
        <f>'Input data'!B127</f>
        <v>65.313000000000002</v>
      </c>
      <c r="C171" s="510">
        <f>'Recycling - Case 2'!E107</f>
        <v>0.97806153846153887</v>
      </c>
      <c r="D171" s="658">
        <f>'Recycling - Case 2'!F107</f>
        <v>0.36127692307692294</v>
      </c>
      <c r="E171" s="237">
        <f t="shared" si="155"/>
        <v>1016565004.9125001</v>
      </c>
      <c r="F171" s="238">
        <v>0</v>
      </c>
      <c r="G171" s="239">
        <f t="shared" si="132"/>
        <v>1016565004.9125001</v>
      </c>
      <c r="H171" s="117">
        <f t="shared" si="156"/>
        <v>0.18520710059171594</v>
      </c>
      <c r="I171" s="118">
        <f t="shared" si="85"/>
        <v>0</v>
      </c>
      <c r="J171" s="118">
        <f t="shared" si="157"/>
        <v>0.18520710059171594</v>
      </c>
      <c r="K171" s="118">
        <f t="shared" si="158"/>
        <v>0.51857988165680502</v>
      </c>
      <c r="L171" s="118">
        <f t="shared" si="159"/>
        <v>7.4082840236686404E-2</v>
      </c>
      <c r="M171" s="206">
        <f t="shared" si="160"/>
        <v>3.6923076923076781E-2</v>
      </c>
      <c r="N171" s="117">
        <f t="shared" si="118"/>
        <v>0</v>
      </c>
      <c r="O171" s="118">
        <f t="shared" si="90"/>
        <v>0.7</v>
      </c>
      <c r="P171" s="118">
        <f t="shared" si="91"/>
        <v>0.15</v>
      </c>
      <c r="Q171" s="118">
        <f t="shared" si="92"/>
        <v>0.15</v>
      </c>
      <c r="R171" s="118">
        <f t="shared" si="93"/>
        <v>0</v>
      </c>
      <c r="S171" s="206">
        <f t="shared" si="94"/>
        <v>0</v>
      </c>
      <c r="T171" s="117">
        <f t="shared" si="161"/>
        <v>0.41846153846153861</v>
      </c>
      <c r="U171" s="118">
        <f t="shared" si="133"/>
        <v>0</v>
      </c>
      <c r="V171" s="118">
        <f t="shared" si="162"/>
        <v>0.2092307692307693</v>
      </c>
      <c r="W171" s="118">
        <f t="shared" si="163"/>
        <v>0.29538461538461552</v>
      </c>
      <c r="X171" s="118">
        <f t="shared" si="164"/>
        <v>6.15384615384615E-2</v>
      </c>
      <c r="Y171" s="206">
        <f t="shared" si="165"/>
        <v>1.5384615384615385E-2</v>
      </c>
      <c r="Z171" s="237">
        <f t="shared" si="166"/>
        <v>22028181.683373172</v>
      </c>
      <c r="AA171" s="238">
        <f t="shared" si="134"/>
        <v>0</v>
      </c>
      <c r="AB171" s="238">
        <f t="shared" si="135"/>
        <v>22028181.683373172</v>
      </c>
      <c r="AC171" s="238">
        <f t="shared" si="136"/>
        <v>12335781.742688986</v>
      </c>
      <c r="AD171" s="238">
        <f t="shared" si="137"/>
        <v>1762254.5346698544</v>
      </c>
      <c r="AE171" s="238">
        <f t="shared" si="138"/>
        <v>0</v>
      </c>
      <c r="AF171" s="1204">
        <f t="shared" si="139"/>
        <v>58154399.644105181</v>
      </c>
      <c r="AG171" s="237">
        <f t="shared" si="140"/>
        <v>0</v>
      </c>
      <c r="AH171" s="238">
        <f t="shared" si="141"/>
        <v>0</v>
      </c>
      <c r="AI171" s="238">
        <f t="shared" si="142"/>
        <v>5489451.0265275007</v>
      </c>
      <c r="AJ171" s="238">
        <f t="shared" si="143"/>
        <v>1097890.2053055002</v>
      </c>
      <c r="AK171" s="238">
        <f t="shared" si="144"/>
        <v>0</v>
      </c>
      <c r="AL171" s="238">
        <f t="shared" si="145"/>
        <v>0</v>
      </c>
      <c r="AM171" s="244">
        <f t="shared" si="146"/>
        <v>6587341.2318330007</v>
      </c>
      <c r="AN171" s="237">
        <f t="shared" si="147"/>
        <v>62532823.317571409</v>
      </c>
      <c r="AO171" s="238">
        <f t="shared" si="148"/>
        <v>0</v>
      </c>
      <c r="AP171" s="238">
        <f t="shared" si="149"/>
        <v>31266411.658785705</v>
      </c>
      <c r="AQ171" s="238">
        <f t="shared" si="150"/>
        <v>44140816.459462173</v>
      </c>
      <c r="AR171" s="238">
        <f t="shared" si="151"/>
        <v>1839200.6858109222</v>
      </c>
      <c r="AS171" s="238">
        <f t="shared" si="152"/>
        <v>0</v>
      </c>
      <c r="AT171" s="244">
        <f t="shared" si="153"/>
        <v>139779252.12163022</v>
      </c>
      <c r="AU171" s="256">
        <v>0</v>
      </c>
      <c r="AV171" s="248">
        <f t="shared" si="167"/>
        <v>204.52099299756838</v>
      </c>
      <c r="AW171" s="259">
        <f t="shared" si="154"/>
        <v>3.2931719041504954</v>
      </c>
    </row>
    <row r="172" spans="1:49" s="1" customFormat="1">
      <c r="A172" s="123">
        <f>'Input data'!A128</f>
        <v>2030</v>
      </c>
      <c r="B172" s="209">
        <f>'Input data'!B128</f>
        <v>65.956000000000003</v>
      </c>
      <c r="C172" s="510">
        <f>'Recycling - Case 2'!E108</f>
        <v>1</v>
      </c>
      <c r="D172" s="658">
        <f>'Recycling - Case 2'!F108</f>
        <v>0.36725000000000002</v>
      </c>
      <c r="E172" s="977">
        <f t="shared" si="155"/>
        <v>1026572986.4500002</v>
      </c>
      <c r="F172" s="662">
        <v>0</v>
      </c>
      <c r="G172" s="830">
        <f t="shared" si="132"/>
        <v>1026572986.4500002</v>
      </c>
      <c r="H172" s="978">
        <f>'Recycling - Case 2'!C46</f>
        <v>0.19230769230769232</v>
      </c>
      <c r="I172" s="511">
        <f>'Recycling - Case 2'!D46</f>
        <v>0</v>
      </c>
      <c r="J172" s="511">
        <f>'Recycling - Case 2'!E46</f>
        <v>0.19230769230769232</v>
      </c>
      <c r="K172" s="511">
        <f>'Recycling - Case 2'!F46</f>
        <v>0.53846153846153855</v>
      </c>
      <c r="L172" s="511">
        <f>'Recycling - Case 2'!G46</f>
        <v>7.6923076923076927E-2</v>
      </c>
      <c r="M172" s="119">
        <f>'Recycling - Case 2'!H46</f>
        <v>0</v>
      </c>
      <c r="N172" s="978">
        <f>'Recycling - Case 2'!J46</f>
        <v>0</v>
      </c>
      <c r="O172" s="511">
        <f>'Recycling - Case 2'!K46</f>
        <v>0.7</v>
      </c>
      <c r="P172" s="511">
        <f>'Recycling - Case 2'!L46</f>
        <v>0.15</v>
      </c>
      <c r="Q172" s="511">
        <f>'Recycling - Case 2'!M46</f>
        <v>0.15</v>
      </c>
      <c r="R172" s="511">
        <f>'Recycling - Case 2'!N46</f>
        <v>0</v>
      </c>
      <c r="S172" s="119">
        <f>'Recycling - Case 2'!O46</f>
        <v>0</v>
      </c>
      <c r="T172" s="978">
        <f>'Recycling - Case 2'!Q46</f>
        <v>0.42500000000000004</v>
      </c>
      <c r="U172" s="511">
        <f>'Recycling - Case 2'!R46</f>
        <v>0</v>
      </c>
      <c r="V172" s="511">
        <f>'Recycling - Case 2'!S46</f>
        <v>0.21250000000000002</v>
      </c>
      <c r="W172" s="511">
        <f>'Recycling - Case 2'!T46</f>
        <v>0.3</v>
      </c>
      <c r="X172" s="511">
        <f>'Recycling - Case 2'!U46</f>
        <v>6.25E-2</v>
      </c>
      <c r="Y172" s="119">
        <f>'Recycling - Case 2'!V46</f>
        <v>0</v>
      </c>
      <c r="Z172" s="977">
        <f t="shared" si="166"/>
        <v>23097892.195125006</v>
      </c>
      <c r="AA172" s="662">
        <f t="shared" si="134"/>
        <v>0</v>
      </c>
      <c r="AB172" s="662">
        <f t="shared" si="135"/>
        <v>23097892.195125006</v>
      </c>
      <c r="AC172" s="662">
        <f t="shared" si="136"/>
        <v>12934819.629270006</v>
      </c>
      <c r="AD172" s="662">
        <f t="shared" si="137"/>
        <v>1847831.3756100005</v>
      </c>
      <c r="AE172" s="662">
        <f t="shared" si="138"/>
        <v>0</v>
      </c>
      <c r="AF172" s="1214">
        <f t="shared" si="139"/>
        <v>60978435.395130016</v>
      </c>
      <c r="AG172" s="977">
        <f t="shared" si="140"/>
        <v>0</v>
      </c>
      <c r="AH172" s="662">
        <f t="shared" si="141"/>
        <v>0</v>
      </c>
      <c r="AI172" s="662">
        <f t="shared" si="142"/>
        <v>5543494.1268300004</v>
      </c>
      <c r="AJ172" s="662">
        <f t="shared" si="143"/>
        <v>1108698.8253660002</v>
      </c>
      <c r="AK172" s="662">
        <f t="shared" si="144"/>
        <v>0</v>
      </c>
      <c r="AL172" s="662">
        <f t="shared" si="145"/>
        <v>0</v>
      </c>
      <c r="AM172" s="979">
        <f t="shared" si="146"/>
        <v>6652192.9521960001</v>
      </c>
      <c r="AN172" s="977">
        <f t="shared" si="147"/>
        <v>64135147.328463756</v>
      </c>
      <c r="AO172" s="662">
        <f t="shared" si="148"/>
        <v>0</v>
      </c>
      <c r="AP172" s="662">
        <f t="shared" si="149"/>
        <v>32067573.664231878</v>
      </c>
      <c r="AQ172" s="662">
        <f t="shared" si="150"/>
        <v>45271868.702445</v>
      </c>
      <c r="AR172" s="662">
        <f t="shared" si="151"/>
        <v>1886327.8626018751</v>
      </c>
      <c r="AS172" s="662">
        <f t="shared" si="152"/>
        <v>0</v>
      </c>
      <c r="AT172" s="979">
        <f t="shared" si="153"/>
        <v>143360917.55774251</v>
      </c>
      <c r="AU172" s="256">
        <v>0</v>
      </c>
      <c r="AV172" s="248">
        <f t="shared" si="167"/>
        <v>210.99154590506851</v>
      </c>
      <c r="AW172" s="259">
        <f t="shared" si="154"/>
        <v>3.3255928545641762</v>
      </c>
    </row>
    <row r="173" spans="1:49">
      <c r="A173" s="194">
        <f>'Input data'!A129</f>
        <v>2031</v>
      </c>
      <c r="B173" s="209">
        <f>'Input data'!B129</f>
        <v>66.519000000000005</v>
      </c>
      <c r="C173" s="510">
        <f>'Recycling - Case 2'!E109</f>
        <v>1</v>
      </c>
      <c r="D173" s="658">
        <f>'Recycling - Case 2'!F109</f>
        <v>0.36725000000000002</v>
      </c>
      <c r="E173" s="237">
        <f t="shared" si="155"/>
        <v>1035335806.9875003</v>
      </c>
      <c r="F173" s="238">
        <v>0</v>
      </c>
      <c r="G173" s="239">
        <f t="shared" si="132"/>
        <v>1035335806.9875003</v>
      </c>
      <c r="H173" s="117">
        <f>H172</f>
        <v>0.19230769230769232</v>
      </c>
      <c r="I173" s="118">
        <f t="shared" ref="I173:S173" si="168">I172</f>
        <v>0</v>
      </c>
      <c r="J173" s="118">
        <f t="shared" si="168"/>
        <v>0.19230769230769232</v>
      </c>
      <c r="K173" s="118">
        <f t="shared" si="168"/>
        <v>0.53846153846153855</v>
      </c>
      <c r="L173" s="118">
        <f t="shared" si="168"/>
        <v>7.6923076923076927E-2</v>
      </c>
      <c r="M173" s="206">
        <f t="shared" si="168"/>
        <v>0</v>
      </c>
      <c r="N173" s="117">
        <f t="shared" si="168"/>
        <v>0</v>
      </c>
      <c r="O173" s="118">
        <f t="shared" si="168"/>
        <v>0.7</v>
      </c>
      <c r="P173" s="118">
        <f t="shared" si="168"/>
        <v>0.15</v>
      </c>
      <c r="Q173" s="118">
        <f t="shared" si="168"/>
        <v>0.15</v>
      </c>
      <c r="R173" s="118">
        <f t="shared" si="168"/>
        <v>0</v>
      </c>
      <c r="S173" s="206">
        <f t="shared" si="168"/>
        <v>0</v>
      </c>
      <c r="T173" s="117">
        <f>T172</f>
        <v>0.42500000000000004</v>
      </c>
      <c r="U173" s="118">
        <f t="shared" ref="U173:Y173" si="169">U172</f>
        <v>0</v>
      </c>
      <c r="V173" s="118">
        <f t="shared" si="169"/>
        <v>0.21250000000000002</v>
      </c>
      <c r="W173" s="118">
        <f t="shared" si="169"/>
        <v>0.3</v>
      </c>
      <c r="X173" s="118">
        <f t="shared" si="169"/>
        <v>6.25E-2</v>
      </c>
      <c r="Y173" s="206">
        <f t="shared" si="169"/>
        <v>0</v>
      </c>
      <c r="Z173" s="237">
        <f t="shared" si="166"/>
        <v>23295055.657218758</v>
      </c>
      <c r="AA173" s="238">
        <f t="shared" si="134"/>
        <v>0</v>
      </c>
      <c r="AB173" s="238">
        <f t="shared" si="135"/>
        <v>23295055.657218758</v>
      </c>
      <c r="AC173" s="238">
        <f t="shared" si="136"/>
        <v>13045231.168042507</v>
      </c>
      <c r="AD173" s="238">
        <f t="shared" si="137"/>
        <v>1863604.4525775008</v>
      </c>
      <c r="AE173" s="238">
        <f t="shared" si="138"/>
        <v>0</v>
      </c>
      <c r="AF173" s="1204">
        <f t="shared" si="139"/>
        <v>61498946.935057521</v>
      </c>
      <c r="AG173" s="237">
        <f t="shared" si="140"/>
        <v>0</v>
      </c>
      <c r="AH173" s="238">
        <f t="shared" si="141"/>
        <v>0</v>
      </c>
      <c r="AI173" s="238">
        <f t="shared" si="142"/>
        <v>5590813.3577325009</v>
      </c>
      <c r="AJ173" s="238">
        <f t="shared" si="143"/>
        <v>1118162.6715465002</v>
      </c>
      <c r="AK173" s="238">
        <f t="shared" si="144"/>
        <v>0</v>
      </c>
      <c r="AL173" s="238">
        <f t="shared" si="145"/>
        <v>0</v>
      </c>
      <c r="AM173" s="244">
        <f t="shared" si="146"/>
        <v>6708976.0292790011</v>
      </c>
      <c r="AN173" s="237">
        <f t="shared" si="147"/>
        <v>64682604.54154408</v>
      </c>
      <c r="AO173" s="238">
        <f t="shared" si="148"/>
        <v>0</v>
      </c>
      <c r="AP173" s="238">
        <f t="shared" si="149"/>
        <v>32341302.27077204</v>
      </c>
      <c r="AQ173" s="238">
        <f t="shared" si="150"/>
        <v>45658309.088148758</v>
      </c>
      <c r="AR173" s="238">
        <f t="shared" si="151"/>
        <v>1902429.5453395317</v>
      </c>
      <c r="AS173" s="238">
        <f t="shared" si="152"/>
        <v>0</v>
      </c>
      <c r="AT173" s="244">
        <f t="shared" si="153"/>
        <v>144584645.44580442</v>
      </c>
      <c r="AU173" s="256">
        <v>0</v>
      </c>
      <c r="AV173" s="248">
        <f t="shared" si="167"/>
        <v>212.79256841014094</v>
      </c>
      <c r="AW173" s="259">
        <f t="shared" si="154"/>
        <v>3.3539800941954407</v>
      </c>
    </row>
    <row r="174" spans="1:49">
      <c r="A174" s="194">
        <f>'Input data'!A130</f>
        <v>2032</v>
      </c>
      <c r="B174" s="209">
        <f>'Input data'!B130</f>
        <v>67.087000000000003</v>
      </c>
      <c r="C174" s="510">
        <f>'Recycling - Case 2'!E110</f>
        <v>1</v>
      </c>
      <c r="D174" s="658">
        <f>'Recycling - Case 2'!F110</f>
        <v>0.36725000000000002</v>
      </c>
      <c r="E174" s="237">
        <f t="shared" si="155"/>
        <v>1044176450.0875001</v>
      </c>
      <c r="F174" s="238">
        <v>0</v>
      </c>
      <c r="G174" s="239">
        <f t="shared" si="132"/>
        <v>1044176450.0875001</v>
      </c>
      <c r="H174" s="117">
        <f t="shared" ref="H174:H192" si="170">H173</f>
        <v>0.19230769230769232</v>
      </c>
      <c r="I174" s="118">
        <f t="shared" ref="I174:I192" si="171">I173</f>
        <v>0</v>
      </c>
      <c r="J174" s="118">
        <f t="shared" ref="J174:J192" si="172">J173</f>
        <v>0.19230769230769232</v>
      </c>
      <c r="K174" s="118">
        <f t="shared" ref="K174:K192" si="173">K173</f>
        <v>0.53846153846153855</v>
      </c>
      <c r="L174" s="118">
        <f t="shared" ref="L174:L192" si="174">L173</f>
        <v>7.6923076923076927E-2</v>
      </c>
      <c r="M174" s="206">
        <f t="shared" ref="M174:M192" si="175">M173</f>
        <v>0</v>
      </c>
      <c r="N174" s="117">
        <f t="shared" ref="N174:N192" si="176">N173</f>
        <v>0</v>
      </c>
      <c r="O174" s="118">
        <f t="shared" ref="O174:O192" si="177">O173</f>
        <v>0.7</v>
      </c>
      <c r="P174" s="118">
        <f t="shared" ref="P174:P192" si="178">P173</f>
        <v>0.15</v>
      </c>
      <c r="Q174" s="118">
        <f t="shared" ref="Q174:Q192" si="179">Q173</f>
        <v>0.15</v>
      </c>
      <c r="R174" s="118">
        <f t="shared" ref="R174:R192" si="180">R173</f>
        <v>0</v>
      </c>
      <c r="S174" s="206">
        <f t="shared" ref="S174:S192" si="181">S173</f>
        <v>0</v>
      </c>
      <c r="T174" s="117">
        <f t="shared" ref="T174:T192" si="182">T173</f>
        <v>0.42500000000000004</v>
      </c>
      <c r="U174" s="118">
        <f t="shared" ref="U174:U192" si="183">U173</f>
        <v>0</v>
      </c>
      <c r="V174" s="118">
        <f t="shared" ref="V174:V192" si="184">V173</f>
        <v>0.21250000000000002</v>
      </c>
      <c r="W174" s="118">
        <f t="shared" ref="W174:W192" si="185">W173</f>
        <v>0.3</v>
      </c>
      <c r="X174" s="118">
        <f t="shared" ref="X174:X192" si="186">X173</f>
        <v>6.25E-2</v>
      </c>
      <c r="Y174" s="206">
        <f t="shared" ref="Y174:Y192" si="187">Y173</f>
        <v>0</v>
      </c>
      <c r="Z174" s="237">
        <f t="shared" si="166"/>
        <v>23493970.126968756</v>
      </c>
      <c r="AA174" s="238">
        <f t="shared" si="134"/>
        <v>0</v>
      </c>
      <c r="AB174" s="238">
        <f t="shared" si="135"/>
        <v>23493970.126968756</v>
      </c>
      <c r="AC174" s="238">
        <f t="shared" si="136"/>
        <v>13156623.271102503</v>
      </c>
      <c r="AD174" s="238">
        <f t="shared" si="137"/>
        <v>1879517.6101575005</v>
      </c>
      <c r="AE174" s="238">
        <f t="shared" si="138"/>
        <v>0</v>
      </c>
      <c r="AF174" s="1204">
        <f t="shared" si="139"/>
        <v>62024081.135197513</v>
      </c>
      <c r="AG174" s="237">
        <f t="shared" si="140"/>
        <v>0</v>
      </c>
      <c r="AH174" s="238">
        <f t="shared" si="141"/>
        <v>0</v>
      </c>
      <c r="AI174" s="238">
        <f t="shared" si="142"/>
        <v>5638552.8304725001</v>
      </c>
      <c r="AJ174" s="238">
        <f t="shared" si="143"/>
        <v>1127710.5660945</v>
      </c>
      <c r="AK174" s="238">
        <f t="shared" si="144"/>
        <v>0</v>
      </c>
      <c r="AL174" s="238">
        <f t="shared" si="145"/>
        <v>0</v>
      </c>
      <c r="AM174" s="244">
        <f t="shared" si="146"/>
        <v>6766263.3965670001</v>
      </c>
      <c r="AN174" s="237">
        <f t="shared" si="147"/>
        <v>65234923.71921657</v>
      </c>
      <c r="AO174" s="238">
        <f t="shared" si="148"/>
        <v>0</v>
      </c>
      <c r="AP174" s="238">
        <f t="shared" si="149"/>
        <v>32617461.859608285</v>
      </c>
      <c r="AQ174" s="238">
        <f t="shared" si="150"/>
        <v>46048181.448858753</v>
      </c>
      <c r="AR174" s="238">
        <f t="shared" si="151"/>
        <v>1918674.2270357814</v>
      </c>
      <c r="AS174" s="238">
        <f t="shared" si="152"/>
        <v>0</v>
      </c>
      <c r="AT174" s="244">
        <f t="shared" si="153"/>
        <v>145819241.25471941</v>
      </c>
      <c r="AU174" s="256">
        <v>0</v>
      </c>
      <c r="AV174" s="248">
        <f t="shared" si="167"/>
        <v>214.6095857864839</v>
      </c>
      <c r="AW174" s="259">
        <f t="shared" si="154"/>
        <v>3.3826194407506049</v>
      </c>
    </row>
    <row r="175" spans="1:49">
      <c r="A175" s="194">
        <f>'Input data'!A131</f>
        <v>2033</v>
      </c>
      <c r="B175" s="209">
        <f>'Input data'!B131</f>
        <v>67.659000000000006</v>
      </c>
      <c r="C175" s="510">
        <f>'Recycling - Case 2'!E111</f>
        <v>1</v>
      </c>
      <c r="D175" s="658">
        <f>'Recycling - Case 2'!F111</f>
        <v>0.36725000000000002</v>
      </c>
      <c r="E175" s="237">
        <f t="shared" si="155"/>
        <v>1053079351.2375003</v>
      </c>
      <c r="F175" s="238">
        <v>0</v>
      </c>
      <c r="G175" s="239">
        <f t="shared" si="132"/>
        <v>1053079351.2375003</v>
      </c>
      <c r="H175" s="117">
        <f t="shared" si="170"/>
        <v>0.19230769230769232</v>
      </c>
      <c r="I175" s="118">
        <f t="shared" si="171"/>
        <v>0</v>
      </c>
      <c r="J175" s="118">
        <f t="shared" si="172"/>
        <v>0.19230769230769232</v>
      </c>
      <c r="K175" s="118">
        <f t="shared" si="173"/>
        <v>0.53846153846153855</v>
      </c>
      <c r="L175" s="118">
        <f t="shared" si="174"/>
        <v>7.6923076923076927E-2</v>
      </c>
      <c r="M175" s="206">
        <f t="shared" si="175"/>
        <v>0</v>
      </c>
      <c r="N175" s="117">
        <f t="shared" si="176"/>
        <v>0</v>
      </c>
      <c r="O175" s="118">
        <f t="shared" si="177"/>
        <v>0.7</v>
      </c>
      <c r="P175" s="118">
        <f t="shared" si="178"/>
        <v>0.15</v>
      </c>
      <c r="Q175" s="118">
        <f t="shared" si="179"/>
        <v>0.15</v>
      </c>
      <c r="R175" s="118">
        <f t="shared" si="180"/>
        <v>0</v>
      </c>
      <c r="S175" s="206">
        <f t="shared" si="181"/>
        <v>0</v>
      </c>
      <c r="T175" s="117">
        <f t="shared" si="182"/>
        <v>0.42500000000000004</v>
      </c>
      <c r="U175" s="118">
        <f t="shared" si="183"/>
        <v>0</v>
      </c>
      <c r="V175" s="118">
        <f t="shared" si="184"/>
        <v>0.21250000000000002</v>
      </c>
      <c r="W175" s="118">
        <f t="shared" si="185"/>
        <v>0.3</v>
      </c>
      <c r="X175" s="118">
        <f t="shared" si="186"/>
        <v>6.25E-2</v>
      </c>
      <c r="Y175" s="206">
        <f t="shared" si="187"/>
        <v>0</v>
      </c>
      <c r="Z175" s="237">
        <f t="shared" si="166"/>
        <v>23694285.402843758</v>
      </c>
      <c r="AA175" s="238">
        <f t="shared" si="134"/>
        <v>0</v>
      </c>
      <c r="AB175" s="238">
        <f t="shared" si="135"/>
        <v>23694285.402843758</v>
      </c>
      <c r="AC175" s="238">
        <f t="shared" si="136"/>
        <v>13268799.825592507</v>
      </c>
      <c r="AD175" s="238">
        <f t="shared" si="137"/>
        <v>1895542.8322275011</v>
      </c>
      <c r="AE175" s="238">
        <f t="shared" si="138"/>
        <v>0</v>
      </c>
      <c r="AF175" s="1204">
        <f t="shared" si="139"/>
        <v>62552913.463507518</v>
      </c>
      <c r="AG175" s="237">
        <f t="shared" si="140"/>
        <v>0</v>
      </c>
      <c r="AH175" s="238">
        <f t="shared" si="141"/>
        <v>0</v>
      </c>
      <c r="AI175" s="238">
        <f t="shared" si="142"/>
        <v>5686628.4966825005</v>
      </c>
      <c r="AJ175" s="238">
        <f t="shared" si="143"/>
        <v>1137325.6993365004</v>
      </c>
      <c r="AK175" s="238">
        <f t="shared" si="144"/>
        <v>0</v>
      </c>
      <c r="AL175" s="238">
        <f t="shared" si="145"/>
        <v>0</v>
      </c>
      <c r="AM175" s="244">
        <f t="shared" si="146"/>
        <v>6823954.1960190013</v>
      </c>
      <c r="AN175" s="237">
        <f t="shared" si="147"/>
        <v>65791132.468562834</v>
      </c>
      <c r="AO175" s="238">
        <f t="shared" si="148"/>
        <v>0</v>
      </c>
      <c r="AP175" s="238">
        <f t="shared" si="149"/>
        <v>32895566.234281417</v>
      </c>
      <c r="AQ175" s="238">
        <f t="shared" si="150"/>
        <v>46440799.38957376</v>
      </c>
      <c r="AR175" s="238">
        <f t="shared" si="151"/>
        <v>1935033.3078989065</v>
      </c>
      <c r="AS175" s="238">
        <f t="shared" si="152"/>
        <v>0</v>
      </c>
      <c r="AT175" s="244">
        <f t="shared" si="153"/>
        <v>147062531.40031692</v>
      </c>
      <c r="AU175" s="256">
        <v>0</v>
      </c>
      <c r="AV175" s="248">
        <f t="shared" si="167"/>
        <v>216.43939905984345</v>
      </c>
      <c r="AW175" s="259">
        <f t="shared" si="154"/>
        <v>3.4114604728448907</v>
      </c>
    </row>
    <row r="176" spans="1:49">
      <c r="A176" s="194">
        <f>'Input data'!A132</f>
        <v>2034</v>
      </c>
      <c r="B176" s="209">
        <f>'Input data'!B132</f>
        <v>68.236999999999995</v>
      </c>
      <c r="C176" s="510">
        <f>'Recycling - Case 2'!E112</f>
        <v>1</v>
      </c>
      <c r="D176" s="658">
        <f>'Recycling - Case 2'!F112</f>
        <v>0.36725000000000002</v>
      </c>
      <c r="E176" s="237">
        <f t="shared" si="155"/>
        <v>1062075639.4625</v>
      </c>
      <c r="F176" s="238">
        <v>0</v>
      </c>
      <c r="G176" s="239">
        <f t="shared" si="132"/>
        <v>1062075639.4625</v>
      </c>
      <c r="H176" s="117">
        <f t="shared" si="170"/>
        <v>0.19230769230769232</v>
      </c>
      <c r="I176" s="118">
        <f t="shared" si="171"/>
        <v>0</v>
      </c>
      <c r="J176" s="118">
        <f t="shared" si="172"/>
        <v>0.19230769230769232</v>
      </c>
      <c r="K176" s="118">
        <f t="shared" si="173"/>
        <v>0.53846153846153855</v>
      </c>
      <c r="L176" s="118">
        <f t="shared" si="174"/>
        <v>7.6923076923076927E-2</v>
      </c>
      <c r="M176" s="206">
        <f t="shared" si="175"/>
        <v>0</v>
      </c>
      <c r="N176" s="117">
        <f t="shared" si="176"/>
        <v>0</v>
      </c>
      <c r="O176" s="118">
        <f t="shared" si="177"/>
        <v>0.7</v>
      </c>
      <c r="P176" s="118">
        <f t="shared" si="178"/>
        <v>0.15</v>
      </c>
      <c r="Q176" s="118">
        <f t="shared" si="179"/>
        <v>0.15</v>
      </c>
      <c r="R176" s="118">
        <f t="shared" si="180"/>
        <v>0</v>
      </c>
      <c r="S176" s="206">
        <f t="shared" si="181"/>
        <v>0</v>
      </c>
      <c r="T176" s="117">
        <f t="shared" si="182"/>
        <v>0.42500000000000004</v>
      </c>
      <c r="U176" s="118">
        <f t="shared" si="183"/>
        <v>0</v>
      </c>
      <c r="V176" s="118">
        <f t="shared" si="184"/>
        <v>0.21250000000000002</v>
      </c>
      <c r="W176" s="118">
        <f t="shared" si="185"/>
        <v>0.3</v>
      </c>
      <c r="X176" s="118">
        <f t="shared" si="186"/>
        <v>6.25E-2</v>
      </c>
      <c r="Y176" s="206">
        <f t="shared" si="187"/>
        <v>0</v>
      </c>
      <c r="Z176" s="237">
        <f t="shared" si="166"/>
        <v>23896701.88790625</v>
      </c>
      <c r="AA176" s="238">
        <f t="shared" si="134"/>
        <v>0</v>
      </c>
      <c r="AB176" s="238">
        <f t="shared" si="135"/>
        <v>23896701.88790625</v>
      </c>
      <c r="AC176" s="238">
        <f t="shared" si="136"/>
        <v>13382153.057227502</v>
      </c>
      <c r="AD176" s="238">
        <f t="shared" si="137"/>
        <v>1911736.1510325002</v>
      </c>
      <c r="AE176" s="238">
        <f t="shared" si="138"/>
        <v>0</v>
      </c>
      <c r="AF176" s="1204">
        <f t="shared" si="139"/>
        <v>63087292.984072499</v>
      </c>
      <c r="AG176" s="237">
        <f t="shared" si="140"/>
        <v>0</v>
      </c>
      <c r="AH176" s="238">
        <f t="shared" si="141"/>
        <v>0</v>
      </c>
      <c r="AI176" s="238">
        <f t="shared" si="142"/>
        <v>5735208.4530974999</v>
      </c>
      <c r="AJ176" s="238">
        <f t="shared" si="143"/>
        <v>1147041.6906194999</v>
      </c>
      <c r="AK176" s="238">
        <f t="shared" si="144"/>
        <v>0</v>
      </c>
      <c r="AL176" s="238">
        <f t="shared" si="145"/>
        <v>0</v>
      </c>
      <c r="AM176" s="244">
        <f t="shared" si="146"/>
        <v>6882250.1437170003</v>
      </c>
      <c r="AN176" s="237">
        <f t="shared" si="147"/>
        <v>66353175.575419687</v>
      </c>
      <c r="AO176" s="238">
        <f t="shared" si="148"/>
        <v>0</v>
      </c>
      <c r="AP176" s="238">
        <f t="shared" si="149"/>
        <v>33176587.787709843</v>
      </c>
      <c r="AQ176" s="238">
        <f t="shared" si="150"/>
        <v>46837535.700296246</v>
      </c>
      <c r="AR176" s="238">
        <f t="shared" si="151"/>
        <v>1951563.9875123436</v>
      </c>
      <c r="AS176" s="238">
        <f t="shared" si="152"/>
        <v>0</v>
      </c>
      <c r="AT176" s="244">
        <f t="shared" si="153"/>
        <v>148318863.05093813</v>
      </c>
      <c r="AU176" s="256">
        <v>0</v>
      </c>
      <c r="AV176" s="248">
        <f t="shared" si="167"/>
        <v>218.28840617872763</v>
      </c>
      <c r="AW176" s="259">
        <f t="shared" si="154"/>
        <v>3.4406040332478574</v>
      </c>
    </row>
    <row r="177" spans="1:49">
      <c r="A177" s="194">
        <f>'Input data'!A133</f>
        <v>2035</v>
      </c>
      <c r="B177" s="209">
        <f>'Input data'!B133</f>
        <v>68.819000000000003</v>
      </c>
      <c r="C177" s="510">
        <f>'Recycling - Case 2'!E113</f>
        <v>1</v>
      </c>
      <c r="D177" s="658">
        <f>'Recycling - Case 2'!F113</f>
        <v>0.36725000000000002</v>
      </c>
      <c r="E177" s="237">
        <f t="shared" si="155"/>
        <v>1071134185.7375001</v>
      </c>
      <c r="F177" s="238">
        <v>0</v>
      </c>
      <c r="G177" s="239">
        <f t="shared" si="132"/>
        <v>1071134185.7375001</v>
      </c>
      <c r="H177" s="117">
        <f t="shared" si="170"/>
        <v>0.19230769230769232</v>
      </c>
      <c r="I177" s="118">
        <f t="shared" si="171"/>
        <v>0</v>
      </c>
      <c r="J177" s="118">
        <f t="shared" si="172"/>
        <v>0.19230769230769232</v>
      </c>
      <c r="K177" s="118">
        <f t="shared" si="173"/>
        <v>0.53846153846153855</v>
      </c>
      <c r="L177" s="118">
        <f t="shared" si="174"/>
        <v>7.6923076923076927E-2</v>
      </c>
      <c r="M177" s="206">
        <f t="shared" si="175"/>
        <v>0</v>
      </c>
      <c r="N177" s="117">
        <f t="shared" si="176"/>
        <v>0</v>
      </c>
      <c r="O177" s="118">
        <f t="shared" si="177"/>
        <v>0.7</v>
      </c>
      <c r="P177" s="118">
        <f t="shared" si="178"/>
        <v>0.15</v>
      </c>
      <c r="Q177" s="118">
        <f t="shared" si="179"/>
        <v>0.15</v>
      </c>
      <c r="R177" s="118">
        <f t="shared" si="180"/>
        <v>0</v>
      </c>
      <c r="S177" s="206">
        <f t="shared" si="181"/>
        <v>0</v>
      </c>
      <c r="T177" s="117">
        <f t="shared" si="182"/>
        <v>0.42500000000000004</v>
      </c>
      <c r="U177" s="118">
        <f t="shared" si="183"/>
        <v>0</v>
      </c>
      <c r="V177" s="118">
        <f t="shared" si="184"/>
        <v>0.21250000000000002</v>
      </c>
      <c r="W177" s="118">
        <f t="shared" si="185"/>
        <v>0.3</v>
      </c>
      <c r="X177" s="118">
        <f t="shared" si="186"/>
        <v>6.25E-2</v>
      </c>
      <c r="Y177" s="206">
        <f t="shared" si="187"/>
        <v>0</v>
      </c>
      <c r="Z177" s="237">
        <f t="shared" si="166"/>
        <v>24100519.179093752</v>
      </c>
      <c r="AA177" s="238">
        <f t="shared" si="134"/>
        <v>0</v>
      </c>
      <c r="AB177" s="238">
        <f t="shared" si="135"/>
        <v>24100519.179093752</v>
      </c>
      <c r="AC177" s="238">
        <f t="shared" si="136"/>
        <v>13496290.740292504</v>
      </c>
      <c r="AD177" s="238">
        <f t="shared" si="137"/>
        <v>1928041.5343275003</v>
      </c>
      <c r="AE177" s="238">
        <f t="shared" si="138"/>
        <v>0</v>
      </c>
      <c r="AF177" s="1204">
        <f t="shared" si="139"/>
        <v>63625370.632807508</v>
      </c>
      <c r="AG177" s="237">
        <f t="shared" si="140"/>
        <v>0</v>
      </c>
      <c r="AH177" s="238">
        <f t="shared" si="141"/>
        <v>0</v>
      </c>
      <c r="AI177" s="238">
        <f t="shared" si="142"/>
        <v>5784124.6029825006</v>
      </c>
      <c r="AJ177" s="238">
        <f t="shared" si="143"/>
        <v>1156824.9205964999</v>
      </c>
      <c r="AK177" s="238">
        <f t="shared" si="144"/>
        <v>0</v>
      </c>
      <c r="AL177" s="238">
        <f t="shared" si="145"/>
        <v>0</v>
      </c>
      <c r="AM177" s="244">
        <f t="shared" si="146"/>
        <v>6940949.5235790005</v>
      </c>
      <c r="AN177" s="237">
        <f t="shared" si="147"/>
        <v>66919108.253950313</v>
      </c>
      <c r="AO177" s="238">
        <f t="shared" si="148"/>
        <v>0</v>
      </c>
      <c r="AP177" s="238">
        <f t="shared" si="149"/>
        <v>33459554.126975156</v>
      </c>
      <c r="AQ177" s="238">
        <f t="shared" si="150"/>
        <v>47237017.591023751</v>
      </c>
      <c r="AR177" s="238">
        <f t="shared" si="151"/>
        <v>1968209.0662926564</v>
      </c>
      <c r="AS177" s="238">
        <f t="shared" si="152"/>
        <v>0</v>
      </c>
      <c r="AT177" s="244">
        <f t="shared" si="153"/>
        <v>149583889.03824186</v>
      </c>
      <c r="AU177" s="256">
        <v>0</v>
      </c>
      <c r="AV177" s="248">
        <f t="shared" si="167"/>
        <v>220.15020919462836</v>
      </c>
      <c r="AW177" s="259">
        <f t="shared" si="154"/>
        <v>3.4699492791899456</v>
      </c>
    </row>
    <row r="178" spans="1:49">
      <c r="A178" s="194">
        <f>'Input data'!A134</f>
        <v>2036</v>
      </c>
      <c r="B178" s="209">
        <f>'Input data'!B134</f>
        <v>69.322999999999993</v>
      </c>
      <c r="C178" s="510">
        <f>'Recycling - Case 2'!E114</f>
        <v>1</v>
      </c>
      <c r="D178" s="658">
        <f>'Recycling - Case 2'!F114</f>
        <v>0.36725000000000002</v>
      </c>
      <c r="E178" s="237">
        <f t="shared" si="155"/>
        <v>1078978700.0374999</v>
      </c>
      <c r="F178" s="238">
        <v>0</v>
      </c>
      <c r="G178" s="239">
        <f t="shared" si="132"/>
        <v>1078978700.0374999</v>
      </c>
      <c r="H178" s="117">
        <f t="shared" si="170"/>
        <v>0.19230769230769232</v>
      </c>
      <c r="I178" s="118">
        <f t="shared" si="171"/>
        <v>0</v>
      </c>
      <c r="J178" s="118">
        <f t="shared" si="172"/>
        <v>0.19230769230769232</v>
      </c>
      <c r="K178" s="118">
        <f t="shared" si="173"/>
        <v>0.53846153846153855</v>
      </c>
      <c r="L178" s="118">
        <f t="shared" si="174"/>
        <v>7.6923076923076927E-2</v>
      </c>
      <c r="M178" s="206">
        <f t="shared" si="175"/>
        <v>0</v>
      </c>
      <c r="N178" s="117">
        <f t="shared" si="176"/>
        <v>0</v>
      </c>
      <c r="O178" s="118">
        <f t="shared" si="177"/>
        <v>0.7</v>
      </c>
      <c r="P178" s="118">
        <f t="shared" si="178"/>
        <v>0.15</v>
      </c>
      <c r="Q178" s="118">
        <f t="shared" si="179"/>
        <v>0.15</v>
      </c>
      <c r="R178" s="118">
        <f t="shared" si="180"/>
        <v>0</v>
      </c>
      <c r="S178" s="206">
        <f t="shared" si="181"/>
        <v>0</v>
      </c>
      <c r="T178" s="117">
        <f t="shared" si="182"/>
        <v>0.42500000000000004</v>
      </c>
      <c r="U178" s="118">
        <f t="shared" si="183"/>
        <v>0</v>
      </c>
      <c r="V178" s="118">
        <f t="shared" si="184"/>
        <v>0.21250000000000002</v>
      </c>
      <c r="W178" s="118">
        <f t="shared" si="185"/>
        <v>0.3</v>
      </c>
      <c r="X178" s="118">
        <f t="shared" si="186"/>
        <v>6.25E-2</v>
      </c>
      <c r="Y178" s="206">
        <f t="shared" si="187"/>
        <v>0</v>
      </c>
      <c r="Z178" s="237">
        <f t="shared" si="166"/>
        <v>24277020.750843752</v>
      </c>
      <c r="AA178" s="238">
        <f t="shared" si="134"/>
        <v>0</v>
      </c>
      <c r="AB178" s="238">
        <f t="shared" si="135"/>
        <v>24277020.750843752</v>
      </c>
      <c r="AC178" s="238">
        <f t="shared" si="136"/>
        <v>13595131.620472502</v>
      </c>
      <c r="AD178" s="238">
        <f t="shared" si="137"/>
        <v>1942161.6600675001</v>
      </c>
      <c r="AE178" s="238">
        <f t="shared" si="138"/>
        <v>0</v>
      </c>
      <c r="AF178" s="1204">
        <f t="shared" si="139"/>
        <v>64091334.782227501</v>
      </c>
      <c r="AG178" s="237">
        <f t="shared" si="140"/>
        <v>0</v>
      </c>
      <c r="AH178" s="238">
        <f t="shared" si="141"/>
        <v>0</v>
      </c>
      <c r="AI178" s="238">
        <f t="shared" si="142"/>
        <v>5826484.9802024998</v>
      </c>
      <c r="AJ178" s="238">
        <f t="shared" si="143"/>
        <v>1165296.9960404998</v>
      </c>
      <c r="AK178" s="238">
        <f t="shared" si="144"/>
        <v>0</v>
      </c>
      <c r="AL178" s="238">
        <f t="shared" si="145"/>
        <v>0</v>
      </c>
      <c r="AM178" s="244">
        <f t="shared" si="146"/>
        <v>6991781.9762429995</v>
      </c>
      <c r="AN178" s="237">
        <f t="shared" si="147"/>
        <v>67409194.284842804</v>
      </c>
      <c r="AO178" s="238">
        <f t="shared" si="148"/>
        <v>0</v>
      </c>
      <c r="AP178" s="238">
        <f t="shared" si="149"/>
        <v>33704597.142421402</v>
      </c>
      <c r="AQ178" s="238">
        <f t="shared" si="150"/>
        <v>47582960.671653748</v>
      </c>
      <c r="AR178" s="238">
        <f t="shared" si="151"/>
        <v>1982623.3613189061</v>
      </c>
      <c r="AS178" s="238">
        <f t="shared" si="152"/>
        <v>0</v>
      </c>
      <c r="AT178" s="244">
        <f t="shared" si="153"/>
        <v>150679375.46023688</v>
      </c>
      <c r="AU178" s="256">
        <v>0</v>
      </c>
      <c r="AV178" s="248">
        <f t="shared" si="167"/>
        <v>221.76249221870739</v>
      </c>
      <c r="AW178" s="259">
        <f t="shared" si="154"/>
        <v>3.4953616571191763</v>
      </c>
    </row>
    <row r="179" spans="1:49">
      <c r="A179" s="194">
        <f>'Input data'!A135</f>
        <v>2037</v>
      </c>
      <c r="B179" s="209">
        <f>'Input data'!B135</f>
        <v>69.83</v>
      </c>
      <c r="C179" s="510">
        <f>'Recycling - Case 2'!E115</f>
        <v>1</v>
      </c>
      <c r="D179" s="658">
        <f>'Recycling - Case 2'!F115</f>
        <v>0.36725000000000002</v>
      </c>
      <c r="E179" s="237">
        <f t="shared" si="155"/>
        <v>1086869907.875</v>
      </c>
      <c r="F179" s="238">
        <v>0</v>
      </c>
      <c r="G179" s="239">
        <f t="shared" si="132"/>
        <v>1086869907.875</v>
      </c>
      <c r="H179" s="117">
        <f t="shared" si="170"/>
        <v>0.19230769230769232</v>
      </c>
      <c r="I179" s="118">
        <f t="shared" si="171"/>
        <v>0</v>
      </c>
      <c r="J179" s="118">
        <f t="shared" si="172"/>
        <v>0.19230769230769232</v>
      </c>
      <c r="K179" s="118">
        <f t="shared" si="173"/>
        <v>0.53846153846153855</v>
      </c>
      <c r="L179" s="118">
        <f t="shared" si="174"/>
        <v>7.6923076923076927E-2</v>
      </c>
      <c r="M179" s="206">
        <f t="shared" si="175"/>
        <v>0</v>
      </c>
      <c r="N179" s="117">
        <f t="shared" si="176"/>
        <v>0</v>
      </c>
      <c r="O179" s="118">
        <f t="shared" si="177"/>
        <v>0.7</v>
      </c>
      <c r="P179" s="118">
        <f t="shared" si="178"/>
        <v>0.15</v>
      </c>
      <c r="Q179" s="118">
        <f t="shared" si="179"/>
        <v>0.15</v>
      </c>
      <c r="R179" s="118">
        <f t="shared" si="180"/>
        <v>0</v>
      </c>
      <c r="S179" s="206">
        <f t="shared" si="181"/>
        <v>0</v>
      </c>
      <c r="T179" s="117">
        <f t="shared" si="182"/>
        <v>0.42500000000000004</v>
      </c>
      <c r="U179" s="118">
        <f t="shared" si="183"/>
        <v>0</v>
      </c>
      <c r="V179" s="118">
        <f t="shared" si="184"/>
        <v>0.21250000000000002</v>
      </c>
      <c r="W179" s="118">
        <f t="shared" si="185"/>
        <v>0.3</v>
      </c>
      <c r="X179" s="118">
        <f t="shared" si="186"/>
        <v>6.25E-2</v>
      </c>
      <c r="Y179" s="206">
        <f t="shared" si="187"/>
        <v>0</v>
      </c>
      <c r="Z179" s="237">
        <f t="shared" si="166"/>
        <v>24454572.927187502</v>
      </c>
      <c r="AA179" s="238">
        <f t="shared" si="134"/>
        <v>0</v>
      </c>
      <c r="AB179" s="238">
        <f t="shared" si="135"/>
        <v>24454572.927187502</v>
      </c>
      <c r="AC179" s="238">
        <f t="shared" si="136"/>
        <v>13694560.839225003</v>
      </c>
      <c r="AD179" s="238">
        <f t="shared" si="137"/>
        <v>1956365.8341750002</v>
      </c>
      <c r="AE179" s="238">
        <f t="shared" si="138"/>
        <v>0</v>
      </c>
      <c r="AF179" s="1204">
        <f t="shared" si="139"/>
        <v>64560072.527775005</v>
      </c>
      <c r="AG179" s="237">
        <f t="shared" si="140"/>
        <v>0</v>
      </c>
      <c r="AH179" s="238">
        <f t="shared" si="141"/>
        <v>0</v>
      </c>
      <c r="AI179" s="238">
        <f t="shared" si="142"/>
        <v>5869097.5025249999</v>
      </c>
      <c r="AJ179" s="238">
        <f t="shared" si="143"/>
        <v>1173819.5005049999</v>
      </c>
      <c r="AK179" s="238">
        <f t="shared" si="144"/>
        <v>0</v>
      </c>
      <c r="AL179" s="238">
        <f t="shared" si="145"/>
        <v>0</v>
      </c>
      <c r="AM179" s="244">
        <f t="shared" si="146"/>
        <v>7042917.0030300003</v>
      </c>
      <c r="AN179" s="237">
        <f t="shared" si="147"/>
        <v>67902197.494490623</v>
      </c>
      <c r="AO179" s="238">
        <f t="shared" si="148"/>
        <v>0</v>
      </c>
      <c r="AP179" s="238">
        <f t="shared" si="149"/>
        <v>33951098.747245312</v>
      </c>
      <c r="AQ179" s="238">
        <f t="shared" si="150"/>
        <v>47930962.937287495</v>
      </c>
      <c r="AR179" s="238">
        <f t="shared" si="151"/>
        <v>1997123.4557203124</v>
      </c>
      <c r="AS179" s="238">
        <f t="shared" si="152"/>
        <v>0</v>
      </c>
      <c r="AT179" s="244">
        <f t="shared" si="153"/>
        <v>151781382.63474375</v>
      </c>
      <c r="AU179" s="256">
        <v>0</v>
      </c>
      <c r="AV179" s="248">
        <f t="shared" si="167"/>
        <v>223.38437216554874</v>
      </c>
      <c r="AW179" s="259">
        <f t="shared" si="154"/>
        <v>3.5209252992027475</v>
      </c>
    </row>
    <row r="180" spans="1:49">
      <c r="A180" s="194">
        <f>'Input data'!A136</f>
        <v>2038</v>
      </c>
      <c r="B180" s="209">
        <f>'Input data'!B136</f>
        <v>70.341999999999999</v>
      </c>
      <c r="C180" s="510">
        <f>'Recycling - Case 2'!E116</f>
        <v>1</v>
      </c>
      <c r="D180" s="658">
        <f>'Recycling - Case 2'!F116</f>
        <v>0.36725000000000002</v>
      </c>
      <c r="E180" s="237">
        <f t="shared" si="155"/>
        <v>1094838938.2750001</v>
      </c>
      <c r="F180" s="238">
        <v>0</v>
      </c>
      <c r="G180" s="239">
        <f t="shared" si="132"/>
        <v>1094838938.2750001</v>
      </c>
      <c r="H180" s="117">
        <f t="shared" si="170"/>
        <v>0.19230769230769232</v>
      </c>
      <c r="I180" s="118">
        <f t="shared" si="171"/>
        <v>0</v>
      </c>
      <c r="J180" s="118">
        <f t="shared" si="172"/>
        <v>0.19230769230769232</v>
      </c>
      <c r="K180" s="118">
        <f t="shared" si="173"/>
        <v>0.53846153846153855</v>
      </c>
      <c r="L180" s="118">
        <f t="shared" si="174"/>
        <v>7.6923076923076927E-2</v>
      </c>
      <c r="M180" s="206">
        <f t="shared" si="175"/>
        <v>0</v>
      </c>
      <c r="N180" s="117">
        <f t="shared" si="176"/>
        <v>0</v>
      </c>
      <c r="O180" s="118">
        <f t="shared" si="177"/>
        <v>0.7</v>
      </c>
      <c r="P180" s="118">
        <f t="shared" si="178"/>
        <v>0.15</v>
      </c>
      <c r="Q180" s="118">
        <f t="shared" si="179"/>
        <v>0.15</v>
      </c>
      <c r="R180" s="118">
        <f t="shared" si="180"/>
        <v>0</v>
      </c>
      <c r="S180" s="206">
        <f t="shared" si="181"/>
        <v>0</v>
      </c>
      <c r="T180" s="117">
        <f t="shared" si="182"/>
        <v>0.42500000000000004</v>
      </c>
      <c r="U180" s="118">
        <f t="shared" si="183"/>
        <v>0</v>
      </c>
      <c r="V180" s="118">
        <f t="shared" si="184"/>
        <v>0.21250000000000002</v>
      </c>
      <c r="W180" s="118">
        <f t="shared" si="185"/>
        <v>0.3</v>
      </c>
      <c r="X180" s="118">
        <f t="shared" si="186"/>
        <v>6.25E-2</v>
      </c>
      <c r="Y180" s="206">
        <f t="shared" si="187"/>
        <v>0</v>
      </c>
      <c r="Z180" s="237">
        <f t="shared" si="166"/>
        <v>24633876.111187503</v>
      </c>
      <c r="AA180" s="238">
        <f t="shared" si="134"/>
        <v>0</v>
      </c>
      <c r="AB180" s="238">
        <f t="shared" si="135"/>
        <v>24633876.111187503</v>
      </c>
      <c r="AC180" s="238">
        <f t="shared" si="136"/>
        <v>13794970.622265005</v>
      </c>
      <c r="AD180" s="238">
        <f t="shared" si="137"/>
        <v>1970710.0888950003</v>
      </c>
      <c r="AE180" s="238">
        <f t="shared" si="138"/>
        <v>0</v>
      </c>
      <c r="AF180" s="1204">
        <f t="shared" si="139"/>
        <v>65033432.93353501</v>
      </c>
      <c r="AG180" s="237">
        <f t="shared" si="140"/>
        <v>0</v>
      </c>
      <c r="AH180" s="238">
        <f t="shared" si="141"/>
        <v>0</v>
      </c>
      <c r="AI180" s="238">
        <f t="shared" si="142"/>
        <v>5912130.2666850006</v>
      </c>
      <c r="AJ180" s="238">
        <f t="shared" si="143"/>
        <v>1182426.0533370001</v>
      </c>
      <c r="AK180" s="238">
        <f t="shared" si="144"/>
        <v>0</v>
      </c>
      <c r="AL180" s="238">
        <f t="shared" si="145"/>
        <v>0</v>
      </c>
      <c r="AM180" s="244">
        <f t="shared" si="146"/>
        <v>7094556.3200220009</v>
      </c>
      <c r="AN180" s="237">
        <f t="shared" si="147"/>
        <v>68400062.668730631</v>
      </c>
      <c r="AO180" s="238">
        <f t="shared" si="148"/>
        <v>0</v>
      </c>
      <c r="AP180" s="238">
        <f t="shared" si="149"/>
        <v>34200031.334365316</v>
      </c>
      <c r="AQ180" s="238">
        <f t="shared" si="150"/>
        <v>48282397.177927501</v>
      </c>
      <c r="AR180" s="238">
        <f t="shared" si="151"/>
        <v>2011766.5490803127</v>
      </c>
      <c r="AS180" s="238">
        <f t="shared" si="152"/>
        <v>0</v>
      </c>
      <c r="AT180" s="244">
        <f t="shared" si="153"/>
        <v>152894257.73010376</v>
      </c>
      <c r="AU180" s="256">
        <v>0</v>
      </c>
      <c r="AV180" s="248">
        <f t="shared" si="167"/>
        <v>225.02224698366075</v>
      </c>
      <c r="AW180" s="259">
        <f t="shared" si="154"/>
        <v>3.5467410482102202</v>
      </c>
    </row>
    <row r="181" spans="1:49">
      <c r="A181" s="194">
        <f>'Input data'!A137</f>
        <v>2039</v>
      </c>
      <c r="B181" s="209">
        <f>'Input data'!B137</f>
        <v>70.856999999999999</v>
      </c>
      <c r="C181" s="510">
        <f>'Recycling - Case 2'!E117</f>
        <v>1</v>
      </c>
      <c r="D181" s="658">
        <f>'Recycling - Case 2'!F117</f>
        <v>0.36725000000000002</v>
      </c>
      <c r="E181" s="237">
        <f t="shared" si="155"/>
        <v>1102854662.2125003</v>
      </c>
      <c r="F181" s="238">
        <v>0</v>
      </c>
      <c r="G181" s="239">
        <f t="shared" si="132"/>
        <v>1102854662.2125003</v>
      </c>
      <c r="H181" s="117">
        <f t="shared" si="170"/>
        <v>0.19230769230769232</v>
      </c>
      <c r="I181" s="118">
        <f t="shared" si="171"/>
        <v>0</v>
      </c>
      <c r="J181" s="118">
        <f t="shared" si="172"/>
        <v>0.19230769230769232</v>
      </c>
      <c r="K181" s="118">
        <f t="shared" si="173"/>
        <v>0.53846153846153855</v>
      </c>
      <c r="L181" s="118">
        <f t="shared" si="174"/>
        <v>7.6923076923076927E-2</v>
      </c>
      <c r="M181" s="206">
        <f t="shared" si="175"/>
        <v>0</v>
      </c>
      <c r="N181" s="117">
        <f t="shared" si="176"/>
        <v>0</v>
      </c>
      <c r="O181" s="118">
        <f t="shared" si="177"/>
        <v>0.7</v>
      </c>
      <c r="P181" s="118">
        <f t="shared" si="178"/>
        <v>0.15</v>
      </c>
      <c r="Q181" s="118">
        <f t="shared" si="179"/>
        <v>0.15</v>
      </c>
      <c r="R181" s="118">
        <f t="shared" si="180"/>
        <v>0</v>
      </c>
      <c r="S181" s="206">
        <f t="shared" si="181"/>
        <v>0</v>
      </c>
      <c r="T181" s="117">
        <f t="shared" si="182"/>
        <v>0.42500000000000004</v>
      </c>
      <c r="U181" s="118">
        <f t="shared" si="183"/>
        <v>0</v>
      </c>
      <c r="V181" s="118">
        <f t="shared" si="184"/>
        <v>0.21250000000000002</v>
      </c>
      <c r="W181" s="118">
        <f t="shared" si="185"/>
        <v>0.3</v>
      </c>
      <c r="X181" s="118">
        <f t="shared" si="186"/>
        <v>6.25E-2</v>
      </c>
      <c r="Y181" s="206">
        <f t="shared" si="187"/>
        <v>0</v>
      </c>
      <c r="Z181" s="237">
        <f t="shared" si="166"/>
        <v>24814229.899781261</v>
      </c>
      <c r="AA181" s="238">
        <f t="shared" si="134"/>
        <v>0</v>
      </c>
      <c r="AB181" s="238">
        <f t="shared" si="135"/>
        <v>24814229.899781261</v>
      </c>
      <c r="AC181" s="238">
        <f t="shared" si="136"/>
        <v>13895968.743877508</v>
      </c>
      <c r="AD181" s="238">
        <f t="shared" si="137"/>
        <v>1985138.3919825009</v>
      </c>
      <c r="AE181" s="238">
        <f t="shared" si="138"/>
        <v>0</v>
      </c>
      <c r="AF181" s="1204">
        <f t="shared" si="139"/>
        <v>65509566.935422532</v>
      </c>
      <c r="AG181" s="237">
        <f t="shared" si="140"/>
        <v>0</v>
      </c>
      <c r="AH181" s="238">
        <f t="shared" si="141"/>
        <v>0</v>
      </c>
      <c r="AI181" s="238">
        <f t="shared" si="142"/>
        <v>5955415.1759475013</v>
      </c>
      <c r="AJ181" s="238">
        <f t="shared" si="143"/>
        <v>1191083.0351895003</v>
      </c>
      <c r="AK181" s="238">
        <f t="shared" si="144"/>
        <v>0</v>
      </c>
      <c r="AL181" s="238">
        <f t="shared" si="145"/>
        <v>0</v>
      </c>
      <c r="AM181" s="244">
        <f t="shared" si="146"/>
        <v>7146498.2111370014</v>
      </c>
      <c r="AN181" s="237">
        <f t="shared" si="147"/>
        <v>68900845.021725968</v>
      </c>
      <c r="AO181" s="238">
        <f t="shared" si="148"/>
        <v>0</v>
      </c>
      <c r="AP181" s="238">
        <f t="shared" si="149"/>
        <v>34450422.510862984</v>
      </c>
      <c r="AQ181" s="238">
        <f t="shared" si="150"/>
        <v>48635890.603571266</v>
      </c>
      <c r="AR181" s="238">
        <f t="shared" si="151"/>
        <v>2026495.4418154694</v>
      </c>
      <c r="AS181" s="238">
        <f t="shared" si="152"/>
        <v>0</v>
      </c>
      <c r="AT181" s="244">
        <f t="shared" si="153"/>
        <v>154013653.57797569</v>
      </c>
      <c r="AU181" s="256">
        <v>0</v>
      </c>
      <c r="AV181" s="248">
        <f t="shared" si="167"/>
        <v>226.66971872453522</v>
      </c>
      <c r="AW181" s="259">
        <f t="shared" si="154"/>
        <v>3.5727080613720332</v>
      </c>
    </row>
    <row r="182" spans="1:49">
      <c r="A182" s="194">
        <f>'Input data'!A138</f>
        <v>2040</v>
      </c>
      <c r="B182" s="209">
        <f>'Input data'!B138</f>
        <v>71.375</v>
      </c>
      <c r="C182" s="510">
        <f>'Recycling - Case 2'!E118</f>
        <v>1</v>
      </c>
      <c r="D182" s="658">
        <f>'Recycling - Case 2'!F118</f>
        <v>0.36725000000000002</v>
      </c>
      <c r="E182" s="237">
        <f t="shared" si="155"/>
        <v>1110917079.6875</v>
      </c>
      <c r="F182" s="238">
        <v>0</v>
      </c>
      <c r="G182" s="239">
        <f t="shared" si="132"/>
        <v>1110917079.6875</v>
      </c>
      <c r="H182" s="117">
        <f t="shared" si="170"/>
        <v>0.19230769230769232</v>
      </c>
      <c r="I182" s="118">
        <f t="shared" si="171"/>
        <v>0</v>
      </c>
      <c r="J182" s="118">
        <f t="shared" si="172"/>
        <v>0.19230769230769232</v>
      </c>
      <c r="K182" s="118">
        <f t="shared" si="173"/>
        <v>0.53846153846153855</v>
      </c>
      <c r="L182" s="118">
        <f t="shared" si="174"/>
        <v>7.6923076923076927E-2</v>
      </c>
      <c r="M182" s="206">
        <f t="shared" si="175"/>
        <v>0</v>
      </c>
      <c r="N182" s="117">
        <f t="shared" si="176"/>
        <v>0</v>
      </c>
      <c r="O182" s="118">
        <f t="shared" si="177"/>
        <v>0.7</v>
      </c>
      <c r="P182" s="118">
        <f t="shared" si="178"/>
        <v>0.15</v>
      </c>
      <c r="Q182" s="118">
        <f t="shared" si="179"/>
        <v>0.15</v>
      </c>
      <c r="R182" s="118">
        <f t="shared" si="180"/>
        <v>0</v>
      </c>
      <c r="S182" s="206">
        <f t="shared" si="181"/>
        <v>0</v>
      </c>
      <c r="T182" s="117">
        <f t="shared" si="182"/>
        <v>0.42500000000000004</v>
      </c>
      <c r="U182" s="118">
        <f t="shared" si="183"/>
        <v>0</v>
      </c>
      <c r="V182" s="118">
        <f t="shared" si="184"/>
        <v>0.21250000000000002</v>
      </c>
      <c r="W182" s="118">
        <f t="shared" si="185"/>
        <v>0.3</v>
      </c>
      <c r="X182" s="118">
        <f t="shared" si="186"/>
        <v>6.25E-2</v>
      </c>
      <c r="Y182" s="206">
        <f t="shared" si="187"/>
        <v>0</v>
      </c>
      <c r="Z182" s="237">
        <f t="shared" si="166"/>
        <v>24995634.292968754</v>
      </c>
      <c r="AA182" s="238">
        <f t="shared" si="134"/>
        <v>0</v>
      </c>
      <c r="AB182" s="238">
        <f t="shared" si="135"/>
        <v>24995634.292968754</v>
      </c>
      <c r="AC182" s="238">
        <f t="shared" si="136"/>
        <v>13997555.204062505</v>
      </c>
      <c r="AD182" s="238">
        <f t="shared" si="137"/>
        <v>1999650.7434375002</v>
      </c>
      <c r="AE182" s="238">
        <f t="shared" si="138"/>
        <v>0</v>
      </c>
      <c r="AF182" s="1204">
        <f t="shared" si="139"/>
        <v>65988474.533437513</v>
      </c>
      <c r="AG182" s="237">
        <f t="shared" si="140"/>
        <v>0</v>
      </c>
      <c r="AH182" s="238">
        <f t="shared" si="141"/>
        <v>0</v>
      </c>
      <c r="AI182" s="238">
        <f t="shared" si="142"/>
        <v>5998952.2303125001</v>
      </c>
      <c r="AJ182" s="238">
        <f t="shared" si="143"/>
        <v>1199790.4460624999</v>
      </c>
      <c r="AK182" s="238">
        <f t="shared" si="144"/>
        <v>0</v>
      </c>
      <c r="AL182" s="238">
        <f t="shared" si="145"/>
        <v>0</v>
      </c>
      <c r="AM182" s="244">
        <f t="shared" si="146"/>
        <v>7198742.6763749998</v>
      </c>
      <c r="AN182" s="237">
        <f t="shared" si="147"/>
        <v>69404544.553476557</v>
      </c>
      <c r="AO182" s="238">
        <f t="shared" si="148"/>
        <v>0</v>
      </c>
      <c r="AP182" s="238">
        <f t="shared" si="149"/>
        <v>34702272.276738279</v>
      </c>
      <c r="AQ182" s="238">
        <f t="shared" si="150"/>
        <v>48991443.214218751</v>
      </c>
      <c r="AR182" s="238">
        <f t="shared" si="151"/>
        <v>2041310.1339257811</v>
      </c>
      <c r="AS182" s="238">
        <f t="shared" si="152"/>
        <v>0</v>
      </c>
      <c r="AT182" s="244">
        <f t="shared" si="153"/>
        <v>155139570.17835939</v>
      </c>
      <c r="AU182" s="256">
        <v>0</v>
      </c>
      <c r="AV182" s="248">
        <f t="shared" si="167"/>
        <v>228.32678738817191</v>
      </c>
      <c r="AW182" s="259">
        <f t="shared" si="154"/>
        <v>3.5988263386881876</v>
      </c>
    </row>
    <row r="183" spans="1:49">
      <c r="A183" s="194">
        <f>'Input data'!A139</f>
        <v>2041</v>
      </c>
      <c r="B183" s="209">
        <f>'Input data'!B139</f>
        <v>71.819000000000003</v>
      </c>
      <c r="C183" s="510">
        <f>'Recycling - Case 2'!E119</f>
        <v>1</v>
      </c>
      <c r="D183" s="658">
        <f>'Recycling - Case 2'!F119</f>
        <v>0.36725000000000002</v>
      </c>
      <c r="E183" s="237">
        <f t="shared" si="155"/>
        <v>1117827723.2375002</v>
      </c>
      <c r="F183" s="238">
        <v>0</v>
      </c>
      <c r="G183" s="239">
        <f t="shared" si="132"/>
        <v>1117827723.2375002</v>
      </c>
      <c r="H183" s="117">
        <f t="shared" si="170"/>
        <v>0.19230769230769232</v>
      </c>
      <c r="I183" s="118">
        <f t="shared" si="171"/>
        <v>0</v>
      </c>
      <c r="J183" s="118">
        <f t="shared" si="172"/>
        <v>0.19230769230769232</v>
      </c>
      <c r="K183" s="118">
        <f t="shared" si="173"/>
        <v>0.53846153846153855</v>
      </c>
      <c r="L183" s="118">
        <f t="shared" si="174"/>
        <v>7.6923076923076927E-2</v>
      </c>
      <c r="M183" s="206">
        <f t="shared" si="175"/>
        <v>0</v>
      </c>
      <c r="N183" s="117">
        <f t="shared" si="176"/>
        <v>0</v>
      </c>
      <c r="O183" s="118">
        <f t="shared" si="177"/>
        <v>0.7</v>
      </c>
      <c r="P183" s="118">
        <f t="shared" si="178"/>
        <v>0.15</v>
      </c>
      <c r="Q183" s="118">
        <f t="shared" si="179"/>
        <v>0.15</v>
      </c>
      <c r="R183" s="118">
        <f t="shared" si="180"/>
        <v>0</v>
      </c>
      <c r="S183" s="206">
        <f t="shared" si="181"/>
        <v>0</v>
      </c>
      <c r="T183" s="117">
        <f t="shared" si="182"/>
        <v>0.42500000000000004</v>
      </c>
      <c r="U183" s="118">
        <f t="shared" si="183"/>
        <v>0</v>
      </c>
      <c r="V183" s="118">
        <f t="shared" si="184"/>
        <v>0.21250000000000002</v>
      </c>
      <c r="W183" s="118">
        <f t="shared" si="185"/>
        <v>0.3</v>
      </c>
      <c r="X183" s="118">
        <f t="shared" si="186"/>
        <v>6.25E-2</v>
      </c>
      <c r="Y183" s="206">
        <f t="shared" si="187"/>
        <v>0</v>
      </c>
      <c r="Z183" s="237">
        <f t="shared" si="166"/>
        <v>25151123.772843756</v>
      </c>
      <c r="AA183" s="238">
        <f t="shared" si="134"/>
        <v>0</v>
      </c>
      <c r="AB183" s="238">
        <f t="shared" si="135"/>
        <v>25151123.772843756</v>
      </c>
      <c r="AC183" s="238">
        <f t="shared" si="136"/>
        <v>14084629.312792506</v>
      </c>
      <c r="AD183" s="238">
        <f t="shared" si="137"/>
        <v>2012089.9018275004</v>
      </c>
      <c r="AE183" s="238">
        <f t="shared" si="138"/>
        <v>0</v>
      </c>
      <c r="AF183" s="1204">
        <f t="shared" si="139"/>
        <v>66398966.760307521</v>
      </c>
      <c r="AG183" s="237">
        <f t="shared" si="140"/>
        <v>0</v>
      </c>
      <c r="AH183" s="238">
        <f t="shared" si="141"/>
        <v>0</v>
      </c>
      <c r="AI183" s="238">
        <f t="shared" si="142"/>
        <v>6036269.7054825006</v>
      </c>
      <c r="AJ183" s="238">
        <f t="shared" si="143"/>
        <v>1207253.9410965</v>
      </c>
      <c r="AK183" s="238">
        <f t="shared" si="144"/>
        <v>0</v>
      </c>
      <c r="AL183" s="238">
        <f t="shared" si="145"/>
        <v>0</v>
      </c>
      <c r="AM183" s="244">
        <f t="shared" si="146"/>
        <v>7243523.6465790011</v>
      </c>
      <c r="AN183" s="237">
        <f t="shared" si="147"/>
        <v>69836287.00926283</v>
      </c>
      <c r="AO183" s="238">
        <f t="shared" si="148"/>
        <v>0</v>
      </c>
      <c r="AP183" s="238">
        <f t="shared" si="149"/>
        <v>34918143.504631415</v>
      </c>
      <c r="AQ183" s="238">
        <f t="shared" si="150"/>
        <v>49296202.594773754</v>
      </c>
      <c r="AR183" s="238">
        <f t="shared" si="151"/>
        <v>2054008.4414489064</v>
      </c>
      <c r="AS183" s="238">
        <f t="shared" si="152"/>
        <v>0</v>
      </c>
      <c r="AT183" s="244">
        <f t="shared" si="153"/>
        <v>156104641.5501169</v>
      </c>
      <c r="AU183" s="256">
        <v>0</v>
      </c>
      <c r="AV183" s="248">
        <f t="shared" si="167"/>
        <v>229.7471319570034</v>
      </c>
      <c r="AW183" s="259">
        <f t="shared" si="154"/>
        <v>3.6212134335306052</v>
      </c>
    </row>
    <row r="184" spans="1:49">
      <c r="A184" s="194">
        <f>'Input data'!A140</f>
        <v>2042</v>
      </c>
      <c r="B184" s="209">
        <f>'Input data'!B140</f>
        <v>72.265000000000001</v>
      </c>
      <c r="C184" s="510">
        <f>'Recycling - Case 2'!E120</f>
        <v>1</v>
      </c>
      <c r="D184" s="658">
        <f>'Recycling - Case 2'!F120</f>
        <v>0.36725000000000002</v>
      </c>
      <c r="E184" s="237">
        <f t="shared" si="155"/>
        <v>1124769495.8125</v>
      </c>
      <c r="F184" s="238">
        <v>0</v>
      </c>
      <c r="G184" s="239">
        <f t="shared" si="132"/>
        <v>1124769495.8125</v>
      </c>
      <c r="H184" s="117">
        <f t="shared" si="170"/>
        <v>0.19230769230769232</v>
      </c>
      <c r="I184" s="118">
        <f t="shared" si="171"/>
        <v>0</v>
      </c>
      <c r="J184" s="118">
        <f t="shared" si="172"/>
        <v>0.19230769230769232</v>
      </c>
      <c r="K184" s="118">
        <f t="shared" si="173"/>
        <v>0.53846153846153855</v>
      </c>
      <c r="L184" s="118">
        <f t="shared" si="174"/>
        <v>7.6923076923076927E-2</v>
      </c>
      <c r="M184" s="206">
        <f t="shared" si="175"/>
        <v>0</v>
      </c>
      <c r="N184" s="117">
        <f t="shared" si="176"/>
        <v>0</v>
      </c>
      <c r="O184" s="118">
        <f t="shared" si="177"/>
        <v>0.7</v>
      </c>
      <c r="P184" s="118">
        <f t="shared" si="178"/>
        <v>0.15</v>
      </c>
      <c r="Q184" s="118">
        <f t="shared" si="179"/>
        <v>0.15</v>
      </c>
      <c r="R184" s="118">
        <f t="shared" si="180"/>
        <v>0</v>
      </c>
      <c r="S184" s="206">
        <f t="shared" si="181"/>
        <v>0</v>
      </c>
      <c r="T184" s="117">
        <f t="shared" si="182"/>
        <v>0.42500000000000004</v>
      </c>
      <c r="U184" s="118">
        <f t="shared" si="183"/>
        <v>0</v>
      </c>
      <c r="V184" s="118">
        <f t="shared" si="184"/>
        <v>0.21250000000000002</v>
      </c>
      <c r="W184" s="118">
        <f t="shared" si="185"/>
        <v>0.3</v>
      </c>
      <c r="X184" s="118">
        <f t="shared" si="186"/>
        <v>6.25E-2</v>
      </c>
      <c r="Y184" s="206">
        <f t="shared" si="187"/>
        <v>0</v>
      </c>
      <c r="Z184" s="237">
        <f t="shared" si="166"/>
        <v>25307313.655781254</v>
      </c>
      <c r="AA184" s="238">
        <f t="shared" si="134"/>
        <v>0</v>
      </c>
      <c r="AB184" s="238">
        <f t="shared" si="135"/>
        <v>25307313.655781254</v>
      </c>
      <c r="AC184" s="238">
        <f t="shared" si="136"/>
        <v>14172095.647237506</v>
      </c>
      <c r="AD184" s="238">
        <f t="shared" si="137"/>
        <v>2024585.0924625003</v>
      </c>
      <c r="AE184" s="238">
        <f t="shared" si="138"/>
        <v>0</v>
      </c>
      <c r="AF184" s="1204">
        <f t="shared" si="139"/>
        <v>66811308.05126252</v>
      </c>
      <c r="AG184" s="237">
        <f t="shared" si="140"/>
        <v>0</v>
      </c>
      <c r="AH184" s="238">
        <f t="shared" si="141"/>
        <v>0</v>
      </c>
      <c r="AI184" s="238">
        <f t="shared" si="142"/>
        <v>6073755.2773874998</v>
      </c>
      <c r="AJ184" s="238">
        <f t="shared" si="143"/>
        <v>1214751.0554774997</v>
      </c>
      <c r="AK184" s="238">
        <f t="shared" si="144"/>
        <v>0</v>
      </c>
      <c r="AL184" s="238">
        <f t="shared" si="145"/>
        <v>0</v>
      </c>
      <c r="AM184" s="244">
        <f t="shared" si="146"/>
        <v>7288506.3328649998</v>
      </c>
      <c r="AN184" s="237">
        <f t="shared" si="147"/>
        <v>70269974.250885934</v>
      </c>
      <c r="AO184" s="238">
        <f t="shared" si="148"/>
        <v>0</v>
      </c>
      <c r="AP184" s="238">
        <f t="shared" si="149"/>
        <v>35134987.125442967</v>
      </c>
      <c r="AQ184" s="238">
        <f t="shared" si="150"/>
        <v>49602334.765331253</v>
      </c>
      <c r="AR184" s="238">
        <f t="shared" si="151"/>
        <v>2066763.9485554688</v>
      </c>
      <c r="AS184" s="238">
        <f t="shared" si="152"/>
        <v>0</v>
      </c>
      <c r="AT184" s="244">
        <f t="shared" si="153"/>
        <v>157074060.09021562</v>
      </c>
      <c r="AU184" s="256">
        <v>0</v>
      </c>
      <c r="AV184" s="248">
        <f t="shared" si="167"/>
        <v>231.17387447434314</v>
      </c>
      <c r="AW184" s="259">
        <f t="shared" si="154"/>
        <v>3.643701371142583</v>
      </c>
    </row>
    <row r="185" spans="1:49">
      <c r="A185" s="194">
        <f>'Input data'!A141</f>
        <v>2043</v>
      </c>
      <c r="B185" s="209">
        <f>'Input data'!B141</f>
        <v>72.713999999999999</v>
      </c>
      <c r="C185" s="510">
        <f>'Recycling - Case 2'!E121</f>
        <v>1</v>
      </c>
      <c r="D185" s="658">
        <f>'Recycling - Case 2'!F121</f>
        <v>0.36725000000000002</v>
      </c>
      <c r="E185" s="237">
        <f t="shared" si="155"/>
        <v>1131757961.925</v>
      </c>
      <c r="F185" s="238">
        <v>0</v>
      </c>
      <c r="G185" s="239">
        <f t="shared" si="132"/>
        <v>1131757961.925</v>
      </c>
      <c r="H185" s="117">
        <f t="shared" si="170"/>
        <v>0.19230769230769232</v>
      </c>
      <c r="I185" s="118">
        <f t="shared" si="171"/>
        <v>0</v>
      </c>
      <c r="J185" s="118">
        <f t="shared" si="172"/>
        <v>0.19230769230769232</v>
      </c>
      <c r="K185" s="118">
        <f t="shared" si="173"/>
        <v>0.53846153846153855</v>
      </c>
      <c r="L185" s="118">
        <f t="shared" si="174"/>
        <v>7.6923076923076927E-2</v>
      </c>
      <c r="M185" s="206">
        <f t="shared" si="175"/>
        <v>0</v>
      </c>
      <c r="N185" s="117">
        <f t="shared" si="176"/>
        <v>0</v>
      </c>
      <c r="O185" s="118">
        <f t="shared" si="177"/>
        <v>0.7</v>
      </c>
      <c r="P185" s="118">
        <f t="shared" si="178"/>
        <v>0.15</v>
      </c>
      <c r="Q185" s="118">
        <f t="shared" si="179"/>
        <v>0.15</v>
      </c>
      <c r="R185" s="118">
        <f t="shared" si="180"/>
        <v>0</v>
      </c>
      <c r="S185" s="206">
        <f t="shared" si="181"/>
        <v>0</v>
      </c>
      <c r="T185" s="117">
        <f t="shared" si="182"/>
        <v>0.42500000000000004</v>
      </c>
      <c r="U185" s="118">
        <f t="shared" si="183"/>
        <v>0</v>
      </c>
      <c r="V185" s="118">
        <f t="shared" si="184"/>
        <v>0.21250000000000002</v>
      </c>
      <c r="W185" s="118">
        <f t="shared" si="185"/>
        <v>0.3</v>
      </c>
      <c r="X185" s="118">
        <f t="shared" si="186"/>
        <v>6.25E-2</v>
      </c>
      <c r="Y185" s="206">
        <f t="shared" si="187"/>
        <v>0</v>
      </c>
      <c r="Z185" s="237">
        <f t="shared" si="166"/>
        <v>25464554.143312503</v>
      </c>
      <c r="AA185" s="238">
        <f t="shared" si="134"/>
        <v>0</v>
      </c>
      <c r="AB185" s="238">
        <f t="shared" si="135"/>
        <v>25464554.143312503</v>
      </c>
      <c r="AC185" s="238">
        <f t="shared" si="136"/>
        <v>14260150.320255004</v>
      </c>
      <c r="AD185" s="238">
        <f t="shared" si="137"/>
        <v>2037164.3314650001</v>
      </c>
      <c r="AE185" s="238">
        <f t="shared" si="138"/>
        <v>0</v>
      </c>
      <c r="AF185" s="1204">
        <f t="shared" si="139"/>
        <v>67226422.938345015</v>
      </c>
      <c r="AG185" s="237">
        <f t="shared" si="140"/>
        <v>0</v>
      </c>
      <c r="AH185" s="238">
        <f t="shared" si="141"/>
        <v>0</v>
      </c>
      <c r="AI185" s="238">
        <f t="shared" si="142"/>
        <v>6111492.9943949999</v>
      </c>
      <c r="AJ185" s="238">
        <f t="shared" si="143"/>
        <v>1222298.5988789999</v>
      </c>
      <c r="AK185" s="238">
        <f t="shared" si="144"/>
        <v>0</v>
      </c>
      <c r="AL185" s="238">
        <f t="shared" si="145"/>
        <v>0</v>
      </c>
      <c r="AM185" s="244">
        <f t="shared" si="146"/>
        <v>7333791.5932740001</v>
      </c>
      <c r="AN185" s="237">
        <f t="shared" si="147"/>
        <v>70706578.67126438</v>
      </c>
      <c r="AO185" s="238">
        <f t="shared" si="148"/>
        <v>0</v>
      </c>
      <c r="AP185" s="238">
        <f t="shared" si="149"/>
        <v>35353289.33563219</v>
      </c>
      <c r="AQ185" s="238">
        <f t="shared" si="150"/>
        <v>49910526.120892495</v>
      </c>
      <c r="AR185" s="238">
        <f t="shared" si="151"/>
        <v>2079605.2550371874</v>
      </c>
      <c r="AS185" s="238">
        <f t="shared" si="152"/>
        <v>0</v>
      </c>
      <c r="AT185" s="244">
        <f t="shared" si="153"/>
        <v>158049999.38282627</v>
      </c>
      <c r="AU185" s="256">
        <v>0</v>
      </c>
      <c r="AV185" s="248">
        <f t="shared" si="167"/>
        <v>232.61021391444527</v>
      </c>
      <c r="AW185" s="259">
        <f t="shared" si="154"/>
        <v>3.6663405729089016</v>
      </c>
    </row>
    <row r="186" spans="1:49">
      <c r="A186" s="194">
        <f>'Input data'!A142</f>
        <v>2044</v>
      </c>
      <c r="B186" s="209">
        <f>'Input data'!B142</f>
        <v>73.165000000000006</v>
      </c>
      <c r="C186" s="510">
        <f>'Recycling - Case 2'!E122</f>
        <v>1</v>
      </c>
      <c r="D186" s="658">
        <f>'Recycling - Case 2'!F122</f>
        <v>0.36725000000000002</v>
      </c>
      <c r="E186" s="237">
        <f t="shared" si="155"/>
        <v>1138777557.0625005</v>
      </c>
      <c r="F186" s="238">
        <v>0</v>
      </c>
      <c r="G186" s="239">
        <f t="shared" si="132"/>
        <v>1138777557.0625005</v>
      </c>
      <c r="H186" s="117">
        <f t="shared" si="170"/>
        <v>0.19230769230769232</v>
      </c>
      <c r="I186" s="118">
        <f t="shared" si="171"/>
        <v>0</v>
      </c>
      <c r="J186" s="118">
        <f t="shared" si="172"/>
        <v>0.19230769230769232</v>
      </c>
      <c r="K186" s="118">
        <f t="shared" si="173"/>
        <v>0.53846153846153855</v>
      </c>
      <c r="L186" s="118">
        <f t="shared" si="174"/>
        <v>7.6923076923076927E-2</v>
      </c>
      <c r="M186" s="206">
        <f t="shared" si="175"/>
        <v>0</v>
      </c>
      <c r="N186" s="117">
        <f t="shared" si="176"/>
        <v>0</v>
      </c>
      <c r="O186" s="118">
        <f t="shared" si="177"/>
        <v>0.7</v>
      </c>
      <c r="P186" s="118">
        <f t="shared" si="178"/>
        <v>0.15</v>
      </c>
      <c r="Q186" s="118">
        <f t="shared" si="179"/>
        <v>0.15</v>
      </c>
      <c r="R186" s="118">
        <f t="shared" si="180"/>
        <v>0</v>
      </c>
      <c r="S186" s="206">
        <f t="shared" si="181"/>
        <v>0</v>
      </c>
      <c r="T186" s="117">
        <f t="shared" si="182"/>
        <v>0.42500000000000004</v>
      </c>
      <c r="U186" s="118">
        <f t="shared" si="183"/>
        <v>0</v>
      </c>
      <c r="V186" s="118">
        <f t="shared" si="184"/>
        <v>0.21250000000000002</v>
      </c>
      <c r="W186" s="118">
        <f t="shared" si="185"/>
        <v>0.3</v>
      </c>
      <c r="X186" s="118">
        <f t="shared" si="186"/>
        <v>6.25E-2</v>
      </c>
      <c r="Y186" s="206">
        <f t="shared" si="187"/>
        <v>0</v>
      </c>
      <c r="Z186" s="237">
        <f t="shared" si="166"/>
        <v>25622495.033906262</v>
      </c>
      <c r="AA186" s="238">
        <f t="shared" si="134"/>
        <v>0</v>
      </c>
      <c r="AB186" s="238">
        <f t="shared" si="135"/>
        <v>25622495.033906262</v>
      </c>
      <c r="AC186" s="238">
        <f t="shared" si="136"/>
        <v>14348597.218987511</v>
      </c>
      <c r="AD186" s="238">
        <f t="shared" si="137"/>
        <v>2049799.6027125011</v>
      </c>
      <c r="AE186" s="238">
        <f t="shared" si="138"/>
        <v>0</v>
      </c>
      <c r="AF186" s="1204">
        <f t="shared" si="139"/>
        <v>67643386.889512539</v>
      </c>
      <c r="AG186" s="237">
        <f t="shared" si="140"/>
        <v>0</v>
      </c>
      <c r="AH186" s="238">
        <f t="shared" si="141"/>
        <v>0</v>
      </c>
      <c r="AI186" s="238">
        <f t="shared" si="142"/>
        <v>6149398.8081375016</v>
      </c>
      <c r="AJ186" s="238">
        <f t="shared" si="143"/>
        <v>1229879.7616275004</v>
      </c>
      <c r="AK186" s="238">
        <f t="shared" si="144"/>
        <v>0</v>
      </c>
      <c r="AL186" s="238">
        <f t="shared" si="145"/>
        <v>0</v>
      </c>
      <c r="AM186" s="244">
        <f t="shared" si="146"/>
        <v>7379278.5697650015</v>
      </c>
      <c r="AN186" s="237">
        <f t="shared" si="147"/>
        <v>71145127.877479717</v>
      </c>
      <c r="AO186" s="238">
        <f t="shared" si="148"/>
        <v>0</v>
      </c>
      <c r="AP186" s="238">
        <f t="shared" si="149"/>
        <v>35572563.938739859</v>
      </c>
      <c r="AQ186" s="238">
        <f t="shared" si="150"/>
        <v>50220090.266456269</v>
      </c>
      <c r="AR186" s="238">
        <f t="shared" si="151"/>
        <v>2092503.7611023446</v>
      </c>
      <c r="AS186" s="238">
        <f t="shared" si="152"/>
        <v>0</v>
      </c>
      <c r="AT186" s="244">
        <f t="shared" si="153"/>
        <v>159030285.84377819</v>
      </c>
      <c r="AU186" s="256">
        <v>0</v>
      </c>
      <c r="AV186" s="248">
        <f t="shared" si="167"/>
        <v>234.05295130305572</v>
      </c>
      <c r="AW186" s="259">
        <f t="shared" si="154"/>
        <v>3.6890806174447812</v>
      </c>
    </row>
    <row r="187" spans="1:49">
      <c r="A187" s="194">
        <f>'Input data'!A143</f>
        <v>2045</v>
      </c>
      <c r="B187" s="209">
        <f>'Input data'!B143</f>
        <v>73.62</v>
      </c>
      <c r="C187" s="510">
        <f>'Recycling - Case 2'!E123</f>
        <v>1</v>
      </c>
      <c r="D187" s="658">
        <f>'Recycling - Case 2'!F123</f>
        <v>0.36725000000000002</v>
      </c>
      <c r="E187" s="237">
        <f t="shared" si="155"/>
        <v>1145859410.2500002</v>
      </c>
      <c r="F187" s="238">
        <v>0</v>
      </c>
      <c r="G187" s="239">
        <f t="shared" si="132"/>
        <v>1145859410.2500002</v>
      </c>
      <c r="H187" s="117">
        <f t="shared" si="170"/>
        <v>0.19230769230769232</v>
      </c>
      <c r="I187" s="118">
        <f t="shared" si="171"/>
        <v>0</v>
      </c>
      <c r="J187" s="118">
        <f t="shared" si="172"/>
        <v>0.19230769230769232</v>
      </c>
      <c r="K187" s="118">
        <f t="shared" si="173"/>
        <v>0.53846153846153855</v>
      </c>
      <c r="L187" s="118">
        <f t="shared" si="174"/>
        <v>7.6923076923076927E-2</v>
      </c>
      <c r="M187" s="206">
        <f t="shared" si="175"/>
        <v>0</v>
      </c>
      <c r="N187" s="117">
        <f t="shared" si="176"/>
        <v>0</v>
      </c>
      <c r="O187" s="118">
        <f t="shared" si="177"/>
        <v>0.7</v>
      </c>
      <c r="P187" s="118">
        <f t="shared" si="178"/>
        <v>0.15</v>
      </c>
      <c r="Q187" s="118">
        <f t="shared" si="179"/>
        <v>0.15</v>
      </c>
      <c r="R187" s="118">
        <f t="shared" si="180"/>
        <v>0</v>
      </c>
      <c r="S187" s="206">
        <f t="shared" si="181"/>
        <v>0</v>
      </c>
      <c r="T187" s="117">
        <f t="shared" si="182"/>
        <v>0.42500000000000004</v>
      </c>
      <c r="U187" s="118">
        <f t="shared" si="183"/>
        <v>0</v>
      </c>
      <c r="V187" s="118">
        <f t="shared" si="184"/>
        <v>0.21250000000000002</v>
      </c>
      <c r="W187" s="118">
        <f t="shared" si="185"/>
        <v>0.3</v>
      </c>
      <c r="X187" s="118">
        <f t="shared" si="186"/>
        <v>6.25E-2</v>
      </c>
      <c r="Y187" s="206">
        <f t="shared" si="187"/>
        <v>0</v>
      </c>
      <c r="Z187" s="237">
        <f t="shared" si="166"/>
        <v>25781836.730625007</v>
      </c>
      <c r="AA187" s="238">
        <f t="shared" si="134"/>
        <v>0</v>
      </c>
      <c r="AB187" s="238">
        <f t="shared" si="135"/>
        <v>25781836.730625007</v>
      </c>
      <c r="AC187" s="238">
        <f t="shared" si="136"/>
        <v>14437828.569150006</v>
      </c>
      <c r="AD187" s="238">
        <f t="shared" si="137"/>
        <v>2062546.9384500007</v>
      </c>
      <c r="AE187" s="238">
        <f t="shared" si="138"/>
        <v>0</v>
      </c>
      <c r="AF187" s="1204">
        <f t="shared" si="139"/>
        <v>68064048.968850017</v>
      </c>
      <c r="AG187" s="237">
        <f t="shared" si="140"/>
        <v>0</v>
      </c>
      <c r="AH187" s="238">
        <f t="shared" si="141"/>
        <v>0</v>
      </c>
      <c r="AI187" s="238">
        <f t="shared" si="142"/>
        <v>6187640.8153500007</v>
      </c>
      <c r="AJ187" s="238">
        <f t="shared" si="143"/>
        <v>1237528.1630700002</v>
      </c>
      <c r="AK187" s="238">
        <f t="shared" si="144"/>
        <v>0</v>
      </c>
      <c r="AL187" s="238">
        <f t="shared" si="145"/>
        <v>0</v>
      </c>
      <c r="AM187" s="244">
        <f t="shared" si="146"/>
        <v>7425168.9784200005</v>
      </c>
      <c r="AN187" s="237">
        <f t="shared" si="147"/>
        <v>71587566.65536876</v>
      </c>
      <c r="AO187" s="238">
        <f t="shared" si="148"/>
        <v>0</v>
      </c>
      <c r="AP187" s="238">
        <f t="shared" si="149"/>
        <v>35793783.32768438</v>
      </c>
      <c r="AQ187" s="238">
        <f t="shared" si="150"/>
        <v>50532399.992025003</v>
      </c>
      <c r="AR187" s="238">
        <f t="shared" si="151"/>
        <v>2105516.6663343753</v>
      </c>
      <c r="AS187" s="238">
        <f t="shared" si="152"/>
        <v>0</v>
      </c>
      <c r="AT187" s="244">
        <f t="shared" si="153"/>
        <v>160019266.64141253</v>
      </c>
      <c r="AU187" s="256">
        <v>0</v>
      </c>
      <c r="AV187" s="248">
        <f t="shared" si="167"/>
        <v>235.50848458868253</v>
      </c>
      <c r="AW187" s="259">
        <f t="shared" si="154"/>
        <v>3.7120223475197802</v>
      </c>
    </row>
    <row r="188" spans="1:49">
      <c r="A188" s="194">
        <f>'Input data'!A144</f>
        <v>2046</v>
      </c>
      <c r="B188" s="209">
        <f>'Input data'!B144</f>
        <v>73.995000000000005</v>
      </c>
      <c r="C188" s="510">
        <f>'Recycling - Case 2'!E124</f>
        <v>1</v>
      </c>
      <c r="D188" s="658">
        <f>'Recycling - Case 2'!F124</f>
        <v>0.36725000000000002</v>
      </c>
      <c r="E188" s="237">
        <f t="shared" si="155"/>
        <v>1151696102.4375002</v>
      </c>
      <c r="F188" s="238">
        <v>0</v>
      </c>
      <c r="G188" s="239">
        <f t="shared" si="132"/>
        <v>1151696102.4375002</v>
      </c>
      <c r="H188" s="117">
        <f t="shared" si="170"/>
        <v>0.19230769230769232</v>
      </c>
      <c r="I188" s="118">
        <f t="shared" si="171"/>
        <v>0</v>
      </c>
      <c r="J188" s="118">
        <f t="shared" si="172"/>
        <v>0.19230769230769232</v>
      </c>
      <c r="K188" s="118">
        <f t="shared" si="173"/>
        <v>0.53846153846153855</v>
      </c>
      <c r="L188" s="118">
        <f t="shared" si="174"/>
        <v>7.6923076923076927E-2</v>
      </c>
      <c r="M188" s="206">
        <f t="shared" si="175"/>
        <v>0</v>
      </c>
      <c r="N188" s="117">
        <f t="shared" si="176"/>
        <v>0</v>
      </c>
      <c r="O188" s="118">
        <f t="shared" si="177"/>
        <v>0.7</v>
      </c>
      <c r="P188" s="118">
        <f t="shared" si="178"/>
        <v>0.15</v>
      </c>
      <c r="Q188" s="118">
        <f t="shared" si="179"/>
        <v>0.15</v>
      </c>
      <c r="R188" s="118">
        <f t="shared" si="180"/>
        <v>0</v>
      </c>
      <c r="S188" s="206">
        <f t="shared" si="181"/>
        <v>0</v>
      </c>
      <c r="T188" s="117">
        <f t="shared" si="182"/>
        <v>0.42500000000000004</v>
      </c>
      <c r="U188" s="118">
        <f t="shared" si="183"/>
        <v>0</v>
      </c>
      <c r="V188" s="118">
        <f t="shared" si="184"/>
        <v>0.21250000000000002</v>
      </c>
      <c r="W188" s="118">
        <f t="shared" si="185"/>
        <v>0.3</v>
      </c>
      <c r="X188" s="118">
        <f t="shared" si="186"/>
        <v>6.25E-2</v>
      </c>
      <c r="Y188" s="206">
        <f t="shared" si="187"/>
        <v>0</v>
      </c>
      <c r="Z188" s="237">
        <f t="shared" si="166"/>
        <v>25913162.304843757</v>
      </c>
      <c r="AA188" s="238">
        <f t="shared" si="134"/>
        <v>0</v>
      </c>
      <c r="AB188" s="238">
        <f t="shared" si="135"/>
        <v>25913162.304843757</v>
      </c>
      <c r="AC188" s="238">
        <f t="shared" si="136"/>
        <v>14511370.890712507</v>
      </c>
      <c r="AD188" s="238">
        <f t="shared" si="137"/>
        <v>2073052.9843875007</v>
      </c>
      <c r="AE188" s="238">
        <f t="shared" si="138"/>
        <v>0</v>
      </c>
      <c r="AF188" s="1204">
        <f t="shared" si="139"/>
        <v>68410748.484787524</v>
      </c>
      <c r="AG188" s="237">
        <f t="shared" si="140"/>
        <v>0</v>
      </c>
      <c r="AH188" s="238">
        <f t="shared" si="141"/>
        <v>0</v>
      </c>
      <c r="AI188" s="238">
        <f t="shared" si="142"/>
        <v>6219158.9531625006</v>
      </c>
      <c r="AJ188" s="238">
        <f t="shared" si="143"/>
        <v>1243831.7906325001</v>
      </c>
      <c r="AK188" s="238">
        <f t="shared" si="144"/>
        <v>0</v>
      </c>
      <c r="AL188" s="238">
        <f t="shared" si="145"/>
        <v>0</v>
      </c>
      <c r="AM188" s="244">
        <f t="shared" si="146"/>
        <v>7462990.7437950009</v>
      </c>
      <c r="AN188" s="237">
        <f t="shared" si="147"/>
        <v>71952213.999782816</v>
      </c>
      <c r="AO188" s="238">
        <f t="shared" si="148"/>
        <v>0</v>
      </c>
      <c r="AP188" s="238">
        <f t="shared" si="149"/>
        <v>35976106.999891408</v>
      </c>
      <c r="AQ188" s="238">
        <f t="shared" si="150"/>
        <v>50789798.117493756</v>
      </c>
      <c r="AR188" s="238">
        <f t="shared" si="151"/>
        <v>2116241.5882289065</v>
      </c>
      <c r="AS188" s="238">
        <f t="shared" si="152"/>
        <v>0</v>
      </c>
      <c r="AT188" s="244">
        <f t="shared" si="153"/>
        <v>160834360.70539689</v>
      </c>
      <c r="AU188" s="256">
        <v>0</v>
      </c>
      <c r="AV188" s="248">
        <f t="shared" si="167"/>
        <v>236.70809993397941</v>
      </c>
      <c r="AW188" s="259">
        <f t="shared" si="154"/>
        <v>3.7309303668123635</v>
      </c>
    </row>
    <row r="189" spans="1:49">
      <c r="A189" s="194">
        <f>'Input data'!A145</f>
        <v>2047</v>
      </c>
      <c r="B189" s="209">
        <f>'Input data'!B145</f>
        <v>74.373000000000005</v>
      </c>
      <c r="C189" s="510">
        <f>'Recycling - Case 2'!E125</f>
        <v>1</v>
      </c>
      <c r="D189" s="658">
        <f>'Recycling - Case 2'!F125</f>
        <v>0.36725000000000002</v>
      </c>
      <c r="E189" s="237">
        <f t="shared" si="155"/>
        <v>1157579488.1625001</v>
      </c>
      <c r="F189" s="238">
        <v>0</v>
      </c>
      <c r="G189" s="239">
        <f t="shared" si="132"/>
        <v>1157579488.1625001</v>
      </c>
      <c r="H189" s="117">
        <f t="shared" si="170"/>
        <v>0.19230769230769232</v>
      </c>
      <c r="I189" s="118">
        <f t="shared" si="171"/>
        <v>0</v>
      </c>
      <c r="J189" s="118">
        <f t="shared" si="172"/>
        <v>0.19230769230769232</v>
      </c>
      <c r="K189" s="118">
        <f t="shared" si="173"/>
        <v>0.53846153846153855</v>
      </c>
      <c r="L189" s="118">
        <f t="shared" si="174"/>
        <v>7.6923076923076927E-2</v>
      </c>
      <c r="M189" s="206">
        <f t="shared" si="175"/>
        <v>0</v>
      </c>
      <c r="N189" s="117">
        <f t="shared" si="176"/>
        <v>0</v>
      </c>
      <c r="O189" s="118">
        <f t="shared" si="177"/>
        <v>0.7</v>
      </c>
      <c r="P189" s="118">
        <f t="shared" si="178"/>
        <v>0.15</v>
      </c>
      <c r="Q189" s="118">
        <f t="shared" si="179"/>
        <v>0.15</v>
      </c>
      <c r="R189" s="118">
        <f t="shared" si="180"/>
        <v>0</v>
      </c>
      <c r="S189" s="206">
        <f t="shared" si="181"/>
        <v>0</v>
      </c>
      <c r="T189" s="117">
        <f t="shared" si="182"/>
        <v>0.42500000000000004</v>
      </c>
      <c r="U189" s="118">
        <f t="shared" si="183"/>
        <v>0</v>
      </c>
      <c r="V189" s="118">
        <f t="shared" si="184"/>
        <v>0.21250000000000002</v>
      </c>
      <c r="W189" s="118">
        <f t="shared" si="185"/>
        <v>0.3</v>
      </c>
      <c r="X189" s="118">
        <f t="shared" si="186"/>
        <v>6.25E-2</v>
      </c>
      <c r="Y189" s="206">
        <f t="shared" si="187"/>
        <v>0</v>
      </c>
      <c r="Z189" s="237">
        <f t="shared" si="166"/>
        <v>26045538.483656257</v>
      </c>
      <c r="AA189" s="238">
        <f t="shared" si="134"/>
        <v>0</v>
      </c>
      <c r="AB189" s="238">
        <f t="shared" si="135"/>
        <v>26045538.483656257</v>
      </c>
      <c r="AC189" s="238">
        <f t="shared" si="136"/>
        <v>14585501.550847506</v>
      </c>
      <c r="AD189" s="238">
        <f t="shared" si="137"/>
        <v>2083643.0786925005</v>
      </c>
      <c r="AE189" s="238">
        <f t="shared" si="138"/>
        <v>0</v>
      </c>
      <c r="AF189" s="1204">
        <f t="shared" si="139"/>
        <v>68760221.596852526</v>
      </c>
      <c r="AG189" s="237">
        <f t="shared" si="140"/>
        <v>0</v>
      </c>
      <c r="AH189" s="238">
        <f t="shared" si="141"/>
        <v>0</v>
      </c>
      <c r="AI189" s="238">
        <f t="shared" si="142"/>
        <v>6250929.2360775005</v>
      </c>
      <c r="AJ189" s="238">
        <f t="shared" si="143"/>
        <v>1250185.8472155</v>
      </c>
      <c r="AK189" s="238">
        <f t="shared" si="144"/>
        <v>0</v>
      </c>
      <c r="AL189" s="238">
        <f t="shared" si="145"/>
        <v>0</v>
      </c>
      <c r="AM189" s="244">
        <f t="shared" si="146"/>
        <v>7501115.0832930002</v>
      </c>
      <c r="AN189" s="237">
        <f t="shared" si="147"/>
        <v>72319778.522952199</v>
      </c>
      <c r="AO189" s="238">
        <f t="shared" si="148"/>
        <v>0</v>
      </c>
      <c r="AP189" s="238">
        <f t="shared" si="149"/>
        <v>36159889.261476099</v>
      </c>
      <c r="AQ189" s="238">
        <f t="shared" si="150"/>
        <v>51049255.427966259</v>
      </c>
      <c r="AR189" s="238">
        <f t="shared" si="151"/>
        <v>2127052.3094985941</v>
      </c>
      <c r="AS189" s="238">
        <f t="shared" si="152"/>
        <v>0</v>
      </c>
      <c r="AT189" s="244">
        <f t="shared" si="153"/>
        <v>161655975.52189317</v>
      </c>
      <c r="AU189" s="256">
        <v>0</v>
      </c>
      <c r="AV189" s="248">
        <f t="shared" si="167"/>
        <v>237.91731220203872</v>
      </c>
      <c r="AW189" s="259">
        <f t="shared" si="154"/>
        <v>3.7499896502592862</v>
      </c>
    </row>
    <row r="190" spans="1:49">
      <c r="A190" s="194">
        <f>'Input data'!A146</f>
        <v>2048</v>
      </c>
      <c r="B190" s="209">
        <f>'Input data'!B146</f>
        <v>74.753</v>
      </c>
      <c r="C190" s="510">
        <f>'Recycling - Case 2'!E126</f>
        <v>1</v>
      </c>
      <c r="D190" s="658">
        <f>'Recycling - Case 2'!F126</f>
        <v>0.36725000000000002</v>
      </c>
      <c r="E190" s="237">
        <f t="shared" si="155"/>
        <v>1163494002.9125004</v>
      </c>
      <c r="F190" s="238">
        <v>0</v>
      </c>
      <c r="G190" s="239">
        <f t="shared" si="132"/>
        <v>1163494002.9125004</v>
      </c>
      <c r="H190" s="117">
        <f t="shared" si="170"/>
        <v>0.19230769230769232</v>
      </c>
      <c r="I190" s="118">
        <f t="shared" si="171"/>
        <v>0</v>
      </c>
      <c r="J190" s="118">
        <f t="shared" si="172"/>
        <v>0.19230769230769232</v>
      </c>
      <c r="K190" s="118">
        <f t="shared" si="173"/>
        <v>0.53846153846153855</v>
      </c>
      <c r="L190" s="118">
        <f t="shared" si="174"/>
        <v>7.6923076923076927E-2</v>
      </c>
      <c r="M190" s="206">
        <f t="shared" si="175"/>
        <v>0</v>
      </c>
      <c r="N190" s="117">
        <f t="shared" si="176"/>
        <v>0</v>
      </c>
      <c r="O190" s="118">
        <f t="shared" si="177"/>
        <v>0.7</v>
      </c>
      <c r="P190" s="118">
        <f t="shared" si="178"/>
        <v>0.15</v>
      </c>
      <c r="Q190" s="118">
        <f t="shared" si="179"/>
        <v>0.15</v>
      </c>
      <c r="R190" s="118">
        <f t="shared" si="180"/>
        <v>0</v>
      </c>
      <c r="S190" s="206">
        <f t="shared" si="181"/>
        <v>0</v>
      </c>
      <c r="T190" s="117">
        <f t="shared" si="182"/>
        <v>0.42500000000000004</v>
      </c>
      <c r="U190" s="118">
        <f t="shared" si="183"/>
        <v>0</v>
      </c>
      <c r="V190" s="118">
        <f t="shared" si="184"/>
        <v>0.21250000000000002</v>
      </c>
      <c r="W190" s="118">
        <f t="shared" si="185"/>
        <v>0.3</v>
      </c>
      <c r="X190" s="118">
        <f t="shared" si="186"/>
        <v>6.25E-2</v>
      </c>
      <c r="Y190" s="206">
        <f t="shared" si="187"/>
        <v>0</v>
      </c>
      <c r="Z190" s="237">
        <f t="shared" si="166"/>
        <v>26178615.065531261</v>
      </c>
      <c r="AA190" s="238">
        <f t="shared" si="134"/>
        <v>0</v>
      </c>
      <c r="AB190" s="238">
        <f t="shared" si="135"/>
        <v>26178615.065531261</v>
      </c>
      <c r="AC190" s="238">
        <f t="shared" si="136"/>
        <v>14660024.436697509</v>
      </c>
      <c r="AD190" s="238">
        <f t="shared" si="137"/>
        <v>2094289.2052425009</v>
      </c>
      <c r="AE190" s="238">
        <f t="shared" si="138"/>
        <v>0</v>
      </c>
      <c r="AF190" s="1204">
        <f t="shared" si="139"/>
        <v>69111543.773002535</v>
      </c>
      <c r="AG190" s="237">
        <f t="shared" si="140"/>
        <v>0</v>
      </c>
      <c r="AH190" s="238">
        <f t="shared" si="141"/>
        <v>0</v>
      </c>
      <c r="AI190" s="238">
        <f t="shared" si="142"/>
        <v>6282867.6157275019</v>
      </c>
      <c r="AJ190" s="238">
        <f t="shared" si="143"/>
        <v>1256573.5231455003</v>
      </c>
      <c r="AK190" s="238">
        <f t="shared" si="144"/>
        <v>0</v>
      </c>
      <c r="AL190" s="238">
        <f t="shared" si="145"/>
        <v>0</v>
      </c>
      <c r="AM190" s="244">
        <f t="shared" si="146"/>
        <v>7539441.1388730025</v>
      </c>
      <c r="AN190" s="237">
        <f t="shared" si="147"/>
        <v>72689287.831958458</v>
      </c>
      <c r="AO190" s="238">
        <f t="shared" si="148"/>
        <v>0</v>
      </c>
      <c r="AP190" s="238">
        <f t="shared" si="149"/>
        <v>36344643.915979229</v>
      </c>
      <c r="AQ190" s="238">
        <f t="shared" si="150"/>
        <v>51310085.528441265</v>
      </c>
      <c r="AR190" s="238">
        <f t="shared" si="151"/>
        <v>2137920.2303517191</v>
      </c>
      <c r="AS190" s="238">
        <f t="shared" si="152"/>
        <v>0</v>
      </c>
      <c r="AT190" s="244">
        <f t="shared" si="153"/>
        <v>162481937.50673065</v>
      </c>
      <c r="AU190" s="256">
        <v>0</v>
      </c>
      <c r="AV190" s="248">
        <f t="shared" si="167"/>
        <v>239.13292241860617</v>
      </c>
      <c r="AW190" s="259">
        <f t="shared" si="154"/>
        <v>3.76914977647577</v>
      </c>
    </row>
    <row r="191" spans="1:49">
      <c r="A191" s="194">
        <f>'Input data'!A147</f>
        <v>2049</v>
      </c>
      <c r="B191" s="209">
        <f>'Input data'!B147</f>
        <v>75.134</v>
      </c>
      <c r="C191" s="510">
        <f>'Recycling - Case 2'!E127</f>
        <v>1</v>
      </c>
      <c r="D191" s="658">
        <f>'Recycling - Case 2'!F127</f>
        <v>0.36725000000000002</v>
      </c>
      <c r="E191" s="237">
        <f t="shared" si="155"/>
        <v>1169424082.1750002</v>
      </c>
      <c r="F191" s="238">
        <v>0</v>
      </c>
      <c r="G191" s="239">
        <f t="shared" si="132"/>
        <v>1169424082.1750002</v>
      </c>
      <c r="H191" s="117">
        <f t="shared" si="170"/>
        <v>0.19230769230769232</v>
      </c>
      <c r="I191" s="118">
        <f t="shared" si="171"/>
        <v>0</v>
      </c>
      <c r="J191" s="118">
        <f t="shared" si="172"/>
        <v>0.19230769230769232</v>
      </c>
      <c r="K191" s="118">
        <f t="shared" si="173"/>
        <v>0.53846153846153855</v>
      </c>
      <c r="L191" s="118">
        <f t="shared" si="174"/>
        <v>7.6923076923076927E-2</v>
      </c>
      <c r="M191" s="206">
        <f t="shared" si="175"/>
        <v>0</v>
      </c>
      <c r="N191" s="117">
        <f t="shared" si="176"/>
        <v>0</v>
      </c>
      <c r="O191" s="118">
        <f t="shared" si="177"/>
        <v>0.7</v>
      </c>
      <c r="P191" s="118">
        <f t="shared" si="178"/>
        <v>0.15</v>
      </c>
      <c r="Q191" s="118">
        <f t="shared" si="179"/>
        <v>0.15</v>
      </c>
      <c r="R191" s="118">
        <f t="shared" si="180"/>
        <v>0</v>
      </c>
      <c r="S191" s="206">
        <f t="shared" si="181"/>
        <v>0</v>
      </c>
      <c r="T191" s="117">
        <f t="shared" si="182"/>
        <v>0.42500000000000004</v>
      </c>
      <c r="U191" s="118">
        <f t="shared" si="183"/>
        <v>0</v>
      </c>
      <c r="V191" s="118">
        <f t="shared" si="184"/>
        <v>0.21250000000000002</v>
      </c>
      <c r="W191" s="118">
        <f t="shared" si="185"/>
        <v>0.3</v>
      </c>
      <c r="X191" s="118">
        <f t="shared" si="186"/>
        <v>6.25E-2</v>
      </c>
      <c r="Y191" s="206">
        <f t="shared" si="187"/>
        <v>0</v>
      </c>
      <c r="Z191" s="237">
        <f t="shared" si="166"/>
        <v>26312041.848937504</v>
      </c>
      <c r="AA191" s="238">
        <f t="shared" si="134"/>
        <v>0</v>
      </c>
      <c r="AB191" s="238">
        <f t="shared" si="135"/>
        <v>26312041.848937504</v>
      </c>
      <c r="AC191" s="238">
        <f t="shared" si="136"/>
        <v>14734743.435405005</v>
      </c>
      <c r="AD191" s="238">
        <f t="shared" si="137"/>
        <v>2104963.3479150007</v>
      </c>
      <c r="AE191" s="238">
        <f t="shared" si="138"/>
        <v>0</v>
      </c>
      <c r="AF191" s="1204">
        <f t="shared" si="139"/>
        <v>69463790.481195003</v>
      </c>
      <c r="AG191" s="237">
        <f t="shared" si="140"/>
        <v>0</v>
      </c>
      <c r="AH191" s="238">
        <f t="shared" si="141"/>
        <v>0</v>
      </c>
      <c r="AI191" s="238">
        <f t="shared" si="142"/>
        <v>6314890.0437450008</v>
      </c>
      <c r="AJ191" s="238">
        <f t="shared" si="143"/>
        <v>1262978.008749</v>
      </c>
      <c r="AK191" s="238">
        <f t="shared" si="144"/>
        <v>0</v>
      </c>
      <c r="AL191" s="238">
        <f t="shared" si="145"/>
        <v>0</v>
      </c>
      <c r="AM191" s="244">
        <f t="shared" si="146"/>
        <v>7577868.0524940006</v>
      </c>
      <c r="AN191" s="237">
        <f t="shared" si="147"/>
        <v>73059769.533883139</v>
      </c>
      <c r="AO191" s="238">
        <f t="shared" si="148"/>
        <v>0</v>
      </c>
      <c r="AP191" s="238">
        <f t="shared" si="149"/>
        <v>36529884.76694157</v>
      </c>
      <c r="AQ191" s="238">
        <f t="shared" si="150"/>
        <v>51571602.023917504</v>
      </c>
      <c r="AR191" s="238">
        <f t="shared" si="151"/>
        <v>2148816.7509965631</v>
      </c>
      <c r="AS191" s="238">
        <f t="shared" si="152"/>
        <v>0</v>
      </c>
      <c r="AT191" s="244">
        <f t="shared" si="153"/>
        <v>163310073.07573876</v>
      </c>
      <c r="AU191" s="256">
        <v>0</v>
      </c>
      <c r="AV191" s="248">
        <f t="shared" si="167"/>
        <v>240.35173160942776</v>
      </c>
      <c r="AW191" s="259">
        <f t="shared" si="154"/>
        <v>3.7883603240770336</v>
      </c>
    </row>
    <row r="192" spans="1:49" ht="15.75" thickBot="1">
      <c r="A192" s="196">
        <f>'Input data'!A148</f>
        <v>2050</v>
      </c>
      <c r="B192" s="210">
        <f>'Input data'!B148</f>
        <v>75.518000000000001</v>
      </c>
      <c r="C192" s="807">
        <f>'Recycling - Case 2'!E128</f>
        <v>1</v>
      </c>
      <c r="D192" s="808">
        <f>'Recycling - Case 2'!F128</f>
        <v>0.36725000000000002</v>
      </c>
      <c r="E192" s="240">
        <f>B192*$C$4*($C$7*$C$11+$C$8*$C$10+$C$7*$C$12)*10^6</f>
        <v>1175400854.9750001</v>
      </c>
      <c r="F192" s="241">
        <v>0</v>
      </c>
      <c r="G192" s="242">
        <f t="shared" si="132"/>
        <v>1175400854.9750001</v>
      </c>
      <c r="H192" s="120">
        <f t="shared" si="170"/>
        <v>0.19230769230769232</v>
      </c>
      <c r="I192" s="121">
        <f t="shared" si="171"/>
        <v>0</v>
      </c>
      <c r="J192" s="121">
        <f t="shared" si="172"/>
        <v>0.19230769230769232</v>
      </c>
      <c r="K192" s="121">
        <f t="shared" si="173"/>
        <v>0.53846153846153855</v>
      </c>
      <c r="L192" s="121">
        <f t="shared" si="174"/>
        <v>7.6923076923076927E-2</v>
      </c>
      <c r="M192" s="207">
        <f t="shared" si="175"/>
        <v>0</v>
      </c>
      <c r="N192" s="120">
        <f t="shared" si="176"/>
        <v>0</v>
      </c>
      <c r="O192" s="121">
        <f t="shared" si="177"/>
        <v>0.7</v>
      </c>
      <c r="P192" s="121">
        <f t="shared" si="178"/>
        <v>0.15</v>
      </c>
      <c r="Q192" s="121">
        <f t="shared" si="179"/>
        <v>0.15</v>
      </c>
      <c r="R192" s="121">
        <f t="shared" si="180"/>
        <v>0</v>
      </c>
      <c r="S192" s="207">
        <f t="shared" si="181"/>
        <v>0</v>
      </c>
      <c r="T192" s="120">
        <f t="shared" si="182"/>
        <v>0.42500000000000004</v>
      </c>
      <c r="U192" s="121">
        <f t="shared" si="183"/>
        <v>0</v>
      </c>
      <c r="V192" s="121">
        <f t="shared" si="184"/>
        <v>0.21250000000000002</v>
      </c>
      <c r="W192" s="121">
        <f t="shared" si="185"/>
        <v>0.3</v>
      </c>
      <c r="X192" s="121">
        <f t="shared" si="186"/>
        <v>6.25E-2</v>
      </c>
      <c r="Y192" s="207">
        <f t="shared" si="187"/>
        <v>0</v>
      </c>
      <c r="Z192" s="240">
        <f>H192*$C$35*G192*$C$10</f>
        <v>26446519.236937504</v>
      </c>
      <c r="AA192" s="241">
        <f t="shared" si="134"/>
        <v>0</v>
      </c>
      <c r="AB192" s="241">
        <f t="shared" si="135"/>
        <v>26446519.236937504</v>
      </c>
      <c r="AC192" s="241">
        <f t="shared" si="136"/>
        <v>14810050.772685004</v>
      </c>
      <c r="AD192" s="241">
        <f t="shared" si="137"/>
        <v>2115721.5389550002</v>
      </c>
      <c r="AE192" s="241">
        <f t="shared" si="138"/>
        <v>0</v>
      </c>
      <c r="AF192" s="1205">
        <f t="shared" si="139"/>
        <v>69818810.78551501</v>
      </c>
      <c r="AG192" s="237">
        <f t="shared" si="140"/>
        <v>0</v>
      </c>
      <c r="AH192" s="238">
        <f t="shared" si="141"/>
        <v>0</v>
      </c>
      <c r="AI192" s="238">
        <f t="shared" si="142"/>
        <v>6347164.6168649998</v>
      </c>
      <c r="AJ192" s="238">
        <f t="shared" si="143"/>
        <v>1269432.923373</v>
      </c>
      <c r="AK192" s="238">
        <f t="shared" si="144"/>
        <v>0</v>
      </c>
      <c r="AL192" s="238">
        <f t="shared" si="145"/>
        <v>0</v>
      </c>
      <c r="AM192" s="244">
        <f t="shared" si="146"/>
        <v>7616597.5402379995</v>
      </c>
      <c r="AN192" s="237">
        <f t="shared" si="147"/>
        <v>73433168.414563134</v>
      </c>
      <c r="AO192" s="238">
        <f t="shared" si="148"/>
        <v>0</v>
      </c>
      <c r="AP192" s="238">
        <f t="shared" si="149"/>
        <v>36716584.207281567</v>
      </c>
      <c r="AQ192" s="238">
        <f t="shared" si="150"/>
        <v>51835177.7043975</v>
      </c>
      <c r="AR192" s="238">
        <f t="shared" si="151"/>
        <v>2159799.0710165626</v>
      </c>
      <c r="AS192" s="238">
        <f t="shared" si="152"/>
        <v>0</v>
      </c>
      <c r="AT192" s="244">
        <f t="shared" si="153"/>
        <v>164144729.39725876</v>
      </c>
      <c r="AU192" s="256">
        <v>0</v>
      </c>
      <c r="AV192" s="248">
        <f t="shared" si="167"/>
        <v>241.58013772301177</v>
      </c>
      <c r="AW192" s="259">
        <f t="shared" si="154"/>
        <v>3.8077221358326381</v>
      </c>
    </row>
    <row r="193" spans="1:49" ht="21.75" thickBot="1">
      <c r="A193" s="1208" t="s">
        <v>712</v>
      </c>
      <c r="B193" s="1209"/>
      <c r="C193" s="1173"/>
      <c r="D193" s="1209"/>
      <c r="E193" s="1210"/>
      <c r="F193" s="1210"/>
      <c r="G193" s="1210"/>
      <c r="H193" s="1209"/>
      <c r="I193" s="1209"/>
      <c r="J193" s="1209"/>
      <c r="K193" s="1209"/>
      <c r="L193" s="1209"/>
      <c r="M193" s="1209"/>
      <c r="N193" s="1209"/>
      <c r="O193" s="1209"/>
      <c r="P193" s="1209"/>
      <c r="Q193" s="1209"/>
      <c r="R193" s="1209"/>
      <c r="S193" s="1209"/>
      <c r="T193" s="177"/>
      <c r="U193" s="177"/>
      <c r="V193" s="177"/>
      <c r="W193" s="177"/>
      <c r="X193" s="177"/>
      <c r="Y193" s="177"/>
      <c r="Z193" s="1210"/>
      <c r="AA193" s="1210"/>
      <c r="AB193" s="1210"/>
      <c r="AC193" s="1210"/>
      <c r="AD193" s="1210"/>
      <c r="AE193" s="1210"/>
      <c r="AF193" s="1210"/>
      <c r="AG193" s="1210"/>
      <c r="AH193" s="1210"/>
      <c r="AI193" s="1210"/>
      <c r="AJ193" s="1210"/>
      <c r="AK193" s="1210"/>
      <c r="AL193" s="1210"/>
      <c r="AM193" s="1210"/>
      <c r="AN193" s="1210"/>
      <c r="AO193" s="1210"/>
      <c r="AP193" s="1210"/>
      <c r="AQ193" s="1210"/>
      <c r="AR193" s="1210"/>
      <c r="AS193" s="1210"/>
      <c r="AT193" s="1210"/>
      <c r="AU193" s="1211"/>
      <c r="AV193" s="1212"/>
      <c r="AW193" s="1213"/>
    </row>
    <row r="194" spans="1:49">
      <c r="A194" s="127">
        <f>'Input data'!A116</f>
        <v>2018</v>
      </c>
      <c r="B194" s="105">
        <f>'Input data'!B116</f>
        <v>57.436</v>
      </c>
      <c r="C194" s="510">
        <f>'Recycling - Case 3'!E96</f>
        <v>0.73673846153846156</v>
      </c>
      <c r="D194" s="658">
        <f>'Recycling - Case 3'!F96</f>
        <v>0.29578461538461537</v>
      </c>
      <c r="E194" s="237">
        <f t="shared" ref="E194:E226" si="188">B194*$C$4*($C$7*$C$11+$C$8*$C$10+$C$7*$C$12)*10^6</f>
        <v>893963339.95000005</v>
      </c>
      <c r="F194" s="238">
        <v>0</v>
      </c>
      <c r="G194" s="239">
        <f t="shared" ref="G194:G226" si="189">E194-F194</f>
        <v>893963339.95000005</v>
      </c>
      <c r="H194" s="1021">
        <f>($H$206-$H$124)/($A$206-$A$124)+H124</f>
        <v>0.10710059171597634</v>
      </c>
      <c r="I194" s="839">
        <f t="shared" ref="I194:I205" si="190">$D$16</f>
        <v>0</v>
      </c>
      <c r="J194" s="839">
        <f>($J$206-$J$124)/($A$206-$A$124)+J124</f>
        <v>0.10710059171597634</v>
      </c>
      <c r="K194" s="839">
        <f>($K$206-$K$124)/($A$206-$A$124)+K124</f>
        <v>0.29988165680473378</v>
      </c>
      <c r="L194" s="839">
        <f>($L$206-$L$124)/($A$206-$A$124)+L124</f>
        <v>4.2840236686390532E-2</v>
      </c>
      <c r="M194" s="1022">
        <f>($M$206-$M$124)/($A$206-$A$124)+M124</f>
        <v>0.44307692307692303</v>
      </c>
      <c r="N194" s="1021">
        <f>($N$206-$N$124)/($A$206-$A$124)+N124</f>
        <v>0</v>
      </c>
      <c r="O194" s="839">
        <f>($O$206-$O$124)/($A$206-$A$124)+O124</f>
        <v>0.7</v>
      </c>
      <c r="P194" s="839">
        <f>($P$206-$P$124)/($A$206-$A$124)+P124</f>
        <v>0.15</v>
      </c>
      <c r="Q194" s="839">
        <f>($Q$206-$Q$124)/($A$206-$A$124)+Q124</f>
        <v>0.15</v>
      </c>
      <c r="R194" s="839">
        <f>($R$206-$R$124)/($A$206-$A$124)+R124</f>
        <v>0</v>
      </c>
      <c r="S194" s="1022">
        <f>($S$206-$S$124)/($A$206-$A$124)+S124</f>
        <v>0</v>
      </c>
      <c r="T194" s="1021">
        <f>($T$206-$T$124)/($A$206-$A$124)+T124</f>
        <v>0.34653846153846157</v>
      </c>
      <c r="U194" s="839">
        <f>($U$206-$U$124)/($A$206-$A$124)+U124</f>
        <v>0</v>
      </c>
      <c r="V194" s="839">
        <f>($V$206-$V$124)/($A$206-$A$124)+V124</f>
        <v>0.17326923076923079</v>
      </c>
      <c r="W194" s="839">
        <f>($W$206-$W$124)/($A$206-$A$124)+W124</f>
        <v>0.2446153846153846</v>
      </c>
      <c r="X194" s="839">
        <f>($X$206-$X$124)/($A$206-$A$124)+X124</f>
        <v>5.0961538461538461E-2</v>
      </c>
      <c r="Y194" s="1022">
        <f>($Y$206-$Y$124)/($A$206-$A$124)+Y124</f>
        <v>0.18461538461538463</v>
      </c>
      <c r="Z194" s="238">
        <f t="shared" ref="Z194:Z202" si="191">H194*$C$35*G194*$C$10</f>
        <v>11202048.313681155</v>
      </c>
      <c r="AA194" s="238">
        <f t="shared" ref="AA194:AA202" si="192">I194*$C$36*G194*$C$10</f>
        <v>0</v>
      </c>
      <c r="AB194" s="238">
        <f t="shared" ref="AB194:AB202" si="193">J194*$C$37*G194*$C$10</f>
        <v>11202048.313681155</v>
      </c>
      <c r="AC194" s="238">
        <f t="shared" ref="AC194:AC202" si="194">K194*$C$40*G194*$C$10</f>
        <v>6273147.0556614473</v>
      </c>
      <c r="AD194" s="238">
        <f t="shared" ref="AD194:AD202" si="195">L194*$C$41*G194*$C$10</f>
        <v>896163.86509449244</v>
      </c>
      <c r="AE194" s="238">
        <f t="shared" ref="AE194:AE202" si="196">M194*$C$42*G194*$C$10</f>
        <v>0</v>
      </c>
      <c r="AF194" s="244">
        <f t="shared" ref="AF194:AF202" si="197">SUM(Z194:AE194)</f>
        <v>29573407.548118252</v>
      </c>
      <c r="AG194" s="237">
        <f t="shared" ref="AG194:AG202" si="198">N194*$C$35*G194*$C$11</f>
        <v>0</v>
      </c>
      <c r="AH194" s="238">
        <f t="shared" ref="AH194:AH202" si="199">O194*$C$36*G194*$C$11</f>
        <v>0</v>
      </c>
      <c r="AI194" s="238">
        <f t="shared" ref="AI194:AI202" si="200">P194*$C$37*G194*$C$11</f>
        <v>4827402.0357300006</v>
      </c>
      <c r="AJ194" s="238">
        <f t="shared" ref="AJ194:AJ202" si="201">Q194*$C$38*G194*$C$11</f>
        <v>965480.40714599984</v>
      </c>
      <c r="AK194" s="238">
        <f t="shared" ref="AK194:AK202" si="202">R194*$C$41*G194*$C$11</f>
        <v>0</v>
      </c>
      <c r="AL194" s="238">
        <f t="shared" ref="AL194:AL202" si="203">S194*$C$42*G194*$C$11</f>
        <v>0</v>
      </c>
      <c r="AM194" s="1204">
        <f t="shared" ref="AM194:AM202" si="204">SUM(AG194:AL194)</f>
        <v>5792882.442876</v>
      </c>
      <c r="AN194" s="237">
        <f t="shared" ref="AN194:AN202" si="205">T194*$C$35*G194*$C$12</f>
        <v>45539524.03321448</v>
      </c>
      <c r="AO194" s="238">
        <f t="shared" ref="AO194:AO202" si="206">U194*$C$36*G194*$C$12</f>
        <v>0</v>
      </c>
      <c r="AP194" s="238">
        <f t="shared" ref="AP194:AP202" si="207">V194*$C$37*G194*$C$12</f>
        <v>22769762.01660724</v>
      </c>
      <c r="AQ194" s="238">
        <f t="shared" ref="AQ194:AQ202" si="208">W194*$C$39*G194*$C$12</f>
        <v>32145546.376386695</v>
      </c>
      <c r="AR194" s="238">
        <f t="shared" ref="AR194:AR202" si="209">X194*$C$41*G194*$C$12</f>
        <v>1339397.765682779</v>
      </c>
      <c r="AS194" s="238">
        <f t="shared" ref="AS194:AS202" si="210">Y194*$C$42*N194*$C$12</f>
        <v>0</v>
      </c>
      <c r="AT194" s="244">
        <f t="shared" ref="AT194:AT202" si="211">SUM(AN194:AS194)</f>
        <v>101794230.19189118</v>
      </c>
      <c r="AU194" s="256">
        <v>0</v>
      </c>
      <c r="AV194" s="248">
        <f t="shared" ref="AV194:AV202" si="212">(AF194+AM194+AT194)/10^6-AU194</f>
        <v>137.16052018288545</v>
      </c>
      <c r="AW194" s="1206">
        <f t="shared" ref="AW194:AW202" si="213">((B194*$C$46*$C$47*$C$48*$C$49)-$C$50)*$C$51*$C$52</f>
        <v>2.8960026562367029</v>
      </c>
    </row>
    <row r="195" spans="1:49">
      <c r="A195" s="127">
        <f>'Input data'!A117</f>
        <v>2019</v>
      </c>
      <c r="B195" s="105">
        <f>'Input data'!B117</f>
        <v>58.365000000000002</v>
      </c>
      <c r="C195" s="510">
        <f>'Recycling - Case 3'!E97</f>
        <v>0.75867692307692314</v>
      </c>
      <c r="D195" s="658">
        <f>'Recycling - Case 3'!F97</f>
        <v>0.30196923076923077</v>
      </c>
      <c r="E195" s="237">
        <f t="shared" si="188"/>
        <v>908422772.06250012</v>
      </c>
      <c r="F195" s="238">
        <v>0</v>
      </c>
      <c r="G195" s="239">
        <f t="shared" si="189"/>
        <v>908422772.06250012</v>
      </c>
      <c r="H195" s="117">
        <f t="shared" ref="H195:H205" si="214">($H$206-$H$124)/($A$206-$A$124)+H194</f>
        <v>0.11420118343195268</v>
      </c>
      <c r="I195" s="118">
        <f t="shared" si="190"/>
        <v>0</v>
      </c>
      <c r="J195" s="118">
        <f t="shared" ref="J195:J205" si="215">($J$206-$J$124)/($A$206-$A$124)+J194</f>
        <v>0.11420118343195268</v>
      </c>
      <c r="K195" s="118">
        <f t="shared" ref="K195:K205" si="216">($K$206-$K$124)/($A$206-$A$124)+K194</f>
        <v>0.31976331360946753</v>
      </c>
      <c r="L195" s="118">
        <f t="shared" ref="L195:L205" si="217">($L$206-$L$124)/($A$206-$A$124)+L194</f>
        <v>4.5680473372781062E-2</v>
      </c>
      <c r="M195" s="206">
        <f t="shared" ref="M195:M205" si="218">($M$206-$M$124)/($A$206-$A$124)+M194</f>
        <v>0.40615384615384609</v>
      </c>
      <c r="N195" s="117">
        <f t="shared" ref="N195:N205" si="219">($N$206-$N$124)/($A$206-$A$124)+N194</f>
        <v>0</v>
      </c>
      <c r="O195" s="118">
        <f t="shared" ref="O195:O205" si="220">($O$206-$O$124)/($A$206-$A$124)+O194</f>
        <v>0.7</v>
      </c>
      <c r="P195" s="118">
        <f t="shared" ref="P195:P205" si="221">($P$206-$P$124)/($A$206-$A$124)+P194</f>
        <v>0.15</v>
      </c>
      <c r="Q195" s="118">
        <f t="shared" ref="Q195:Q205" si="222">($Q$206-$Q$124)/($A$206-$A$124)+Q194</f>
        <v>0.15</v>
      </c>
      <c r="R195" s="118">
        <f t="shared" ref="R195:R205" si="223">($R$206-$R$124)/($A$206-$A$124)+R194</f>
        <v>0</v>
      </c>
      <c r="S195" s="206">
        <f t="shared" ref="S195:S205" si="224">($S$206-$S$124)/($A$206-$A$124)+S194</f>
        <v>0</v>
      </c>
      <c r="T195" s="117">
        <f t="shared" ref="T195:T205" si="225">($T$206-$T$124)/($A$206-$A$124)+T194</f>
        <v>0.35307692307692312</v>
      </c>
      <c r="U195" s="118">
        <f t="shared" ref="U195:U205" si="226">($U$206-$U$124)/($A$206-$A$124)+U194</f>
        <v>0</v>
      </c>
      <c r="V195" s="118">
        <f t="shared" ref="V195:V205" si="227">($V$206-$V$124)/($A$206-$A$124)+V194</f>
        <v>0.17653846153846156</v>
      </c>
      <c r="W195" s="118">
        <f t="shared" ref="W195:W205" si="228">($W$206-$W$124)/($A$206-$A$124)+W194</f>
        <v>0.2492307692307692</v>
      </c>
      <c r="X195" s="118">
        <f t="shared" ref="X195:X205" si="229">($X$206-$X$124)/($A$206-$A$124)+X194</f>
        <v>5.1923076923076919E-2</v>
      </c>
      <c r="Y195" s="206">
        <f t="shared" ref="Y195:Y205" si="230">($Y$206-$Y$124)/($A$206-$A$124)+Y194</f>
        <v>0.16923076923076924</v>
      </c>
      <c r="Z195" s="238">
        <f t="shared" si="191"/>
        <v>12137925.808250485</v>
      </c>
      <c r="AA195" s="238">
        <f t="shared" si="192"/>
        <v>0</v>
      </c>
      <c r="AB195" s="238">
        <f t="shared" si="193"/>
        <v>12137925.808250485</v>
      </c>
      <c r="AC195" s="238">
        <f t="shared" si="194"/>
        <v>6797238.4526202716</v>
      </c>
      <c r="AD195" s="238">
        <f t="shared" si="195"/>
        <v>971034.06466003857</v>
      </c>
      <c r="AE195" s="238">
        <f t="shared" si="196"/>
        <v>0</v>
      </c>
      <c r="AF195" s="244">
        <f t="shared" si="197"/>
        <v>32044124.13378128</v>
      </c>
      <c r="AG195" s="237">
        <f t="shared" si="198"/>
        <v>0</v>
      </c>
      <c r="AH195" s="238">
        <f t="shared" si="199"/>
        <v>0</v>
      </c>
      <c r="AI195" s="238">
        <f t="shared" si="200"/>
        <v>4905482.969137501</v>
      </c>
      <c r="AJ195" s="238">
        <f t="shared" si="201"/>
        <v>981096.59382750001</v>
      </c>
      <c r="AK195" s="238">
        <f t="shared" si="202"/>
        <v>0</v>
      </c>
      <c r="AL195" s="238">
        <f t="shared" si="203"/>
        <v>0</v>
      </c>
      <c r="AM195" s="1204">
        <f t="shared" si="204"/>
        <v>5886579.562965001</v>
      </c>
      <c r="AN195" s="237">
        <f t="shared" si="205"/>
        <v>47149238.230286986</v>
      </c>
      <c r="AO195" s="238">
        <f t="shared" si="206"/>
        <v>0</v>
      </c>
      <c r="AP195" s="238">
        <f t="shared" si="207"/>
        <v>23574619.115143493</v>
      </c>
      <c r="AQ195" s="238">
        <f t="shared" si="208"/>
        <v>33281815.221379038</v>
      </c>
      <c r="AR195" s="238">
        <f t="shared" si="209"/>
        <v>1386742.3008907931</v>
      </c>
      <c r="AS195" s="238">
        <f t="shared" si="210"/>
        <v>0</v>
      </c>
      <c r="AT195" s="244">
        <f t="shared" si="211"/>
        <v>105392414.86770031</v>
      </c>
      <c r="AU195" s="256">
        <v>0</v>
      </c>
      <c r="AV195" s="248">
        <f t="shared" si="212"/>
        <v>143.32311856444659</v>
      </c>
      <c r="AW195" s="1206">
        <f t="shared" si="213"/>
        <v>2.9428441226975277</v>
      </c>
    </row>
    <row r="196" spans="1:49">
      <c r="A196" s="127">
        <f>'Input data'!A118</f>
        <v>2020</v>
      </c>
      <c r="B196" s="105">
        <f>'Input data'!B118</f>
        <v>59.308999999999997</v>
      </c>
      <c r="C196" s="510">
        <f>'Recycling - Case 3'!E98</f>
        <v>0.78061538461538471</v>
      </c>
      <c r="D196" s="658">
        <f>'Recycling - Case 3'!F98</f>
        <v>0.30815384615384617</v>
      </c>
      <c r="E196" s="237">
        <f t="shared" si="188"/>
        <v>923115671.86249995</v>
      </c>
      <c r="F196" s="238">
        <v>0</v>
      </c>
      <c r="G196" s="239">
        <f t="shared" si="189"/>
        <v>923115671.86249995</v>
      </c>
      <c r="H196" s="117">
        <f t="shared" si="214"/>
        <v>0.12130177514792902</v>
      </c>
      <c r="I196" s="118">
        <f t="shared" si="190"/>
        <v>0</v>
      </c>
      <c r="J196" s="118">
        <f t="shared" si="215"/>
        <v>0.12130177514792902</v>
      </c>
      <c r="K196" s="118">
        <f t="shared" si="216"/>
        <v>0.33964497041420127</v>
      </c>
      <c r="L196" s="118">
        <f t="shared" si="217"/>
        <v>4.8520710059171593E-2</v>
      </c>
      <c r="M196" s="206">
        <f t="shared" si="218"/>
        <v>0.36923076923076914</v>
      </c>
      <c r="N196" s="117">
        <f t="shared" si="219"/>
        <v>0</v>
      </c>
      <c r="O196" s="118">
        <f t="shared" si="220"/>
        <v>0.7</v>
      </c>
      <c r="P196" s="118">
        <f t="shared" si="221"/>
        <v>0.15</v>
      </c>
      <c r="Q196" s="118">
        <f t="shared" si="222"/>
        <v>0.15</v>
      </c>
      <c r="R196" s="118">
        <f t="shared" si="223"/>
        <v>0</v>
      </c>
      <c r="S196" s="206">
        <f t="shared" si="224"/>
        <v>0</v>
      </c>
      <c r="T196" s="117">
        <f t="shared" si="225"/>
        <v>0.35961538461538467</v>
      </c>
      <c r="U196" s="118">
        <f t="shared" si="226"/>
        <v>0</v>
      </c>
      <c r="V196" s="118">
        <f t="shared" si="227"/>
        <v>0.17980769230769234</v>
      </c>
      <c r="W196" s="118">
        <f t="shared" si="228"/>
        <v>0.25384615384615383</v>
      </c>
      <c r="X196" s="118">
        <f t="shared" si="229"/>
        <v>5.2884615384615377E-2</v>
      </c>
      <c r="Y196" s="206">
        <f t="shared" si="230"/>
        <v>0.15384615384615385</v>
      </c>
      <c r="Z196" s="238">
        <f t="shared" si="191"/>
        <v>13101141.650663944</v>
      </c>
      <c r="AA196" s="238">
        <f t="shared" si="192"/>
        <v>0</v>
      </c>
      <c r="AB196" s="238">
        <f t="shared" si="193"/>
        <v>13101141.650663944</v>
      </c>
      <c r="AC196" s="238">
        <f t="shared" si="194"/>
        <v>7336639.3243718091</v>
      </c>
      <c r="AD196" s="238">
        <f t="shared" si="195"/>
        <v>1048091.3320531152</v>
      </c>
      <c r="AE196" s="238">
        <f t="shared" si="196"/>
        <v>0</v>
      </c>
      <c r="AF196" s="244">
        <f t="shared" si="197"/>
        <v>34587013.957752816</v>
      </c>
      <c r="AG196" s="237">
        <f t="shared" si="198"/>
        <v>0</v>
      </c>
      <c r="AH196" s="238">
        <f t="shared" si="199"/>
        <v>0</v>
      </c>
      <c r="AI196" s="238">
        <f t="shared" si="200"/>
        <v>4984824.6280574994</v>
      </c>
      <c r="AJ196" s="238">
        <f t="shared" si="201"/>
        <v>996964.92561149981</v>
      </c>
      <c r="AK196" s="238">
        <f t="shared" si="202"/>
        <v>0</v>
      </c>
      <c r="AL196" s="238">
        <f t="shared" si="203"/>
        <v>0</v>
      </c>
      <c r="AM196" s="1204">
        <f t="shared" si="204"/>
        <v>5981789.5536689991</v>
      </c>
      <c r="AN196" s="237">
        <f t="shared" si="205"/>
        <v>48799089.81505435</v>
      </c>
      <c r="AO196" s="238">
        <f t="shared" si="206"/>
        <v>0</v>
      </c>
      <c r="AP196" s="238">
        <f t="shared" si="207"/>
        <v>24399544.907527175</v>
      </c>
      <c r="AQ196" s="238">
        <f t="shared" si="208"/>
        <v>34446416.340038359</v>
      </c>
      <c r="AR196" s="238">
        <f t="shared" si="209"/>
        <v>1435267.3475015983</v>
      </c>
      <c r="AS196" s="238">
        <f t="shared" si="210"/>
        <v>0</v>
      </c>
      <c r="AT196" s="244">
        <f t="shared" si="211"/>
        <v>109080318.41012147</v>
      </c>
      <c r="AU196" s="256">
        <v>0</v>
      </c>
      <c r="AV196" s="248">
        <f t="shared" si="212"/>
        <v>149.6491219215433</v>
      </c>
      <c r="AW196" s="1206">
        <f t="shared" si="213"/>
        <v>2.9904419099300554</v>
      </c>
    </row>
    <row r="197" spans="1:49">
      <c r="A197" s="127">
        <f>'Input data'!A119</f>
        <v>2021</v>
      </c>
      <c r="B197" s="105">
        <f>'Input data'!B119</f>
        <v>59.991999999999997</v>
      </c>
      <c r="C197" s="510">
        <f>'Recycling - Case 3'!E99</f>
        <v>0.80255384615384628</v>
      </c>
      <c r="D197" s="658">
        <f>'Recycling - Case 3'!F99</f>
        <v>0.31433846153846157</v>
      </c>
      <c r="E197" s="237">
        <f t="shared" si="188"/>
        <v>933746233.9000001</v>
      </c>
      <c r="F197" s="238">
        <v>0</v>
      </c>
      <c r="G197" s="239">
        <f t="shared" si="189"/>
        <v>933746233.9000001</v>
      </c>
      <c r="H197" s="117">
        <f t="shared" si="214"/>
        <v>0.12840236686390535</v>
      </c>
      <c r="I197" s="118">
        <f t="shared" si="190"/>
        <v>0</v>
      </c>
      <c r="J197" s="118">
        <f t="shared" si="215"/>
        <v>0.12840236686390535</v>
      </c>
      <c r="K197" s="118">
        <f t="shared" si="216"/>
        <v>0.35952662721893502</v>
      </c>
      <c r="L197" s="118">
        <f t="shared" si="217"/>
        <v>5.1360946745562124E-2</v>
      </c>
      <c r="M197" s="206">
        <f t="shared" si="218"/>
        <v>0.33230769230769219</v>
      </c>
      <c r="N197" s="117">
        <f t="shared" si="219"/>
        <v>0</v>
      </c>
      <c r="O197" s="118">
        <f t="shared" si="220"/>
        <v>0.7</v>
      </c>
      <c r="P197" s="118">
        <f t="shared" si="221"/>
        <v>0.15</v>
      </c>
      <c r="Q197" s="118">
        <f t="shared" si="222"/>
        <v>0.15</v>
      </c>
      <c r="R197" s="118">
        <f t="shared" si="223"/>
        <v>0</v>
      </c>
      <c r="S197" s="206">
        <f t="shared" si="224"/>
        <v>0</v>
      </c>
      <c r="T197" s="117">
        <f t="shared" si="225"/>
        <v>0.36615384615384622</v>
      </c>
      <c r="U197" s="118">
        <f t="shared" si="226"/>
        <v>0</v>
      </c>
      <c r="V197" s="118">
        <f t="shared" si="227"/>
        <v>0.18307692307692311</v>
      </c>
      <c r="W197" s="118">
        <f t="shared" si="228"/>
        <v>0.25846153846153846</v>
      </c>
      <c r="X197" s="118">
        <f t="shared" si="229"/>
        <v>5.3846153846153835E-2</v>
      </c>
      <c r="Y197" s="206">
        <f t="shared" si="230"/>
        <v>0.13846153846153847</v>
      </c>
      <c r="Z197" s="238">
        <f t="shared" si="191"/>
        <v>14027741.49851308</v>
      </c>
      <c r="AA197" s="238">
        <f t="shared" si="192"/>
        <v>0</v>
      </c>
      <c r="AB197" s="238">
        <f t="shared" si="193"/>
        <v>14027741.49851308</v>
      </c>
      <c r="AC197" s="238">
        <f t="shared" si="194"/>
        <v>7855535.2391673271</v>
      </c>
      <c r="AD197" s="238">
        <f t="shared" si="195"/>
        <v>1122219.3198810462</v>
      </c>
      <c r="AE197" s="238">
        <f t="shared" si="196"/>
        <v>0</v>
      </c>
      <c r="AF197" s="244">
        <f t="shared" si="197"/>
        <v>37033237.55607453</v>
      </c>
      <c r="AG197" s="237">
        <f t="shared" si="198"/>
        <v>0</v>
      </c>
      <c r="AH197" s="238">
        <f t="shared" si="199"/>
        <v>0</v>
      </c>
      <c r="AI197" s="238">
        <f t="shared" si="200"/>
        <v>5042229.6630600002</v>
      </c>
      <c r="AJ197" s="238">
        <f t="shared" si="201"/>
        <v>1008445.932612</v>
      </c>
      <c r="AK197" s="238">
        <f t="shared" si="202"/>
        <v>0</v>
      </c>
      <c r="AL197" s="238">
        <f t="shared" si="203"/>
        <v>0</v>
      </c>
      <c r="AM197" s="1204">
        <f t="shared" si="204"/>
        <v>6050675.5956720002</v>
      </c>
      <c r="AN197" s="237">
        <f t="shared" si="205"/>
        <v>50258531.90650063</v>
      </c>
      <c r="AO197" s="238">
        <f t="shared" si="206"/>
        <v>0</v>
      </c>
      <c r="AP197" s="238">
        <f t="shared" si="207"/>
        <v>25129265.953250315</v>
      </c>
      <c r="AQ197" s="238">
        <f t="shared" si="208"/>
        <v>35476610.757529855</v>
      </c>
      <c r="AR197" s="238">
        <f t="shared" si="209"/>
        <v>1478192.1148970767</v>
      </c>
      <c r="AS197" s="238">
        <f t="shared" si="210"/>
        <v>0</v>
      </c>
      <c r="AT197" s="244">
        <f t="shared" si="211"/>
        <v>112342600.73217787</v>
      </c>
      <c r="AU197" s="256">
        <v>0</v>
      </c>
      <c r="AV197" s="248">
        <f t="shared" si="212"/>
        <v>155.4265138839244</v>
      </c>
      <c r="AW197" s="1206">
        <f t="shared" si="213"/>
        <v>3.024879715734945</v>
      </c>
    </row>
    <row r="198" spans="1:49">
      <c r="A198" s="127">
        <f>'Input data'!A120</f>
        <v>2022</v>
      </c>
      <c r="B198" s="105">
        <f>'Input data'!B120</f>
        <v>60.682000000000002</v>
      </c>
      <c r="C198" s="510">
        <f>'Recycling - Case 3'!E100</f>
        <v>0.82449230769230786</v>
      </c>
      <c r="D198" s="658">
        <f>'Recycling - Case 3'!F100</f>
        <v>0.32052307692307697</v>
      </c>
      <c r="E198" s="237">
        <f t="shared" si="188"/>
        <v>944485747.52500021</v>
      </c>
      <c r="F198" s="238">
        <v>0</v>
      </c>
      <c r="G198" s="239">
        <f t="shared" si="189"/>
        <v>944485747.52500021</v>
      </c>
      <c r="H198" s="117">
        <f t="shared" si="214"/>
        <v>0.13550295857988168</v>
      </c>
      <c r="I198" s="118">
        <f t="shared" si="190"/>
        <v>0</v>
      </c>
      <c r="J198" s="118">
        <f t="shared" si="215"/>
        <v>0.13550295857988168</v>
      </c>
      <c r="K198" s="118">
        <f t="shared" si="216"/>
        <v>0.37940828402366877</v>
      </c>
      <c r="L198" s="118">
        <f t="shared" si="217"/>
        <v>5.4201183431952654E-2</v>
      </c>
      <c r="M198" s="206">
        <f t="shared" si="218"/>
        <v>0.29538461538461525</v>
      </c>
      <c r="N198" s="117">
        <f t="shared" si="219"/>
        <v>0</v>
      </c>
      <c r="O198" s="118">
        <f t="shared" si="220"/>
        <v>0.7</v>
      </c>
      <c r="P198" s="118">
        <f t="shared" si="221"/>
        <v>0.15</v>
      </c>
      <c r="Q198" s="118">
        <f t="shared" si="222"/>
        <v>0.15</v>
      </c>
      <c r="R198" s="118">
        <f t="shared" si="223"/>
        <v>0</v>
      </c>
      <c r="S198" s="206">
        <f t="shared" si="224"/>
        <v>0</v>
      </c>
      <c r="T198" s="117">
        <f t="shared" si="225"/>
        <v>0.37269230769230777</v>
      </c>
      <c r="U198" s="118">
        <f t="shared" si="226"/>
        <v>0</v>
      </c>
      <c r="V198" s="118">
        <f t="shared" si="227"/>
        <v>0.18634615384615388</v>
      </c>
      <c r="W198" s="118">
        <f t="shared" si="228"/>
        <v>0.2630769230769231</v>
      </c>
      <c r="X198" s="118">
        <f t="shared" si="229"/>
        <v>5.4807692307692293E-2</v>
      </c>
      <c r="Y198" s="206">
        <f t="shared" si="230"/>
        <v>0.12307692307692308</v>
      </c>
      <c r="Z198" s="238">
        <f t="shared" si="191"/>
        <v>14973731.735761737</v>
      </c>
      <c r="AA198" s="238">
        <f t="shared" si="192"/>
        <v>0</v>
      </c>
      <c r="AB198" s="238">
        <f t="shared" si="193"/>
        <v>14973731.735761737</v>
      </c>
      <c r="AC198" s="238">
        <f t="shared" si="194"/>
        <v>8385289.7720265742</v>
      </c>
      <c r="AD198" s="238">
        <f t="shared" si="195"/>
        <v>1197898.5388609385</v>
      </c>
      <c r="AE198" s="238">
        <f t="shared" si="196"/>
        <v>0</v>
      </c>
      <c r="AF198" s="244">
        <f t="shared" si="197"/>
        <v>39530651.782410987</v>
      </c>
      <c r="AG198" s="237">
        <f t="shared" si="198"/>
        <v>0</v>
      </c>
      <c r="AH198" s="238">
        <f t="shared" si="199"/>
        <v>0</v>
      </c>
      <c r="AI198" s="238">
        <f t="shared" si="200"/>
        <v>5100223.0366350012</v>
      </c>
      <c r="AJ198" s="238">
        <f t="shared" si="201"/>
        <v>1020044.6073270001</v>
      </c>
      <c r="AK198" s="238">
        <f t="shared" si="202"/>
        <v>0</v>
      </c>
      <c r="AL198" s="238">
        <f t="shared" si="203"/>
        <v>0</v>
      </c>
      <c r="AM198" s="1204">
        <f t="shared" si="204"/>
        <v>6120267.6439620014</v>
      </c>
      <c r="AN198" s="237">
        <f t="shared" si="205"/>
        <v>51744378.20565524</v>
      </c>
      <c r="AO198" s="238">
        <f t="shared" si="206"/>
        <v>0</v>
      </c>
      <c r="AP198" s="238">
        <f t="shared" si="207"/>
        <v>25872189.10282762</v>
      </c>
      <c r="AQ198" s="238">
        <f t="shared" si="208"/>
        <v>36525443.439286046</v>
      </c>
      <c r="AR198" s="238">
        <f t="shared" si="209"/>
        <v>1521893.476636918</v>
      </c>
      <c r="AS198" s="238">
        <f t="shared" si="210"/>
        <v>0</v>
      </c>
      <c r="AT198" s="244">
        <f t="shared" si="211"/>
        <v>115663904.22440583</v>
      </c>
      <c r="AU198" s="256">
        <v>0</v>
      </c>
      <c r="AV198" s="248">
        <f t="shared" si="212"/>
        <v>161.31482365077883</v>
      </c>
      <c r="AW198" s="1206">
        <f t="shared" si="213"/>
        <v>3.0596704712332969</v>
      </c>
    </row>
    <row r="199" spans="1:49">
      <c r="A199" s="127">
        <f>'Input data'!A121</f>
        <v>2023</v>
      </c>
      <c r="B199" s="105">
        <f>'Input data'!B121</f>
        <v>61.381</v>
      </c>
      <c r="C199" s="510">
        <f>'Recycling - Case 3'!E101</f>
        <v>0.84643076923076943</v>
      </c>
      <c r="D199" s="658">
        <f>'Recycling - Case 3'!F101</f>
        <v>0.32670769230769237</v>
      </c>
      <c r="E199" s="237">
        <f t="shared" si="188"/>
        <v>955365341.76250005</v>
      </c>
      <c r="F199" s="238">
        <v>0</v>
      </c>
      <c r="G199" s="239">
        <f t="shared" si="189"/>
        <v>955365341.76250005</v>
      </c>
      <c r="H199" s="117">
        <f t="shared" si="214"/>
        <v>0.142603550295858</v>
      </c>
      <c r="I199" s="118">
        <f t="shared" si="190"/>
        <v>0</v>
      </c>
      <c r="J199" s="118">
        <f t="shared" si="215"/>
        <v>0.142603550295858</v>
      </c>
      <c r="K199" s="118">
        <f t="shared" si="216"/>
        <v>0.39928994082840252</v>
      </c>
      <c r="L199" s="118">
        <f t="shared" si="217"/>
        <v>5.7041420118343185E-2</v>
      </c>
      <c r="M199" s="206">
        <f t="shared" si="218"/>
        <v>0.2584615384615383</v>
      </c>
      <c r="N199" s="117">
        <f t="shared" si="219"/>
        <v>0</v>
      </c>
      <c r="O199" s="118">
        <f t="shared" si="220"/>
        <v>0.7</v>
      </c>
      <c r="P199" s="118">
        <f t="shared" si="221"/>
        <v>0.15</v>
      </c>
      <c r="Q199" s="118">
        <f t="shared" si="222"/>
        <v>0.15</v>
      </c>
      <c r="R199" s="118">
        <f t="shared" si="223"/>
        <v>0</v>
      </c>
      <c r="S199" s="206">
        <f t="shared" si="224"/>
        <v>0</v>
      </c>
      <c r="T199" s="117">
        <f t="shared" si="225"/>
        <v>0.37923076923076932</v>
      </c>
      <c r="U199" s="118">
        <f t="shared" si="226"/>
        <v>0</v>
      </c>
      <c r="V199" s="118">
        <f t="shared" si="227"/>
        <v>0.18961538461538466</v>
      </c>
      <c r="W199" s="118">
        <f t="shared" si="228"/>
        <v>0.26769230769230773</v>
      </c>
      <c r="X199" s="118">
        <f t="shared" si="229"/>
        <v>5.5769230769230752E-2</v>
      </c>
      <c r="Y199" s="206">
        <f t="shared" si="230"/>
        <v>0.1076923076923077</v>
      </c>
      <c r="Z199" s="238">
        <f t="shared" si="191"/>
        <v>15939903.279098943</v>
      </c>
      <c r="AA199" s="238">
        <f t="shared" si="192"/>
        <v>0</v>
      </c>
      <c r="AB199" s="238">
        <f t="shared" si="193"/>
        <v>15939903.279098943</v>
      </c>
      <c r="AC199" s="238">
        <f t="shared" si="194"/>
        <v>8926345.8362954129</v>
      </c>
      <c r="AD199" s="238">
        <f t="shared" si="195"/>
        <v>1275192.2623279151</v>
      </c>
      <c r="AE199" s="238">
        <f t="shared" si="196"/>
        <v>0</v>
      </c>
      <c r="AF199" s="244">
        <f t="shared" si="197"/>
        <v>42081344.656821214</v>
      </c>
      <c r="AG199" s="237">
        <f t="shared" si="198"/>
        <v>0</v>
      </c>
      <c r="AH199" s="238">
        <f t="shared" si="199"/>
        <v>0</v>
      </c>
      <c r="AI199" s="238">
        <f t="shared" si="200"/>
        <v>5158972.8455175003</v>
      </c>
      <c r="AJ199" s="238">
        <f t="shared" si="201"/>
        <v>1031794.5691034999</v>
      </c>
      <c r="AK199" s="238">
        <f t="shared" si="202"/>
        <v>0</v>
      </c>
      <c r="AL199" s="238">
        <f t="shared" si="203"/>
        <v>0</v>
      </c>
      <c r="AM199" s="1204">
        <f t="shared" si="204"/>
        <v>6190767.4146210002</v>
      </c>
      <c r="AN199" s="237">
        <f t="shared" si="205"/>
        <v>53258678.217592418</v>
      </c>
      <c r="AO199" s="238">
        <f t="shared" si="206"/>
        <v>0</v>
      </c>
      <c r="AP199" s="238">
        <f t="shared" si="207"/>
        <v>26629339.108796209</v>
      </c>
      <c r="AQ199" s="238">
        <f t="shared" si="208"/>
        <v>37594361.094771124</v>
      </c>
      <c r="AR199" s="238">
        <f t="shared" si="209"/>
        <v>1566431.7122821293</v>
      </c>
      <c r="AS199" s="238">
        <f t="shared" si="210"/>
        <v>0</v>
      </c>
      <c r="AT199" s="244">
        <f t="shared" si="211"/>
        <v>119048810.13344188</v>
      </c>
      <c r="AU199" s="256">
        <v>0</v>
      </c>
      <c r="AV199" s="248">
        <f t="shared" si="212"/>
        <v>167.32092220488411</v>
      </c>
      <c r="AW199" s="1206">
        <f t="shared" si="213"/>
        <v>3.0949150191946715</v>
      </c>
    </row>
    <row r="200" spans="1:49">
      <c r="A200" s="127">
        <f>'Input data'!A122</f>
        <v>2024</v>
      </c>
      <c r="B200" s="105">
        <f>'Input data'!B122</f>
        <v>62.088000000000001</v>
      </c>
      <c r="C200" s="510">
        <f>'Recycling - Case 3'!E102</f>
        <v>0.868369230769231</v>
      </c>
      <c r="D200" s="658">
        <f>'Recycling - Case 3'!F102</f>
        <v>0.33289230769230777</v>
      </c>
      <c r="E200" s="237">
        <f t="shared" si="188"/>
        <v>966369452.10000014</v>
      </c>
      <c r="F200" s="238">
        <v>0</v>
      </c>
      <c r="G200" s="239">
        <f t="shared" si="189"/>
        <v>966369452.10000014</v>
      </c>
      <c r="H200" s="117">
        <f t="shared" si="214"/>
        <v>0.14970414201183432</v>
      </c>
      <c r="I200" s="118">
        <f t="shared" si="190"/>
        <v>0</v>
      </c>
      <c r="J200" s="118">
        <f t="shared" si="215"/>
        <v>0.14970414201183432</v>
      </c>
      <c r="K200" s="118">
        <f t="shared" si="216"/>
        <v>0.41917159763313627</v>
      </c>
      <c r="L200" s="118">
        <f t="shared" si="217"/>
        <v>5.9881656804733716E-2</v>
      </c>
      <c r="M200" s="206">
        <f t="shared" si="218"/>
        <v>0.22153846153846138</v>
      </c>
      <c r="N200" s="117">
        <f t="shared" si="219"/>
        <v>0</v>
      </c>
      <c r="O200" s="118">
        <f t="shared" si="220"/>
        <v>0.7</v>
      </c>
      <c r="P200" s="118">
        <f t="shared" si="221"/>
        <v>0.15</v>
      </c>
      <c r="Q200" s="118">
        <f t="shared" si="222"/>
        <v>0.15</v>
      </c>
      <c r="R200" s="118">
        <f t="shared" si="223"/>
        <v>0</v>
      </c>
      <c r="S200" s="206">
        <f t="shared" si="224"/>
        <v>0</v>
      </c>
      <c r="T200" s="117">
        <f t="shared" si="225"/>
        <v>0.38576923076923086</v>
      </c>
      <c r="U200" s="118">
        <f t="shared" si="226"/>
        <v>0</v>
      </c>
      <c r="V200" s="118">
        <f t="shared" si="227"/>
        <v>0.19288461538461543</v>
      </c>
      <c r="W200" s="118">
        <f t="shared" si="228"/>
        <v>0.27230769230769236</v>
      </c>
      <c r="X200" s="118">
        <f t="shared" si="229"/>
        <v>5.673076923076921E-2</v>
      </c>
      <c r="Y200" s="206">
        <f t="shared" si="230"/>
        <v>9.2307692307692313E-2</v>
      </c>
      <c r="Z200" s="238">
        <f t="shared" si="191"/>
        <v>16926332.634090006</v>
      </c>
      <c r="AA200" s="238">
        <f t="shared" si="192"/>
        <v>0</v>
      </c>
      <c r="AB200" s="238">
        <f t="shared" si="193"/>
        <v>16926332.634090006</v>
      </c>
      <c r="AC200" s="238">
        <f t="shared" si="194"/>
        <v>9478746.2750904057</v>
      </c>
      <c r="AD200" s="238">
        <f t="shared" si="195"/>
        <v>1354106.6107272001</v>
      </c>
      <c r="AE200" s="238">
        <f t="shared" si="196"/>
        <v>0</v>
      </c>
      <c r="AF200" s="244">
        <f t="shared" si="197"/>
        <v>44685518.153997615</v>
      </c>
      <c r="AG200" s="237">
        <f t="shared" si="198"/>
        <v>0</v>
      </c>
      <c r="AH200" s="238">
        <f t="shared" si="199"/>
        <v>0</v>
      </c>
      <c r="AI200" s="238">
        <f t="shared" si="200"/>
        <v>5218395.04134</v>
      </c>
      <c r="AJ200" s="238">
        <f t="shared" si="201"/>
        <v>1043679.008268</v>
      </c>
      <c r="AK200" s="238">
        <f t="shared" si="202"/>
        <v>0</v>
      </c>
      <c r="AL200" s="238">
        <f t="shared" si="203"/>
        <v>0</v>
      </c>
      <c r="AM200" s="1204">
        <f t="shared" si="204"/>
        <v>6262074.0496079996</v>
      </c>
      <c r="AN200" s="237">
        <f t="shared" si="205"/>
        <v>54800953.225798517</v>
      </c>
      <c r="AO200" s="238">
        <f t="shared" si="206"/>
        <v>0</v>
      </c>
      <c r="AP200" s="238">
        <f t="shared" si="207"/>
        <v>27400476.612899259</v>
      </c>
      <c r="AQ200" s="238">
        <f t="shared" si="208"/>
        <v>38683025.806446008</v>
      </c>
      <c r="AR200" s="238">
        <f t="shared" si="209"/>
        <v>1611792.7419352494</v>
      </c>
      <c r="AS200" s="238">
        <f t="shared" si="210"/>
        <v>0</v>
      </c>
      <c r="AT200" s="244">
        <f t="shared" si="211"/>
        <v>122496248.38707903</v>
      </c>
      <c r="AU200" s="256">
        <v>0</v>
      </c>
      <c r="AV200" s="248">
        <f t="shared" si="212"/>
        <v>173.44384059068466</v>
      </c>
      <c r="AW200" s="1206">
        <f t="shared" si="213"/>
        <v>3.1305629382342866</v>
      </c>
    </row>
    <row r="201" spans="1:49">
      <c r="A201" s="127">
        <f>'Input data'!A123</f>
        <v>2025</v>
      </c>
      <c r="B201" s="105">
        <f>'Input data'!B123</f>
        <v>62.802999999999997</v>
      </c>
      <c r="C201" s="510">
        <f>'Recycling - Case 3'!E103</f>
        <v>0.89030769230769258</v>
      </c>
      <c r="D201" s="658">
        <f>'Recycling - Case 3'!F103</f>
        <v>0.33907692307692316</v>
      </c>
      <c r="E201" s="237">
        <f t="shared" si="188"/>
        <v>977498078.53750014</v>
      </c>
      <c r="F201" s="238">
        <v>0</v>
      </c>
      <c r="G201" s="239">
        <f t="shared" si="189"/>
        <v>977498078.53750014</v>
      </c>
      <c r="H201" s="117">
        <f t="shared" si="214"/>
        <v>0.15680473372781065</v>
      </c>
      <c r="I201" s="118">
        <f t="shared" si="190"/>
        <v>0</v>
      </c>
      <c r="J201" s="118">
        <f t="shared" si="215"/>
        <v>0.15680473372781065</v>
      </c>
      <c r="K201" s="118">
        <f t="shared" si="216"/>
        <v>0.43905325443787002</v>
      </c>
      <c r="L201" s="118">
        <f t="shared" si="217"/>
        <v>6.2721893491124253E-2</v>
      </c>
      <c r="M201" s="206">
        <f t="shared" si="218"/>
        <v>0.18461538461538446</v>
      </c>
      <c r="N201" s="117">
        <f t="shared" si="219"/>
        <v>0</v>
      </c>
      <c r="O201" s="118">
        <f t="shared" si="220"/>
        <v>0.7</v>
      </c>
      <c r="P201" s="118">
        <f t="shared" si="221"/>
        <v>0.15</v>
      </c>
      <c r="Q201" s="118">
        <f t="shared" si="222"/>
        <v>0.15</v>
      </c>
      <c r="R201" s="118">
        <f t="shared" si="223"/>
        <v>0</v>
      </c>
      <c r="S201" s="206">
        <f t="shared" si="224"/>
        <v>0</v>
      </c>
      <c r="T201" s="117">
        <f t="shared" si="225"/>
        <v>0.39230769230769241</v>
      </c>
      <c r="U201" s="118">
        <f t="shared" si="226"/>
        <v>0</v>
      </c>
      <c r="V201" s="118">
        <f t="shared" si="227"/>
        <v>0.19615384615384621</v>
      </c>
      <c r="W201" s="118">
        <f t="shared" si="228"/>
        <v>0.27692307692307699</v>
      </c>
      <c r="X201" s="118">
        <f t="shared" si="229"/>
        <v>5.7692307692307668E-2</v>
      </c>
      <c r="Y201" s="206">
        <f t="shared" si="230"/>
        <v>7.6923076923076927E-2</v>
      </c>
      <c r="Z201" s="238">
        <f t="shared" si="191"/>
        <v>17933330.13316875</v>
      </c>
      <c r="AA201" s="238">
        <f t="shared" si="192"/>
        <v>0</v>
      </c>
      <c r="AB201" s="238">
        <f t="shared" si="193"/>
        <v>17933330.13316875</v>
      </c>
      <c r="AC201" s="238">
        <f t="shared" si="194"/>
        <v>10042664.874574507</v>
      </c>
      <c r="AD201" s="238">
        <f t="shared" si="195"/>
        <v>1434666.4106535001</v>
      </c>
      <c r="AE201" s="238">
        <f t="shared" si="196"/>
        <v>0</v>
      </c>
      <c r="AF201" s="244">
        <f t="shared" si="197"/>
        <v>47343991.551565506</v>
      </c>
      <c r="AG201" s="237">
        <f t="shared" si="198"/>
        <v>0</v>
      </c>
      <c r="AH201" s="238">
        <f t="shared" si="199"/>
        <v>0</v>
      </c>
      <c r="AI201" s="238">
        <f t="shared" si="200"/>
        <v>5278489.6241025003</v>
      </c>
      <c r="AJ201" s="238">
        <f t="shared" si="201"/>
        <v>1055697.9248205002</v>
      </c>
      <c r="AK201" s="238">
        <f t="shared" si="202"/>
        <v>0</v>
      </c>
      <c r="AL201" s="238">
        <f t="shared" si="203"/>
        <v>0</v>
      </c>
      <c r="AM201" s="1204">
        <f t="shared" si="204"/>
        <v>6334187.5489230007</v>
      </c>
      <c r="AN201" s="237">
        <f t="shared" si="205"/>
        <v>56371562.26765877</v>
      </c>
      <c r="AO201" s="238">
        <f t="shared" si="206"/>
        <v>0</v>
      </c>
      <c r="AP201" s="238">
        <f t="shared" si="207"/>
        <v>28185781.133829385</v>
      </c>
      <c r="AQ201" s="238">
        <f t="shared" si="208"/>
        <v>39791691.012465015</v>
      </c>
      <c r="AR201" s="238">
        <f t="shared" si="209"/>
        <v>1657987.1255193744</v>
      </c>
      <c r="AS201" s="238">
        <f t="shared" si="210"/>
        <v>0</v>
      </c>
      <c r="AT201" s="244">
        <f t="shared" si="211"/>
        <v>126007021.53947255</v>
      </c>
      <c r="AU201" s="256">
        <v>0</v>
      </c>
      <c r="AV201" s="248">
        <f t="shared" si="212"/>
        <v>179.68520063996107</v>
      </c>
      <c r="AW201" s="1206">
        <f t="shared" si="213"/>
        <v>3.166614228352143</v>
      </c>
    </row>
    <row r="202" spans="1:49">
      <c r="A202" s="127">
        <f>'Input data'!A124</f>
        <v>2026</v>
      </c>
      <c r="B202" s="105">
        <f>'Input data'!B124</f>
        <v>63.420999999999999</v>
      </c>
      <c r="C202" s="510">
        <f>'Recycling - Case 3'!E104</f>
        <v>0.91224615384615415</v>
      </c>
      <c r="D202" s="658">
        <f>'Recycling - Case 3'!F104</f>
        <v>0.34526153846153856</v>
      </c>
      <c r="E202" s="237">
        <f t="shared" si="188"/>
        <v>987116947.26250017</v>
      </c>
      <c r="F202" s="238">
        <v>0</v>
      </c>
      <c r="G202" s="239">
        <f t="shared" si="189"/>
        <v>987116947.26250017</v>
      </c>
      <c r="H202" s="117">
        <f t="shared" si="214"/>
        <v>0.16390532544378697</v>
      </c>
      <c r="I202" s="118">
        <f t="shared" si="190"/>
        <v>0</v>
      </c>
      <c r="J202" s="118">
        <f t="shared" si="215"/>
        <v>0.16390532544378697</v>
      </c>
      <c r="K202" s="118">
        <f t="shared" si="216"/>
        <v>0.45893491124260377</v>
      </c>
      <c r="L202" s="118">
        <f t="shared" si="217"/>
        <v>6.5562130177514791E-2</v>
      </c>
      <c r="M202" s="206">
        <f t="shared" si="218"/>
        <v>0.14769230769230754</v>
      </c>
      <c r="N202" s="117">
        <f t="shared" si="219"/>
        <v>0</v>
      </c>
      <c r="O202" s="118">
        <f t="shared" si="220"/>
        <v>0.7</v>
      </c>
      <c r="P202" s="118">
        <f t="shared" si="221"/>
        <v>0.15</v>
      </c>
      <c r="Q202" s="118">
        <f t="shared" si="222"/>
        <v>0.15</v>
      </c>
      <c r="R202" s="118">
        <f t="shared" si="223"/>
        <v>0</v>
      </c>
      <c r="S202" s="206">
        <f t="shared" si="224"/>
        <v>0</v>
      </c>
      <c r="T202" s="117">
        <f t="shared" si="225"/>
        <v>0.39884615384615396</v>
      </c>
      <c r="U202" s="118">
        <f t="shared" si="226"/>
        <v>0</v>
      </c>
      <c r="V202" s="118">
        <f t="shared" si="227"/>
        <v>0.19942307692307698</v>
      </c>
      <c r="W202" s="118">
        <f t="shared" si="228"/>
        <v>0.28153846153846163</v>
      </c>
      <c r="X202" s="118">
        <f t="shared" si="229"/>
        <v>5.8653846153846126E-2</v>
      </c>
      <c r="Y202" s="206">
        <f t="shared" si="230"/>
        <v>6.1538461538461542E-2</v>
      </c>
      <c r="Z202" s="238">
        <f t="shared" si="191"/>
        <v>18929865.765580099</v>
      </c>
      <c r="AA202" s="238">
        <f t="shared" si="192"/>
        <v>0</v>
      </c>
      <c r="AB202" s="238">
        <f t="shared" si="193"/>
        <v>18929865.765580099</v>
      </c>
      <c r="AC202" s="238">
        <f t="shared" si="194"/>
        <v>10600724.828724861</v>
      </c>
      <c r="AD202" s="238">
        <f t="shared" si="195"/>
        <v>1514389.2612464079</v>
      </c>
      <c r="AE202" s="238">
        <f t="shared" si="196"/>
        <v>0</v>
      </c>
      <c r="AF202" s="244">
        <f t="shared" si="197"/>
        <v>49974845.621131465</v>
      </c>
      <c r="AG202" s="237">
        <f t="shared" si="198"/>
        <v>0</v>
      </c>
      <c r="AH202" s="238">
        <f t="shared" si="199"/>
        <v>0</v>
      </c>
      <c r="AI202" s="238">
        <f t="shared" si="200"/>
        <v>5330431.5152174998</v>
      </c>
      <c r="AJ202" s="238">
        <f t="shared" si="201"/>
        <v>1066086.3030435001</v>
      </c>
      <c r="AK202" s="238">
        <f t="shared" si="202"/>
        <v>0</v>
      </c>
      <c r="AL202" s="238">
        <f t="shared" si="203"/>
        <v>0</v>
      </c>
      <c r="AM202" s="1204">
        <f t="shared" si="204"/>
        <v>6396517.8182609994</v>
      </c>
      <c r="AN202" s="237">
        <f t="shared" si="205"/>
        <v>57875046.278364733</v>
      </c>
      <c r="AO202" s="238">
        <f t="shared" si="206"/>
        <v>0</v>
      </c>
      <c r="AP202" s="238">
        <f t="shared" si="207"/>
        <v>28937523.139182366</v>
      </c>
      <c r="AQ202" s="238">
        <f t="shared" si="208"/>
        <v>40852973.843551576</v>
      </c>
      <c r="AR202" s="238">
        <f t="shared" si="209"/>
        <v>1702207.2434813143</v>
      </c>
      <c r="AS202" s="238">
        <f t="shared" si="210"/>
        <v>0</v>
      </c>
      <c r="AT202" s="244">
        <f t="shared" si="211"/>
        <v>129367750.50457999</v>
      </c>
      <c r="AU202" s="256">
        <v>0</v>
      </c>
      <c r="AV202" s="248">
        <f t="shared" si="212"/>
        <v>185.73911394397246</v>
      </c>
      <c r="AW202" s="1206">
        <f t="shared" si="213"/>
        <v>3.1977746441463193</v>
      </c>
    </row>
    <row r="203" spans="1:49">
      <c r="A203" s="127">
        <f>'Input data'!A125</f>
        <v>2027</v>
      </c>
      <c r="B203" s="105">
        <f>'Input data'!B125</f>
        <v>64.046000000000006</v>
      </c>
      <c r="C203" s="510">
        <f>'Recycling - Case 3'!E105</f>
        <v>0.93418461538461572</v>
      </c>
      <c r="D203" s="658">
        <f>'Recycling - Case 3'!F105</f>
        <v>0.35144615384615396</v>
      </c>
      <c r="E203" s="237">
        <f t="shared" si="188"/>
        <v>996844767.57500017</v>
      </c>
      <c r="F203" s="238">
        <v>0</v>
      </c>
      <c r="G203" s="239">
        <f t="shared" si="189"/>
        <v>996844767.57500017</v>
      </c>
      <c r="H203" s="117">
        <f t="shared" si="214"/>
        <v>0.17100591715976329</v>
      </c>
      <c r="I203" s="118">
        <f t="shared" si="190"/>
        <v>0</v>
      </c>
      <c r="J203" s="118">
        <f t="shared" si="215"/>
        <v>0.17100591715976329</v>
      </c>
      <c r="K203" s="118">
        <f t="shared" si="216"/>
        <v>0.47881656804733752</v>
      </c>
      <c r="L203" s="118">
        <f t="shared" si="217"/>
        <v>6.8402366863905328E-2</v>
      </c>
      <c r="M203" s="206">
        <f t="shared" si="218"/>
        <v>0.11076923076923062</v>
      </c>
      <c r="N203" s="117">
        <f t="shared" si="219"/>
        <v>0</v>
      </c>
      <c r="O203" s="118">
        <f t="shared" si="220"/>
        <v>0.7</v>
      </c>
      <c r="P203" s="118">
        <f t="shared" si="221"/>
        <v>0.15</v>
      </c>
      <c r="Q203" s="118">
        <f t="shared" si="222"/>
        <v>0.15</v>
      </c>
      <c r="R203" s="118">
        <f t="shared" si="223"/>
        <v>0</v>
      </c>
      <c r="S203" s="206">
        <f t="shared" si="224"/>
        <v>0</v>
      </c>
      <c r="T203" s="117">
        <f t="shared" si="225"/>
        <v>0.40538461538461551</v>
      </c>
      <c r="U203" s="118">
        <f t="shared" si="226"/>
        <v>0</v>
      </c>
      <c r="V203" s="118">
        <f t="shared" si="227"/>
        <v>0.20269230769230775</v>
      </c>
      <c r="W203" s="118">
        <f t="shared" si="228"/>
        <v>0.28615384615384626</v>
      </c>
      <c r="X203" s="118">
        <f t="shared" si="229"/>
        <v>5.9615384615384584E-2</v>
      </c>
      <c r="Y203" s="206">
        <f t="shared" si="230"/>
        <v>4.6153846153846156E-2</v>
      </c>
      <c r="Z203" s="238">
        <f t="shared" ref="Z203:Z219" si="231">H203*$C$35*G203*$C$10</f>
        <v>19944563.388173655</v>
      </c>
      <c r="AA203" s="238">
        <f t="shared" ref="AA203:AA219" si="232">I203*$C$36*G203*$C$10</f>
        <v>0</v>
      </c>
      <c r="AB203" s="238">
        <f t="shared" ref="AB203:AB219" si="233">J203*$C$37*G203*$C$10</f>
        <v>19944563.388173655</v>
      </c>
      <c r="AC203" s="238">
        <f t="shared" ref="AC203:AC219" si="234">K203*$C$40*G203*$C$10</f>
        <v>11168955.497377254</v>
      </c>
      <c r="AD203" s="238">
        <f t="shared" ref="AD203:AD219" si="235">L203*$C$41*G203*$C$10</f>
        <v>1595565.0710538928</v>
      </c>
      <c r="AE203" s="238">
        <f t="shared" ref="AE203:AE219" si="236">M203*$C$42*G203*$C$10</f>
        <v>0</v>
      </c>
      <c r="AF203" s="244">
        <f t="shared" ref="AF203:AF219" si="237">SUM(Z203:AE203)</f>
        <v>52653647.344778456</v>
      </c>
      <c r="AG203" s="237">
        <f t="shared" ref="AG203:AG219" si="238">N203*$C$35*G203*$C$11</f>
        <v>0</v>
      </c>
      <c r="AH203" s="238">
        <f t="shared" ref="AH203:AH219" si="239">O203*$C$36*G203*$C$11</f>
        <v>0</v>
      </c>
      <c r="AI203" s="238">
        <f t="shared" ref="AI203:AI219" si="240">P203*$C$37*G203*$C$11</f>
        <v>5382961.7449050006</v>
      </c>
      <c r="AJ203" s="238">
        <f t="shared" ref="AJ203:AJ219" si="241">Q203*$C$38*G203*$C$11</f>
        <v>1076592.348981</v>
      </c>
      <c r="AK203" s="238">
        <f t="shared" ref="AK203:AK219" si="242">R203*$C$41*G203*$C$11</f>
        <v>0</v>
      </c>
      <c r="AL203" s="238">
        <f t="shared" ref="AL203:AL219" si="243">S203*$C$42*G203*$C$11</f>
        <v>0</v>
      </c>
      <c r="AM203" s="1204">
        <f t="shared" ref="AM203:AM219" si="244">SUM(AG203:AL203)</f>
        <v>6459554.093886001</v>
      </c>
      <c r="AN203" s="237">
        <f t="shared" ref="AN203:AN219" si="245">T203*$C$35*G203*$C$12</f>
        <v>59403513.307129003</v>
      </c>
      <c r="AO203" s="238">
        <f t="shared" ref="AO203:AO219" si="246">U203*$C$36*G203*$C$12</f>
        <v>0</v>
      </c>
      <c r="AP203" s="238">
        <f t="shared" ref="AP203:AP219" si="247">V203*$C$37*G203*$C$12</f>
        <v>29701756.653564502</v>
      </c>
      <c r="AQ203" s="238">
        <f t="shared" ref="AQ203:AQ219" si="248">W203*$C$39*G203*$C$12</f>
        <v>41931891.74620872</v>
      </c>
      <c r="AR203" s="238">
        <f t="shared" ref="AR203:AR219" si="249">X203*$C$41*G203*$C$12</f>
        <v>1747162.1560920281</v>
      </c>
      <c r="AS203" s="238">
        <f t="shared" ref="AS203:AS219" si="250">Y203*$C$42*N203*$C$12</f>
        <v>0</v>
      </c>
      <c r="AT203" s="244">
        <f t="shared" ref="AT203:AT219" si="251">SUM(AN203:AS203)</f>
        <v>132784323.86299427</v>
      </c>
      <c r="AU203" s="256">
        <v>0</v>
      </c>
      <c r="AV203" s="248">
        <f t="shared" ref="AV203:AV219" si="252">(AF203+AM203+AT203)/10^6-AU203</f>
        <v>191.89752530165873</v>
      </c>
      <c r="AW203" s="1206">
        <f t="shared" ref="AW203:AW219" si="253">((B203*$C$46*$C$47*$C$48*$C$49)-$C$50)*$C$51*$C$52</f>
        <v>3.2292880096339567</v>
      </c>
    </row>
    <row r="204" spans="1:49">
      <c r="A204" s="127">
        <f>'Input data'!A126</f>
        <v>2028</v>
      </c>
      <c r="B204" s="105">
        <f>'Input data'!B126</f>
        <v>64.676000000000002</v>
      </c>
      <c r="C204" s="510">
        <f>'Recycling - Case 3'!E106</f>
        <v>0.9561230769230773</v>
      </c>
      <c r="D204" s="658">
        <f>'Recycling - Case 3'!F106</f>
        <v>0.35763076923076936</v>
      </c>
      <c r="E204" s="237">
        <f t="shared" si="188"/>
        <v>1006650410.4500002</v>
      </c>
      <c r="F204" s="238">
        <v>0</v>
      </c>
      <c r="G204" s="239">
        <f t="shared" si="189"/>
        <v>1006650410.4500002</v>
      </c>
      <c r="H204" s="117">
        <f t="shared" si="214"/>
        <v>0.17810650887573962</v>
      </c>
      <c r="I204" s="118">
        <f t="shared" si="190"/>
        <v>0</v>
      </c>
      <c r="J204" s="118">
        <f t="shared" si="215"/>
        <v>0.17810650887573962</v>
      </c>
      <c r="K204" s="118">
        <f t="shared" si="216"/>
        <v>0.49869822485207127</v>
      </c>
      <c r="L204" s="118">
        <f t="shared" si="217"/>
        <v>7.1242603550295866E-2</v>
      </c>
      <c r="M204" s="206">
        <f t="shared" si="218"/>
        <v>7.38461538461537E-2</v>
      </c>
      <c r="N204" s="117">
        <f t="shared" si="219"/>
        <v>0</v>
      </c>
      <c r="O204" s="118">
        <f t="shared" si="220"/>
        <v>0.7</v>
      </c>
      <c r="P204" s="118">
        <f t="shared" si="221"/>
        <v>0.15</v>
      </c>
      <c r="Q204" s="118">
        <f t="shared" si="222"/>
        <v>0.15</v>
      </c>
      <c r="R204" s="118">
        <f t="shared" si="223"/>
        <v>0</v>
      </c>
      <c r="S204" s="206">
        <f t="shared" si="224"/>
        <v>0</v>
      </c>
      <c r="T204" s="117">
        <f t="shared" si="225"/>
        <v>0.41192307692307706</v>
      </c>
      <c r="U204" s="118">
        <f t="shared" si="226"/>
        <v>0</v>
      </c>
      <c r="V204" s="118">
        <f t="shared" si="227"/>
        <v>0.20596153846153853</v>
      </c>
      <c r="W204" s="118">
        <f t="shared" si="228"/>
        <v>0.29076923076923089</v>
      </c>
      <c r="X204" s="118">
        <f t="shared" si="229"/>
        <v>6.0576923076923042E-2</v>
      </c>
      <c r="Y204" s="206">
        <f t="shared" si="230"/>
        <v>3.0769230769230771E-2</v>
      </c>
      <c r="Z204" s="238">
        <f t="shared" si="231"/>
        <v>20977045.860838849</v>
      </c>
      <c r="AA204" s="238">
        <f t="shared" si="232"/>
        <v>0</v>
      </c>
      <c r="AB204" s="238">
        <f t="shared" si="233"/>
        <v>20977045.860838849</v>
      </c>
      <c r="AC204" s="238">
        <f t="shared" si="234"/>
        <v>11747145.682069762</v>
      </c>
      <c r="AD204" s="238">
        <f t="shared" si="235"/>
        <v>1678163.6688671082</v>
      </c>
      <c r="AE204" s="238">
        <f t="shared" si="236"/>
        <v>0</v>
      </c>
      <c r="AF204" s="244">
        <f t="shared" si="237"/>
        <v>55379401.072614573</v>
      </c>
      <c r="AG204" s="237">
        <f t="shared" si="238"/>
        <v>0</v>
      </c>
      <c r="AH204" s="238">
        <f t="shared" si="239"/>
        <v>0</v>
      </c>
      <c r="AI204" s="238">
        <f t="shared" si="240"/>
        <v>5435912.21643</v>
      </c>
      <c r="AJ204" s="238">
        <f t="shared" si="241"/>
        <v>1087182.4432860001</v>
      </c>
      <c r="AK204" s="238">
        <f t="shared" si="242"/>
        <v>0</v>
      </c>
      <c r="AL204" s="238">
        <f t="shared" si="243"/>
        <v>0</v>
      </c>
      <c r="AM204" s="1204">
        <f t="shared" si="244"/>
        <v>6523094.6597159998</v>
      </c>
      <c r="AN204" s="237">
        <f t="shared" si="245"/>
        <v>60955392.565391041</v>
      </c>
      <c r="AO204" s="238">
        <f t="shared" si="246"/>
        <v>0</v>
      </c>
      <c r="AP204" s="238">
        <f t="shared" si="247"/>
        <v>30477696.282695521</v>
      </c>
      <c r="AQ204" s="238">
        <f t="shared" si="248"/>
        <v>43027335.928511336</v>
      </c>
      <c r="AR204" s="238">
        <f t="shared" si="249"/>
        <v>1792805.6636879703</v>
      </c>
      <c r="AS204" s="238">
        <f t="shared" si="250"/>
        <v>0</v>
      </c>
      <c r="AT204" s="244">
        <f t="shared" si="251"/>
        <v>136253230.44028589</v>
      </c>
      <c r="AU204" s="256">
        <v>0</v>
      </c>
      <c r="AV204" s="248">
        <f t="shared" si="252"/>
        <v>198.15572617261648</v>
      </c>
      <c r="AW204" s="1206">
        <f t="shared" si="253"/>
        <v>3.2610534820454951</v>
      </c>
    </row>
    <row r="205" spans="1:49">
      <c r="A205" s="127">
        <f>'Input data'!A127</f>
        <v>2029</v>
      </c>
      <c r="B205" s="105">
        <f>'Input data'!B127</f>
        <v>65.313000000000002</v>
      </c>
      <c r="C205" s="510">
        <f>'Recycling - Case 3'!E107</f>
        <v>0.97806153846153887</v>
      </c>
      <c r="D205" s="658">
        <f>'Recycling - Case 3'!F107</f>
        <v>0.36381538461538476</v>
      </c>
      <c r="E205" s="237">
        <f t="shared" si="188"/>
        <v>1016565004.9125001</v>
      </c>
      <c r="F205" s="238">
        <v>0</v>
      </c>
      <c r="G205" s="239">
        <f t="shared" si="189"/>
        <v>1016565004.9125001</v>
      </c>
      <c r="H205" s="117">
        <f t="shared" si="214"/>
        <v>0.18520710059171594</v>
      </c>
      <c r="I205" s="118">
        <f t="shared" si="190"/>
        <v>0</v>
      </c>
      <c r="J205" s="118">
        <f t="shared" si="215"/>
        <v>0.18520710059171594</v>
      </c>
      <c r="K205" s="118">
        <f t="shared" si="216"/>
        <v>0.51857988165680502</v>
      </c>
      <c r="L205" s="118">
        <f t="shared" si="217"/>
        <v>7.4082840236686404E-2</v>
      </c>
      <c r="M205" s="206">
        <f t="shared" si="218"/>
        <v>3.6923076923076781E-2</v>
      </c>
      <c r="N205" s="117">
        <f t="shared" si="219"/>
        <v>0</v>
      </c>
      <c r="O205" s="118">
        <f t="shared" si="220"/>
        <v>0.7</v>
      </c>
      <c r="P205" s="118">
        <f t="shared" si="221"/>
        <v>0.15</v>
      </c>
      <c r="Q205" s="118">
        <f t="shared" si="222"/>
        <v>0.15</v>
      </c>
      <c r="R205" s="118">
        <f t="shared" si="223"/>
        <v>0</v>
      </c>
      <c r="S205" s="206">
        <f t="shared" si="224"/>
        <v>0</v>
      </c>
      <c r="T205" s="117">
        <f t="shared" si="225"/>
        <v>0.41846153846153861</v>
      </c>
      <c r="U205" s="118">
        <f t="shared" si="226"/>
        <v>0</v>
      </c>
      <c r="V205" s="118">
        <f t="shared" si="227"/>
        <v>0.2092307692307693</v>
      </c>
      <c r="W205" s="118">
        <f t="shared" si="228"/>
        <v>0.29538461538461552</v>
      </c>
      <c r="X205" s="118">
        <f t="shared" si="229"/>
        <v>6.15384615384615E-2</v>
      </c>
      <c r="Y205" s="206">
        <f t="shared" si="230"/>
        <v>1.5384615384615385E-2</v>
      </c>
      <c r="Z205" s="238">
        <f t="shared" si="231"/>
        <v>22028181.683373172</v>
      </c>
      <c r="AA205" s="238">
        <f t="shared" si="232"/>
        <v>0</v>
      </c>
      <c r="AB205" s="238">
        <f t="shared" si="233"/>
        <v>22028181.683373172</v>
      </c>
      <c r="AC205" s="238">
        <f t="shared" si="234"/>
        <v>12335781.742688986</v>
      </c>
      <c r="AD205" s="238">
        <f t="shared" si="235"/>
        <v>1762254.5346698544</v>
      </c>
      <c r="AE205" s="238">
        <f t="shared" si="236"/>
        <v>0</v>
      </c>
      <c r="AF205" s="244">
        <f t="shared" si="237"/>
        <v>58154399.644105181</v>
      </c>
      <c r="AG205" s="237">
        <f t="shared" si="238"/>
        <v>0</v>
      </c>
      <c r="AH205" s="238">
        <f t="shared" si="239"/>
        <v>0</v>
      </c>
      <c r="AI205" s="238">
        <f t="shared" si="240"/>
        <v>5489451.0265275007</v>
      </c>
      <c r="AJ205" s="238">
        <f t="shared" si="241"/>
        <v>1097890.2053055002</v>
      </c>
      <c r="AK205" s="238">
        <f t="shared" si="242"/>
        <v>0</v>
      </c>
      <c r="AL205" s="238">
        <f t="shared" si="243"/>
        <v>0</v>
      </c>
      <c r="AM205" s="1204">
        <f t="shared" si="244"/>
        <v>6587341.2318330007</v>
      </c>
      <c r="AN205" s="237">
        <f t="shared" si="245"/>
        <v>62532823.317571409</v>
      </c>
      <c r="AO205" s="238">
        <f t="shared" si="246"/>
        <v>0</v>
      </c>
      <c r="AP205" s="238">
        <f t="shared" si="247"/>
        <v>31266411.658785705</v>
      </c>
      <c r="AQ205" s="238">
        <f t="shared" si="248"/>
        <v>44140816.459462173</v>
      </c>
      <c r="AR205" s="238">
        <f t="shared" si="249"/>
        <v>1839200.6858109222</v>
      </c>
      <c r="AS205" s="238">
        <f t="shared" si="250"/>
        <v>0</v>
      </c>
      <c r="AT205" s="244">
        <f t="shared" si="251"/>
        <v>139779252.12163022</v>
      </c>
      <c r="AU205" s="256">
        <v>0</v>
      </c>
      <c r="AV205" s="248">
        <f t="shared" si="252"/>
        <v>204.52099299756838</v>
      </c>
      <c r="AW205" s="1206">
        <f t="shared" si="253"/>
        <v>3.2931719041504954</v>
      </c>
    </row>
    <row r="206" spans="1:49">
      <c r="A206" s="127">
        <f>'Input data'!A128</f>
        <v>2030</v>
      </c>
      <c r="B206" s="105">
        <f>'Input data'!B128</f>
        <v>65.956000000000003</v>
      </c>
      <c r="C206" s="510">
        <f>'Recycling - Case 3'!E108</f>
        <v>1</v>
      </c>
      <c r="D206" s="658">
        <f>'Recycling - Case 3'!F108</f>
        <v>0.37</v>
      </c>
      <c r="E206" s="237">
        <f t="shared" si="188"/>
        <v>1026572986.4500002</v>
      </c>
      <c r="F206" s="238">
        <v>0</v>
      </c>
      <c r="G206" s="239">
        <f t="shared" si="189"/>
        <v>1026572986.4500002</v>
      </c>
      <c r="H206" s="978">
        <f>'Recycling - Case 3'!C47</f>
        <v>0.19230769230769232</v>
      </c>
      <c r="I206" s="511">
        <f>'Recycling - Case 3'!D47</f>
        <v>0</v>
      </c>
      <c r="J206" s="511">
        <f>'Recycling - Case 3'!E47</f>
        <v>0.19230769230769232</v>
      </c>
      <c r="K206" s="511">
        <f>'Recycling - Case 3'!F47</f>
        <v>0.53846153846153855</v>
      </c>
      <c r="L206" s="511">
        <f>'Recycling - Case 3'!G47</f>
        <v>7.6923076923076927E-2</v>
      </c>
      <c r="M206" s="119">
        <f>'Recycling - Case 3'!H47</f>
        <v>0</v>
      </c>
      <c r="N206" s="978">
        <f>'Recycling - Case 3'!J47</f>
        <v>0</v>
      </c>
      <c r="O206" s="511">
        <f>'Recycling - Case 3'!K47</f>
        <v>0.7</v>
      </c>
      <c r="P206" s="511">
        <f>'Recycling - Case 3'!L47</f>
        <v>0.15</v>
      </c>
      <c r="Q206" s="511">
        <f>'Recycling - Case 3'!M47</f>
        <v>0.15</v>
      </c>
      <c r="R206" s="511">
        <f>'Recycling - Case 3'!N47</f>
        <v>0</v>
      </c>
      <c r="S206" s="119">
        <f>'Recycling - Case 3'!O47</f>
        <v>0</v>
      </c>
      <c r="T206" s="978">
        <f>'Recycling - Case 3'!Q47</f>
        <v>0.42500000000000004</v>
      </c>
      <c r="U206" s="511">
        <f>'Recycling - Case 3'!R47</f>
        <v>0</v>
      </c>
      <c r="V206" s="511">
        <f>'Recycling - Case 3'!S47</f>
        <v>0.21250000000000002</v>
      </c>
      <c r="W206" s="511">
        <f>'Recycling - Case 3'!T47</f>
        <v>0.3</v>
      </c>
      <c r="X206" s="511">
        <f>'Recycling - Case 3'!U47</f>
        <v>6.25E-2</v>
      </c>
      <c r="Y206" s="119">
        <f>'Recycling - Case 3'!V47</f>
        <v>0</v>
      </c>
      <c r="Z206" s="238">
        <f t="shared" si="231"/>
        <v>23097892.195125006</v>
      </c>
      <c r="AA206" s="238">
        <f t="shared" si="232"/>
        <v>0</v>
      </c>
      <c r="AB206" s="238">
        <f t="shared" si="233"/>
        <v>23097892.195125006</v>
      </c>
      <c r="AC206" s="238">
        <f t="shared" si="234"/>
        <v>12934819.629270006</v>
      </c>
      <c r="AD206" s="238">
        <f t="shared" si="235"/>
        <v>1847831.3756100005</v>
      </c>
      <c r="AE206" s="238">
        <f t="shared" si="236"/>
        <v>0</v>
      </c>
      <c r="AF206" s="244">
        <f t="shared" si="237"/>
        <v>60978435.395130016</v>
      </c>
      <c r="AG206" s="237">
        <f t="shared" si="238"/>
        <v>0</v>
      </c>
      <c r="AH206" s="238">
        <f t="shared" si="239"/>
        <v>0</v>
      </c>
      <c r="AI206" s="238">
        <f t="shared" si="240"/>
        <v>5543494.1268300004</v>
      </c>
      <c r="AJ206" s="238">
        <f t="shared" si="241"/>
        <v>1108698.8253660002</v>
      </c>
      <c r="AK206" s="238">
        <f t="shared" si="242"/>
        <v>0</v>
      </c>
      <c r="AL206" s="238">
        <f t="shared" si="243"/>
        <v>0</v>
      </c>
      <c r="AM206" s="1204">
        <f t="shared" si="244"/>
        <v>6652192.9521960001</v>
      </c>
      <c r="AN206" s="237">
        <f t="shared" si="245"/>
        <v>64135147.328463756</v>
      </c>
      <c r="AO206" s="238">
        <f t="shared" si="246"/>
        <v>0</v>
      </c>
      <c r="AP206" s="238">
        <f t="shared" si="247"/>
        <v>32067573.664231878</v>
      </c>
      <c r="AQ206" s="238">
        <f t="shared" si="248"/>
        <v>45271868.702445</v>
      </c>
      <c r="AR206" s="238">
        <f t="shared" si="249"/>
        <v>1886327.8626018751</v>
      </c>
      <c r="AS206" s="238">
        <f t="shared" si="250"/>
        <v>0</v>
      </c>
      <c r="AT206" s="244">
        <f t="shared" si="251"/>
        <v>143360917.55774251</v>
      </c>
      <c r="AU206" s="256">
        <v>0</v>
      </c>
      <c r="AV206" s="248">
        <f t="shared" si="252"/>
        <v>210.99154590506851</v>
      </c>
      <c r="AW206" s="1206">
        <f t="shared" si="253"/>
        <v>3.3255928545641762</v>
      </c>
    </row>
    <row r="207" spans="1:49">
      <c r="A207" s="127">
        <f>'Input data'!A129</f>
        <v>2031</v>
      </c>
      <c r="B207" s="105">
        <f>'Input data'!B129</f>
        <v>66.519000000000005</v>
      </c>
      <c r="C207" s="510">
        <f>'Recycling - Case 3'!E109</f>
        <v>1</v>
      </c>
      <c r="D207" s="658">
        <f>'Recycling - Case 3'!F109</f>
        <v>0.37</v>
      </c>
      <c r="E207" s="237">
        <f t="shared" si="188"/>
        <v>1035335806.9875003</v>
      </c>
      <c r="F207" s="238">
        <v>0</v>
      </c>
      <c r="G207" s="239">
        <f t="shared" si="189"/>
        <v>1035335806.9875003</v>
      </c>
      <c r="H207" s="117">
        <f>H206</f>
        <v>0.19230769230769232</v>
      </c>
      <c r="I207" s="118">
        <f t="shared" ref="I207:Y207" si="254">I206</f>
        <v>0</v>
      </c>
      <c r="J207" s="118">
        <f t="shared" si="254"/>
        <v>0.19230769230769232</v>
      </c>
      <c r="K207" s="118">
        <f t="shared" si="254"/>
        <v>0.53846153846153855</v>
      </c>
      <c r="L207" s="118">
        <f t="shared" si="254"/>
        <v>7.6923076923076927E-2</v>
      </c>
      <c r="M207" s="206">
        <f t="shared" si="254"/>
        <v>0</v>
      </c>
      <c r="N207" s="117">
        <f t="shared" si="254"/>
        <v>0</v>
      </c>
      <c r="O207" s="118">
        <f t="shared" si="254"/>
        <v>0.7</v>
      </c>
      <c r="P207" s="118">
        <f t="shared" si="254"/>
        <v>0.15</v>
      </c>
      <c r="Q207" s="118">
        <f t="shared" si="254"/>
        <v>0.15</v>
      </c>
      <c r="R207" s="118">
        <f t="shared" si="254"/>
        <v>0</v>
      </c>
      <c r="S207" s="206">
        <f t="shared" si="254"/>
        <v>0</v>
      </c>
      <c r="T207" s="117">
        <f t="shared" si="254"/>
        <v>0.42500000000000004</v>
      </c>
      <c r="U207" s="118">
        <f t="shared" si="254"/>
        <v>0</v>
      </c>
      <c r="V207" s="118">
        <f t="shared" si="254"/>
        <v>0.21250000000000002</v>
      </c>
      <c r="W207" s="118">
        <f t="shared" si="254"/>
        <v>0.3</v>
      </c>
      <c r="X207" s="118">
        <f t="shared" si="254"/>
        <v>6.25E-2</v>
      </c>
      <c r="Y207" s="206">
        <f t="shared" si="254"/>
        <v>0</v>
      </c>
      <c r="Z207" s="238">
        <f t="shared" si="231"/>
        <v>23295055.657218758</v>
      </c>
      <c r="AA207" s="238">
        <f t="shared" si="232"/>
        <v>0</v>
      </c>
      <c r="AB207" s="238">
        <f t="shared" si="233"/>
        <v>23295055.657218758</v>
      </c>
      <c r="AC207" s="238">
        <f t="shared" si="234"/>
        <v>13045231.168042507</v>
      </c>
      <c r="AD207" s="238">
        <f t="shared" si="235"/>
        <v>1863604.4525775008</v>
      </c>
      <c r="AE207" s="238">
        <f t="shared" si="236"/>
        <v>0</v>
      </c>
      <c r="AF207" s="244">
        <f t="shared" si="237"/>
        <v>61498946.935057521</v>
      </c>
      <c r="AG207" s="237">
        <f t="shared" si="238"/>
        <v>0</v>
      </c>
      <c r="AH207" s="238">
        <f t="shared" si="239"/>
        <v>0</v>
      </c>
      <c r="AI207" s="238">
        <f t="shared" si="240"/>
        <v>5590813.3577325009</v>
      </c>
      <c r="AJ207" s="238">
        <f t="shared" si="241"/>
        <v>1118162.6715465002</v>
      </c>
      <c r="AK207" s="238">
        <f t="shared" si="242"/>
        <v>0</v>
      </c>
      <c r="AL207" s="238">
        <f t="shared" si="243"/>
        <v>0</v>
      </c>
      <c r="AM207" s="1204">
        <f t="shared" si="244"/>
        <v>6708976.0292790011</v>
      </c>
      <c r="AN207" s="237">
        <f t="shared" si="245"/>
        <v>64682604.54154408</v>
      </c>
      <c r="AO207" s="238">
        <f t="shared" si="246"/>
        <v>0</v>
      </c>
      <c r="AP207" s="238">
        <f t="shared" si="247"/>
        <v>32341302.27077204</v>
      </c>
      <c r="AQ207" s="238">
        <f t="shared" si="248"/>
        <v>45658309.088148758</v>
      </c>
      <c r="AR207" s="238">
        <f t="shared" si="249"/>
        <v>1902429.5453395317</v>
      </c>
      <c r="AS207" s="238">
        <f t="shared" si="250"/>
        <v>0</v>
      </c>
      <c r="AT207" s="244">
        <f t="shared" si="251"/>
        <v>144584645.44580442</v>
      </c>
      <c r="AU207" s="256">
        <v>0</v>
      </c>
      <c r="AV207" s="248">
        <f t="shared" si="252"/>
        <v>212.79256841014094</v>
      </c>
      <c r="AW207" s="1206">
        <f t="shared" si="253"/>
        <v>3.3539800941954407</v>
      </c>
    </row>
    <row r="208" spans="1:49">
      <c r="A208" s="127">
        <f>'Input data'!A130</f>
        <v>2032</v>
      </c>
      <c r="B208" s="105">
        <f>'Input data'!B130</f>
        <v>67.087000000000003</v>
      </c>
      <c r="C208" s="510">
        <f>'Recycling - Case 3'!E110</f>
        <v>1</v>
      </c>
      <c r="D208" s="658">
        <f>'Recycling - Case 3'!F110</f>
        <v>0.37</v>
      </c>
      <c r="E208" s="237">
        <f t="shared" si="188"/>
        <v>1044176450.0875001</v>
      </c>
      <c r="F208" s="238">
        <v>0</v>
      </c>
      <c r="G208" s="239">
        <f t="shared" si="189"/>
        <v>1044176450.0875001</v>
      </c>
      <c r="H208" s="117">
        <f t="shared" ref="H208:H226" si="255">H207</f>
        <v>0.19230769230769232</v>
      </c>
      <c r="I208" s="118">
        <f t="shared" ref="I208:I226" si="256">I207</f>
        <v>0</v>
      </c>
      <c r="J208" s="118">
        <f t="shared" ref="J208:J226" si="257">J207</f>
        <v>0.19230769230769232</v>
      </c>
      <c r="K208" s="118">
        <f t="shared" ref="K208:K226" si="258">K207</f>
        <v>0.53846153846153855</v>
      </c>
      <c r="L208" s="118">
        <f t="shared" ref="L208:L226" si="259">L207</f>
        <v>7.6923076923076927E-2</v>
      </c>
      <c r="M208" s="206">
        <f t="shared" ref="M208:M226" si="260">M207</f>
        <v>0</v>
      </c>
      <c r="N208" s="117">
        <f t="shared" ref="N208:N226" si="261">N207</f>
        <v>0</v>
      </c>
      <c r="O208" s="118">
        <f t="shared" ref="O208:O226" si="262">O207</f>
        <v>0.7</v>
      </c>
      <c r="P208" s="118">
        <f t="shared" ref="P208:P226" si="263">P207</f>
        <v>0.15</v>
      </c>
      <c r="Q208" s="118">
        <f t="shared" ref="Q208:Q226" si="264">Q207</f>
        <v>0.15</v>
      </c>
      <c r="R208" s="118">
        <f t="shared" ref="R208:R226" si="265">R207</f>
        <v>0</v>
      </c>
      <c r="S208" s="206">
        <f t="shared" ref="S208:S226" si="266">S207</f>
        <v>0</v>
      </c>
      <c r="T208" s="117">
        <f t="shared" ref="T208:T226" si="267">T207</f>
        <v>0.42500000000000004</v>
      </c>
      <c r="U208" s="118">
        <f t="shared" ref="U208:U226" si="268">U207</f>
        <v>0</v>
      </c>
      <c r="V208" s="118">
        <f t="shared" ref="V208:V226" si="269">V207</f>
        <v>0.21250000000000002</v>
      </c>
      <c r="W208" s="118">
        <f t="shared" ref="W208:W226" si="270">W207</f>
        <v>0.3</v>
      </c>
      <c r="X208" s="118">
        <f t="shared" ref="X208:X226" si="271">X207</f>
        <v>6.25E-2</v>
      </c>
      <c r="Y208" s="206">
        <f t="shared" ref="Y208:Y226" si="272">Y207</f>
        <v>0</v>
      </c>
      <c r="Z208" s="238">
        <f t="shared" si="231"/>
        <v>23493970.126968756</v>
      </c>
      <c r="AA208" s="238">
        <f t="shared" si="232"/>
        <v>0</v>
      </c>
      <c r="AB208" s="238">
        <f t="shared" si="233"/>
        <v>23493970.126968756</v>
      </c>
      <c r="AC208" s="238">
        <f t="shared" si="234"/>
        <v>13156623.271102503</v>
      </c>
      <c r="AD208" s="238">
        <f t="shared" si="235"/>
        <v>1879517.6101575005</v>
      </c>
      <c r="AE208" s="238">
        <f t="shared" si="236"/>
        <v>0</v>
      </c>
      <c r="AF208" s="244">
        <f t="shared" si="237"/>
        <v>62024081.135197513</v>
      </c>
      <c r="AG208" s="237">
        <f t="shared" si="238"/>
        <v>0</v>
      </c>
      <c r="AH208" s="238">
        <f t="shared" si="239"/>
        <v>0</v>
      </c>
      <c r="AI208" s="238">
        <f t="shared" si="240"/>
        <v>5638552.8304725001</v>
      </c>
      <c r="AJ208" s="238">
        <f t="shared" si="241"/>
        <v>1127710.5660945</v>
      </c>
      <c r="AK208" s="238">
        <f t="shared" si="242"/>
        <v>0</v>
      </c>
      <c r="AL208" s="238">
        <f t="shared" si="243"/>
        <v>0</v>
      </c>
      <c r="AM208" s="1204">
        <f t="shared" si="244"/>
        <v>6766263.3965670001</v>
      </c>
      <c r="AN208" s="237">
        <f t="shared" si="245"/>
        <v>65234923.71921657</v>
      </c>
      <c r="AO208" s="238">
        <f t="shared" si="246"/>
        <v>0</v>
      </c>
      <c r="AP208" s="238">
        <f t="shared" si="247"/>
        <v>32617461.859608285</v>
      </c>
      <c r="AQ208" s="238">
        <f t="shared" si="248"/>
        <v>46048181.448858753</v>
      </c>
      <c r="AR208" s="238">
        <f t="shared" si="249"/>
        <v>1918674.2270357814</v>
      </c>
      <c r="AS208" s="238">
        <f t="shared" si="250"/>
        <v>0</v>
      </c>
      <c r="AT208" s="244">
        <f t="shared" si="251"/>
        <v>145819241.25471941</v>
      </c>
      <c r="AU208" s="256">
        <v>0</v>
      </c>
      <c r="AV208" s="248">
        <f t="shared" si="252"/>
        <v>214.6095857864839</v>
      </c>
      <c r="AW208" s="1206">
        <f t="shared" si="253"/>
        <v>3.3826194407506049</v>
      </c>
    </row>
    <row r="209" spans="1:49">
      <c r="A209" s="127">
        <f>'Input data'!A131</f>
        <v>2033</v>
      </c>
      <c r="B209" s="105">
        <f>'Input data'!B131</f>
        <v>67.659000000000006</v>
      </c>
      <c r="C209" s="510">
        <f>'Recycling - Case 3'!E111</f>
        <v>1</v>
      </c>
      <c r="D209" s="658">
        <f>'Recycling - Case 3'!F111</f>
        <v>0.37</v>
      </c>
      <c r="E209" s="237">
        <f t="shared" si="188"/>
        <v>1053079351.2375003</v>
      </c>
      <c r="F209" s="238">
        <v>0</v>
      </c>
      <c r="G209" s="239">
        <f t="shared" si="189"/>
        <v>1053079351.2375003</v>
      </c>
      <c r="H209" s="117">
        <f t="shared" si="255"/>
        <v>0.19230769230769232</v>
      </c>
      <c r="I209" s="118">
        <f t="shared" si="256"/>
        <v>0</v>
      </c>
      <c r="J209" s="118">
        <f t="shared" si="257"/>
        <v>0.19230769230769232</v>
      </c>
      <c r="K209" s="118">
        <f t="shared" si="258"/>
        <v>0.53846153846153855</v>
      </c>
      <c r="L209" s="118">
        <f t="shared" si="259"/>
        <v>7.6923076923076927E-2</v>
      </c>
      <c r="M209" s="206">
        <f t="shared" si="260"/>
        <v>0</v>
      </c>
      <c r="N209" s="117">
        <f t="shared" si="261"/>
        <v>0</v>
      </c>
      <c r="O209" s="118">
        <f t="shared" si="262"/>
        <v>0.7</v>
      </c>
      <c r="P209" s="118">
        <f t="shared" si="263"/>
        <v>0.15</v>
      </c>
      <c r="Q209" s="118">
        <f t="shared" si="264"/>
        <v>0.15</v>
      </c>
      <c r="R209" s="118">
        <f t="shared" si="265"/>
        <v>0</v>
      </c>
      <c r="S209" s="206">
        <f t="shared" si="266"/>
        <v>0</v>
      </c>
      <c r="T209" s="117">
        <f t="shared" si="267"/>
        <v>0.42500000000000004</v>
      </c>
      <c r="U209" s="118">
        <f t="shared" si="268"/>
        <v>0</v>
      </c>
      <c r="V209" s="118">
        <f t="shared" si="269"/>
        <v>0.21250000000000002</v>
      </c>
      <c r="W209" s="118">
        <f t="shared" si="270"/>
        <v>0.3</v>
      </c>
      <c r="X209" s="118">
        <f t="shared" si="271"/>
        <v>6.25E-2</v>
      </c>
      <c r="Y209" s="206">
        <f t="shared" si="272"/>
        <v>0</v>
      </c>
      <c r="Z209" s="238">
        <f t="shared" si="231"/>
        <v>23694285.402843758</v>
      </c>
      <c r="AA209" s="238">
        <f t="shared" si="232"/>
        <v>0</v>
      </c>
      <c r="AB209" s="238">
        <f t="shared" si="233"/>
        <v>23694285.402843758</v>
      </c>
      <c r="AC209" s="238">
        <f t="shared" si="234"/>
        <v>13268799.825592507</v>
      </c>
      <c r="AD209" s="238">
        <f t="shared" si="235"/>
        <v>1895542.8322275011</v>
      </c>
      <c r="AE209" s="238">
        <f t="shared" si="236"/>
        <v>0</v>
      </c>
      <c r="AF209" s="244">
        <f t="shared" si="237"/>
        <v>62552913.463507518</v>
      </c>
      <c r="AG209" s="237">
        <f t="shared" si="238"/>
        <v>0</v>
      </c>
      <c r="AH209" s="238">
        <f t="shared" si="239"/>
        <v>0</v>
      </c>
      <c r="AI209" s="238">
        <f t="shared" si="240"/>
        <v>5686628.4966825005</v>
      </c>
      <c r="AJ209" s="238">
        <f t="shared" si="241"/>
        <v>1137325.6993365004</v>
      </c>
      <c r="AK209" s="238">
        <f t="shared" si="242"/>
        <v>0</v>
      </c>
      <c r="AL209" s="238">
        <f t="shared" si="243"/>
        <v>0</v>
      </c>
      <c r="AM209" s="1204">
        <f t="shared" si="244"/>
        <v>6823954.1960190013</v>
      </c>
      <c r="AN209" s="237">
        <f t="shared" si="245"/>
        <v>65791132.468562834</v>
      </c>
      <c r="AO209" s="238">
        <f t="shared" si="246"/>
        <v>0</v>
      </c>
      <c r="AP209" s="238">
        <f t="shared" si="247"/>
        <v>32895566.234281417</v>
      </c>
      <c r="AQ209" s="238">
        <f t="shared" si="248"/>
        <v>46440799.38957376</v>
      </c>
      <c r="AR209" s="238">
        <f t="shared" si="249"/>
        <v>1935033.3078989065</v>
      </c>
      <c r="AS209" s="238">
        <f t="shared" si="250"/>
        <v>0</v>
      </c>
      <c r="AT209" s="244">
        <f t="shared" si="251"/>
        <v>147062531.40031692</v>
      </c>
      <c r="AU209" s="256">
        <v>0</v>
      </c>
      <c r="AV209" s="248">
        <f t="shared" si="252"/>
        <v>216.43939905984345</v>
      </c>
      <c r="AW209" s="1206">
        <f t="shared" si="253"/>
        <v>3.4114604728448907</v>
      </c>
    </row>
    <row r="210" spans="1:49">
      <c r="A210" s="127">
        <f>'Input data'!A132</f>
        <v>2034</v>
      </c>
      <c r="B210" s="105">
        <f>'Input data'!B132</f>
        <v>68.236999999999995</v>
      </c>
      <c r="C210" s="510">
        <f>'Recycling - Case 3'!E112</f>
        <v>1</v>
      </c>
      <c r="D210" s="658">
        <f>'Recycling - Case 3'!F112</f>
        <v>0.37</v>
      </c>
      <c r="E210" s="237">
        <f t="shared" si="188"/>
        <v>1062075639.4625</v>
      </c>
      <c r="F210" s="238">
        <v>0</v>
      </c>
      <c r="G210" s="239">
        <f t="shared" si="189"/>
        <v>1062075639.4625</v>
      </c>
      <c r="H210" s="117">
        <f t="shared" si="255"/>
        <v>0.19230769230769232</v>
      </c>
      <c r="I210" s="118">
        <f t="shared" si="256"/>
        <v>0</v>
      </c>
      <c r="J210" s="118">
        <f t="shared" si="257"/>
        <v>0.19230769230769232</v>
      </c>
      <c r="K210" s="118">
        <f t="shared" si="258"/>
        <v>0.53846153846153855</v>
      </c>
      <c r="L210" s="118">
        <f t="shared" si="259"/>
        <v>7.6923076923076927E-2</v>
      </c>
      <c r="M210" s="206">
        <f t="shared" si="260"/>
        <v>0</v>
      </c>
      <c r="N210" s="117">
        <f t="shared" si="261"/>
        <v>0</v>
      </c>
      <c r="O210" s="118">
        <f t="shared" si="262"/>
        <v>0.7</v>
      </c>
      <c r="P210" s="118">
        <f t="shared" si="263"/>
        <v>0.15</v>
      </c>
      <c r="Q210" s="118">
        <f t="shared" si="264"/>
        <v>0.15</v>
      </c>
      <c r="R210" s="118">
        <f t="shared" si="265"/>
        <v>0</v>
      </c>
      <c r="S210" s="206">
        <f t="shared" si="266"/>
        <v>0</v>
      </c>
      <c r="T210" s="117">
        <f t="shared" si="267"/>
        <v>0.42500000000000004</v>
      </c>
      <c r="U210" s="118">
        <f t="shared" si="268"/>
        <v>0</v>
      </c>
      <c r="V210" s="118">
        <f t="shared" si="269"/>
        <v>0.21250000000000002</v>
      </c>
      <c r="W210" s="118">
        <f t="shared" si="270"/>
        <v>0.3</v>
      </c>
      <c r="X210" s="118">
        <f t="shared" si="271"/>
        <v>6.25E-2</v>
      </c>
      <c r="Y210" s="206">
        <f t="shared" si="272"/>
        <v>0</v>
      </c>
      <c r="Z210" s="238">
        <f t="shared" si="231"/>
        <v>23896701.88790625</v>
      </c>
      <c r="AA210" s="238">
        <f t="shared" si="232"/>
        <v>0</v>
      </c>
      <c r="AB210" s="238">
        <f t="shared" si="233"/>
        <v>23896701.88790625</v>
      </c>
      <c r="AC210" s="238">
        <f t="shared" si="234"/>
        <v>13382153.057227502</v>
      </c>
      <c r="AD210" s="238">
        <f t="shared" si="235"/>
        <v>1911736.1510325002</v>
      </c>
      <c r="AE210" s="238">
        <f t="shared" si="236"/>
        <v>0</v>
      </c>
      <c r="AF210" s="244">
        <f t="shared" si="237"/>
        <v>63087292.984072499</v>
      </c>
      <c r="AG210" s="237">
        <f t="shared" si="238"/>
        <v>0</v>
      </c>
      <c r="AH210" s="238">
        <f t="shared" si="239"/>
        <v>0</v>
      </c>
      <c r="AI210" s="238">
        <f t="shared" si="240"/>
        <v>5735208.4530974999</v>
      </c>
      <c r="AJ210" s="238">
        <f t="shared" si="241"/>
        <v>1147041.6906194999</v>
      </c>
      <c r="AK210" s="238">
        <f t="shared" si="242"/>
        <v>0</v>
      </c>
      <c r="AL210" s="238">
        <f t="shared" si="243"/>
        <v>0</v>
      </c>
      <c r="AM210" s="1204">
        <f t="shared" si="244"/>
        <v>6882250.1437170003</v>
      </c>
      <c r="AN210" s="237">
        <f t="shared" si="245"/>
        <v>66353175.575419687</v>
      </c>
      <c r="AO210" s="238">
        <f t="shared" si="246"/>
        <v>0</v>
      </c>
      <c r="AP210" s="238">
        <f t="shared" si="247"/>
        <v>33176587.787709843</v>
      </c>
      <c r="AQ210" s="238">
        <f t="shared" si="248"/>
        <v>46837535.700296246</v>
      </c>
      <c r="AR210" s="238">
        <f t="shared" si="249"/>
        <v>1951563.9875123436</v>
      </c>
      <c r="AS210" s="238">
        <f t="shared" si="250"/>
        <v>0</v>
      </c>
      <c r="AT210" s="244">
        <f t="shared" si="251"/>
        <v>148318863.05093813</v>
      </c>
      <c r="AU210" s="256">
        <v>0</v>
      </c>
      <c r="AV210" s="248">
        <f t="shared" si="252"/>
        <v>218.28840617872763</v>
      </c>
      <c r="AW210" s="1206">
        <f t="shared" si="253"/>
        <v>3.4406040332478574</v>
      </c>
    </row>
    <row r="211" spans="1:49">
      <c r="A211" s="127">
        <f>'Input data'!A133</f>
        <v>2035</v>
      </c>
      <c r="B211" s="105">
        <f>'Input data'!B133</f>
        <v>68.819000000000003</v>
      </c>
      <c r="C211" s="510">
        <f>'Recycling - Case 3'!E113</f>
        <v>1</v>
      </c>
      <c r="D211" s="658">
        <f>'Recycling - Case 3'!F113</f>
        <v>0.37</v>
      </c>
      <c r="E211" s="237">
        <f t="shared" si="188"/>
        <v>1071134185.7375001</v>
      </c>
      <c r="F211" s="238">
        <v>0</v>
      </c>
      <c r="G211" s="239">
        <f t="shared" si="189"/>
        <v>1071134185.7375001</v>
      </c>
      <c r="H211" s="117">
        <f t="shared" si="255"/>
        <v>0.19230769230769232</v>
      </c>
      <c r="I211" s="118">
        <f t="shared" si="256"/>
        <v>0</v>
      </c>
      <c r="J211" s="118">
        <f t="shared" si="257"/>
        <v>0.19230769230769232</v>
      </c>
      <c r="K211" s="118">
        <f t="shared" si="258"/>
        <v>0.53846153846153855</v>
      </c>
      <c r="L211" s="118">
        <f t="shared" si="259"/>
        <v>7.6923076923076927E-2</v>
      </c>
      <c r="M211" s="206">
        <f t="shared" si="260"/>
        <v>0</v>
      </c>
      <c r="N211" s="117">
        <f t="shared" si="261"/>
        <v>0</v>
      </c>
      <c r="O211" s="118">
        <f t="shared" si="262"/>
        <v>0.7</v>
      </c>
      <c r="P211" s="118">
        <f t="shared" si="263"/>
        <v>0.15</v>
      </c>
      <c r="Q211" s="118">
        <f t="shared" si="264"/>
        <v>0.15</v>
      </c>
      <c r="R211" s="118">
        <f t="shared" si="265"/>
        <v>0</v>
      </c>
      <c r="S211" s="206">
        <f t="shared" si="266"/>
        <v>0</v>
      </c>
      <c r="T211" s="117">
        <f t="shared" si="267"/>
        <v>0.42500000000000004</v>
      </c>
      <c r="U211" s="118">
        <f t="shared" si="268"/>
        <v>0</v>
      </c>
      <c r="V211" s="118">
        <f t="shared" si="269"/>
        <v>0.21250000000000002</v>
      </c>
      <c r="W211" s="118">
        <f t="shared" si="270"/>
        <v>0.3</v>
      </c>
      <c r="X211" s="118">
        <f t="shared" si="271"/>
        <v>6.25E-2</v>
      </c>
      <c r="Y211" s="206">
        <f t="shared" si="272"/>
        <v>0</v>
      </c>
      <c r="Z211" s="238">
        <f t="shared" si="231"/>
        <v>24100519.179093752</v>
      </c>
      <c r="AA211" s="238">
        <f t="shared" si="232"/>
        <v>0</v>
      </c>
      <c r="AB211" s="238">
        <f t="shared" si="233"/>
        <v>24100519.179093752</v>
      </c>
      <c r="AC211" s="238">
        <f t="shared" si="234"/>
        <v>13496290.740292504</v>
      </c>
      <c r="AD211" s="238">
        <f t="shared" si="235"/>
        <v>1928041.5343275003</v>
      </c>
      <c r="AE211" s="238">
        <f t="shared" si="236"/>
        <v>0</v>
      </c>
      <c r="AF211" s="244">
        <f t="shared" si="237"/>
        <v>63625370.632807508</v>
      </c>
      <c r="AG211" s="237">
        <f t="shared" si="238"/>
        <v>0</v>
      </c>
      <c r="AH211" s="238">
        <f t="shared" si="239"/>
        <v>0</v>
      </c>
      <c r="AI211" s="238">
        <f t="shared" si="240"/>
        <v>5784124.6029825006</v>
      </c>
      <c r="AJ211" s="238">
        <f t="shared" si="241"/>
        <v>1156824.9205964999</v>
      </c>
      <c r="AK211" s="238">
        <f t="shared" si="242"/>
        <v>0</v>
      </c>
      <c r="AL211" s="238">
        <f t="shared" si="243"/>
        <v>0</v>
      </c>
      <c r="AM211" s="1204">
        <f t="shared" si="244"/>
        <v>6940949.5235790005</v>
      </c>
      <c r="AN211" s="237">
        <f t="shared" si="245"/>
        <v>66919108.253950313</v>
      </c>
      <c r="AO211" s="238">
        <f t="shared" si="246"/>
        <v>0</v>
      </c>
      <c r="AP211" s="238">
        <f t="shared" si="247"/>
        <v>33459554.126975156</v>
      </c>
      <c r="AQ211" s="238">
        <f t="shared" si="248"/>
        <v>47237017.591023751</v>
      </c>
      <c r="AR211" s="238">
        <f t="shared" si="249"/>
        <v>1968209.0662926564</v>
      </c>
      <c r="AS211" s="238">
        <f t="shared" si="250"/>
        <v>0</v>
      </c>
      <c r="AT211" s="244">
        <f t="shared" si="251"/>
        <v>149583889.03824186</v>
      </c>
      <c r="AU211" s="256">
        <v>0</v>
      </c>
      <c r="AV211" s="248">
        <f t="shared" si="252"/>
        <v>220.15020919462836</v>
      </c>
      <c r="AW211" s="1206">
        <f t="shared" si="253"/>
        <v>3.4699492791899456</v>
      </c>
    </row>
    <row r="212" spans="1:49">
      <c r="A212" s="127">
        <f>'Input data'!A134</f>
        <v>2036</v>
      </c>
      <c r="B212" s="105">
        <f>'Input data'!B134</f>
        <v>69.322999999999993</v>
      </c>
      <c r="C212" s="510">
        <f>'Recycling - Case 3'!E114</f>
        <v>1</v>
      </c>
      <c r="D212" s="658">
        <f>'Recycling - Case 3'!F114</f>
        <v>0.37</v>
      </c>
      <c r="E212" s="237">
        <f t="shared" si="188"/>
        <v>1078978700.0374999</v>
      </c>
      <c r="F212" s="238">
        <v>0</v>
      </c>
      <c r="G212" s="239">
        <f t="shared" si="189"/>
        <v>1078978700.0374999</v>
      </c>
      <c r="H212" s="117">
        <f t="shared" si="255"/>
        <v>0.19230769230769232</v>
      </c>
      <c r="I212" s="118">
        <f t="shared" si="256"/>
        <v>0</v>
      </c>
      <c r="J212" s="118">
        <f t="shared" si="257"/>
        <v>0.19230769230769232</v>
      </c>
      <c r="K212" s="118">
        <f t="shared" si="258"/>
        <v>0.53846153846153855</v>
      </c>
      <c r="L212" s="118">
        <f t="shared" si="259"/>
        <v>7.6923076923076927E-2</v>
      </c>
      <c r="M212" s="206">
        <f t="shared" si="260"/>
        <v>0</v>
      </c>
      <c r="N212" s="117">
        <f t="shared" si="261"/>
        <v>0</v>
      </c>
      <c r="O212" s="118">
        <f t="shared" si="262"/>
        <v>0.7</v>
      </c>
      <c r="P212" s="118">
        <f t="shared" si="263"/>
        <v>0.15</v>
      </c>
      <c r="Q212" s="118">
        <f t="shared" si="264"/>
        <v>0.15</v>
      </c>
      <c r="R212" s="118">
        <f t="shared" si="265"/>
        <v>0</v>
      </c>
      <c r="S212" s="206">
        <f t="shared" si="266"/>
        <v>0</v>
      </c>
      <c r="T212" s="117">
        <f t="shared" si="267"/>
        <v>0.42500000000000004</v>
      </c>
      <c r="U212" s="118">
        <f t="shared" si="268"/>
        <v>0</v>
      </c>
      <c r="V212" s="118">
        <f t="shared" si="269"/>
        <v>0.21250000000000002</v>
      </c>
      <c r="W212" s="118">
        <f t="shared" si="270"/>
        <v>0.3</v>
      </c>
      <c r="X212" s="118">
        <f t="shared" si="271"/>
        <v>6.25E-2</v>
      </c>
      <c r="Y212" s="206">
        <f t="shared" si="272"/>
        <v>0</v>
      </c>
      <c r="Z212" s="238">
        <f t="shared" si="231"/>
        <v>24277020.750843752</v>
      </c>
      <c r="AA212" s="238">
        <f t="shared" si="232"/>
        <v>0</v>
      </c>
      <c r="AB212" s="238">
        <f t="shared" si="233"/>
        <v>24277020.750843752</v>
      </c>
      <c r="AC212" s="238">
        <f t="shared" si="234"/>
        <v>13595131.620472502</v>
      </c>
      <c r="AD212" s="238">
        <f t="shared" si="235"/>
        <v>1942161.6600675001</v>
      </c>
      <c r="AE212" s="238">
        <f t="shared" si="236"/>
        <v>0</v>
      </c>
      <c r="AF212" s="244">
        <f t="shared" si="237"/>
        <v>64091334.782227501</v>
      </c>
      <c r="AG212" s="237">
        <f t="shared" si="238"/>
        <v>0</v>
      </c>
      <c r="AH212" s="238">
        <f t="shared" si="239"/>
        <v>0</v>
      </c>
      <c r="AI212" s="238">
        <f t="shared" si="240"/>
        <v>5826484.9802024998</v>
      </c>
      <c r="AJ212" s="238">
        <f t="shared" si="241"/>
        <v>1165296.9960404998</v>
      </c>
      <c r="AK212" s="238">
        <f t="shared" si="242"/>
        <v>0</v>
      </c>
      <c r="AL212" s="238">
        <f t="shared" si="243"/>
        <v>0</v>
      </c>
      <c r="AM212" s="1204">
        <f t="shared" si="244"/>
        <v>6991781.9762429995</v>
      </c>
      <c r="AN212" s="237">
        <f t="shared" si="245"/>
        <v>67409194.284842804</v>
      </c>
      <c r="AO212" s="238">
        <f t="shared" si="246"/>
        <v>0</v>
      </c>
      <c r="AP212" s="238">
        <f t="shared" si="247"/>
        <v>33704597.142421402</v>
      </c>
      <c r="AQ212" s="238">
        <f t="shared" si="248"/>
        <v>47582960.671653748</v>
      </c>
      <c r="AR212" s="238">
        <f t="shared" si="249"/>
        <v>1982623.3613189061</v>
      </c>
      <c r="AS212" s="238">
        <f t="shared" si="250"/>
        <v>0</v>
      </c>
      <c r="AT212" s="244">
        <f t="shared" si="251"/>
        <v>150679375.46023688</v>
      </c>
      <c r="AU212" s="256">
        <v>0</v>
      </c>
      <c r="AV212" s="248">
        <f t="shared" si="252"/>
        <v>221.76249221870739</v>
      </c>
      <c r="AW212" s="1206">
        <f t="shared" si="253"/>
        <v>3.4953616571191763</v>
      </c>
    </row>
    <row r="213" spans="1:49">
      <c r="A213" s="127">
        <f>'Input data'!A135</f>
        <v>2037</v>
      </c>
      <c r="B213" s="105">
        <f>'Input data'!B135</f>
        <v>69.83</v>
      </c>
      <c r="C213" s="510">
        <f>'Recycling - Case 3'!E115</f>
        <v>1</v>
      </c>
      <c r="D213" s="658">
        <f>'Recycling - Case 3'!F115</f>
        <v>0.37</v>
      </c>
      <c r="E213" s="237">
        <f t="shared" si="188"/>
        <v>1086869907.875</v>
      </c>
      <c r="F213" s="238">
        <v>0</v>
      </c>
      <c r="G213" s="239">
        <f t="shared" si="189"/>
        <v>1086869907.875</v>
      </c>
      <c r="H213" s="117">
        <f t="shared" si="255"/>
        <v>0.19230769230769232</v>
      </c>
      <c r="I213" s="118">
        <f t="shared" si="256"/>
        <v>0</v>
      </c>
      <c r="J213" s="118">
        <f t="shared" si="257"/>
        <v>0.19230769230769232</v>
      </c>
      <c r="K213" s="118">
        <f t="shared" si="258"/>
        <v>0.53846153846153855</v>
      </c>
      <c r="L213" s="118">
        <f t="shared" si="259"/>
        <v>7.6923076923076927E-2</v>
      </c>
      <c r="M213" s="206">
        <f t="shared" si="260"/>
        <v>0</v>
      </c>
      <c r="N213" s="117">
        <f t="shared" si="261"/>
        <v>0</v>
      </c>
      <c r="O213" s="118">
        <f t="shared" si="262"/>
        <v>0.7</v>
      </c>
      <c r="P213" s="118">
        <f t="shared" si="263"/>
        <v>0.15</v>
      </c>
      <c r="Q213" s="118">
        <f t="shared" si="264"/>
        <v>0.15</v>
      </c>
      <c r="R213" s="118">
        <f t="shared" si="265"/>
        <v>0</v>
      </c>
      <c r="S213" s="206">
        <f t="shared" si="266"/>
        <v>0</v>
      </c>
      <c r="T213" s="117">
        <f t="shared" si="267"/>
        <v>0.42500000000000004</v>
      </c>
      <c r="U213" s="118">
        <f t="shared" si="268"/>
        <v>0</v>
      </c>
      <c r="V213" s="118">
        <f t="shared" si="269"/>
        <v>0.21250000000000002</v>
      </c>
      <c r="W213" s="118">
        <f t="shared" si="270"/>
        <v>0.3</v>
      </c>
      <c r="X213" s="118">
        <f t="shared" si="271"/>
        <v>6.25E-2</v>
      </c>
      <c r="Y213" s="206">
        <f t="shared" si="272"/>
        <v>0</v>
      </c>
      <c r="Z213" s="238">
        <f t="shared" si="231"/>
        <v>24454572.927187502</v>
      </c>
      <c r="AA213" s="238">
        <f t="shared" si="232"/>
        <v>0</v>
      </c>
      <c r="AB213" s="238">
        <f t="shared" si="233"/>
        <v>24454572.927187502</v>
      </c>
      <c r="AC213" s="238">
        <f t="shared" si="234"/>
        <v>13694560.839225003</v>
      </c>
      <c r="AD213" s="238">
        <f t="shared" si="235"/>
        <v>1956365.8341750002</v>
      </c>
      <c r="AE213" s="238">
        <f t="shared" si="236"/>
        <v>0</v>
      </c>
      <c r="AF213" s="244">
        <f t="shared" si="237"/>
        <v>64560072.527775005</v>
      </c>
      <c r="AG213" s="237">
        <f t="shared" si="238"/>
        <v>0</v>
      </c>
      <c r="AH213" s="238">
        <f t="shared" si="239"/>
        <v>0</v>
      </c>
      <c r="AI213" s="238">
        <f t="shared" si="240"/>
        <v>5869097.5025249999</v>
      </c>
      <c r="AJ213" s="238">
        <f t="shared" si="241"/>
        <v>1173819.5005049999</v>
      </c>
      <c r="AK213" s="238">
        <f t="shared" si="242"/>
        <v>0</v>
      </c>
      <c r="AL213" s="238">
        <f t="shared" si="243"/>
        <v>0</v>
      </c>
      <c r="AM213" s="1204">
        <f t="shared" si="244"/>
        <v>7042917.0030300003</v>
      </c>
      <c r="AN213" s="237">
        <f t="shared" si="245"/>
        <v>67902197.494490623</v>
      </c>
      <c r="AO213" s="238">
        <f t="shared" si="246"/>
        <v>0</v>
      </c>
      <c r="AP213" s="238">
        <f t="shared" si="247"/>
        <v>33951098.747245312</v>
      </c>
      <c r="AQ213" s="238">
        <f t="shared" si="248"/>
        <v>47930962.937287495</v>
      </c>
      <c r="AR213" s="238">
        <f t="shared" si="249"/>
        <v>1997123.4557203124</v>
      </c>
      <c r="AS213" s="238">
        <f t="shared" si="250"/>
        <v>0</v>
      </c>
      <c r="AT213" s="244">
        <f t="shared" si="251"/>
        <v>151781382.63474375</v>
      </c>
      <c r="AU213" s="256">
        <v>0</v>
      </c>
      <c r="AV213" s="248">
        <f t="shared" si="252"/>
        <v>223.38437216554874</v>
      </c>
      <c r="AW213" s="1206">
        <f t="shared" si="253"/>
        <v>3.5209252992027475</v>
      </c>
    </row>
    <row r="214" spans="1:49">
      <c r="A214" s="127">
        <f>'Input data'!A136</f>
        <v>2038</v>
      </c>
      <c r="B214" s="105">
        <f>'Input data'!B136</f>
        <v>70.341999999999999</v>
      </c>
      <c r="C214" s="510">
        <f>'Recycling - Case 3'!E116</f>
        <v>1</v>
      </c>
      <c r="D214" s="658">
        <f>'Recycling - Case 3'!F116</f>
        <v>0.37</v>
      </c>
      <c r="E214" s="237">
        <f t="shared" si="188"/>
        <v>1094838938.2750001</v>
      </c>
      <c r="F214" s="238">
        <v>0</v>
      </c>
      <c r="G214" s="239">
        <f t="shared" si="189"/>
        <v>1094838938.2750001</v>
      </c>
      <c r="H214" s="117">
        <f t="shared" si="255"/>
        <v>0.19230769230769232</v>
      </c>
      <c r="I214" s="118">
        <f t="shared" si="256"/>
        <v>0</v>
      </c>
      <c r="J214" s="118">
        <f t="shared" si="257"/>
        <v>0.19230769230769232</v>
      </c>
      <c r="K214" s="118">
        <f t="shared" si="258"/>
        <v>0.53846153846153855</v>
      </c>
      <c r="L214" s="118">
        <f t="shared" si="259"/>
        <v>7.6923076923076927E-2</v>
      </c>
      <c r="M214" s="206">
        <f t="shared" si="260"/>
        <v>0</v>
      </c>
      <c r="N214" s="117">
        <f t="shared" si="261"/>
        <v>0</v>
      </c>
      <c r="O214" s="118">
        <f t="shared" si="262"/>
        <v>0.7</v>
      </c>
      <c r="P214" s="118">
        <f t="shared" si="263"/>
        <v>0.15</v>
      </c>
      <c r="Q214" s="118">
        <f t="shared" si="264"/>
        <v>0.15</v>
      </c>
      <c r="R214" s="118">
        <f t="shared" si="265"/>
        <v>0</v>
      </c>
      <c r="S214" s="206">
        <f t="shared" si="266"/>
        <v>0</v>
      </c>
      <c r="T214" s="117">
        <f t="shared" si="267"/>
        <v>0.42500000000000004</v>
      </c>
      <c r="U214" s="118">
        <f t="shared" si="268"/>
        <v>0</v>
      </c>
      <c r="V214" s="118">
        <f t="shared" si="269"/>
        <v>0.21250000000000002</v>
      </c>
      <c r="W214" s="118">
        <f t="shared" si="270"/>
        <v>0.3</v>
      </c>
      <c r="X214" s="118">
        <f t="shared" si="271"/>
        <v>6.25E-2</v>
      </c>
      <c r="Y214" s="206">
        <f t="shared" si="272"/>
        <v>0</v>
      </c>
      <c r="Z214" s="238">
        <f t="shared" si="231"/>
        <v>24633876.111187503</v>
      </c>
      <c r="AA214" s="238">
        <f t="shared" si="232"/>
        <v>0</v>
      </c>
      <c r="AB214" s="238">
        <f t="shared" si="233"/>
        <v>24633876.111187503</v>
      </c>
      <c r="AC214" s="238">
        <f t="shared" si="234"/>
        <v>13794970.622265005</v>
      </c>
      <c r="AD214" s="238">
        <f t="shared" si="235"/>
        <v>1970710.0888950003</v>
      </c>
      <c r="AE214" s="238">
        <f t="shared" si="236"/>
        <v>0</v>
      </c>
      <c r="AF214" s="244">
        <f t="shared" si="237"/>
        <v>65033432.93353501</v>
      </c>
      <c r="AG214" s="237">
        <f t="shared" si="238"/>
        <v>0</v>
      </c>
      <c r="AH214" s="238">
        <f t="shared" si="239"/>
        <v>0</v>
      </c>
      <c r="AI214" s="238">
        <f t="shared" si="240"/>
        <v>5912130.2666850006</v>
      </c>
      <c r="AJ214" s="238">
        <f t="shared" si="241"/>
        <v>1182426.0533370001</v>
      </c>
      <c r="AK214" s="238">
        <f t="shared" si="242"/>
        <v>0</v>
      </c>
      <c r="AL214" s="238">
        <f t="shared" si="243"/>
        <v>0</v>
      </c>
      <c r="AM214" s="1204">
        <f t="shared" si="244"/>
        <v>7094556.3200220009</v>
      </c>
      <c r="AN214" s="237">
        <f t="shared" si="245"/>
        <v>68400062.668730631</v>
      </c>
      <c r="AO214" s="238">
        <f t="shared" si="246"/>
        <v>0</v>
      </c>
      <c r="AP214" s="238">
        <f t="shared" si="247"/>
        <v>34200031.334365316</v>
      </c>
      <c r="AQ214" s="238">
        <f t="shared" si="248"/>
        <v>48282397.177927501</v>
      </c>
      <c r="AR214" s="238">
        <f t="shared" si="249"/>
        <v>2011766.5490803127</v>
      </c>
      <c r="AS214" s="238">
        <f t="shared" si="250"/>
        <v>0</v>
      </c>
      <c r="AT214" s="244">
        <f t="shared" si="251"/>
        <v>152894257.73010376</v>
      </c>
      <c r="AU214" s="256">
        <v>0</v>
      </c>
      <c r="AV214" s="248">
        <f t="shared" si="252"/>
        <v>225.02224698366075</v>
      </c>
      <c r="AW214" s="1206">
        <f t="shared" si="253"/>
        <v>3.5467410482102202</v>
      </c>
    </row>
    <row r="215" spans="1:49">
      <c r="A215" s="127">
        <f>'Input data'!A137</f>
        <v>2039</v>
      </c>
      <c r="B215" s="105">
        <f>'Input data'!B137</f>
        <v>70.856999999999999</v>
      </c>
      <c r="C215" s="510">
        <f>'Recycling - Case 3'!E117</f>
        <v>1</v>
      </c>
      <c r="D215" s="658">
        <f>'Recycling - Case 3'!F117</f>
        <v>0.37</v>
      </c>
      <c r="E215" s="237">
        <f t="shared" si="188"/>
        <v>1102854662.2125003</v>
      </c>
      <c r="F215" s="238">
        <v>0</v>
      </c>
      <c r="G215" s="239">
        <f t="shared" si="189"/>
        <v>1102854662.2125003</v>
      </c>
      <c r="H215" s="117">
        <f t="shared" si="255"/>
        <v>0.19230769230769232</v>
      </c>
      <c r="I215" s="118">
        <f t="shared" si="256"/>
        <v>0</v>
      </c>
      <c r="J215" s="118">
        <f t="shared" si="257"/>
        <v>0.19230769230769232</v>
      </c>
      <c r="K215" s="118">
        <f t="shared" si="258"/>
        <v>0.53846153846153855</v>
      </c>
      <c r="L215" s="118">
        <f t="shared" si="259"/>
        <v>7.6923076923076927E-2</v>
      </c>
      <c r="M215" s="206">
        <f t="shared" si="260"/>
        <v>0</v>
      </c>
      <c r="N215" s="117">
        <f t="shared" si="261"/>
        <v>0</v>
      </c>
      <c r="O215" s="118">
        <f t="shared" si="262"/>
        <v>0.7</v>
      </c>
      <c r="P215" s="118">
        <f t="shared" si="263"/>
        <v>0.15</v>
      </c>
      <c r="Q215" s="118">
        <f t="shared" si="264"/>
        <v>0.15</v>
      </c>
      <c r="R215" s="118">
        <f t="shared" si="265"/>
        <v>0</v>
      </c>
      <c r="S215" s="206">
        <f t="shared" si="266"/>
        <v>0</v>
      </c>
      <c r="T215" s="117">
        <f t="shared" si="267"/>
        <v>0.42500000000000004</v>
      </c>
      <c r="U215" s="118">
        <f t="shared" si="268"/>
        <v>0</v>
      </c>
      <c r="V215" s="118">
        <f t="shared" si="269"/>
        <v>0.21250000000000002</v>
      </c>
      <c r="W215" s="118">
        <f t="shared" si="270"/>
        <v>0.3</v>
      </c>
      <c r="X215" s="118">
        <f t="shared" si="271"/>
        <v>6.25E-2</v>
      </c>
      <c r="Y215" s="206">
        <f t="shared" si="272"/>
        <v>0</v>
      </c>
      <c r="Z215" s="238">
        <f t="shared" si="231"/>
        <v>24814229.899781261</v>
      </c>
      <c r="AA215" s="238">
        <f t="shared" si="232"/>
        <v>0</v>
      </c>
      <c r="AB215" s="238">
        <f t="shared" si="233"/>
        <v>24814229.899781261</v>
      </c>
      <c r="AC215" s="238">
        <f t="shared" si="234"/>
        <v>13895968.743877508</v>
      </c>
      <c r="AD215" s="238">
        <f t="shared" si="235"/>
        <v>1985138.3919825009</v>
      </c>
      <c r="AE215" s="238">
        <f t="shared" si="236"/>
        <v>0</v>
      </c>
      <c r="AF215" s="244">
        <f t="shared" si="237"/>
        <v>65509566.935422532</v>
      </c>
      <c r="AG215" s="237">
        <f t="shared" si="238"/>
        <v>0</v>
      </c>
      <c r="AH215" s="238">
        <f t="shared" si="239"/>
        <v>0</v>
      </c>
      <c r="AI215" s="238">
        <f t="shared" si="240"/>
        <v>5955415.1759475013</v>
      </c>
      <c r="AJ215" s="238">
        <f t="shared" si="241"/>
        <v>1191083.0351895003</v>
      </c>
      <c r="AK215" s="238">
        <f t="shared" si="242"/>
        <v>0</v>
      </c>
      <c r="AL215" s="238">
        <f t="shared" si="243"/>
        <v>0</v>
      </c>
      <c r="AM215" s="1204">
        <f t="shared" si="244"/>
        <v>7146498.2111370014</v>
      </c>
      <c r="AN215" s="237">
        <f t="shared" si="245"/>
        <v>68900845.021725968</v>
      </c>
      <c r="AO215" s="238">
        <f t="shared" si="246"/>
        <v>0</v>
      </c>
      <c r="AP215" s="238">
        <f t="shared" si="247"/>
        <v>34450422.510862984</v>
      </c>
      <c r="AQ215" s="238">
        <f t="shared" si="248"/>
        <v>48635890.603571266</v>
      </c>
      <c r="AR215" s="238">
        <f t="shared" si="249"/>
        <v>2026495.4418154694</v>
      </c>
      <c r="AS215" s="238">
        <f t="shared" si="250"/>
        <v>0</v>
      </c>
      <c r="AT215" s="244">
        <f t="shared" si="251"/>
        <v>154013653.57797569</v>
      </c>
      <c r="AU215" s="256">
        <v>0</v>
      </c>
      <c r="AV215" s="248">
        <f t="shared" si="252"/>
        <v>226.66971872453522</v>
      </c>
      <c r="AW215" s="1206">
        <f t="shared" si="253"/>
        <v>3.5727080613720332</v>
      </c>
    </row>
    <row r="216" spans="1:49">
      <c r="A216" s="127">
        <f>'Input data'!A138</f>
        <v>2040</v>
      </c>
      <c r="B216" s="105">
        <f>'Input data'!B138</f>
        <v>71.375</v>
      </c>
      <c r="C216" s="510">
        <f>'Recycling - Case 3'!E118</f>
        <v>1</v>
      </c>
      <c r="D216" s="658">
        <f>'Recycling - Case 3'!F118</f>
        <v>0.37</v>
      </c>
      <c r="E216" s="237">
        <f t="shared" si="188"/>
        <v>1110917079.6875</v>
      </c>
      <c r="F216" s="238">
        <v>0</v>
      </c>
      <c r="G216" s="239">
        <f t="shared" si="189"/>
        <v>1110917079.6875</v>
      </c>
      <c r="H216" s="117">
        <f t="shared" si="255"/>
        <v>0.19230769230769232</v>
      </c>
      <c r="I216" s="118">
        <f t="shared" si="256"/>
        <v>0</v>
      </c>
      <c r="J216" s="118">
        <f t="shared" si="257"/>
        <v>0.19230769230769232</v>
      </c>
      <c r="K216" s="118">
        <f t="shared" si="258"/>
        <v>0.53846153846153855</v>
      </c>
      <c r="L216" s="118">
        <f t="shared" si="259"/>
        <v>7.6923076923076927E-2</v>
      </c>
      <c r="M216" s="206">
        <f t="shared" si="260"/>
        <v>0</v>
      </c>
      <c r="N216" s="117">
        <f t="shared" si="261"/>
        <v>0</v>
      </c>
      <c r="O216" s="118">
        <f t="shared" si="262"/>
        <v>0.7</v>
      </c>
      <c r="P216" s="118">
        <f t="shared" si="263"/>
        <v>0.15</v>
      </c>
      <c r="Q216" s="118">
        <f t="shared" si="264"/>
        <v>0.15</v>
      </c>
      <c r="R216" s="118">
        <f t="shared" si="265"/>
        <v>0</v>
      </c>
      <c r="S216" s="206">
        <f t="shared" si="266"/>
        <v>0</v>
      </c>
      <c r="T216" s="117">
        <f t="shared" si="267"/>
        <v>0.42500000000000004</v>
      </c>
      <c r="U216" s="118">
        <f t="shared" si="268"/>
        <v>0</v>
      </c>
      <c r="V216" s="118">
        <f t="shared" si="269"/>
        <v>0.21250000000000002</v>
      </c>
      <c r="W216" s="118">
        <f t="shared" si="270"/>
        <v>0.3</v>
      </c>
      <c r="X216" s="118">
        <f t="shared" si="271"/>
        <v>6.25E-2</v>
      </c>
      <c r="Y216" s="206">
        <f t="shared" si="272"/>
        <v>0</v>
      </c>
      <c r="Z216" s="238">
        <f t="shared" si="231"/>
        <v>24995634.292968754</v>
      </c>
      <c r="AA216" s="238">
        <f t="shared" si="232"/>
        <v>0</v>
      </c>
      <c r="AB216" s="238">
        <f t="shared" si="233"/>
        <v>24995634.292968754</v>
      </c>
      <c r="AC216" s="238">
        <f t="shared" si="234"/>
        <v>13997555.204062505</v>
      </c>
      <c r="AD216" s="238">
        <f t="shared" si="235"/>
        <v>1999650.7434375002</v>
      </c>
      <c r="AE216" s="238">
        <f t="shared" si="236"/>
        <v>0</v>
      </c>
      <c r="AF216" s="244">
        <f t="shared" si="237"/>
        <v>65988474.533437513</v>
      </c>
      <c r="AG216" s="237">
        <f t="shared" si="238"/>
        <v>0</v>
      </c>
      <c r="AH216" s="238">
        <f t="shared" si="239"/>
        <v>0</v>
      </c>
      <c r="AI216" s="238">
        <f t="shared" si="240"/>
        <v>5998952.2303125001</v>
      </c>
      <c r="AJ216" s="238">
        <f t="shared" si="241"/>
        <v>1199790.4460624999</v>
      </c>
      <c r="AK216" s="238">
        <f t="shared" si="242"/>
        <v>0</v>
      </c>
      <c r="AL216" s="238">
        <f t="shared" si="243"/>
        <v>0</v>
      </c>
      <c r="AM216" s="1204">
        <f t="shared" si="244"/>
        <v>7198742.6763749998</v>
      </c>
      <c r="AN216" s="237">
        <f t="shared" si="245"/>
        <v>69404544.553476557</v>
      </c>
      <c r="AO216" s="238">
        <f t="shared" si="246"/>
        <v>0</v>
      </c>
      <c r="AP216" s="238">
        <f t="shared" si="247"/>
        <v>34702272.276738279</v>
      </c>
      <c r="AQ216" s="238">
        <f t="shared" si="248"/>
        <v>48991443.214218751</v>
      </c>
      <c r="AR216" s="238">
        <f t="shared" si="249"/>
        <v>2041310.1339257811</v>
      </c>
      <c r="AS216" s="238">
        <f t="shared" si="250"/>
        <v>0</v>
      </c>
      <c r="AT216" s="244">
        <f t="shared" si="251"/>
        <v>155139570.17835939</v>
      </c>
      <c r="AU216" s="256">
        <v>0</v>
      </c>
      <c r="AV216" s="248">
        <f t="shared" si="252"/>
        <v>228.32678738817191</v>
      </c>
      <c r="AW216" s="1206">
        <f t="shared" si="253"/>
        <v>3.5988263386881876</v>
      </c>
    </row>
    <row r="217" spans="1:49">
      <c r="A217" s="127">
        <f>'Input data'!A139</f>
        <v>2041</v>
      </c>
      <c r="B217" s="105">
        <f>'Input data'!B139</f>
        <v>71.819000000000003</v>
      </c>
      <c r="C217" s="510">
        <f>'Recycling - Case 3'!E119</f>
        <v>1</v>
      </c>
      <c r="D217" s="658">
        <f>'Recycling - Case 3'!F119</f>
        <v>0.37</v>
      </c>
      <c r="E217" s="237">
        <f t="shared" si="188"/>
        <v>1117827723.2375002</v>
      </c>
      <c r="F217" s="238">
        <v>0</v>
      </c>
      <c r="G217" s="239">
        <f t="shared" si="189"/>
        <v>1117827723.2375002</v>
      </c>
      <c r="H217" s="117">
        <f t="shared" si="255"/>
        <v>0.19230769230769232</v>
      </c>
      <c r="I217" s="118">
        <f t="shared" si="256"/>
        <v>0</v>
      </c>
      <c r="J217" s="118">
        <f t="shared" si="257"/>
        <v>0.19230769230769232</v>
      </c>
      <c r="K217" s="118">
        <f t="shared" si="258"/>
        <v>0.53846153846153855</v>
      </c>
      <c r="L217" s="118">
        <f t="shared" si="259"/>
        <v>7.6923076923076927E-2</v>
      </c>
      <c r="M217" s="206">
        <f t="shared" si="260"/>
        <v>0</v>
      </c>
      <c r="N217" s="117">
        <f t="shared" si="261"/>
        <v>0</v>
      </c>
      <c r="O217" s="118">
        <f t="shared" si="262"/>
        <v>0.7</v>
      </c>
      <c r="P217" s="118">
        <f t="shared" si="263"/>
        <v>0.15</v>
      </c>
      <c r="Q217" s="118">
        <f t="shared" si="264"/>
        <v>0.15</v>
      </c>
      <c r="R217" s="118">
        <f t="shared" si="265"/>
        <v>0</v>
      </c>
      <c r="S217" s="206">
        <f t="shared" si="266"/>
        <v>0</v>
      </c>
      <c r="T217" s="117">
        <f t="shared" si="267"/>
        <v>0.42500000000000004</v>
      </c>
      <c r="U217" s="118">
        <f t="shared" si="268"/>
        <v>0</v>
      </c>
      <c r="V217" s="118">
        <f t="shared" si="269"/>
        <v>0.21250000000000002</v>
      </c>
      <c r="W217" s="118">
        <f t="shared" si="270"/>
        <v>0.3</v>
      </c>
      <c r="X217" s="118">
        <f t="shared" si="271"/>
        <v>6.25E-2</v>
      </c>
      <c r="Y217" s="206">
        <f t="shared" si="272"/>
        <v>0</v>
      </c>
      <c r="Z217" s="238">
        <f t="shared" si="231"/>
        <v>25151123.772843756</v>
      </c>
      <c r="AA217" s="238">
        <f t="shared" si="232"/>
        <v>0</v>
      </c>
      <c r="AB217" s="238">
        <f t="shared" si="233"/>
        <v>25151123.772843756</v>
      </c>
      <c r="AC217" s="238">
        <f t="shared" si="234"/>
        <v>14084629.312792506</v>
      </c>
      <c r="AD217" s="238">
        <f t="shared" si="235"/>
        <v>2012089.9018275004</v>
      </c>
      <c r="AE217" s="238">
        <f t="shared" si="236"/>
        <v>0</v>
      </c>
      <c r="AF217" s="244">
        <f t="shared" si="237"/>
        <v>66398966.760307521</v>
      </c>
      <c r="AG217" s="237">
        <f t="shared" si="238"/>
        <v>0</v>
      </c>
      <c r="AH217" s="238">
        <f t="shared" si="239"/>
        <v>0</v>
      </c>
      <c r="AI217" s="238">
        <f t="shared" si="240"/>
        <v>6036269.7054825006</v>
      </c>
      <c r="AJ217" s="238">
        <f t="shared" si="241"/>
        <v>1207253.9410965</v>
      </c>
      <c r="AK217" s="238">
        <f t="shared" si="242"/>
        <v>0</v>
      </c>
      <c r="AL217" s="238">
        <f t="shared" si="243"/>
        <v>0</v>
      </c>
      <c r="AM217" s="1204">
        <f t="shared" si="244"/>
        <v>7243523.6465790011</v>
      </c>
      <c r="AN217" s="237">
        <f t="shared" si="245"/>
        <v>69836287.00926283</v>
      </c>
      <c r="AO217" s="238">
        <f t="shared" si="246"/>
        <v>0</v>
      </c>
      <c r="AP217" s="238">
        <f t="shared" si="247"/>
        <v>34918143.504631415</v>
      </c>
      <c r="AQ217" s="238">
        <f t="shared" si="248"/>
        <v>49296202.594773754</v>
      </c>
      <c r="AR217" s="238">
        <f t="shared" si="249"/>
        <v>2054008.4414489064</v>
      </c>
      <c r="AS217" s="238">
        <f t="shared" si="250"/>
        <v>0</v>
      </c>
      <c r="AT217" s="244">
        <f t="shared" si="251"/>
        <v>156104641.5501169</v>
      </c>
      <c r="AU217" s="256">
        <v>0</v>
      </c>
      <c r="AV217" s="248">
        <f t="shared" si="252"/>
        <v>229.7471319570034</v>
      </c>
      <c r="AW217" s="1206">
        <f t="shared" si="253"/>
        <v>3.6212134335306052</v>
      </c>
    </row>
    <row r="218" spans="1:49">
      <c r="A218" s="127">
        <f>'Input data'!A140</f>
        <v>2042</v>
      </c>
      <c r="B218" s="105">
        <f>'Input data'!B140</f>
        <v>72.265000000000001</v>
      </c>
      <c r="C218" s="510">
        <f>'Recycling - Case 3'!E120</f>
        <v>1</v>
      </c>
      <c r="D218" s="658">
        <f>'Recycling - Case 3'!F120</f>
        <v>0.37</v>
      </c>
      <c r="E218" s="237">
        <f t="shared" si="188"/>
        <v>1124769495.8125</v>
      </c>
      <c r="F218" s="238">
        <v>0</v>
      </c>
      <c r="G218" s="239">
        <f t="shared" si="189"/>
        <v>1124769495.8125</v>
      </c>
      <c r="H218" s="117">
        <f t="shared" si="255"/>
        <v>0.19230769230769232</v>
      </c>
      <c r="I218" s="118">
        <f t="shared" si="256"/>
        <v>0</v>
      </c>
      <c r="J218" s="118">
        <f t="shared" si="257"/>
        <v>0.19230769230769232</v>
      </c>
      <c r="K218" s="118">
        <f t="shared" si="258"/>
        <v>0.53846153846153855</v>
      </c>
      <c r="L218" s="118">
        <f t="shared" si="259"/>
        <v>7.6923076923076927E-2</v>
      </c>
      <c r="M218" s="206">
        <f t="shared" si="260"/>
        <v>0</v>
      </c>
      <c r="N218" s="117">
        <f t="shared" si="261"/>
        <v>0</v>
      </c>
      <c r="O218" s="118">
        <f t="shared" si="262"/>
        <v>0.7</v>
      </c>
      <c r="P218" s="118">
        <f t="shared" si="263"/>
        <v>0.15</v>
      </c>
      <c r="Q218" s="118">
        <f t="shared" si="264"/>
        <v>0.15</v>
      </c>
      <c r="R218" s="118">
        <f t="shared" si="265"/>
        <v>0</v>
      </c>
      <c r="S218" s="206">
        <f t="shared" si="266"/>
        <v>0</v>
      </c>
      <c r="T218" s="117">
        <f t="shared" si="267"/>
        <v>0.42500000000000004</v>
      </c>
      <c r="U218" s="118">
        <f t="shared" si="268"/>
        <v>0</v>
      </c>
      <c r="V218" s="118">
        <f t="shared" si="269"/>
        <v>0.21250000000000002</v>
      </c>
      <c r="W218" s="118">
        <f t="shared" si="270"/>
        <v>0.3</v>
      </c>
      <c r="X218" s="118">
        <f t="shared" si="271"/>
        <v>6.25E-2</v>
      </c>
      <c r="Y218" s="206">
        <f t="shared" si="272"/>
        <v>0</v>
      </c>
      <c r="Z218" s="238">
        <f t="shared" si="231"/>
        <v>25307313.655781254</v>
      </c>
      <c r="AA218" s="238">
        <f t="shared" si="232"/>
        <v>0</v>
      </c>
      <c r="AB218" s="238">
        <f t="shared" si="233"/>
        <v>25307313.655781254</v>
      </c>
      <c r="AC218" s="238">
        <f t="shared" si="234"/>
        <v>14172095.647237506</v>
      </c>
      <c r="AD218" s="238">
        <f t="shared" si="235"/>
        <v>2024585.0924625003</v>
      </c>
      <c r="AE218" s="238">
        <f t="shared" si="236"/>
        <v>0</v>
      </c>
      <c r="AF218" s="244">
        <f t="shared" si="237"/>
        <v>66811308.05126252</v>
      </c>
      <c r="AG218" s="237">
        <f t="shared" si="238"/>
        <v>0</v>
      </c>
      <c r="AH218" s="238">
        <f t="shared" si="239"/>
        <v>0</v>
      </c>
      <c r="AI218" s="238">
        <f t="shared" si="240"/>
        <v>6073755.2773874998</v>
      </c>
      <c r="AJ218" s="238">
        <f t="shared" si="241"/>
        <v>1214751.0554774997</v>
      </c>
      <c r="AK218" s="238">
        <f t="shared" si="242"/>
        <v>0</v>
      </c>
      <c r="AL218" s="238">
        <f t="shared" si="243"/>
        <v>0</v>
      </c>
      <c r="AM218" s="1204">
        <f t="shared" si="244"/>
        <v>7288506.3328649998</v>
      </c>
      <c r="AN218" s="237">
        <f t="shared" si="245"/>
        <v>70269974.250885934</v>
      </c>
      <c r="AO218" s="238">
        <f t="shared" si="246"/>
        <v>0</v>
      </c>
      <c r="AP218" s="238">
        <f t="shared" si="247"/>
        <v>35134987.125442967</v>
      </c>
      <c r="AQ218" s="238">
        <f t="shared" si="248"/>
        <v>49602334.765331253</v>
      </c>
      <c r="AR218" s="238">
        <f t="shared" si="249"/>
        <v>2066763.9485554688</v>
      </c>
      <c r="AS218" s="238">
        <f t="shared" si="250"/>
        <v>0</v>
      </c>
      <c r="AT218" s="244">
        <f t="shared" si="251"/>
        <v>157074060.09021562</v>
      </c>
      <c r="AU218" s="256">
        <v>0</v>
      </c>
      <c r="AV218" s="248">
        <f t="shared" si="252"/>
        <v>231.17387447434314</v>
      </c>
      <c r="AW218" s="1206">
        <f t="shared" si="253"/>
        <v>3.643701371142583</v>
      </c>
    </row>
    <row r="219" spans="1:49">
      <c r="A219" s="127">
        <f>'Input data'!A141</f>
        <v>2043</v>
      </c>
      <c r="B219" s="105">
        <f>'Input data'!B141</f>
        <v>72.713999999999999</v>
      </c>
      <c r="C219" s="510">
        <f>'Recycling - Case 3'!E121</f>
        <v>1</v>
      </c>
      <c r="D219" s="658">
        <f>'Recycling - Case 3'!F121</f>
        <v>0.37</v>
      </c>
      <c r="E219" s="237">
        <f t="shared" si="188"/>
        <v>1131757961.925</v>
      </c>
      <c r="F219" s="238">
        <v>0</v>
      </c>
      <c r="G219" s="239">
        <f t="shared" si="189"/>
        <v>1131757961.925</v>
      </c>
      <c r="H219" s="117">
        <f t="shared" si="255"/>
        <v>0.19230769230769232</v>
      </c>
      <c r="I219" s="118">
        <f t="shared" si="256"/>
        <v>0</v>
      </c>
      <c r="J219" s="118">
        <f t="shared" si="257"/>
        <v>0.19230769230769232</v>
      </c>
      <c r="K219" s="118">
        <f t="shared" si="258"/>
        <v>0.53846153846153855</v>
      </c>
      <c r="L219" s="118">
        <f t="shared" si="259"/>
        <v>7.6923076923076927E-2</v>
      </c>
      <c r="M219" s="206">
        <f t="shared" si="260"/>
        <v>0</v>
      </c>
      <c r="N219" s="117">
        <f t="shared" si="261"/>
        <v>0</v>
      </c>
      <c r="O219" s="118">
        <f t="shared" si="262"/>
        <v>0.7</v>
      </c>
      <c r="P219" s="118">
        <f t="shared" si="263"/>
        <v>0.15</v>
      </c>
      <c r="Q219" s="118">
        <f t="shared" si="264"/>
        <v>0.15</v>
      </c>
      <c r="R219" s="118">
        <f t="shared" si="265"/>
        <v>0</v>
      </c>
      <c r="S219" s="206">
        <f t="shared" si="266"/>
        <v>0</v>
      </c>
      <c r="T219" s="117">
        <f t="shared" si="267"/>
        <v>0.42500000000000004</v>
      </c>
      <c r="U219" s="118">
        <f t="shared" si="268"/>
        <v>0</v>
      </c>
      <c r="V219" s="118">
        <f t="shared" si="269"/>
        <v>0.21250000000000002</v>
      </c>
      <c r="W219" s="118">
        <f t="shared" si="270"/>
        <v>0.3</v>
      </c>
      <c r="X219" s="118">
        <f t="shared" si="271"/>
        <v>6.25E-2</v>
      </c>
      <c r="Y219" s="206">
        <f t="shared" si="272"/>
        <v>0</v>
      </c>
      <c r="Z219" s="238">
        <f t="shared" si="231"/>
        <v>25464554.143312503</v>
      </c>
      <c r="AA219" s="238">
        <f t="shared" si="232"/>
        <v>0</v>
      </c>
      <c r="AB219" s="238">
        <f t="shared" si="233"/>
        <v>25464554.143312503</v>
      </c>
      <c r="AC219" s="238">
        <f t="shared" si="234"/>
        <v>14260150.320255004</v>
      </c>
      <c r="AD219" s="238">
        <f t="shared" si="235"/>
        <v>2037164.3314650001</v>
      </c>
      <c r="AE219" s="238">
        <f t="shared" si="236"/>
        <v>0</v>
      </c>
      <c r="AF219" s="244">
        <f t="shared" si="237"/>
        <v>67226422.938345015</v>
      </c>
      <c r="AG219" s="237">
        <f t="shared" si="238"/>
        <v>0</v>
      </c>
      <c r="AH219" s="238">
        <f t="shared" si="239"/>
        <v>0</v>
      </c>
      <c r="AI219" s="238">
        <f t="shared" si="240"/>
        <v>6111492.9943949999</v>
      </c>
      <c r="AJ219" s="238">
        <f t="shared" si="241"/>
        <v>1222298.5988789999</v>
      </c>
      <c r="AK219" s="238">
        <f t="shared" si="242"/>
        <v>0</v>
      </c>
      <c r="AL219" s="238">
        <f t="shared" si="243"/>
        <v>0</v>
      </c>
      <c r="AM219" s="1204">
        <f t="shared" si="244"/>
        <v>7333791.5932740001</v>
      </c>
      <c r="AN219" s="237">
        <f t="shared" si="245"/>
        <v>70706578.67126438</v>
      </c>
      <c r="AO219" s="238">
        <f t="shared" si="246"/>
        <v>0</v>
      </c>
      <c r="AP219" s="238">
        <f t="shared" si="247"/>
        <v>35353289.33563219</v>
      </c>
      <c r="AQ219" s="238">
        <f t="shared" si="248"/>
        <v>49910526.120892495</v>
      </c>
      <c r="AR219" s="238">
        <f t="shared" si="249"/>
        <v>2079605.2550371874</v>
      </c>
      <c r="AS219" s="238">
        <f t="shared" si="250"/>
        <v>0</v>
      </c>
      <c r="AT219" s="244">
        <f t="shared" si="251"/>
        <v>158049999.38282627</v>
      </c>
      <c r="AU219" s="256">
        <v>0</v>
      </c>
      <c r="AV219" s="248">
        <f t="shared" si="252"/>
        <v>232.61021391444527</v>
      </c>
      <c r="AW219" s="1206">
        <f t="shared" si="253"/>
        <v>3.6663405729089016</v>
      </c>
    </row>
    <row r="220" spans="1:49">
      <c r="A220" s="127">
        <f>'Input data'!A142</f>
        <v>2044</v>
      </c>
      <c r="B220" s="105">
        <f>'Input data'!B142</f>
        <v>73.165000000000006</v>
      </c>
      <c r="C220" s="510">
        <f>'Recycling - Case 3'!E122</f>
        <v>1</v>
      </c>
      <c r="D220" s="658">
        <f>'Recycling - Case 3'!F122</f>
        <v>0.37</v>
      </c>
      <c r="E220" s="237">
        <f t="shared" si="188"/>
        <v>1138777557.0625005</v>
      </c>
      <c r="F220" s="238">
        <v>0</v>
      </c>
      <c r="G220" s="239">
        <f t="shared" si="189"/>
        <v>1138777557.0625005</v>
      </c>
      <c r="H220" s="117">
        <f t="shared" si="255"/>
        <v>0.19230769230769232</v>
      </c>
      <c r="I220" s="118">
        <f t="shared" si="256"/>
        <v>0</v>
      </c>
      <c r="J220" s="118">
        <f t="shared" si="257"/>
        <v>0.19230769230769232</v>
      </c>
      <c r="K220" s="118">
        <f t="shared" si="258"/>
        <v>0.53846153846153855</v>
      </c>
      <c r="L220" s="118">
        <f t="shared" si="259"/>
        <v>7.6923076923076927E-2</v>
      </c>
      <c r="M220" s="206">
        <f t="shared" si="260"/>
        <v>0</v>
      </c>
      <c r="N220" s="117">
        <f t="shared" si="261"/>
        <v>0</v>
      </c>
      <c r="O220" s="118">
        <f t="shared" si="262"/>
        <v>0.7</v>
      </c>
      <c r="P220" s="118">
        <f t="shared" si="263"/>
        <v>0.15</v>
      </c>
      <c r="Q220" s="118">
        <f t="shared" si="264"/>
        <v>0.15</v>
      </c>
      <c r="R220" s="118">
        <f t="shared" si="265"/>
        <v>0</v>
      </c>
      <c r="S220" s="206">
        <f t="shared" si="266"/>
        <v>0</v>
      </c>
      <c r="T220" s="117">
        <f t="shared" si="267"/>
        <v>0.42500000000000004</v>
      </c>
      <c r="U220" s="118">
        <f t="shared" si="268"/>
        <v>0</v>
      </c>
      <c r="V220" s="118">
        <f t="shared" si="269"/>
        <v>0.21250000000000002</v>
      </c>
      <c r="W220" s="118">
        <f t="shared" si="270"/>
        <v>0.3</v>
      </c>
      <c r="X220" s="118">
        <f t="shared" si="271"/>
        <v>6.25E-2</v>
      </c>
      <c r="Y220" s="206">
        <f t="shared" si="272"/>
        <v>0</v>
      </c>
      <c r="Z220" s="238">
        <f t="shared" ref="Z220:Z226" si="273">H220*$C$35*G220*$C$10</f>
        <v>25622495.033906262</v>
      </c>
      <c r="AA220" s="238">
        <f t="shared" ref="AA220:AA226" si="274">I220*$C$36*G220*$C$10</f>
        <v>0</v>
      </c>
      <c r="AB220" s="238">
        <f t="shared" ref="AB220:AB226" si="275">J220*$C$37*G220*$C$10</f>
        <v>25622495.033906262</v>
      </c>
      <c r="AC220" s="238">
        <f t="shared" ref="AC220:AC226" si="276">K220*$C$40*G220*$C$10</f>
        <v>14348597.218987511</v>
      </c>
      <c r="AD220" s="238">
        <f t="shared" ref="AD220:AD226" si="277">L220*$C$41*G220*$C$10</f>
        <v>2049799.6027125011</v>
      </c>
      <c r="AE220" s="238">
        <f t="shared" ref="AE220:AE226" si="278">M220*$C$42*G220*$C$10</f>
        <v>0</v>
      </c>
      <c r="AF220" s="244">
        <f t="shared" ref="AF220:AF226" si="279">SUM(Z220:AE220)</f>
        <v>67643386.889512539</v>
      </c>
      <c r="AG220" s="237">
        <f t="shared" ref="AG220:AG226" si="280">N220*$C$35*G220*$C$11</f>
        <v>0</v>
      </c>
      <c r="AH220" s="238">
        <f t="shared" ref="AH220:AH226" si="281">O220*$C$36*G220*$C$11</f>
        <v>0</v>
      </c>
      <c r="AI220" s="238">
        <f t="shared" ref="AI220:AI226" si="282">P220*$C$37*G220*$C$11</f>
        <v>6149398.8081375016</v>
      </c>
      <c r="AJ220" s="238">
        <f t="shared" ref="AJ220:AJ226" si="283">Q220*$C$38*G220*$C$11</f>
        <v>1229879.7616275004</v>
      </c>
      <c r="AK220" s="238">
        <f t="shared" ref="AK220:AK226" si="284">R220*$C$41*G220*$C$11</f>
        <v>0</v>
      </c>
      <c r="AL220" s="238">
        <f t="shared" ref="AL220:AL226" si="285">S220*$C$42*G220*$C$11</f>
        <v>0</v>
      </c>
      <c r="AM220" s="1204">
        <f t="shared" ref="AM220:AM226" si="286">SUM(AG220:AL220)</f>
        <v>7379278.5697650015</v>
      </c>
      <c r="AN220" s="237">
        <f t="shared" ref="AN220:AN226" si="287">T220*$C$35*G220*$C$12</f>
        <v>71145127.877479717</v>
      </c>
      <c r="AO220" s="238">
        <f t="shared" ref="AO220:AO226" si="288">U220*$C$36*G220*$C$12</f>
        <v>0</v>
      </c>
      <c r="AP220" s="238">
        <f t="shared" ref="AP220:AP226" si="289">V220*$C$37*G220*$C$12</f>
        <v>35572563.938739859</v>
      </c>
      <c r="AQ220" s="238">
        <f t="shared" ref="AQ220:AQ226" si="290">W220*$C$39*G220*$C$12</f>
        <v>50220090.266456269</v>
      </c>
      <c r="AR220" s="238">
        <f t="shared" ref="AR220:AR226" si="291">X220*$C$41*G220*$C$12</f>
        <v>2092503.7611023446</v>
      </c>
      <c r="AS220" s="238">
        <f t="shared" ref="AS220:AS226" si="292">Y220*$C$42*N220*$C$12</f>
        <v>0</v>
      </c>
      <c r="AT220" s="244">
        <f t="shared" ref="AT220:AT226" si="293">SUM(AN220:AS220)</f>
        <v>159030285.84377819</v>
      </c>
      <c r="AU220" s="256">
        <v>0</v>
      </c>
      <c r="AV220" s="248">
        <f t="shared" ref="AV220:AV226" si="294">(AF220+AM220+AT220)/10^6-AU220</f>
        <v>234.05295130305572</v>
      </c>
      <c r="AW220" s="1206">
        <f t="shared" ref="AW220:AW226" si="295">((B220*$C$46*$C$47*$C$48*$C$49)-$C$50)*$C$51*$C$52</f>
        <v>3.6890806174447812</v>
      </c>
    </row>
    <row r="221" spans="1:49">
      <c r="A221" s="127">
        <f>'Input data'!A143</f>
        <v>2045</v>
      </c>
      <c r="B221" s="105">
        <f>'Input data'!B143</f>
        <v>73.62</v>
      </c>
      <c r="C221" s="510">
        <f>'Recycling - Case 3'!E123</f>
        <v>1</v>
      </c>
      <c r="D221" s="658">
        <f>'Recycling - Case 3'!F123</f>
        <v>0.37</v>
      </c>
      <c r="E221" s="237">
        <f t="shared" si="188"/>
        <v>1145859410.2500002</v>
      </c>
      <c r="F221" s="238">
        <v>0</v>
      </c>
      <c r="G221" s="239">
        <f t="shared" si="189"/>
        <v>1145859410.2500002</v>
      </c>
      <c r="H221" s="117">
        <f t="shared" si="255"/>
        <v>0.19230769230769232</v>
      </c>
      <c r="I221" s="118">
        <f t="shared" si="256"/>
        <v>0</v>
      </c>
      <c r="J221" s="118">
        <f t="shared" si="257"/>
        <v>0.19230769230769232</v>
      </c>
      <c r="K221" s="118">
        <f t="shared" si="258"/>
        <v>0.53846153846153855</v>
      </c>
      <c r="L221" s="118">
        <f t="shared" si="259"/>
        <v>7.6923076923076927E-2</v>
      </c>
      <c r="M221" s="206">
        <f t="shared" si="260"/>
        <v>0</v>
      </c>
      <c r="N221" s="117">
        <f t="shared" si="261"/>
        <v>0</v>
      </c>
      <c r="O221" s="118">
        <f t="shared" si="262"/>
        <v>0.7</v>
      </c>
      <c r="P221" s="118">
        <f t="shared" si="263"/>
        <v>0.15</v>
      </c>
      <c r="Q221" s="118">
        <f t="shared" si="264"/>
        <v>0.15</v>
      </c>
      <c r="R221" s="118">
        <f t="shared" si="265"/>
        <v>0</v>
      </c>
      <c r="S221" s="206">
        <f t="shared" si="266"/>
        <v>0</v>
      </c>
      <c r="T221" s="117">
        <f t="shared" si="267"/>
        <v>0.42500000000000004</v>
      </c>
      <c r="U221" s="118">
        <f t="shared" si="268"/>
        <v>0</v>
      </c>
      <c r="V221" s="118">
        <f t="shared" si="269"/>
        <v>0.21250000000000002</v>
      </c>
      <c r="W221" s="118">
        <f t="shared" si="270"/>
        <v>0.3</v>
      </c>
      <c r="X221" s="118">
        <f t="shared" si="271"/>
        <v>6.25E-2</v>
      </c>
      <c r="Y221" s="206">
        <f t="shared" si="272"/>
        <v>0</v>
      </c>
      <c r="Z221" s="238">
        <f t="shared" si="273"/>
        <v>25781836.730625007</v>
      </c>
      <c r="AA221" s="238">
        <f t="shared" si="274"/>
        <v>0</v>
      </c>
      <c r="AB221" s="238">
        <f t="shared" si="275"/>
        <v>25781836.730625007</v>
      </c>
      <c r="AC221" s="238">
        <f t="shared" si="276"/>
        <v>14437828.569150006</v>
      </c>
      <c r="AD221" s="238">
        <f t="shared" si="277"/>
        <v>2062546.9384500007</v>
      </c>
      <c r="AE221" s="238">
        <f t="shared" si="278"/>
        <v>0</v>
      </c>
      <c r="AF221" s="244">
        <f t="shared" si="279"/>
        <v>68064048.968850017</v>
      </c>
      <c r="AG221" s="237">
        <f t="shared" si="280"/>
        <v>0</v>
      </c>
      <c r="AH221" s="238">
        <f t="shared" si="281"/>
        <v>0</v>
      </c>
      <c r="AI221" s="238">
        <f t="shared" si="282"/>
        <v>6187640.8153500007</v>
      </c>
      <c r="AJ221" s="238">
        <f t="shared" si="283"/>
        <v>1237528.1630700002</v>
      </c>
      <c r="AK221" s="238">
        <f t="shared" si="284"/>
        <v>0</v>
      </c>
      <c r="AL221" s="238">
        <f t="shared" si="285"/>
        <v>0</v>
      </c>
      <c r="AM221" s="1204">
        <f t="shared" si="286"/>
        <v>7425168.9784200005</v>
      </c>
      <c r="AN221" s="237">
        <f t="shared" si="287"/>
        <v>71587566.65536876</v>
      </c>
      <c r="AO221" s="238">
        <f t="shared" si="288"/>
        <v>0</v>
      </c>
      <c r="AP221" s="238">
        <f t="shared" si="289"/>
        <v>35793783.32768438</v>
      </c>
      <c r="AQ221" s="238">
        <f t="shared" si="290"/>
        <v>50532399.992025003</v>
      </c>
      <c r="AR221" s="238">
        <f t="shared" si="291"/>
        <v>2105516.6663343753</v>
      </c>
      <c r="AS221" s="238">
        <f t="shared" si="292"/>
        <v>0</v>
      </c>
      <c r="AT221" s="244">
        <f t="shared" si="293"/>
        <v>160019266.64141253</v>
      </c>
      <c r="AU221" s="256">
        <v>0</v>
      </c>
      <c r="AV221" s="248">
        <f t="shared" si="294"/>
        <v>235.50848458868253</v>
      </c>
      <c r="AW221" s="1206">
        <f t="shared" si="295"/>
        <v>3.7120223475197802</v>
      </c>
    </row>
    <row r="222" spans="1:49">
      <c r="A222" s="127">
        <f>'Input data'!A144</f>
        <v>2046</v>
      </c>
      <c r="B222" s="105">
        <f>'Input data'!B144</f>
        <v>73.995000000000005</v>
      </c>
      <c r="C222" s="510">
        <f>'Recycling - Case 3'!E124</f>
        <v>1</v>
      </c>
      <c r="D222" s="658">
        <f>'Recycling - Case 3'!F124</f>
        <v>0.37</v>
      </c>
      <c r="E222" s="237">
        <f t="shared" si="188"/>
        <v>1151696102.4375002</v>
      </c>
      <c r="F222" s="238">
        <v>0</v>
      </c>
      <c r="G222" s="239">
        <f t="shared" si="189"/>
        <v>1151696102.4375002</v>
      </c>
      <c r="H222" s="117">
        <f t="shared" si="255"/>
        <v>0.19230769230769232</v>
      </c>
      <c r="I222" s="118">
        <f t="shared" si="256"/>
        <v>0</v>
      </c>
      <c r="J222" s="118">
        <f t="shared" si="257"/>
        <v>0.19230769230769232</v>
      </c>
      <c r="K222" s="118">
        <f t="shared" si="258"/>
        <v>0.53846153846153855</v>
      </c>
      <c r="L222" s="118">
        <f t="shared" si="259"/>
        <v>7.6923076923076927E-2</v>
      </c>
      <c r="M222" s="206">
        <f t="shared" si="260"/>
        <v>0</v>
      </c>
      <c r="N222" s="117">
        <f t="shared" si="261"/>
        <v>0</v>
      </c>
      <c r="O222" s="118">
        <f t="shared" si="262"/>
        <v>0.7</v>
      </c>
      <c r="P222" s="118">
        <f t="shared" si="263"/>
        <v>0.15</v>
      </c>
      <c r="Q222" s="118">
        <f t="shared" si="264"/>
        <v>0.15</v>
      </c>
      <c r="R222" s="118">
        <f t="shared" si="265"/>
        <v>0</v>
      </c>
      <c r="S222" s="206">
        <f t="shared" si="266"/>
        <v>0</v>
      </c>
      <c r="T222" s="117">
        <f t="shared" si="267"/>
        <v>0.42500000000000004</v>
      </c>
      <c r="U222" s="118">
        <f t="shared" si="268"/>
        <v>0</v>
      </c>
      <c r="V222" s="118">
        <f t="shared" si="269"/>
        <v>0.21250000000000002</v>
      </c>
      <c r="W222" s="118">
        <f t="shared" si="270"/>
        <v>0.3</v>
      </c>
      <c r="X222" s="118">
        <f t="shared" si="271"/>
        <v>6.25E-2</v>
      </c>
      <c r="Y222" s="206">
        <f t="shared" si="272"/>
        <v>0</v>
      </c>
      <c r="Z222" s="238">
        <f t="shared" si="273"/>
        <v>25913162.304843757</v>
      </c>
      <c r="AA222" s="238">
        <f t="shared" si="274"/>
        <v>0</v>
      </c>
      <c r="AB222" s="238">
        <f t="shared" si="275"/>
        <v>25913162.304843757</v>
      </c>
      <c r="AC222" s="238">
        <f t="shared" si="276"/>
        <v>14511370.890712507</v>
      </c>
      <c r="AD222" s="238">
        <f t="shared" si="277"/>
        <v>2073052.9843875007</v>
      </c>
      <c r="AE222" s="238">
        <f t="shared" si="278"/>
        <v>0</v>
      </c>
      <c r="AF222" s="244">
        <f t="shared" si="279"/>
        <v>68410748.484787524</v>
      </c>
      <c r="AG222" s="237">
        <f t="shared" si="280"/>
        <v>0</v>
      </c>
      <c r="AH222" s="238">
        <f t="shared" si="281"/>
        <v>0</v>
      </c>
      <c r="AI222" s="238">
        <f t="shared" si="282"/>
        <v>6219158.9531625006</v>
      </c>
      <c r="AJ222" s="238">
        <f t="shared" si="283"/>
        <v>1243831.7906325001</v>
      </c>
      <c r="AK222" s="238">
        <f t="shared" si="284"/>
        <v>0</v>
      </c>
      <c r="AL222" s="238">
        <f t="shared" si="285"/>
        <v>0</v>
      </c>
      <c r="AM222" s="1204">
        <f t="shared" si="286"/>
        <v>7462990.7437950009</v>
      </c>
      <c r="AN222" s="237">
        <f t="shared" si="287"/>
        <v>71952213.999782816</v>
      </c>
      <c r="AO222" s="238">
        <f t="shared" si="288"/>
        <v>0</v>
      </c>
      <c r="AP222" s="238">
        <f t="shared" si="289"/>
        <v>35976106.999891408</v>
      </c>
      <c r="AQ222" s="238">
        <f t="shared" si="290"/>
        <v>50789798.117493756</v>
      </c>
      <c r="AR222" s="238">
        <f t="shared" si="291"/>
        <v>2116241.5882289065</v>
      </c>
      <c r="AS222" s="238">
        <f t="shared" si="292"/>
        <v>0</v>
      </c>
      <c r="AT222" s="244">
        <f t="shared" si="293"/>
        <v>160834360.70539689</v>
      </c>
      <c r="AU222" s="256">
        <v>0</v>
      </c>
      <c r="AV222" s="248">
        <f t="shared" si="294"/>
        <v>236.70809993397941</v>
      </c>
      <c r="AW222" s="1206">
        <f t="shared" si="295"/>
        <v>3.7309303668123635</v>
      </c>
    </row>
    <row r="223" spans="1:49">
      <c r="A223" s="127">
        <f>'Input data'!A145</f>
        <v>2047</v>
      </c>
      <c r="B223" s="105">
        <f>'Input data'!B145</f>
        <v>74.373000000000005</v>
      </c>
      <c r="C223" s="510">
        <f>'Recycling - Case 3'!E125</f>
        <v>1</v>
      </c>
      <c r="D223" s="658">
        <f>'Recycling - Case 3'!F125</f>
        <v>0.37</v>
      </c>
      <c r="E223" s="237">
        <f t="shared" si="188"/>
        <v>1157579488.1625001</v>
      </c>
      <c r="F223" s="238">
        <v>0</v>
      </c>
      <c r="G223" s="239">
        <f t="shared" si="189"/>
        <v>1157579488.1625001</v>
      </c>
      <c r="H223" s="117">
        <f t="shared" si="255"/>
        <v>0.19230769230769232</v>
      </c>
      <c r="I223" s="118">
        <f t="shared" si="256"/>
        <v>0</v>
      </c>
      <c r="J223" s="118">
        <f t="shared" si="257"/>
        <v>0.19230769230769232</v>
      </c>
      <c r="K223" s="118">
        <f t="shared" si="258"/>
        <v>0.53846153846153855</v>
      </c>
      <c r="L223" s="118">
        <f t="shared" si="259"/>
        <v>7.6923076923076927E-2</v>
      </c>
      <c r="M223" s="206">
        <f t="shared" si="260"/>
        <v>0</v>
      </c>
      <c r="N223" s="117">
        <f t="shared" si="261"/>
        <v>0</v>
      </c>
      <c r="O223" s="118">
        <f t="shared" si="262"/>
        <v>0.7</v>
      </c>
      <c r="P223" s="118">
        <f t="shared" si="263"/>
        <v>0.15</v>
      </c>
      <c r="Q223" s="118">
        <f t="shared" si="264"/>
        <v>0.15</v>
      </c>
      <c r="R223" s="118">
        <f t="shared" si="265"/>
        <v>0</v>
      </c>
      <c r="S223" s="206">
        <f t="shared" si="266"/>
        <v>0</v>
      </c>
      <c r="T223" s="117">
        <f t="shared" si="267"/>
        <v>0.42500000000000004</v>
      </c>
      <c r="U223" s="118">
        <f t="shared" si="268"/>
        <v>0</v>
      </c>
      <c r="V223" s="118">
        <f t="shared" si="269"/>
        <v>0.21250000000000002</v>
      </c>
      <c r="W223" s="118">
        <f t="shared" si="270"/>
        <v>0.3</v>
      </c>
      <c r="X223" s="118">
        <f t="shared" si="271"/>
        <v>6.25E-2</v>
      </c>
      <c r="Y223" s="206">
        <f t="shared" si="272"/>
        <v>0</v>
      </c>
      <c r="Z223" s="238">
        <f t="shared" si="273"/>
        <v>26045538.483656257</v>
      </c>
      <c r="AA223" s="238">
        <f t="shared" si="274"/>
        <v>0</v>
      </c>
      <c r="AB223" s="238">
        <f t="shared" si="275"/>
        <v>26045538.483656257</v>
      </c>
      <c r="AC223" s="238">
        <f t="shared" si="276"/>
        <v>14585501.550847506</v>
      </c>
      <c r="AD223" s="238">
        <f t="shared" si="277"/>
        <v>2083643.0786925005</v>
      </c>
      <c r="AE223" s="238">
        <f t="shared" si="278"/>
        <v>0</v>
      </c>
      <c r="AF223" s="244">
        <f t="shared" si="279"/>
        <v>68760221.596852526</v>
      </c>
      <c r="AG223" s="237">
        <f t="shared" si="280"/>
        <v>0</v>
      </c>
      <c r="AH223" s="238">
        <f t="shared" si="281"/>
        <v>0</v>
      </c>
      <c r="AI223" s="238">
        <f t="shared" si="282"/>
        <v>6250929.2360775005</v>
      </c>
      <c r="AJ223" s="238">
        <f t="shared" si="283"/>
        <v>1250185.8472155</v>
      </c>
      <c r="AK223" s="238">
        <f t="shared" si="284"/>
        <v>0</v>
      </c>
      <c r="AL223" s="238">
        <f t="shared" si="285"/>
        <v>0</v>
      </c>
      <c r="AM223" s="1204">
        <f t="shared" si="286"/>
        <v>7501115.0832930002</v>
      </c>
      <c r="AN223" s="237">
        <f t="shared" si="287"/>
        <v>72319778.522952199</v>
      </c>
      <c r="AO223" s="238">
        <f t="shared" si="288"/>
        <v>0</v>
      </c>
      <c r="AP223" s="238">
        <f t="shared" si="289"/>
        <v>36159889.261476099</v>
      </c>
      <c r="AQ223" s="238">
        <f t="shared" si="290"/>
        <v>51049255.427966259</v>
      </c>
      <c r="AR223" s="238">
        <f t="shared" si="291"/>
        <v>2127052.3094985941</v>
      </c>
      <c r="AS223" s="238">
        <f t="shared" si="292"/>
        <v>0</v>
      </c>
      <c r="AT223" s="244">
        <f t="shared" si="293"/>
        <v>161655975.52189317</v>
      </c>
      <c r="AU223" s="256">
        <v>0</v>
      </c>
      <c r="AV223" s="248">
        <f t="shared" si="294"/>
        <v>237.91731220203872</v>
      </c>
      <c r="AW223" s="1206">
        <f t="shared" si="295"/>
        <v>3.7499896502592862</v>
      </c>
    </row>
    <row r="224" spans="1:49">
      <c r="A224" s="127">
        <f>'Input data'!A146</f>
        <v>2048</v>
      </c>
      <c r="B224" s="105">
        <f>'Input data'!B146</f>
        <v>74.753</v>
      </c>
      <c r="C224" s="510">
        <f>'Recycling - Case 3'!E126</f>
        <v>1</v>
      </c>
      <c r="D224" s="658">
        <f>'Recycling - Case 3'!F126</f>
        <v>0.37</v>
      </c>
      <c r="E224" s="237">
        <f t="shared" si="188"/>
        <v>1163494002.9125004</v>
      </c>
      <c r="F224" s="238">
        <v>0</v>
      </c>
      <c r="G224" s="239">
        <f t="shared" si="189"/>
        <v>1163494002.9125004</v>
      </c>
      <c r="H224" s="117">
        <f t="shared" si="255"/>
        <v>0.19230769230769232</v>
      </c>
      <c r="I224" s="118">
        <f t="shared" si="256"/>
        <v>0</v>
      </c>
      <c r="J224" s="118">
        <f t="shared" si="257"/>
        <v>0.19230769230769232</v>
      </c>
      <c r="K224" s="118">
        <f t="shared" si="258"/>
        <v>0.53846153846153855</v>
      </c>
      <c r="L224" s="118">
        <f t="shared" si="259"/>
        <v>7.6923076923076927E-2</v>
      </c>
      <c r="M224" s="206">
        <f t="shared" si="260"/>
        <v>0</v>
      </c>
      <c r="N224" s="117">
        <f t="shared" si="261"/>
        <v>0</v>
      </c>
      <c r="O224" s="118">
        <f t="shared" si="262"/>
        <v>0.7</v>
      </c>
      <c r="P224" s="118">
        <f t="shared" si="263"/>
        <v>0.15</v>
      </c>
      <c r="Q224" s="118">
        <f t="shared" si="264"/>
        <v>0.15</v>
      </c>
      <c r="R224" s="118">
        <f t="shared" si="265"/>
        <v>0</v>
      </c>
      <c r="S224" s="206">
        <f t="shared" si="266"/>
        <v>0</v>
      </c>
      <c r="T224" s="117">
        <f t="shared" si="267"/>
        <v>0.42500000000000004</v>
      </c>
      <c r="U224" s="118">
        <f t="shared" si="268"/>
        <v>0</v>
      </c>
      <c r="V224" s="118">
        <f t="shared" si="269"/>
        <v>0.21250000000000002</v>
      </c>
      <c r="W224" s="118">
        <f t="shared" si="270"/>
        <v>0.3</v>
      </c>
      <c r="X224" s="118">
        <f t="shared" si="271"/>
        <v>6.25E-2</v>
      </c>
      <c r="Y224" s="206">
        <f t="shared" si="272"/>
        <v>0</v>
      </c>
      <c r="Z224" s="238">
        <f t="shared" si="273"/>
        <v>26178615.065531261</v>
      </c>
      <c r="AA224" s="238">
        <f t="shared" si="274"/>
        <v>0</v>
      </c>
      <c r="AB224" s="238">
        <f t="shared" si="275"/>
        <v>26178615.065531261</v>
      </c>
      <c r="AC224" s="238">
        <f t="shared" si="276"/>
        <v>14660024.436697509</v>
      </c>
      <c r="AD224" s="238">
        <f t="shared" si="277"/>
        <v>2094289.2052425009</v>
      </c>
      <c r="AE224" s="238">
        <f t="shared" si="278"/>
        <v>0</v>
      </c>
      <c r="AF224" s="244">
        <f t="shared" si="279"/>
        <v>69111543.773002535</v>
      </c>
      <c r="AG224" s="237">
        <f t="shared" si="280"/>
        <v>0</v>
      </c>
      <c r="AH224" s="238">
        <f t="shared" si="281"/>
        <v>0</v>
      </c>
      <c r="AI224" s="238">
        <f t="shared" si="282"/>
        <v>6282867.6157275019</v>
      </c>
      <c r="AJ224" s="238">
        <f t="shared" si="283"/>
        <v>1256573.5231455003</v>
      </c>
      <c r="AK224" s="238">
        <f t="shared" si="284"/>
        <v>0</v>
      </c>
      <c r="AL224" s="238">
        <f t="shared" si="285"/>
        <v>0</v>
      </c>
      <c r="AM224" s="1204">
        <f t="shared" si="286"/>
        <v>7539441.1388730025</v>
      </c>
      <c r="AN224" s="237">
        <f t="shared" si="287"/>
        <v>72689287.831958458</v>
      </c>
      <c r="AO224" s="238">
        <f t="shared" si="288"/>
        <v>0</v>
      </c>
      <c r="AP224" s="238">
        <f t="shared" si="289"/>
        <v>36344643.915979229</v>
      </c>
      <c r="AQ224" s="238">
        <f t="shared" si="290"/>
        <v>51310085.528441265</v>
      </c>
      <c r="AR224" s="238">
        <f t="shared" si="291"/>
        <v>2137920.2303517191</v>
      </c>
      <c r="AS224" s="238">
        <f t="shared" si="292"/>
        <v>0</v>
      </c>
      <c r="AT224" s="244">
        <f t="shared" si="293"/>
        <v>162481937.50673065</v>
      </c>
      <c r="AU224" s="256">
        <v>0</v>
      </c>
      <c r="AV224" s="248">
        <f t="shared" si="294"/>
        <v>239.13292241860617</v>
      </c>
      <c r="AW224" s="1206">
        <f t="shared" si="295"/>
        <v>3.76914977647577</v>
      </c>
    </row>
    <row r="225" spans="1:49">
      <c r="A225" s="127">
        <f>'Input data'!A147</f>
        <v>2049</v>
      </c>
      <c r="B225" s="105">
        <f>'Input data'!B147</f>
        <v>75.134</v>
      </c>
      <c r="C225" s="510">
        <f>'Recycling - Case 3'!E127</f>
        <v>1</v>
      </c>
      <c r="D225" s="658">
        <f>'Recycling - Case 3'!F127</f>
        <v>0.37</v>
      </c>
      <c r="E225" s="237">
        <f t="shared" si="188"/>
        <v>1169424082.1750002</v>
      </c>
      <c r="F225" s="238">
        <v>0</v>
      </c>
      <c r="G225" s="239">
        <f t="shared" si="189"/>
        <v>1169424082.1750002</v>
      </c>
      <c r="H225" s="117">
        <f t="shared" si="255"/>
        <v>0.19230769230769232</v>
      </c>
      <c r="I225" s="118">
        <f t="shared" si="256"/>
        <v>0</v>
      </c>
      <c r="J225" s="118">
        <f t="shared" si="257"/>
        <v>0.19230769230769232</v>
      </c>
      <c r="K225" s="118">
        <f t="shared" si="258"/>
        <v>0.53846153846153855</v>
      </c>
      <c r="L225" s="118">
        <f t="shared" si="259"/>
        <v>7.6923076923076927E-2</v>
      </c>
      <c r="M225" s="206">
        <f t="shared" si="260"/>
        <v>0</v>
      </c>
      <c r="N225" s="117">
        <f t="shared" si="261"/>
        <v>0</v>
      </c>
      <c r="O225" s="118">
        <f t="shared" si="262"/>
        <v>0.7</v>
      </c>
      <c r="P225" s="118">
        <f t="shared" si="263"/>
        <v>0.15</v>
      </c>
      <c r="Q225" s="118">
        <f t="shared" si="264"/>
        <v>0.15</v>
      </c>
      <c r="R225" s="118">
        <f t="shared" si="265"/>
        <v>0</v>
      </c>
      <c r="S225" s="206">
        <f t="shared" si="266"/>
        <v>0</v>
      </c>
      <c r="T225" s="117">
        <f t="shared" si="267"/>
        <v>0.42500000000000004</v>
      </c>
      <c r="U225" s="118">
        <f t="shared" si="268"/>
        <v>0</v>
      </c>
      <c r="V225" s="118">
        <f t="shared" si="269"/>
        <v>0.21250000000000002</v>
      </c>
      <c r="W225" s="118">
        <f t="shared" si="270"/>
        <v>0.3</v>
      </c>
      <c r="X225" s="118">
        <f t="shared" si="271"/>
        <v>6.25E-2</v>
      </c>
      <c r="Y225" s="206">
        <f t="shared" si="272"/>
        <v>0</v>
      </c>
      <c r="Z225" s="238">
        <f t="shared" si="273"/>
        <v>26312041.848937504</v>
      </c>
      <c r="AA225" s="238">
        <f t="shared" si="274"/>
        <v>0</v>
      </c>
      <c r="AB225" s="238">
        <f t="shared" si="275"/>
        <v>26312041.848937504</v>
      </c>
      <c r="AC225" s="238">
        <f t="shared" si="276"/>
        <v>14734743.435405005</v>
      </c>
      <c r="AD225" s="238">
        <f t="shared" si="277"/>
        <v>2104963.3479150007</v>
      </c>
      <c r="AE225" s="238">
        <f t="shared" si="278"/>
        <v>0</v>
      </c>
      <c r="AF225" s="244">
        <f t="shared" si="279"/>
        <v>69463790.481195003</v>
      </c>
      <c r="AG225" s="237">
        <f t="shared" si="280"/>
        <v>0</v>
      </c>
      <c r="AH225" s="238">
        <f t="shared" si="281"/>
        <v>0</v>
      </c>
      <c r="AI225" s="238">
        <f t="shared" si="282"/>
        <v>6314890.0437450008</v>
      </c>
      <c r="AJ225" s="238">
        <f t="shared" si="283"/>
        <v>1262978.008749</v>
      </c>
      <c r="AK225" s="238">
        <f t="shared" si="284"/>
        <v>0</v>
      </c>
      <c r="AL225" s="238">
        <f t="shared" si="285"/>
        <v>0</v>
      </c>
      <c r="AM225" s="1204">
        <f t="shared" si="286"/>
        <v>7577868.0524940006</v>
      </c>
      <c r="AN225" s="237">
        <f t="shared" si="287"/>
        <v>73059769.533883139</v>
      </c>
      <c r="AO225" s="238">
        <f t="shared" si="288"/>
        <v>0</v>
      </c>
      <c r="AP225" s="238">
        <f t="shared" si="289"/>
        <v>36529884.76694157</v>
      </c>
      <c r="AQ225" s="238">
        <f t="shared" si="290"/>
        <v>51571602.023917504</v>
      </c>
      <c r="AR225" s="238">
        <f t="shared" si="291"/>
        <v>2148816.7509965631</v>
      </c>
      <c r="AS225" s="238">
        <f t="shared" si="292"/>
        <v>0</v>
      </c>
      <c r="AT225" s="244">
        <f t="shared" si="293"/>
        <v>163310073.07573876</v>
      </c>
      <c r="AU225" s="256">
        <v>0</v>
      </c>
      <c r="AV225" s="248">
        <f t="shared" si="294"/>
        <v>240.35173160942776</v>
      </c>
      <c r="AW225" s="1206">
        <f t="shared" si="295"/>
        <v>3.7883603240770336</v>
      </c>
    </row>
    <row r="226" spans="1:49" ht="15.75" thickBot="1">
      <c r="A226" s="172">
        <f>'Input data'!A148</f>
        <v>2050</v>
      </c>
      <c r="B226" s="1195">
        <f>'Input data'!B148</f>
        <v>75.518000000000001</v>
      </c>
      <c r="C226" s="807">
        <f>'Recycling - Case 3'!E128</f>
        <v>1</v>
      </c>
      <c r="D226" s="808">
        <f>'Recycling - Case 3'!F128</f>
        <v>0.37</v>
      </c>
      <c r="E226" s="240">
        <f t="shared" si="188"/>
        <v>1175400854.9750001</v>
      </c>
      <c r="F226" s="238">
        <v>0</v>
      </c>
      <c r="G226" s="242">
        <f t="shared" si="189"/>
        <v>1175400854.9750001</v>
      </c>
      <c r="H226" s="120">
        <f t="shared" si="255"/>
        <v>0.19230769230769232</v>
      </c>
      <c r="I226" s="121">
        <f t="shared" si="256"/>
        <v>0</v>
      </c>
      <c r="J226" s="121">
        <f t="shared" si="257"/>
        <v>0.19230769230769232</v>
      </c>
      <c r="K226" s="121">
        <f t="shared" si="258"/>
        <v>0.53846153846153855</v>
      </c>
      <c r="L226" s="121">
        <f t="shared" si="259"/>
        <v>7.6923076923076927E-2</v>
      </c>
      <c r="M226" s="207">
        <f t="shared" si="260"/>
        <v>0</v>
      </c>
      <c r="N226" s="120">
        <f t="shared" si="261"/>
        <v>0</v>
      </c>
      <c r="O226" s="121">
        <f t="shared" si="262"/>
        <v>0.7</v>
      </c>
      <c r="P226" s="121">
        <f t="shared" si="263"/>
        <v>0.15</v>
      </c>
      <c r="Q226" s="121">
        <f t="shared" si="264"/>
        <v>0.15</v>
      </c>
      <c r="R226" s="121">
        <f t="shared" si="265"/>
        <v>0</v>
      </c>
      <c r="S226" s="207">
        <f t="shared" si="266"/>
        <v>0</v>
      </c>
      <c r="T226" s="120">
        <f t="shared" si="267"/>
        <v>0.42500000000000004</v>
      </c>
      <c r="U226" s="121">
        <f t="shared" si="268"/>
        <v>0</v>
      </c>
      <c r="V226" s="121">
        <f t="shared" si="269"/>
        <v>0.21250000000000002</v>
      </c>
      <c r="W226" s="121">
        <f t="shared" si="270"/>
        <v>0.3</v>
      </c>
      <c r="X226" s="121">
        <f t="shared" si="271"/>
        <v>6.25E-2</v>
      </c>
      <c r="Y226" s="207">
        <f t="shared" si="272"/>
        <v>0</v>
      </c>
      <c r="Z226" s="241">
        <f t="shared" si="273"/>
        <v>26446519.236937504</v>
      </c>
      <c r="AA226" s="241">
        <f t="shared" si="274"/>
        <v>0</v>
      </c>
      <c r="AB226" s="241">
        <f t="shared" si="275"/>
        <v>26446519.236937504</v>
      </c>
      <c r="AC226" s="241">
        <f t="shared" si="276"/>
        <v>14810050.772685004</v>
      </c>
      <c r="AD226" s="241">
        <f t="shared" si="277"/>
        <v>2115721.5389550002</v>
      </c>
      <c r="AE226" s="241">
        <f t="shared" si="278"/>
        <v>0</v>
      </c>
      <c r="AF226" s="245">
        <f t="shared" si="279"/>
        <v>69818810.78551501</v>
      </c>
      <c r="AG226" s="240">
        <f t="shared" si="280"/>
        <v>0</v>
      </c>
      <c r="AH226" s="241">
        <f t="shared" si="281"/>
        <v>0</v>
      </c>
      <c r="AI226" s="241">
        <f t="shared" si="282"/>
        <v>6347164.6168649998</v>
      </c>
      <c r="AJ226" s="241">
        <f t="shared" si="283"/>
        <v>1269432.923373</v>
      </c>
      <c r="AK226" s="241">
        <f t="shared" si="284"/>
        <v>0</v>
      </c>
      <c r="AL226" s="241">
        <f t="shared" si="285"/>
        <v>0</v>
      </c>
      <c r="AM226" s="1205">
        <f t="shared" si="286"/>
        <v>7616597.5402379995</v>
      </c>
      <c r="AN226" s="240">
        <f t="shared" si="287"/>
        <v>73433168.414563134</v>
      </c>
      <c r="AO226" s="241">
        <f t="shared" si="288"/>
        <v>0</v>
      </c>
      <c r="AP226" s="241">
        <f t="shared" si="289"/>
        <v>36716584.207281567</v>
      </c>
      <c r="AQ226" s="241">
        <f t="shared" si="290"/>
        <v>51835177.7043975</v>
      </c>
      <c r="AR226" s="241">
        <f t="shared" si="291"/>
        <v>2159799.0710165626</v>
      </c>
      <c r="AS226" s="241">
        <f t="shared" si="292"/>
        <v>0</v>
      </c>
      <c r="AT226" s="245">
        <f t="shared" si="293"/>
        <v>164144729.39725876</v>
      </c>
      <c r="AU226" s="256">
        <v>0</v>
      </c>
      <c r="AV226" s="251">
        <f t="shared" si="294"/>
        <v>241.58013772301177</v>
      </c>
      <c r="AW226" s="1207">
        <f t="shared" si="295"/>
        <v>3.8077221358326381</v>
      </c>
    </row>
    <row r="227" spans="1:49">
      <c r="C227" s="114"/>
      <c r="H227" s="3"/>
      <c r="I227" s="3"/>
      <c r="J227" s="3"/>
      <c r="K227" s="3"/>
      <c r="L227" s="3"/>
      <c r="M227" s="3"/>
      <c r="N227" s="3"/>
      <c r="O227" s="3"/>
      <c r="P227" s="3"/>
      <c r="Q227" s="3"/>
      <c r="R227" s="3"/>
      <c r="S227" s="3"/>
      <c r="T227" s="3"/>
      <c r="U227" s="3"/>
      <c r="V227" s="3"/>
      <c r="W227" s="3"/>
      <c r="X227" s="3"/>
      <c r="Y227" s="3"/>
    </row>
  </sheetData>
  <mergeCells count="7">
    <mergeCell ref="AN55:AT55"/>
    <mergeCell ref="Z55:AF55"/>
    <mergeCell ref="A55:A56"/>
    <mergeCell ref="H55:M55"/>
    <mergeCell ref="N55:S55"/>
    <mergeCell ref="T55:Y55"/>
    <mergeCell ref="AG55:AM5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4389-0151-40F6-BFBF-8EEBE0133CD9}">
  <sheetPr codeName="Sheet8"/>
  <dimension ref="A1:W64"/>
  <sheetViews>
    <sheetView topLeftCell="A23" workbookViewId="0">
      <selection activeCell="C47" sqref="C47"/>
    </sheetView>
  </sheetViews>
  <sheetFormatPr defaultColWidth="8.85546875" defaultRowHeight="15"/>
  <cols>
    <col min="1" max="1" width="39.28515625" style="10" customWidth="1"/>
    <col min="2" max="2" width="23.28515625" style="10" customWidth="1"/>
    <col min="3" max="3" width="16.5703125" style="10" customWidth="1"/>
    <col min="4" max="4" width="14.7109375" style="10" customWidth="1"/>
    <col min="5" max="5" width="16.42578125" style="10" customWidth="1"/>
    <col min="6" max="6" width="17" style="10" customWidth="1"/>
    <col min="7" max="7" width="13.85546875" style="10" customWidth="1"/>
    <col min="8" max="8" width="16.5703125" style="10" customWidth="1"/>
    <col min="9" max="9" width="20.28515625" style="10" customWidth="1"/>
    <col min="10" max="10" width="15.140625" style="10" customWidth="1"/>
    <col min="11" max="11" width="8.85546875" style="10"/>
    <col min="12" max="12" width="20.85546875" style="10" customWidth="1"/>
    <col min="13" max="13" width="8.85546875" style="10"/>
    <col min="14" max="14" width="11" style="10" customWidth="1"/>
    <col min="15" max="15" width="10.7109375" style="10" bestFit="1" customWidth="1"/>
    <col min="16" max="16384" width="8.85546875" style="10"/>
  </cols>
  <sheetData>
    <row r="1" spans="1:23">
      <c r="A1" s="9" t="s">
        <v>126</v>
      </c>
      <c r="B1" s="15"/>
      <c r="C1" s="15"/>
      <c r="D1" s="15"/>
      <c r="E1" s="15"/>
      <c r="F1" s="15"/>
      <c r="G1" s="15"/>
      <c r="H1" s="15"/>
      <c r="I1" s="15"/>
      <c r="J1" s="15"/>
    </row>
    <row r="2" spans="1:23" ht="14.45" customHeight="1"/>
    <row r="3" spans="1:23">
      <c r="A3" s="10" t="s">
        <v>159</v>
      </c>
      <c r="B3" s="37"/>
      <c r="C3" s="37"/>
      <c r="D3" s="37"/>
      <c r="E3" s="37"/>
      <c r="F3" s="37"/>
      <c r="G3" s="37"/>
      <c r="L3" s="52" t="s">
        <v>127</v>
      </c>
      <c r="M3" s="53"/>
      <c r="N3" s="53"/>
      <c r="O3" s="53"/>
    </row>
    <row r="4" spans="1:23" ht="15.75" thickBot="1">
      <c r="A4" s="15"/>
      <c r="B4" s="15"/>
      <c r="C4" s="15"/>
      <c r="D4" s="15"/>
      <c r="E4" s="15"/>
      <c r="F4" s="15"/>
      <c r="G4" s="15"/>
      <c r="L4" s="53"/>
      <c r="M4" s="53"/>
      <c r="N4" s="53"/>
      <c r="O4" s="53"/>
    </row>
    <row r="5" spans="1:23" ht="15" customHeight="1" thickBot="1">
      <c r="A5" s="1772"/>
      <c r="B5" s="1773"/>
      <c r="C5" s="1778" t="s">
        <v>53</v>
      </c>
      <c r="D5" s="1779"/>
      <c r="E5" s="1779"/>
      <c r="F5" s="1780"/>
      <c r="G5" s="1778" t="s">
        <v>54</v>
      </c>
      <c r="H5" s="1779"/>
      <c r="I5" s="1779"/>
      <c r="J5" s="1780"/>
      <c r="L5" s="53"/>
      <c r="M5" s="54" t="s">
        <v>128</v>
      </c>
      <c r="N5" s="54" t="s">
        <v>129</v>
      </c>
      <c r="O5" s="55" t="s">
        <v>130</v>
      </c>
      <c r="Q5" s="1771" t="s">
        <v>144</v>
      </c>
      <c r="R5" s="1771"/>
      <c r="S5" s="1771"/>
      <c r="T5" s="1771"/>
      <c r="U5" s="1771"/>
      <c r="V5" s="56"/>
      <c r="W5" s="56"/>
    </row>
    <row r="6" spans="1:23" ht="15.75" thickBot="1">
      <c r="A6" s="1774"/>
      <c r="B6" s="1775"/>
      <c r="C6" s="1781" t="s">
        <v>55</v>
      </c>
      <c r="D6" s="1782"/>
      <c r="E6" s="1781" t="s">
        <v>56</v>
      </c>
      <c r="F6" s="1782"/>
      <c r="G6" s="1781" t="s">
        <v>55</v>
      </c>
      <c r="H6" s="1782"/>
      <c r="I6" s="1783" t="s">
        <v>57</v>
      </c>
      <c r="J6" s="1784"/>
      <c r="L6" s="54" t="s">
        <v>131</v>
      </c>
      <c r="M6" s="73" t="s">
        <v>132</v>
      </c>
      <c r="N6" s="74"/>
      <c r="O6" s="75" t="s">
        <v>133</v>
      </c>
      <c r="Q6" s="1771"/>
      <c r="R6" s="1771"/>
      <c r="S6" s="1771"/>
      <c r="T6" s="1771"/>
      <c r="U6" s="1771"/>
      <c r="V6" s="38"/>
      <c r="W6" s="38"/>
    </row>
    <row r="7" spans="1:23" ht="15.75" thickBot="1">
      <c r="A7" s="1776" t="s">
        <v>58</v>
      </c>
      <c r="B7" s="1777"/>
      <c r="C7" s="67" t="s">
        <v>59</v>
      </c>
      <c r="D7" s="68" t="s">
        <v>60</v>
      </c>
      <c r="E7" s="67" t="s">
        <v>59</v>
      </c>
      <c r="F7" s="68" t="s">
        <v>60</v>
      </c>
      <c r="G7" s="67" t="s">
        <v>59</v>
      </c>
      <c r="H7" s="68" t="s">
        <v>60</v>
      </c>
      <c r="I7" s="67" t="s">
        <v>59</v>
      </c>
      <c r="J7" s="68" t="s">
        <v>60</v>
      </c>
      <c r="L7" s="54" t="s">
        <v>134</v>
      </c>
      <c r="M7" s="76" t="s">
        <v>132</v>
      </c>
      <c r="N7" s="77"/>
      <c r="O7" s="78" t="s">
        <v>135</v>
      </c>
      <c r="Q7" s="1771"/>
      <c r="R7" s="1771"/>
      <c r="S7" s="1771"/>
      <c r="T7" s="1771"/>
      <c r="U7" s="1771"/>
      <c r="V7" s="38"/>
      <c r="W7" s="38"/>
    </row>
    <row r="8" spans="1:23" ht="15.75" thickBot="1">
      <c r="A8" s="1785" t="s">
        <v>61</v>
      </c>
      <c r="B8" s="72" t="s">
        <v>62</v>
      </c>
      <c r="C8" s="90">
        <v>0.04</v>
      </c>
      <c r="D8" s="91" t="s">
        <v>63</v>
      </c>
      <c r="E8" s="94">
        <v>0.06</v>
      </c>
      <c r="F8" s="95" t="s">
        <v>64</v>
      </c>
      <c r="G8" s="94">
        <v>4.4999999999999998E-2</v>
      </c>
      <c r="H8" s="95" t="s">
        <v>65</v>
      </c>
      <c r="I8" s="94">
        <v>7.0000000000000007E-2</v>
      </c>
      <c r="J8" s="95" t="s">
        <v>66</v>
      </c>
      <c r="L8" s="54" t="s">
        <v>136</v>
      </c>
      <c r="M8" s="76" t="s">
        <v>137</v>
      </c>
      <c r="N8" s="77" t="s">
        <v>138</v>
      </c>
      <c r="O8" s="78"/>
      <c r="Q8" s="1771"/>
      <c r="R8" s="1771"/>
      <c r="S8" s="1771"/>
      <c r="T8" s="1771"/>
      <c r="U8" s="1771"/>
      <c r="V8" s="38"/>
      <c r="W8" s="38"/>
    </row>
    <row r="9" spans="1:23" ht="30.75" thickBot="1">
      <c r="A9" s="1786"/>
      <c r="B9" s="71" t="s">
        <v>67</v>
      </c>
      <c r="C9" s="92">
        <v>0.02</v>
      </c>
      <c r="D9" s="64" t="s">
        <v>68</v>
      </c>
      <c r="E9" s="96">
        <v>0.03</v>
      </c>
      <c r="F9" s="64" t="s">
        <v>69</v>
      </c>
      <c r="G9" s="96">
        <v>2.5000000000000001E-2</v>
      </c>
      <c r="H9" s="64" t="s">
        <v>69</v>
      </c>
      <c r="I9" s="96">
        <v>3.5000000000000003E-2</v>
      </c>
      <c r="J9" s="64" t="s">
        <v>63</v>
      </c>
      <c r="L9" s="54" t="s">
        <v>139</v>
      </c>
      <c r="M9" s="79" t="s">
        <v>137</v>
      </c>
      <c r="N9" s="80" t="s">
        <v>140</v>
      </c>
      <c r="O9" s="81"/>
      <c r="Q9" s="1771"/>
      <c r="R9" s="1771"/>
      <c r="S9" s="1771"/>
      <c r="T9" s="1771"/>
      <c r="U9" s="1771"/>
      <c r="V9" s="38"/>
      <c r="W9" s="38"/>
    </row>
    <row r="10" spans="1:23">
      <c r="A10" s="65" t="s">
        <v>70</v>
      </c>
      <c r="B10" s="71" t="s">
        <v>71</v>
      </c>
      <c r="C10" s="92">
        <v>0.05</v>
      </c>
      <c r="D10" s="64" t="s">
        <v>65</v>
      </c>
      <c r="E10" s="97">
        <v>0.1</v>
      </c>
      <c r="F10" s="64" t="s">
        <v>72</v>
      </c>
      <c r="G10" s="97">
        <v>6.5000000000000002E-2</v>
      </c>
      <c r="H10" s="64" t="s">
        <v>73</v>
      </c>
      <c r="I10" s="97">
        <v>0.17</v>
      </c>
      <c r="J10" s="64" t="s">
        <v>74</v>
      </c>
      <c r="L10" s="53" t="s">
        <v>141</v>
      </c>
      <c r="M10" s="53"/>
      <c r="N10" s="53"/>
      <c r="O10" s="53"/>
    </row>
    <row r="11" spans="1:23" ht="30.75" thickBot="1">
      <c r="A11" s="82" t="s">
        <v>75</v>
      </c>
      <c r="B11" s="83" t="s">
        <v>76</v>
      </c>
      <c r="C11" s="93">
        <v>0.06</v>
      </c>
      <c r="D11" s="66" t="s">
        <v>73</v>
      </c>
      <c r="E11" s="98">
        <v>0.185</v>
      </c>
      <c r="F11" s="66" t="s">
        <v>77</v>
      </c>
      <c r="G11" s="98">
        <v>8.5000000000000006E-2</v>
      </c>
      <c r="H11" s="66" t="s">
        <v>78</v>
      </c>
      <c r="I11" s="98">
        <v>0.4</v>
      </c>
      <c r="J11" s="66" t="s">
        <v>79</v>
      </c>
      <c r="L11" s="53" t="s">
        <v>142</v>
      </c>
      <c r="M11" s="53"/>
      <c r="N11" s="53"/>
      <c r="O11" s="53"/>
    </row>
    <row r="12" spans="1:23" ht="15.75" thickBot="1">
      <c r="A12" s="84" t="s">
        <v>80</v>
      </c>
      <c r="B12" s="85" t="s">
        <v>81</v>
      </c>
      <c r="C12" s="86">
        <v>0.05</v>
      </c>
      <c r="D12" s="87" t="s">
        <v>65</v>
      </c>
      <c r="E12" s="88">
        <v>0.09</v>
      </c>
      <c r="F12" s="87" t="s">
        <v>82</v>
      </c>
      <c r="G12" s="88">
        <v>6.5000000000000002E-2</v>
      </c>
      <c r="H12" s="87" t="s">
        <v>73</v>
      </c>
      <c r="I12" s="88">
        <v>0.17</v>
      </c>
      <c r="J12" s="89" t="s">
        <v>74</v>
      </c>
      <c r="L12" s="53" t="s">
        <v>143</v>
      </c>
      <c r="M12" s="53"/>
      <c r="N12" s="53"/>
      <c r="O12" s="53"/>
    </row>
    <row r="13" spans="1:23">
      <c r="H13" s="7"/>
      <c r="I13" s="7"/>
      <c r="J13" s="7"/>
    </row>
    <row r="14" spans="1:23">
      <c r="A14" s="52" t="s">
        <v>145</v>
      </c>
      <c r="B14" s="53"/>
      <c r="C14" s="53"/>
      <c r="H14" s="7"/>
      <c r="I14" s="7"/>
      <c r="J14" s="7"/>
    </row>
    <row r="15" spans="1:23">
      <c r="A15" s="53"/>
      <c r="B15" s="53"/>
      <c r="C15" s="53"/>
      <c r="H15" s="7"/>
      <c r="I15" s="7"/>
      <c r="J15" s="7"/>
    </row>
    <row r="16" spans="1:23">
      <c r="A16" s="53" t="s">
        <v>146</v>
      </c>
      <c r="B16" s="53"/>
      <c r="C16" s="53"/>
      <c r="H16" s="7"/>
      <c r="M16" s="53"/>
      <c r="N16" s="15"/>
      <c r="O16" s="53"/>
    </row>
    <row r="17" spans="1:15">
      <c r="A17" s="53"/>
      <c r="B17" s="53"/>
      <c r="C17" s="53"/>
      <c r="H17" s="7"/>
      <c r="M17" s="53"/>
      <c r="N17" s="57"/>
      <c r="O17" s="58"/>
    </row>
    <row r="18" spans="1:15">
      <c r="A18" s="59" t="s">
        <v>147</v>
      </c>
      <c r="B18" s="53"/>
      <c r="C18" s="53"/>
      <c r="D18" s="53"/>
      <c r="E18" s="53"/>
      <c r="F18" s="53"/>
      <c r="G18" s="53"/>
      <c r="H18" s="7"/>
      <c r="M18" s="53"/>
      <c r="N18" s="60"/>
      <c r="O18" s="58"/>
    </row>
    <row r="19" spans="1:15" ht="15.75" thickBot="1">
      <c r="A19" s="53"/>
      <c r="B19" s="53"/>
      <c r="C19" s="53"/>
      <c r="D19" s="53"/>
      <c r="E19" s="53"/>
      <c r="F19" s="53"/>
      <c r="G19" s="53"/>
      <c r="H19" s="7"/>
      <c r="M19" s="53"/>
      <c r="N19" s="61"/>
      <c r="O19" s="58"/>
    </row>
    <row r="20" spans="1:15" ht="17.25">
      <c r="A20" s="62" t="s">
        <v>148</v>
      </c>
      <c r="B20" s="1787" t="s">
        <v>160</v>
      </c>
      <c r="C20" s="1788"/>
      <c r="D20" s="53"/>
      <c r="E20" s="53"/>
      <c r="F20" s="53"/>
      <c r="G20" s="53"/>
      <c r="H20" s="7"/>
      <c r="M20" s="53"/>
      <c r="N20" s="57"/>
      <c r="O20" s="58"/>
    </row>
    <row r="21" spans="1:15">
      <c r="A21" s="70">
        <v>35</v>
      </c>
      <c r="B21" s="1765">
        <f>LN(2)/A21</f>
        <v>1.980420515885558E-2</v>
      </c>
      <c r="C21" s="1766"/>
      <c r="D21" s="53"/>
      <c r="E21" s="53"/>
      <c r="F21" s="53"/>
      <c r="G21" s="53"/>
      <c r="H21" s="7"/>
      <c r="M21" s="53"/>
      <c r="N21" s="57"/>
      <c r="O21" s="58"/>
    </row>
    <row r="22" spans="1:15" ht="17.25">
      <c r="A22" s="63" t="s">
        <v>161</v>
      </c>
      <c r="B22" s="1767" t="s">
        <v>149</v>
      </c>
      <c r="C22" s="1768"/>
      <c r="D22" s="53"/>
      <c r="E22" s="53"/>
      <c r="F22" s="53"/>
      <c r="G22" s="53"/>
      <c r="H22" s="7"/>
      <c r="M22" s="53"/>
      <c r="N22" s="15"/>
      <c r="O22" s="53"/>
    </row>
    <row r="23" spans="1:15" ht="15.75" thickBot="1">
      <c r="A23" s="69">
        <v>0.05</v>
      </c>
      <c r="B23" s="1769">
        <f>LN(2)/A23</f>
        <v>13.862943611198904</v>
      </c>
      <c r="C23" s="1770"/>
      <c r="D23" s="53"/>
      <c r="E23" s="53"/>
      <c r="F23" s="53"/>
      <c r="G23" s="53"/>
      <c r="H23" s="7"/>
      <c r="M23" s="53"/>
      <c r="N23" s="53"/>
      <c r="O23" s="53"/>
    </row>
    <row r="24" spans="1:15">
      <c r="D24" s="53"/>
      <c r="E24" s="53"/>
      <c r="F24" s="53"/>
      <c r="G24" s="53"/>
      <c r="M24" s="53"/>
      <c r="N24" s="53"/>
      <c r="O24" s="53"/>
    </row>
    <row r="25" spans="1:15">
      <c r="A25" s="7"/>
      <c r="B25" s="7"/>
      <c r="C25" s="7"/>
      <c r="D25" s="7"/>
      <c r="E25" s="7"/>
      <c r="F25" s="7"/>
      <c r="G25" s="7"/>
    </row>
    <row r="26" spans="1:15" ht="15.75" thickBot="1">
      <c r="A26" s="16" t="s">
        <v>101</v>
      </c>
      <c r="B26" s="7"/>
      <c r="C26" s="7"/>
      <c r="D26" s="7"/>
      <c r="E26" s="7"/>
      <c r="F26" s="7"/>
      <c r="G26" s="7"/>
    </row>
    <row r="27" spans="1:15" ht="15.75" thickBot="1">
      <c r="A27" s="41"/>
      <c r="B27" s="47" t="s">
        <v>59</v>
      </c>
      <c r="C27" s="48" t="s">
        <v>60</v>
      </c>
      <c r="D27" s="7"/>
      <c r="E27" s="7"/>
      <c r="F27" s="7"/>
      <c r="G27" s="7"/>
    </row>
    <row r="28" spans="1:15">
      <c r="A28" s="42" t="s">
        <v>83</v>
      </c>
      <c r="B28" s="17">
        <v>0.15</v>
      </c>
      <c r="C28" s="18" t="s">
        <v>84</v>
      </c>
      <c r="D28" s="7"/>
      <c r="E28" s="7"/>
      <c r="F28" s="7"/>
      <c r="G28" s="7"/>
    </row>
    <row r="29" spans="1:15">
      <c r="A29" s="43" t="s">
        <v>85</v>
      </c>
      <c r="B29" s="19">
        <v>0.2</v>
      </c>
      <c r="C29" s="20" t="s">
        <v>86</v>
      </c>
      <c r="D29" s="7"/>
      <c r="E29" s="7"/>
      <c r="F29" s="7"/>
      <c r="G29" s="7"/>
    </row>
    <row r="30" spans="1:15">
      <c r="A30" s="43" t="s">
        <v>87</v>
      </c>
      <c r="B30" s="19">
        <v>0.4</v>
      </c>
      <c r="C30" s="20" t="s">
        <v>88</v>
      </c>
      <c r="D30" s="7"/>
      <c r="E30" s="7"/>
      <c r="F30" s="7"/>
      <c r="G30" s="7"/>
    </row>
    <row r="31" spans="1:15">
      <c r="A31" s="43" t="s">
        <v>89</v>
      </c>
      <c r="B31" s="19">
        <v>0.43</v>
      </c>
      <c r="C31" s="20" t="s">
        <v>90</v>
      </c>
      <c r="D31" s="7"/>
      <c r="E31" s="7"/>
      <c r="F31" s="7"/>
      <c r="G31" s="7"/>
    </row>
    <row r="32" spans="1:15">
      <c r="A32" s="43" t="s">
        <v>91</v>
      </c>
      <c r="B32" s="19">
        <v>0.24</v>
      </c>
      <c r="C32" s="20" t="s">
        <v>92</v>
      </c>
      <c r="D32" s="7"/>
      <c r="E32" s="7"/>
      <c r="F32" s="7"/>
      <c r="G32" s="7"/>
    </row>
    <row r="33" spans="1:12">
      <c r="A33" s="44" t="s">
        <v>93</v>
      </c>
      <c r="B33" s="21">
        <v>0.24</v>
      </c>
      <c r="C33" s="22" t="s">
        <v>94</v>
      </c>
      <c r="D33" s="7"/>
      <c r="E33" s="7"/>
      <c r="F33" s="7"/>
      <c r="G33" s="7"/>
    </row>
    <row r="34" spans="1:12">
      <c r="A34" s="44" t="s">
        <v>95</v>
      </c>
      <c r="B34" s="21">
        <v>0.39</v>
      </c>
      <c r="C34" s="22" t="s">
        <v>96</v>
      </c>
      <c r="D34" s="7"/>
      <c r="E34" s="7"/>
      <c r="F34" s="7"/>
      <c r="G34" s="7"/>
    </row>
    <row r="35" spans="1:12" ht="15.75" thickBot="1">
      <c r="A35" s="44" t="s">
        <v>247</v>
      </c>
      <c r="B35" s="21">
        <v>0</v>
      </c>
      <c r="C35" s="103"/>
      <c r="D35" s="7"/>
      <c r="E35" s="7"/>
      <c r="F35" s="7"/>
      <c r="G35" s="7"/>
    </row>
    <row r="36" spans="1:12">
      <c r="A36" s="45" t="s">
        <v>97</v>
      </c>
      <c r="B36" s="23">
        <v>0.18</v>
      </c>
      <c r="C36" s="24" t="s">
        <v>98</v>
      </c>
      <c r="D36" s="7"/>
      <c r="E36" s="7"/>
      <c r="F36" s="7"/>
      <c r="G36" s="7"/>
    </row>
    <row r="37" spans="1:12" ht="15.75" thickBot="1">
      <c r="A37" s="46" t="s">
        <v>99</v>
      </c>
      <c r="B37" s="25">
        <v>0.15</v>
      </c>
      <c r="C37" s="26" t="s">
        <v>100</v>
      </c>
      <c r="D37" s="7"/>
      <c r="E37" s="7"/>
      <c r="F37" s="7"/>
      <c r="G37" s="7"/>
    </row>
    <row r="38" spans="1:12">
      <c r="A38" s="16"/>
      <c r="B38" s="34"/>
      <c r="C38" s="35"/>
      <c r="D38" s="7"/>
      <c r="E38" s="7"/>
      <c r="F38" s="7"/>
      <c r="G38" s="7"/>
    </row>
    <row r="40" spans="1:12">
      <c r="A40" s="27" t="s">
        <v>102</v>
      </c>
      <c r="E40" s="135" t="s">
        <v>221</v>
      </c>
      <c r="F40" s="104" t="s">
        <v>85</v>
      </c>
      <c r="G40" s="104" t="s">
        <v>87</v>
      </c>
      <c r="H40" s="104" t="s">
        <v>222</v>
      </c>
      <c r="I40" s="104" t="s">
        <v>115</v>
      </c>
      <c r="J40" s="104" t="s">
        <v>223</v>
      </c>
      <c r="K40" s="130" t="s">
        <v>224</v>
      </c>
      <c r="L40"/>
    </row>
    <row r="41" spans="1:12">
      <c r="A41" s="27"/>
    </row>
    <row r="42" spans="1:12">
      <c r="H42" s="13" t="s">
        <v>122</v>
      </c>
    </row>
    <row r="43" spans="1:12" ht="30">
      <c r="A43" s="40" t="s">
        <v>103</v>
      </c>
      <c r="B43" s="40" t="s">
        <v>83</v>
      </c>
      <c r="C43" s="40" t="s">
        <v>85</v>
      </c>
      <c r="D43" s="40" t="s">
        <v>87</v>
      </c>
      <c r="E43" s="40" t="s">
        <v>89</v>
      </c>
      <c r="F43" s="40" t="s">
        <v>91</v>
      </c>
      <c r="G43" s="40" t="s">
        <v>93</v>
      </c>
      <c r="H43" s="40" t="s">
        <v>107</v>
      </c>
      <c r="I43" s="40" t="s">
        <v>104</v>
      </c>
      <c r="J43" s="40" t="s">
        <v>105</v>
      </c>
      <c r="K43" s="40" t="s">
        <v>106</v>
      </c>
      <c r="L43" s="40" t="s">
        <v>107</v>
      </c>
    </row>
    <row r="44" spans="1:12">
      <c r="A44" s="49" t="s">
        <v>111</v>
      </c>
      <c r="B44" s="11">
        <v>0.4</v>
      </c>
      <c r="C44" s="11">
        <v>0.4</v>
      </c>
      <c r="D44" s="11">
        <v>0.9</v>
      </c>
      <c r="E44" s="11">
        <v>0.85</v>
      </c>
      <c r="F44" s="11">
        <v>0.8</v>
      </c>
      <c r="G44" s="11">
        <v>0.4</v>
      </c>
      <c r="H44" s="11">
        <v>0.9</v>
      </c>
      <c r="I44" s="11">
        <v>1</v>
      </c>
      <c r="J44" s="11">
        <v>1</v>
      </c>
      <c r="K44" s="11">
        <v>1</v>
      </c>
      <c r="L44" s="11">
        <v>0.9</v>
      </c>
    </row>
    <row r="45" spans="1:12">
      <c r="A45" s="49" t="s">
        <v>150</v>
      </c>
      <c r="B45" s="28">
        <v>0.15</v>
      </c>
      <c r="C45" s="29">
        <v>0.2</v>
      </c>
      <c r="D45" s="29">
        <v>0.4</v>
      </c>
      <c r="E45" s="28">
        <v>0.43</v>
      </c>
      <c r="F45" s="28">
        <v>0.24</v>
      </c>
      <c r="G45" s="28">
        <v>0.24</v>
      </c>
      <c r="H45" s="12" t="s">
        <v>108</v>
      </c>
      <c r="I45" s="12" t="s">
        <v>108</v>
      </c>
      <c r="J45" s="12" t="s">
        <v>108</v>
      </c>
      <c r="K45" s="12" t="s">
        <v>108</v>
      </c>
      <c r="L45" s="12" t="s">
        <v>108</v>
      </c>
    </row>
    <row r="46" spans="1:12">
      <c r="A46" s="49" t="s">
        <v>151</v>
      </c>
      <c r="B46" s="12">
        <v>0.38</v>
      </c>
      <c r="C46" s="12">
        <v>0.49</v>
      </c>
      <c r="D46" s="12">
        <v>0.44</v>
      </c>
      <c r="E46" s="11">
        <v>0.5</v>
      </c>
      <c r="F46" s="11">
        <v>0.3</v>
      </c>
      <c r="G46" s="11">
        <v>0.6</v>
      </c>
      <c r="H46" s="12" t="s">
        <v>108</v>
      </c>
      <c r="I46" s="12" t="s">
        <v>108</v>
      </c>
      <c r="J46" s="12" t="s">
        <v>108</v>
      </c>
      <c r="K46" s="12" t="s">
        <v>108</v>
      </c>
      <c r="L46" s="12" t="s">
        <v>108</v>
      </c>
    </row>
    <row r="47" spans="1:12">
      <c r="A47" s="49" t="s">
        <v>109</v>
      </c>
      <c r="B47" s="12">
        <v>0.38</v>
      </c>
      <c r="C47" s="12">
        <v>0.49</v>
      </c>
      <c r="D47" s="12">
        <v>0.46</v>
      </c>
      <c r="E47" s="11">
        <v>0.5</v>
      </c>
      <c r="F47" s="11">
        <v>0.5</v>
      </c>
      <c r="G47" s="11">
        <v>0.7</v>
      </c>
      <c r="H47" s="12">
        <v>0.03</v>
      </c>
      <c r="I47" s="12">
        <v>0.75</v>
      </c>
      <c r="J47" s="11">
        <v>0</v>
      </c>
      <c r="K47" s="11">
        <v>0</v>
      </c>
      <c r="L47" s="12">
        <v>0.03</v>
      </c>
    </row>
    <row r="48" spans="1:12">
      <c r="A48" s="49" t="s">
        <v>110</v>
      </c>
      <c r="B48" s="11">
        <v>0</v>
      </c>
      <c r="C48" s="11">
        <v>0</v>
      </c>
      <c r="D48" s="11">
        <v>0.01</v>
      </c>
      <c r="E48" s="11">
        <v>0</v>
      </c>
      <c r="F48" s="11">
        <v>0.2</v>
      </c>
      <c r="G48" s="11">
        <v>0.1</v>
      </c>
      <c r="H48" s="11">
        <v>1</v>
      </c>
      <c r="I48" s="11">
        <v>1</v>
      </c>
      <c r="J48" s="11">
        <v>0</v>
      </c>
      <c r="K48" s="11">
        <v>0</v>
      </c>
      <c r="L48" s="11">
        <v>1</v>
      </c>
    </row>
    <row r="49" spans="1:20">
      <c r="A49" s="16"/>
      <c r="B49" s="513"/>
      <c r="C49" s="34"/>
      <c r="D49" s="204"/>
      <c r="E49" s="204"/>
      <c r="F49" s="513"/>
    </row>
    <row r="50" spans="1:20">
      <c r="G50" s="199"/>
      <c r="H50" s="366"/>
      <c r="I50" s="513"/>
      <c r="J50" s="513"/>
      <c r="K50" s="513"/>
      <c r="L50" s="513"/>
      <c r="M50" s="513"/>
      <c r="N50" s="513"/>
      <c r="O50" s="513"/>
      <c r="P50" s="513"/>
      <c r="Q50" s="513"/>
      <c r="R50" s="513"/>
      <c r="S50" s="513"/>
      <c r="T50" s="199"/>
    </row>
    <row r="51" spans="1:20">
      <c r="A51" s="27" t="s">
        <v>112</v>
      </c>
      <c r="G51" s="199"/>
      <c r="H51" s="366"/>
      <c r="I51" s="34"/>
      <c r="J51" s="514"/>
      <c r="K51" s="514"/>
      <c r="L51" s="34"/>
      <c r="M51" s="34"/>
      <c r="N51" s="34"/>
      <c r="O51" s="34"/>
      <c r="P51" s="204"/>
      <c r="Q51" s="204"/>
      <c r="R51" s="204"/>
      <c r="S51" s="204"/>
      <c r="T51" s="199"/>
    </row>
    <row r="52" spans="1:20">
      <c r="A52" s="27"/>
      <c r="G52" s="199"/>
      <c r="H52" s="366"/>
      <c r="I52" s="204"/>
      <c r="J52" s="204"/>
      <c r="K52" s="204"/>
      <c r="L52" s="513"/>
      <c r="M52" s="513"/>
      <c r="N52" s="513"/>
      <c r="O52" s="204"/>
      <c r="P52" s="204"/>
      <c r="Q52" s="204"/>
      <c r="R52" s="204"/>
      <c r="S52" s="204"/>
      <c r="T52" s="199"/>
    </row>
    <row r="53" spans="1:20">
      <c r="A53" s="50" t="s">
        <v>113</v>
      </c>
      <c r="B53" s="51" t="s">
        <v>120</v>
      </c>
      <c r="C53" s="51" t="s">
        <v>123</v>
      </c>
      <c r="D53" s="51" t="s">
        <v>124</v>
      </c>
      <c r="E53" s="51" t="s">
        <v>125</v>
      </c>
      <c r="G53" s="199"/>
      <c r="H53" s="366"/>
      <c r="I53" s="204"/>
      <c r="J53" s="204"/>
      <c r="K53" s="204"/>
      <c r="L53" s="513"/>
      <c r="M53" s="513"/>
      <c r="N53" s="513"/>
      <c r="O53" s="204"/>
      <c r="P53" s="204"/>
      <c r="Q53" s="513"/>
      <c r="R53" s="513"/>
      <c r="S53" s="204"/>
      <c r="T53" s="199"/>
    </row>
    <row r="54" spans="1:20" ht="30">
      <c r="A54" s="39" t="s">
        <v>114</v>
      </c>
      <c r="B54" s="31">
        <v>0.15</v>
      </c>
      <c r="C54" s="32" t="s">
        <v>108</v>
      </c>
      <c r="D54" s="31">
        <v>0.15</v>
      </c>
      <c r="E54" s="33">
        <v>0.6</v>
      </c>
      <c r="G54" s="199"/>
      <c r="H54" s="366"/>
      <c r="I54" s="513"/>
      <c r="J54" s="513"/>
      <c r="K54" s="513"/>
      <c r="L54" s="513"/>
      <c r="M54" s="513"/>
      <c r="N54" s="513"/>
      <c r="O54" s="513"/>
      <c r="P54" s="513"/>
      <c r="Q54" s="513"/>
      <c r="R54" s="513"/>
      <c r="S54" s="513"/>
      <c r="T54" s="199"/>
    </row>
    <row r="55" spans="1:20">
      <c r="A55" s="39" t="s">
        <v>115</v>
      </c>
      <c r="B55" s="31">
        <v>0.4</v>
      </c>
      <c r="C55" s="32">
        <v>0.16</v>
      </c>
      <c r="D55" s="31">
        <v>0.4</v>
      </c>
      <c r="E55" s="31">
        <v>0.2</v>
      </c>
      <c r="G55" s="199"/>
      <c r="H55" s="199"/>
      <c r="I55" s="199"/>
      <c r="J55" s="199"/>
      <c r="K55" s="199"/>
      <c r="L55" s="199"/>
      <c r="M55" s="199"/>
      <c r="N55" s="199"/>
      <c r="O55" s="199"/>
      <c r="P55" s="199"/>
      <c r="Q55" s="199"/>
      <c r="R55" s="199"/>
      <c r="S55" s="199"/>
      <c r="T55" s="199"/>
    </row>
    <row r="56" spans="1:20">
      <c r="A56" s="39" t="s">
        <v>116</v>
      </c>
      <c r="B56" s="31">
        <v>0.43</v>
      </c>
      <c r="C56" s="32" t="s">
        <v>108</v>
      </c>
      <c r="D56" s="31">
        <v>0.43</v>
      </c>
      <c r="E56" s="31">
        <v>0.15</v>
      </c>
      <c r="G56" s="199"/>
      <c r="H56" s="199"/>
      <c r="I56" s="199"/>
      <c r="J56" s="199"/>
      <c r="K56" s="199"/>
      <c r="L56" s="199"/>
      <c r="M56" s="199"/>
      <c r="N56" s="199"/>
      <c r="O56" s="199"/>
      <c r="P56" s="199"/>
      <c r="Q56" s="199"/>
      <c r="R56" s="199"/>
      <c r="S56" s="199"/>
      <c r="T56" s="199"/>
    </row>
    <row r="57" spans="1:20">
      <c r="A57" s="39" t="s">
        <v>117</v>
      </c>
      <c r="B57" s="31">
        <v>0.4</v>
      </c>
      <c r="C57" s="32">
        <v>0.01</v>
      </c>
      <c r="D57" s="31">
        <v>0.41</v>
      </c>
      <c r="E57" s="31">
        <v>0.1</v>
      </c>
    </row>
    <row r="58" spans="1:20">
      <c r="A58" s="39" t="s">
        <v>118</v>
      </c>
      <c r="B58" s="31" t="s">
        <v>108</v>
      </c>
      <c r="C58" s="32">
        <v>0.8</v>
      </c>
      <c r="D58" s="31">
        <v>0.8</v>
      </c>
      <c r="E58" s="31">
        <v>0</v>
      </c>
    </row>
    <row r="59" spans="1:20">
      <c r="A59" s="39" t="s">
        <v>95</v>
      </c>
      <c r="B59" s="31" t="s">
        <v>121</v>
      </c>
      <c r="C59" s="32">
        <v>0.17</v>
      </c>
      <c r="D59" s="31">
        <v>0.56000000000000005</v>
      </c>
      <c r="E59" s="31">
        <v>0.16</v>
      </c>
      <c r="F59" s="13" t="s">
        <v>122</v>
      </c>
    </row>
    <row r="60" spans="1:20">
      <c r="A60" s="39" t="s">
        <v>119</v>
      </c>
      <c r="B60" s="31">
        <v>0.04</v>
      </c>
      <c r="C60" s="32">
        <v>0.2</v>
      </c>
      <c r="D60" s="31">
        <v>0.24</v>
      </c>
      <c r="E60" s="31">
        <v>0</v>
      </c>
    </row>
    <row r="61" spans="1:20">
      <c r="A61" s="39" t="s">
        <v>9</v>
      </c>
      <c r="B61" s="31">
        <v>0.01</v>
      </c>
      <c r="C61" s="32">
        <v>0.03</v>
      </c>
      <c r="D61" s="31">
        <v>0.04</v>
      </c>
      <c r="E61" s="31">
        <v>0.1</v>
      </c>
    </row>
    <row r="62" spans="1:20">
      <c r="A62" s="50" t="s">
        <v>152</v>
      </c>
      <c r="E62" s="14"/>
    </row>
    <row r="63" spans="1:20">
      <c r="A63" s="39" t="s">
        <v>153</v>
      </c>
      <c r="B63" s="12" t="s">
        <v>155</v>
      </c>
      <c r="C63" s="12" t="s">
        <v>157</v>
      </c>
      <c r="D63" s="12" t="s">
        <v>155</v>
      </c>
      <c r="E63" s="30" t="s">
        <v>158</v>
      </c>
      <c r="F63" s="13" t="s">
        <v>156</v>
      </c>
    </row>
    <row r="64" spans="1:20">
      <c r="A64" s="39" t="s">
        <v>154</v>
      </c>
      <c r="B64" s="12">
        <v>0.15</v>
      </c>
      <c r="C64" s="33">
        <v>0.25</v>
      </c>
      <c r="D64" s="36">
        <v>0.4</v>
      </c>
      <c r="E64" s="36">
        <v>0.35</v>
      </c>
    </row>
  </sheetData>
  <mergeCells count="14">
    <mergeCell ref="B21:C21"/>
    <mergeCell ref="B22:C22"/>
    <mergeCell ref="B23:C23"/>
    <mergeCell ref="Q5:U9"/>
    <mergeCell ref="A5:B6"/>
    <mergeCell ref="A7:B7"/>
    <mergeCell ref="G5:J5"/>
    <mergeCell ref="G6:H6"/>
    <mergeCell ref="I6:J6"/>
    <mergeCell ref="C5:F5"/>
    <mergeCell ref="C6:D6"/>
    <mergeCell ref="E6:F6"/>
    <mergeCell ref="A8:A9"/>
    <mergeCell ref="B20:C2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61550-5F56-42AD-9A24-B5BB7B62835D}">
  <sheetPr>
    <tabColor theme="6" tint="-0.249977111117893"/>
  </sheetPr>
  <dimension ref="A6:F7"/>
  <sheetViews>
    <sheetView tabSelected="1" workbookViewId="0">
      <selection activeCell="C8" sqref="C8"/>
    </sheetView>
  </sheetViews>
  <sheetFormatPr defaultRowHeight="15"/>
  <cols>
    <col min="2" max="2" width="15.7109375" customWidth="1"/>
    <col min="3" max="3" width="17.42578125" customWidth="1"/>
  </cols>
  <sheetData>
    <row r="6" spans="1:6">
      <c r="D6" t="s">
        <v>789</v>
      </c>
      <c r="E6" t="s">
        <v>790</v>
      </c>
      <c r="F6" t="s">
        <v>791</v>
      </c>
    </row>
    <row r="7" spans="1:6">
      <c r="A7" t="s">
        <v>792</v>
      </c>
      <c r="B7" t="s">
        <v>793</v>
      </c>
      <c r="C7" t="str">
        <f>"Drivers!"&amp;ADDRESS(ROW(Drivers!A24),COLUMN(Drivers!A24),4)</f>
        <v>Drivers!A24</v>
      </c>
      <c r="E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F0A27-5B51-43DD-8CB8-154F0DAF671A}">
  <sheetPr>
    <tabColor theme="6" tint="-0.249977111117893"/>
  </sheetPr>
  <dimension ref="A6:AM25"/>
  <sheetViews>
    <sheetView workbookViewId="0"/>
  </sheetViews>
  <sheetFormatPr defaultRowHeight="15"/>
  <sheetData>
    <row r="6" spans="1:39">
      <c r="A6" t="s">
        <v>218</v>
      </c>
    </row>
    <row r="7" spans="1:39">
      <c r="A7">
        <v>2012</v>
      </c>
      <c r="B7">
        <v>2013</v>
      </c>
      <c r="C7">
        <v>2014</v>
      </c>
      <c r="D7">
        <v>2015</v>
      </c>
      <c r="E7">
        <v>2016</v>
      </c>
      <c r="F7">
        <v>2017</v>
      </c>
      <c r="G7">
        <v>2018</v>
      </c>
      <c r="H7">
        <v>2019</v>
      </c>
      <c r="I7">
        <v>2020</v>
      </c>
      <c r="J7">
        <v>2021</v>
      </c>
      <c r="K7">
        <v>2022</v>
      </c>
      <c r="L7">
        <v>2023</v>
      </c>
      <c r="M7">
        <v>2024</v>
      </c>
      <c r="N7">
        <v>2025</v>
      </c>
      <c r="O7">
        <v>2026</v>
      </c>
      <c r="P7">
        <v>2027</v>
      </c>
      <c r="Q7">
        <v>2028</v>
      </c>
      <c r="R7">
        <v>2029</v>
      </c>
      <c r="S7">
        <v>2030</v>
      </c>
      <c r="T7">
        <v>2031</v>
      </c>
      <c r="U7">
        <v>2032</v>
      </c>
      <c r="V7">
        <v>2033</v>
      </c>
      <c r="W7">
        <v>2034</v>
      </c>
      <c r="X7">
        <v>2035</v>
      </c>
      <c r="Y7">
        <v>2036</v>
      </c>
      <c r="Z7">
        <v>2037</v>
      </c>
      <c r="AA7">
        <v>2038</v>
      </c>
      <c r="AB7">
        <v>2039</v>
      </c>
      <c r="AC7">
        <v>2040</v>
      </c>
      <c r="AD7">
        <v>2041</v>
      </c>
      <c r="AE7">
        <v>2042</v>
      </c>
      <c r="AF7">
        <v>2043</v>
      </c>
      <c r="AG7">
        <v>2044</v>
      </c>
      <c r="AH7">
        <v>2045</v>
      </c>
      <c r="AI7">
        <v>2046</v>
      </c>
      <c r="AJ7">
        <v>2047</v>
      </c>
      <c r="AK7">
        <v>2048</v>
      </c>
      <c r="AL7">
        <v>2049</v>
      </c>
      <c r="AM7">
        <v>2050</v>
      </c>
    </row>
    <row r="8" spans="1:39">
      <c r="A8">
        <v>52325</v>
      </c>
      <c r="B8">
        <v>53104</v>
      </c>
      <c r="C8">
        <v>53912</v>
      </c>
      <c r="D8">
        <v>54750</v>
      </c>
      <c r="E8">
        <v>55620</v>
      </c>
      <c r="F8">
        <v>56522</v>
      </c>
      <c r="G8">
        <v>57436</v>
      </c>
      <c r="H8">
        <v>58365</v>
      </c>
      <c r="I8">
        <v>59309</v>
      </c>
      <c r="J8">
        <v>59992</v>
      </c>
      <c r="K8">
        <v>60682</v>
      </c>
      <c r="L8">
        <v>61381</v>
      </c>
      <c r="M8">
        <v>62088</v>
      </c>
      <c r="N8">
        <v>62803</v>
      </c>
      <c r="O8">
        <v>63421</v>
      </c>
      <c r="P8">
        <v>64046</v>
      </c>
      <c r="Q8">
        <v>64676</v>
      </c>
      <c r="R8">
        <v>65313</v>
      </c>
      <c r="S8">
        <v>65956</v>
      </c>
      <c r="T8">
        <v>66519</v>
      </c>
      <c r="U8">
        <v>67087</v>
      </c>
      <c r="V8">
        <v>67659</v>
      </c>
      <c r="W8">
        <v>68237</v>
      </c>
      <c r="X8">
        <v>68819</v>
      </c>
      <c r="Y8">
        <v>69323</v>
      </c>
      <c r="Z8">
        <v>69830</v>
      </c>
      <c r="AA8">
        <v>70342</v>
      </c>
      <c r="AB8">
        <v>70857</v>
      </c>
      <c r="AC8">
        <v>71375</v>
      </c>
      <c r="AD8">
        <v>71819</v>
      </c>
      <c r="AE8">
        <v>72265</v>
      </c>
      <c r="AF8">
        <v>72714</v>
      </c>
      <c r="AG8">
        <v>73165</v>
      </c>
      <c r="AH8">
        <v>73620</v>
      </c>
      <c r="AI8">
        <v>73995</v>
      </c>
      <c r="AJ8">
        <v>74373</v>
      </c>
      <c r="AK8">
        <v>74753</v>
      </c>
      <c r="AL8">
        <v>75134</v>
      </c>
      <c r="AM8">
        <v>75518</v>
      </c>
    </row>
    <row r="14" spans="1:39">
      <c r="A14" t="s">
        <v>464</v>
      </c>
    </row>
    <row r="15" spans="1:39">
      <c r="A15">
        <v>2012</v>
      </c>
      <c r="B15">
        <v>2013</v>
      </c>
      <c r="C15">
        <v>2014</v>
      </c>
      <c r="D15">
        <v>2015</v>
      </c>
      <c r="E15">
        <v>2016</v>
      </c>
      <c r="F15">
        <v>2017</v>
      </c>
      <c r="G15">
        <v>2018</v>
      </c>
      <c r="H15">
        <v>2019</v>
      </c>
      <c r="I15">
        <v>2020</v>
      </c>
      <c r="J15">
        <v>2021</v>
      </c>
      <c r="K15">
        <v>2022</v>
      </c>
      <c r="L15">
        <v>2023</v>
      </c>
      <c r="M15">
        <v>2024</v>
      </c>
      <c r="N15">
        <v>2025</v>
      </c>
      <c r="O15">
        <v>2026</v>
      </c>
      <c r="P15">
        <v>2027</v>
      </c>
      <c r="Q15">
        <v>2028</v>
      </c>
      <c r="R15">
        <v>2029</v>
      </c>
      <c r="S15">
        <v>2030</v>
      </c>
      <c r="T15">
        <v>2031</v>
      </c>
      <c r="U15">
        <v>2032</v>
      </c>
      <c r="V15">
        <v>2033</v>
      </c>
      <c r="W15">
        <v>2034</v>
      </c>
      <c r="X15">
        <v>2035</v>
      </c>
      <c r="Y15">
        <v>2036</v>
      </c>
      <c r="Z15">
        <v>2037</v>
      </c>
      <c r="AA15">
        <v>2038</v>
      </c>
      <c r="AB15">
        <v>2039</v>
      </c>
      <c r="AC15">
        <v>2040</v>
      </c>
      <c r="AD15">
        <v>2041</v>
      </c>
      <c r="AE15">
        <v>2042</v>
      </c>
      <c r="AF15">
        <v>2043</v>
      </c>
      <c r="AG15">
        <v>2044</v>
      </c>
      <c r="AH15">
        <v>2045</v>
      </c>
      <c r="AI15">
        <v>2046</v>
      </c>
      <c r="AJ15">
        <v>2047</v>
      </c>
      <c r="AK15">
        <v>2048</v>
      </c>
      <c r="AL15">
        <v>2049</v>
      </c>
      <c r="AM15">
        <v>2050</v>
      </c>
    </row>
    <row r="16" spans="1:39">
      <c r="A16">
        <v>2893.5800000000004</v>
      </c>
      <c r="B16">
        <v>2965.2699999999995</v>
      </c>
      <c r="C16">
        <v>3020.9599999999996</v>
      </c>
      <c r="D16">
        <v>3059.45</v>
      </c>
      <c r="E16">
        <v>3083.9199999999996</v>
      </c>
      <c r="F16">
        <v>3120.54</v>
      </c>
      <c r="G16">
        <v>3152.24</v>
      </c>
      <c r="H16">
        <v>3179.2899999999995</v>
      </c>
      <c r="I16">
        <v>2948.9199999999987</v>
      </c>
      <c r="J16">
        <v>3014.38</v>
      </c>
      <c r="K16">
        <v>3077.2</v>
      </c>
      <c r="L16">
        <v>3140.61</v>
      </c>
      <c r="M16">
        <v>3201.77</v>
      </c>
      <c r="N16">
        <v>3265.54</v>
      </c>
      <c r="O16">
        <v>3341.28</v>
      </c>
      <c r="P16">
        <v>3416.2799999999997</v>
      </c>
      <c r="Q16">
        <v>3494.8800000000006</v>
      </c>
      <c r="R16">
        <v>3576.08</v>
      </c>
      <c r="S16">
        <v>3660.12</v>
      </c>
      <c r="T16">
        <v>3761.03</v>
      </c>
      <c r="U16">
        <v>3857.2</v>
      </c>
      <c r="V16">
        <v>3964.01</v>
      </c>
      <c r="W16">
        <v>4078.22</v>
      </c>
      <c r="X16">
        <v>4200.2899999999991</v>
      </c>
      <c r="Y16">
        <v>4325.9699999999993</v>
      </c>
      <c r="Z16">
        <v>4457.0000000000018</v>
      </c>
      <c r="AA16">
        <v>4590.03</v>
      </c>
      <c r="AB16">
        <v>4728.5300000000007</v>
      </c>
      <c r="AC16">
        <v>4875.51</v>
      </c>
      <c r="AD16">
        <v>5028.54</v>
      </c>
      <c r="AE16">
        <v>5188.1000000000004</v>
      </c>
      <c r="AF16">
        <v>5353.7899999999991</v>
      </c>
      <c r="AG16">
        <v>5526.5000000000018</v>
      </c>
      <c r="AH16">
        <v>5709.93</v>
      </c>
      <c r="AI16">
        <v>5902.43</v>
      </c>
      <c r="AJ16">
        <v>6104.119999999999</v>
      </c>
      <c r="AK16">
        <v>6308.13</v>
      </c>
      <c r="AL16">
        <v>6522.2000000000007</v>
      </c>
      <c r="AM16">
        <v>6747.1300000000019</v>
      </c>
    </row>
    <row r="23" spans="1:39">
      <c r="A23" t="s">
        <v>808</v>
      </c>
    </row>
    <row r="24" spans="1:39">
      <c r="A24">
        <v>2012</v>
      </c>
      <c r="B24">
        <v>2013</v>
      </c>
      <c r="C24">
        <v>2014</v>
      </c>
      <c r="D24">
        <v>2015</v>
      </c>
      <c r="E24">
        <v>2016</v>
      </c>
      <c r="F24">
        <v>2017</v>
      </c>
      <c r="G24">
        <v>2018</v>
      </c>
      <c r="H24">
        <v>2019</v>
      </c>
      <c r="I24">
        <v>2020</v>
      </c>
      <c r="J24">
        <v>2021</v>
      </c>
      <c r="K24">
        <v>2022</v>
      </c>
      <c r="L24">
        <v>2023</v>
      </c>
      <c r="M24">
        <v>2024</v>
      </c>
      <c r="N24">
        <v>2025</v>
      </c>
      <c r="O24">
        <v>2026</v>
      </c>
      <c r="P24">
        <v>2027</v>
      </c>
      <c r="Q24">
        <v>2028</v>
      </c>
      <c r="R24">
        <v>2029</v>
      </c>
      <c r="S24">
        <v>2030</v>
      </c>
      <c r="T24">
        <v>2031</v>
      </c>
      <c r="U24">
        <v>2032</v>
      </c>
      <c r="V24">
        <v>2033</v>
      </c>
      <c r="W24">
        <v>2034</v>
      </c>
      <c r="X24">
        <v>2035</v>
      </c>
      <c r="Y24">
        <v>2036</v>
      </c>
      <c r="Z24">
        <v>2037</v>
      </c>
      <c r="AA24">
        <v>2038</v>
      </c>
      <c r="AB24">
        <v>2039</v>
      </c>
      <c r="AC24">
        <v>2040</v>
      </c>
      <c r="AD24">
        <v>2041</v>
      </c>
      <c r="AE24">
        <v>2042</v>
      </c>
      <c r="AF24">
        <v>2043</v>
      </c>
      <c r="AG24">
        <v>2044</v>
      </c>
      <c r="AH24">
        <v>2045</v>
      </c>
      <c r="AI24">
        <v>2046</v>
      </c>
      <c r="AJ24">
        <v>2047</v>
      </c>
      <c r="AK24">
        <v>2048</v>
      </c>
      <c r="AL24">
        <v>2049</v>
      </c>
      <c r="AM24">
        <v>2050</v>
      </c>
    </row>
    <row r="25" spans="1:39">
      <c r="A25">
        <v>3179.7</v>
      </c>
      <c r="B25">
        <v>3121</v>
      </c>
      <c r="C25">
        <v>3062.3</v>
      </c>
      <c r="D25">
        <v>3003.5</v>
      </c>
      <c r="E25">
        <v>2988.7</v>
      </c>
      <c r="F25">
        <v>2948.5</v>
      </c>
      <c r="G25">
        <v>2871.8</v>
      </c>
      <c r="H25">
        <v>2827.2999999999997</v>
      </c>
      <c r="I25">
        <v>2676.7</v>
      </c>
      <c r="J25">
        <v>2688.1</v>
      </c>
      <c r="K25">
        <v>2681.1</v>
      </c>
      <c r="L25">
        <v>2687.3</v>
      </c>
      <c r="M25">
        <v>2686.4</v>
      </c>
      <c r="N25">
        <v>2737.1000000000004</v>
      </c>
      <c r="O25">
        <v>2743.8</v>
      </c>
      <c r="P25">
        <v>2750.4</v>
      </c>
      <c r="Q25">
        <v>2757</v>
      </c>
      <c r="R25">
        <v>2763.7000000000003</v>
      </c>
      <c r="S25">
        <v>2770.3</v>
      </c>
      <c r="T25">
        <v>2659.6</v>
      </c>
      <c r="U25">
        <v>2548.6999999999998</v>
      </c>
      <c r="V25">
        <v>2437.9</v>
      </c>
      <c r="W25">
        <v>2327.1</v>
      </c>
      <c r="X25">
        <v>2216.3000000000002</v>
      </c>
      <c r="Y25">
        <v>2018.3000000000002</v>
      </c>
      <c r="Z25">
        <v>1820.3</v>
      </c>
      <c r="AA25">
        <v>1622.3000000000002</v>
      </c>
      <c r="AB25">
        <v>1424.4</v>
      </c>
      <c r="AC25">
        <v>1226.4000000000001</v>
      </c>
      <c r="AD25">
        <v>1151.4000000000001</v>
      </c>
      <c r="AE25">
        <v>1076.4000000000001</v>
      </c>
      <c r="AF25">
        <v>1001.4000000000001</v>
      </c>
      <c r="AG25">
        <v>926.4</v>
      </c>
      <c r="AH25">
        <v>851.4</v>
      </c>
      <c r="AI25">
        <v>776.3</v>
      </c>
      <c r="AJ25">
        <v>701.3</v>
      </c>
      <c r="AK25">
        <v>626.30000000000007</v>
      </c>
      <c r="AL25">
        <v>551.29999999999995</v>
      </c>
      <c r="AM25">
        <v>476.4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3544-355D-4E30-8B64-E8C8D544FB30}">
  <sheetPr>
    <tabColor theme="6" tint="-0.249977111117893"/>
  </sheetPr>
  <dimension ref="A1:AP23"/>
  <sheetViews>
    <sheetView workbookViewId="0">
      <selection activeCell="A18" sqref="A18"/>
    </sheetView>
  </sheetViews>
  <sheetFormatPr defaultRowHeight="15"/>
  <cols>
    <col min="1" max="1" width="37.7109375" bestFit="1" customWidth="1"/>
  </cols>
  <sheetData>
    <row r="1" spans="1:42">
      <c r="A1" t="s">
        <v>794</v>
      </c>
      <c r="B1" s="1504">
        <v>1</v>
      </c>
      <c r="C1" t="s">
        <v>795</v>
      </c>
      <c r="H1" t="s">
        <v>807</v>
      </c>
      <c r="K1" t="s">
        <v>806</v>
      </c>
      <c r="L1" t="s">
        <v>293</v>
      </c>
      <c r="M1" t="s">
        <v>804</v>
      </c>
      <c r="N1" t="s">
        <v>805</v>
      </c>
    </row>
    <row r="2" spans="1:42">
      <c r="H2">
        <v>1</v>
      </c>
      <c r="I2">
        <v>1</v>
      </c>
      <c r="J2" t="str">
        <f>K2&amp;L2</f>
        <v>W4C2CO2</v>
      </c>
      <c r="K2" t="s">
        <v>802</v>
      </c>
      <c r="L2" t="s">
        <v>190</v>
      </c>
      <c r="M2">
        <v>5</v>
      </c>
      <c r="N2">
        <v>1</v>
      </c>
    </row>
    <row r="3" spans="1:42">
      <c r="H3">
        <v>2</v>
      </c>
      <c r="I3">
        <v>69</v>
      </c>
      <c r="J3" t="str">
        <f t="shared" ref="J3:J9" si="0">K3&amp;L3</f>
        <v>W4ACH4</v>
      </c>
      <c r="K3" t="s">
        <v>800</v>
      </c>
      <c r="L3" t="s">
        <v>188</v>
      </c>
      <c r="M3">
        <v>1</v>
      </c>
      <c r="N3">
        <v>1</v>
      </c>
    </row>
    <row r="4" spans="1:42">
      <c r="H4">
        <v>3</v>
      </c>
      <c r="I4">
        <f>I3-I2+I3</f>
        <v>137</v>
      </c>
      <c r="J4" t="str">
        <f t="shared" si="0"/>
        <v>W4BCH4</v>
      </c>
      <c r="K4" t="s">
        <v>801</v>
      </c>
      <c r="L4" t="s">
        <v>188</v>
      </c>
      <c r="M4">
        <v>2</v>
      </c>
      <c r="N4">
        <v>2</v>
      </c>
    </row>
    <row r="5" spans="1:42">
      <c r="J5" t="str">
        <f t="shared" si="0"/>
        <v>W4C2CH4</v>
      </c>
      <c r="K5" t="s">
        <v>802</v>
      </c>
      <c r="L5" t="s">
        <v>188</v>
      </c>
      <c r="M5">
        <v>6</v>
      </c>
      <c r="N5">
        <v>1</v>
      </c>
    </row>
    <row r="6" spans="1:42">
      <c r="J6" t="str">
        <f t="shared" si="0"/>
        <v>W4D1CH4</v>
      </c>
      <c r="K6" t="s">
        <v>803</v>
      </c>
      <c r="L6" t="s">
        <v>188</v>
      </c>
      <c r="M6">
        <v>8</v>
      </c>
      <c r="N6">
        <v>1</v>
      </c>
    </row>
    <row r="7" spans="1:42">
      <c r="J7" t="str">
        <f t="shared" si="0"/>
        <v>W4BN2O</v>
      </c>
      <c r="K7" t="s">
        <v>801</v>
      </c>
      <c r="L7" t="s">
        <v>191</v>
      </c>
      <c r="M7">
        <v>4</v>
      </c>
      <c r="N7">
        <v>1</v>
      </c>
    </row>
    <row r="8" spans="1:42">
      <c r="J8" t="str">
        <f t="shared" si="0"/>
        <v>W4C2N2O</v>
      </c>
      <c r="K8" t="s">
        <v>802</v>
      </c>
      <c r="L8" t="s">
        <v>191</v>
      </c>
      <c r="M8">
        <v>7</v>
      </c>
      <c r="N8">
        <v>1</v>
      </c>
    </row>
    <row r="9" spans="1:42">
      <c r="J9" t="str">
        <f t="shared" si="0"/>
        <v>W4D1N2O</v>
      </c>
      <c r="K9" t="s">
        <v>803</v>
      </c>
      <c r="L9" t="s">
        <v>191</v>
      </c>
      <c r="M9">
        <v>9</v>
      </c>
      <c r="N9">
        <v>1</v>
      </c>
    </row>
    <row r="15" spans="1:42">
      <c r="D15">
        <v>2012</v>
      </c>
      <c r="E15">
        <f>D15+1</f>
        <v>2013</v>
      </c>
      <c r="F15">
        <f t="shared" ref="F15:AP15" si="1">E15+1</f>
        <v>2014</v>
      </c>
      <c r="G15">
        <f t="shared" si="1"/>
        <v>2015</v>
      </c>
      <c r="H15">
        <f t="shared" si="1"/>
        <v>2016</v>
      </c>
      <c r="I15">
        <f t="shared" si="1"/>
        <v>2017</v>
      </c>
      <c r="J15">
        <f t="shared" si="1"/>
        <v>2018</v>
      </c>
      <c r="K15">
        <f t="shared" si="1"/>
        <v>2019</v>
      </c>
      <c r="L15">
        <f t="shared" si="1"/>
        <v>2020</v>
      </c>
      <c r="M15">
        <f t="shared" si="1"/>
        <v>2021</v>
      </c>
      <c r="N15">
        <f t="shared" si="1"/>
        <v>2022</v>
      </c>
      <c r="O15">
        <f t="shared" si="1"/>
        <v>2023</v>
      </c>
      <c r="P15">
        <f t="shared" si="1"/>
        <v>2024</v>
      </c>
      <c r="Q15">
        <f t="shared" si="1"/>
        <v>2025</v>
      </c>
      <c r="R15">
        <f t="shared" si="1"/>
        <v>2026</v>
      </c>
      <c r="S15">
        <f t="shared" si="1"/>
        <v>2027</v>
      </c>
      <c r="T15">
        <f t="shared" si="1"/>
        <v>2028</v>
      </c>
      <c r="U15">
        <f t="shared" si="1"/>
        <v>2029</v>
      </c>
      <c r="V15">
        <f t="shared" si="1"/>
        <v>2030</v>
      </c>
      <c r="W15">
        <f t="shared" si="1"/>
        <v>2031</v>
      </c>
      <c r="X15">
        <f t="shared" si="1"/>
        <v>2032</v>
      </c>
      <c r="Y15">
        <f t="shared" si="1"/>
        <v>2033</v>
      </c>
      <c r="Z15">
        <f t="shared" si="1"/>
        <v>2034</v>
      </c>
      <c r="AA15">
        <f t="shared" si="1"/>
        <v>2035</v>
      </c>
      <c r="AB15">
        <f t="shared" si="1"/>
        <v>2036</v>
      </c>
      <c r="AC15">
        <f t="shared" si="1"/>
        <v>2037</v>
      </c>
      <c r="AD15">
        <f t="shared" si="1"/>
        <v>2038</v>
      </c>
      <c r="AE15">
        <f t="shared" si="1"/>
        <v>2039</v>
      </c>
      <c r="AF15">
        <f t="shared" si="1"/>
        <v>2040</v>
      </c>
      <c r="AG15">
        <f t="shared" si="1"/>
        <v>2041</v>
      </c>
      <c r="AH15">
        <f t="shared" si="1"/>
        <v>2042</v>
      </c>
      <c r="AI15">
        <f t="shared" si="1"/>
        <v>2043</v>
      </c>
      <c r="AJ15">
        <f t="shared" si="1"/>
        <v>2044</v>
      </c>
      <c r="AK15">
        <f t="shared" si="1"/>
        <v>2045</v>
      </c>
      <c r="AL15">
        <f t="shared" si="1"/>
        <v>2046</v>
      </c>
      <c r="AM15">
        <f t="shared" si="1"/>
        <v>2047</v>
      </c>
      <c r="AN15">
        <f t="shared" si="1"/>
        <v>2048</v>
      </c>
      <c r="AO15">
        <f t="shared" si="1"/>
        <v>2049</v>
      </c>
      <c r="AP15">
        <f t="shared" si="1"/>
        <v>2050</v>
      </c>
    </row>
    <row r="16" spans="1:42">
      <c r="A16" s="10" t="s">
        <v>797</v>
      </c>
      <c r="B16" t="s">
        <v>802</v>
      </c>
      <c r="C16" t="s">
        <v>190</v>
      </c>
      <c r="D16" s="1503">
        <f ca="1">SUM(OFFSET('Output data (results)'!$B$10,D$15-2000,INDEX($M$2:$M$9,MATCH($B16&amp;$C16,$J$2:$J$9,0)),1,INDEX($N$2:$N$9,MATCH($B16&amp;$C16,$J$2:$J$9,0))))</f>
        <v>43.933410626060876</v>
      </c>
      <c r="E16" s="1503">
        <f ca="1">SUM(OFFSET('Output data (results)'!$B$10,E$15-2000,INDEX($M$2:$M$9,MATCH($B16&amp;$C16,$J$2:$J$9,0)),1,INDEX($N$2:$N$9,MATCH($B16&amp;$C16,$J$2:$J$9,0))))</f>
        <v>44.593409426626771</v>
      </c>
      <c r="F16" s="1503">
        <f ca="1">SUM(OFFSET('Output data (results)'!$B$10,F$15-2000,INDEX($M$2:$M$9,MATCH($B16&amp;$C16,$J$2:$J$9,0)),1,INDEX($N$2:$N$9,MATCH($B16&amp;$C16,$J$2:$J$9,0))))</f>
        <v>45.148248565025312</v>
      </c>
      <c r="G16" s="1503">
        <f ca="1">SUM(OFFSET('Output data (results)'!$B$10,G$15-2000,INDEX($M$2:$M$9,MATCH($B16&amp;$C16,$J$2:$J$9,0)),1,INDEX($N$2:$N$9,MATCH($B16&amp;$C16,$J$2:$J$9,0))))</f>
        <v>45.592730106168659</v>
      </c>
      <c r="H16" s="1503">
        <f ca="1">SUM(OFFSET('Output data (results)'!$B$10,H$15-2000,INDEX($M$2:$M$9,MATCH($B16&amp;$C16,$J$2:$J$9,0)),1,INDEX($N$2:$N$9,MATCH($B16&amp;$C16,$J$2:$J$9,0))))</f>
        <v>45.922034763903604</v>
      </c>
      <c r="I16" s="1503">
        <f ca="1">SUM(OFFSET('Output data (results)'!$B$10,I$15-2000,INDEX($M$2:$M$9,MATCH($B16&amp;$C16,$J$2:$J$9,0)),1,INDEX($N$2:$N$9,MATCH($B16&amp;$C16,$J$2:$J$9,0))))</f>
        <v>46.129201907388399</v>
      </c>
      <c r="J16" s="714">
        <f ca="1">SUM(OFFSET('Output data (results)'!$B$10,J$15-2000+INDEX($I$2:$I$4,MATCH($B$1,$H$2:$H$4,0)),INDEX($M$2:$M$9,MATCH($B16&amp;$C16,$J$2:$J$9,0)),1,INDEX($N$2:$N$9,MATCH($B16&amp;$C16,$J$2:$J$9,0))))</f>
        <v>45.684843472316594</v>
      </c>
      <c r="K16" s="714">
        <f ca="1">SUM(OFFSET('Output data (results)'!$B$10,K$15-2000+INDEX($I$2:$I$4,MATCH($B$1,$H$2:$H$4,0)),INDEX($M$2:$M$9,MATCH($B16&amp;$C16,$J$2:$J$9,0)),1,INDEX($N$2:$N$9,MATCH($B16&amp;$C16,$J$2:$J$9,0))))</f>
        <v>45.280391299934749</v>
      </c>
      <c r="L16" s="714">
        <f ca="1">SUM(OFFSET('Output data (results)'!$B$10,L$15-2000+INDEX($I$2:$I$4,MATCH($B$1,$H$2:$H$4,0)),INDEX($M$2:$M$9,MATCH($B16&amp;$C16,$J$2:$J$9,0)),1,INDEX($N$2:$N$9,MATCH($B16&amp;$C16,$J$2:$J$9,0))))</f>
        <v>44.916724635304277</v>
      </c>
      <c r="M16" s="714">
        <f ca="1">SUM(OFFSET('Output data (results)'!$B$10,M$15-2000+INDEX($I$2:$I$4,MATCH($B$1,$H$2:$H$4,0)),INDEX($M$2:$M$9,MATCH($B16&amp;$C16,$J$2:$J$9,0)),1,INDEX($N$2:$N$9,MATCH($B16&amp;$C16,$J$2:$J$9,0))))</f>
        <v>44.39073714789162</v>
      </c>
      <c r="N16" s="714">
        <f ca="1">SUM(OFFSET('Output data (results)'!$B$10,N$15-2000+INDEX($I$2:$I$4,MATCH($B$1,$H$2:$H$4,0)),INDEX($M$2:$M$9,MATCH($B16&amp;$C16,$J$2:$J$9,0)),1,INDEX($N$2:$N$9,MATCH($B16&amp;$C16,$J$2:$J$9,0))))</f>
        <v>43.91125720487581</v>
      </c>
      <c r="O16" s="714">
        <f ca="1">SUM(OFFSET('Output data (results)'!$B$10,O$15-2000+INDEX($I$2:$I$4,MATCH($B$1,$H$2:$H$4,0)),INDEX($M$2:$M$9,MATCH($B16&amp;$C16,$J$2:$J$9,0)),1,INDEX($N$2:$N$9,MATCH($B16&amp;$C16,$J$2:$J$9,0))))</f>
        <v>43.480878431728819</v>
      </c>
      <c r="P16" s="714">
        <f ca="1">SUM(OFFSET('Output data (results)'!$B$10,P$15-2000+INDEX($I$2:$I$4,MATCH($B$1,$H$2:$H$4,0)),INDEX($M$2:$M$9,MATCH($B16&amp;$C16,$J$2:$J$9,0)),1,INDEX($N$2:$N$9,MATCH($B16&amp;$C16,$J$2:$J$9,0))))</f>
        <v>43.100302947996852</v>
      </c>
      <c r="Q16" s="714">
        <f ca="1">SUM(OFFSET('Output data (results)'!$B$10,Q$15-2000+INDEX($I$2:$I$4,MATCH($B$1,$H$2:$H$4,0)),INDEX($M$2:$M$9,MATCH($B16&amp;$C16,$J$2:$J$9,0)),1,INDEX($N$2:$N$9,MATCH($B16&amp;$C16,$J$2:$J$9,0))))</f>
        <v>42.771329928926491</v>
      </c>
      <c r="R16" s="714">
        <f ca="1">SUM(OFFSET('Output data (results)'!$B$10,R$15-2000+INDEX($I$2:$I$4,MATCH($B$1,$H$2:$H$4,0)),INDEX($M$2:$M$9,MATCH($B16&amp;$C16,$J$2:$J$9,0)),1,INDEX($N$2:$N$9,MATCH($B16&amp;$C16,$J$2:$J$9,0))))</f>
        <v>42.42593176456063</v>
      </c>
      <c r="S16" s="714">
        <f ca="1">SUM(OFFSET('Output data (results)'!$B$10,S$15-2000+INDEX($I$2:$I$4,MATCH($B$1,$H$2:$H$4,0)),INDEX($M$2:$M$9,MATCH($B16&amp;$C16,$J$2:$J$9,0)),1,INDEX($N$2:$N$9,MATCH($B16&amp;$C16,$J$2:$J$9,0))))</f>
        <v>42.138700059744401</v>
      </c>
      <c r="T16" s="714">
        <f ca="1">SUM(OFFSET('Output data (results)'!$B$10,T$15-2000+INDEX($I$2:$I$4,MATCH($B$1,$H$2:$H$4,0)),INDEX($M$2:$M$9,MATCH($B16&amp;$C16,$J$2:$J$9,0)),1,INDEX($N$2:$N$9,MATCH($B16&amp;$C16,$J$2:$J$9,0))))</f>
        <v>40.343736788541548</v>
      </c>
      <c r="U16" s="714">
        <f ca="1">SUM(OFFSET('Output data (results)'!$B$10,U$15-2000+INDEX($I$2:$I$4,MATCH($B$1,$H$2:$H$4,0)),INDEX($M$2:$M$9,MATCH($B16&amp;$C16,$J$2:$J$9,0)),1,INDEX($N$2:$N$9,MATCH($B16&amp;$C16,$J$2:$J$9,0))))</f>
        <v>38.625707586436</v>
      </c>
      <c r="V16" s="714">
        <f ca="1">SUM(OFFSET('Output data (results)'!$B$10,V$15-2000+INDEX($I$2:$I$4,MATCH($B$1,$H$2:$H$4,0)),INDEX($M$2:$M$9,MATCH($B16&amp;$C16,$J$2:$J$9,0)),1,INDEX($N$2:$N$9,MATCH($B16&amp;$C16,$J$2:$J$9,0))))</f>
        <v>36.980686724914783</v>
      </c>
      <c r="W16" s="714">
        <f ca="1">SUM(OFFSET('Output data (results)'!$B$10,W$15-2000+INDEX($I$2:$I$4,MATCH($B$1,$H$2:$H$4,0)),INDEX($M$2:$M$9,MATCH($B16&amp;$C16,$J$2:$J$9,0)),1,INDEX($N$2:$N$9,MATCH($B16&amp;$C16,$J$2:$J$9,0))))</f>
        <v>35.530518758769055</v>
      </c>
      <c r="X16" s="714">
        <f ca="1">SUM(OFFSET('Output data (results)'!$B$10,X$15-2000+INDEX($I$2:$I$4,MATCH($B$1,$H$2:$H$4,0)),INDEX($M$2:$M$9,MATCH($B16&amp;$C16,$J$2:$J$9,0)),1,INDEX($N$2:$N$9,MATCH($B16&amp;$C16,$J$2:$J$9,0))))</f>
        <v>34.052997605570212</v>
      </c>
      <c r="Y16" s="714">
        <f ca="1">SUM(OFFSET('Output data (results)'!$B$10,Y$15-2000+INDEX($I$2:$I$4,MATCH($B$1,$H$2:$H$4,0)),INDEX($M$2:$M$9,MATCH($B16&amp;$C16,$J$2:$J$9,0)),1,INDEX($N$2:$N$9,MATCH($B16&amp;$C16,$J$2:$J$9,0))))</f>
        <v>32.547244022212809</v>
      </c>
      <c r="Z16" s="714">
        <f ca="1">SUM(OFFSET('Output data (results)'!$B$10,Z$15-2000+INDEX($I$2:$I$4,MATCH($B$1,$H$2:$H$4,0)),INDEX($M$2:$M$9,MATCH($B16&amp;$C16,$J$2:$J$9,0)),1,INDEX($N$2:$N$9,MATCH($B16&amp;$C16,$J$2:$J$9,0))))</f>
        <v>31.013848456685704</v>
      </c>
      <c r="AA16" s="714">
        <f ca="1">SUM(OFFSET('Output data (results)'!$B$10,AA$15-2000+INDEX($I$2:$I$4,MATCH($B$1,$H$2:$H$4,0)),INDEX($M$2:$M$9,MATCH($B16&amp;$C16,$J$2:$J$9,0)),1,INDEX($N$2:$N$9,MATCH($B16&amp;$C16,$J$2:$J$9,0))))</f>
        <v>29.451477163949669</v>
      </c>
      <c r="AB16" s="714">
        <f ca="1">SUM(OFFSET('Output data (results)'!$B$10,AB$15-2000+INDEX($I$2:$I$4,MATCH($B$1,$H$2:$H$4,0)),INDEX($M$2:$M$9,MATCH($B16&amp;$C16,$J$2:$J$9,0)),1,INDEX($N$2:$N$9,MATCH($B16&amp;$C16,$J$2:$J$9,0))))</f>
        <v>27.826896026563723</v>
      </c>
      <c r="AC16" s="714">
        <f ca="1">SUM(OFFSET('Output data (results)'!$B$10,AC$15-2000+INDEX($I$2:$I$4,MATCH($B$1,$H$2:$H$4,0)),INDEX($M$2:$M$9,MATCH($B16&amp;$C16,$J$2:$J$9,0)),1,INDEX($N$2:$N$9,MATCH($B16&amp;$C16,$J$2:$J$9,0))))</f>
        <v>27.406952328833746</v>
      </c>
      <c r="AD16" s="714">
        <f ca="1">SUM(OFFSET('Output data (results)'!$B$10,AD$15-2000+INDEX($I$2:$I$4,MATCH($B$1,$H$2:$H$4,0)),INDEX($M$2:$M$9,MATCH($B16&amp;$C16,$J$2:$J$9,0)),1,INDEX($N$2:$N$9,MATCH($B16&amp;$C16,$J$2:$J$9,0))))</f>
        <v>26.424706803848768</v>
      </c>
      <c r="AE16" s="714">
        <f ca="1">SUM(OFFSET('Output data (results)'!$B$10,AE$15-2000+INDEX($I$2:$I$4,MATCH($B$1,$H$2:$H$4,0)),INDEX($M$2:$M$9,MATCH($B16&amp;$C16,$J$2:$J$9,0)),1,INDEX($N$2:$N$9,MATCH($B16&amp;$C16,$J$2:$J$9,0))))</f>
        <v>25.426313486734525</v>
      </c>
      <c r="AF16" s="714">
        <f ca="1">SUM(OFFSET('Output data (results)'!$B$10,AF$15-2000+INDEX($I$2:$I$4,MATCH($B$1,$H$2:$H$4,0)),INDEX($M$2:$M$9,MATCH($B16&amp;$C16,$J$2:$J$9,0)),1,INDEX($N$2:$N$9,MATCH($B16&amp;$C16,$J$2:$J$9,0))))</f>
        <v>24.411620991939824</v>
      </c>
      <c r="AG16" s="714">
        <f ca="1">SUM(OFFSET('Output data (results)'!$B$10,AG$15-2000+INDEX($I$2:$I$4,MATCH($B$1,$H$2:$H$4,0)),INDEX($M$2:$M$9,MATCH($B16&amp;$C16,$J$2:$J$9,0)),1,INDEX($N$2:$N$9,MATCH($B16&amp;$C16,$J$2:$J$9,0))))</f>
        <v>23.355437642368543</v>
      </c>
      <c r="AH16" s="714">
        <f ca="1">SUM(OFFSET('Output data (results)'!$B$10,AH$15-2000+INDEX($I$2:$I$4,MATCH($B$1,$H$2:$H$4,0)),INDEX($M$2:$M$9,MATCH($B16&amp;$C16,$J$2:$J$9,0)),1,INDEX($N$2:$N$9,MATCH($B16&amp;$C16,$J$2:$J$9,0))))</f>
        <v>22.284934341027064</v>
      </c>
      <c r="AI16" s="714">
        <f ca="1">SUM(OFFSET('Output data (results)'!$B$10,AI$15-2000+INDEX($I$2:$I$4,MATCH($B$1,$H$2:$H$4,0)),INDEX($M$2:$M$9,MATCH($B16&amp;$C16,$J$2:$J$9,0)),1,INDEX($N$2:$N$9,MATCH($B16&amp;$C16,$J$2:$J$9,0))))</f>
        <v>21.200301721572483</v>
      </c>
      <c r="AJ16" s="714">
        <f ca="1">SUM(OFFSET('Output data (results)'!$B$10,AJ$15-2000+INDEX($I$2:$I$4,MATCH($B$1,$H$2:$H$4,0)),INDEX($M$2:$M$9,MATCH($B16&amp;$C16,$J$2:$J$9,0)),1,INDEX($N$2:$N$9,MATCH($B16&amp;$C16,$J$2:$J$9,0))))</f>
        <v>20.101113661712514</v>
      </c>
      <c r="AK16" s="714">
        <f ca="1">SUM(OFFSET('Output data (results)'!$B$10,AK$15-2000+INDEX($I$2:$I$4,MATCH($B$1,$H$2:$H$4,0)),INDEX($M$2:$M$9,MATCH($B16&amp;$C16,$J$2:$J$9,0)),1,INDEX($N$2:$N$9,MATCH($B16&amp;$C16,$J$2:$J$9,0))))</f>
        <v>18.987785069994899</v>
      </c>
      <c r="AL16" s="714">
        <f ca="1">SUM(OFFSET('Output data (results)'!$B$10,AL$15-2000+INDEX($I$2:$I$4,MATCH($B$1,$H$2:$H$4,0)),INDEX($M$2:$M$9,MATCH($B16&amp;$C16,$J$2:$J$9,0)),1,INDEX($N$2:$N$9,MATCH($B16&amp;$C16,$J$2:$J$9,0))))</f>
        <v>17.839862076389249</v>
      </c>
      <c r="AM16" s="714">
        <f ca="1">SUM(OFFSET('Output data (results)'!$B$10,AM$15-2000+INDEX($I$2:$I$4,MATCH($B$1,$H$2:$H$4,0)),INDEX($M$2:$M$9,MATCH($B16&amp;$C16,$J$2:$J$9,0)),1,INDEX($N$2:$N$9,MATCH($B16&amp;$C16,$J$2:$J$9,0))))</f>
        <v>16.679996444854655</v>
      </c>
      <c r="AN16" s="714">
        <f ca="1">SUM(OFFSET('Output data (results)'!$B$10,AN$15-2000+INDEX($I$2:$I$4,MATCH($B$1,$H$2:$H$4,0)),INDEX($M$2:$M$9,MATCH($B16&amp;$C16,$J$2:$J$9,0)),1,INDEX($N$2:$N$9,MATCH($B16&amp;$C16,$J$2:$J$9,0))))</f>
        <v>16.765220903314642</v>
      </c>
      <c r="AO16" s="714">
        <f ca="1">SUM(OFFSET('Output data (results)'!$B$10,AO$15-2000+INDEX($I$2:$I$4,MATCH($B$1,$H$2:$H$4,0)),INDEX($M$2:$M$9,MATCH($B16&amp;$C16,$J$2:$J$9,0)),1,INDEX($N$2:$N$9,MATCH($B16&amp;$C16,$J$2:$J$9,0))))</f>
        <v>16.850669636665316</v>
      </c>
      <c r="AP16" s="714">
        <f ca="1">SUM(OFFSET('Output data (results)'!$B$10,AP$15-2000+INDEX($I$2:$I$4,MATCH($B$1,$H$2:$H$4,0)),INDEX($M$2:$M$9,MATCH($B16&amp;$C16,$J$2:$J$9,0)),1,INDEX($N$2:$N$9,MATCH($B16&amp;$C16,$J$2:$J$9,0))))</f>
        <v>16.936791194688041</v>
      </c>
    </row>
    <row r="17" spans="1:42">
      <c r="A17" s="10" t="s">
        <v>796</v>
      </c>
      <c r="B17" t="s">
        <v>800</v>
      </c>
      <c r="C17" t="s">
        <v>188</v>
      </c>
      <c r="D17" s="1503">
        <f ca="1">SUM(OFFSET('Output data (results)'!$B$10,D$15-2000,INDEX($M$2:$M$9,MATCH($B17&amp;$C17,$J$2:$J$9,0)),1,INDEX($N$2:$N$9,MATCH($B17&amp;$C17,$J$2:$J$9,0))))</f>
        <v>1996.1005649261076</v>
      </c>
      <c r="E17" s="1503">
        <f ca="1">SUM(OFFSET('Output data (results)'!$B$10,E$15-2000,INDEX($M$2:$M$9,MATCH($B17&amp;$C17,$J$2:$J$9,0)),1,INDEX($N$2:$N$9,MATCH($B17&amp;$C17,$J$2:$J$9,0))))</f>
        <v>2044.3998675511548</v>
      </c>
      <c r="F17" s="1503">
        <f ca="1">SUM(OFFSET('Output data (results)'!$B$10,F$15-2000,INDEX($M$2:$M$9,MATCH($B17&amp;$C17,$J$2:$J$9,0)),1,INDEX($N$2:$N$9,MATCH($B17&amp;$C17,$J$2:$J$9,0))))</f>
        <v>2091.0947097999683</v>
      </c>
      <c r="G17" s="1503">
        <f ca="1">SUM(OFFSET('Output data (results)'!$B$10,G$15-2000,INDEX($M$2:$M$9,MATCH($B17&amp;$C17,$J$2:$J$9,0)),1,INDEX($N$2:$N$9,MATCH($B17&amp;$C17,$J$2:$J$9,0))))</f>
        <v>2135.6665101569706</v>
      </c>
      <c r="H17" s="1503">
        <f ca="1">SUM(OFFSET('Output data (results)'!$B$10,H$15-2000,INDEX($M$2:$M$9,MATCH($B17&amp;$C17,$J$2:$J$9,0)),1,INDEX($N$2:$N$9,MATCH($B17&amp;$C17,$J$2:$J$9,0))))</f>
        <v>2177.5745881463745</v>
      </c>
      <c r="I17" s="1503">
        <f ca="1">SUM(OFFSET('Output data (results)'!$B$10,I$15-2000,INDEX($M$2:$M$9,MATCH($B17&amp;$C17,$J$2:$J$9,0)),1,INDEX($N$2:$N$9,MATCH($B17&amp;$C17,$J$2:$J$9,0))))</f>
        <v>2216.4378269410986</v>
      </c>
      <c r="J17" s="714">
        <f ca="1">SUM(OFFSET('Output data (results)'!$B$10,J$15-2000+INDEX($I$2:$I$4,MATCH($B$1,$H$2:$H$4,0)),INDEX($M$2:$M$9,MATCH($B17&amp;$C17,$J$2:$J$9,0)),1,INDEX($N$2:$N$9,MATCH($B17&amp;$C17,$J$2:$J$9,0))))</f>
        <v>2252.9713671294257</v>
      </c>
      <c r="K17" s="714">
        <f ca="1">SUM(OFFSET('Output data (results)'!$B$10,K$15-2000+INDEX($I$2:$I$4,MATCH($B$1,$H$2:$H$4,0)),INDEX($M$2:$M$9,MATCH($B17&amp;$C17,$J$2:$J$9,0)),1,INDEX($N$2:$N$9,MATCH($B17&amp;$C17,$J$2:$J$9,0))))</f>
        <v>2281.7472169080979</v>
      </c>
      <c r="L17" s="714">
        <f ca="1">SUM(OFFSET('Output data (results)'!$B$10,L$15-2000+INDEX($I$2:$I$4,MATCH($B$1,$H$2:$H$4,0)),INDEX($M$2:$M$9,MATCH($B17&amp;$C17,$J$2:$J$9,0)),1,INDEX($N$2:$N$9,MATCH($B17&amp;$C17,$J$2:$J$9,0))))</f>
        <v>2303.1930994646541</v>
      </c>
      <c r="M17" s="714">
        <f ca="1">SUM(OFFSET('Output data (results)'!$B$10,M$15-2000+INDEX($I$2:$I$4,MATCH($B$1,$H$2:$H$4,0)),INDEX($M$2:$M$9,MATCH($B17&amp;$C17,$J$2:$J$9,0)),1,INDEX($N$2:$N$9,MATCH($B17&amp;$C17,$J$2:$J$9,0))))</f>
        <v>2308.8806797186576</v>
      </c>
      <c r="N17" s="714">
        <f ca="1">SUM(OFFSET('Output data (results)'!$B$10,N$15-2000+INDEX($I$2:$I$4,MATCH($B$1,$H$2:$H$4,0)),INDEX($M$2:$M$9,MATCH($B17&amp;$C17,$J$2:$J$9,0)),1,INDEX($N$2:$N$9,MATCH($B17&amp;$C17,$J$2:$J$9,0))))</f>
        <v>2310.4946042176366</v>
      </c>
      <c r="O17" s="714">
        <f ca="1">SUM(OFFSET('Output data (results)'!$B$10,O$15-2000+INDEX($I$2:$I$4,MATCH($B$1,$H$2:$H$4,0)),INDEX($M$2:$M$9,MATCH($B17&amp;$C17,$J$2:$J$9,0)),1,INDEX($N$2:$N$9,MATCH($B17&amp;$C17,$J$2:$J$9,0))))</f>
        <v>2308.2107103174512</v>
      </c>
      <c r="P17" s="714">
        <f ca="1">SUM(OFFSET('Output data (results)'!$B$10,P$15-2000+INDEX($I$2:$I$4,MATCH($B$1,$H$2:$H$4,0)),INDEX($M$2:$M$9,MATCH($B17&amp;$C17,$J$2:$J$9,0)),1,INDEX($N$2:$N$9,MATCH($B17&amp;$C17,$J$2:$J$9,0))))</f>
        <v>2302.3085954549806</v>
      </c>
      <c r="Q17" s="714">
        <f ca="1">SUM(OFFSET('Output data (results)'!$B$10,Q$15-2000+INDEX($I$2:$I$4,MATCH($B$1,$H$2:$H$4,0)),INDEX($M$2:$M$9,MATCH($B17&amp;$C17,$J$2:$J$9,0)),1,INDEX($N$2:$N$9,MATCH($B17&amp;$C17,$J$2:$J$9,0))))</f>
        <v>2292.9721753573613</v>
      </c>
      <c r="R17" s="714">
        <f ca="1">SUM(OFFSET('Output data (results)'!$B$10,R$15-2000+INDEX($I$2:$I$4,MATCH($B$1,$H$2:$H$4,0)),INDEX($M$2:$M$9,MATCH($B17&amp;$C17,$J$2:$J$9,0)),1,INDEX($N$2:$N$9,MATCH($B17&amp;$C17,$J$2:$J$9,0))))</f>
        <v>2280.5176861141508</v>
      </c>
      <c r="S17" s="714">
        <f ca="1">SUM(OFFSET('Output data (results)'!$B$10,S$15-2000+INDEX($I$2:$I$4,MATCH($B$1,$H$2:$H$4,0)),INDEX($M$2:$M$9,MATCH($B17&amp;$C17,$J$2:$J$9,0)),1,INDEX($N$2:$N$9,MATCH($B17&amp;$C17,$J$2:$J$9,0))))</f>
        <v>2265.4545307840744</v>
      </c>
      <c r="T17" s="714">
        <f ca="1">SUM(OFFSET('Output data (results)'!$B$10,T$15-2000+INDEX($I$2:$I$4,MATCH($B$1,$H$2:$H$4,0)),INDEX($M$2:$M$9,MATCH($B17&amp;$C17,$J$2:$J$9,0)),1,INDEX($N$2:$N$9,MATCH($B17&amp;$C17,$J$2:$J$9,0))))</f>
        <v>2247.9342283403398</v>
      </c>
      <c r="U17" s="714">
        <f ca="1">SUM(OFFSET('Output data (results)'!$B$10,U$15-2000+INDEX($I$2:$I$4,MATCH($B$1,$H$2:$H$4,0)),INDEX($M$2:$M$9,MATCH($B17&amp;$C17,$J$2:$J$9,0)),1,INDEX($N$2:$N$9,MATCH($B17&amp;$C17,$J$2:$J$9,0))))</f>
        <v>2228.4881092899263</v>
      </c>
      <c r="V17" s="714">
        <f ca="1">SUM(OFFSET('Output data (results)'!$B$10,V$15-2000+INDEX($I$2:$I$4,MATCH($B$1,$H$2:$H$4,0)),INDEX($M$2:$M$9,MATCH($B17&amp;$C17,$J$2:$J$9,0)),1,INDEX($N$2:$N$9,MATCH($B17&amp;$C17,$J$2:$J$9,0))))</f>
        <v>2207.3102469622681</v>
      </c>
      <c r="W17" s="714">
        <f ca="1">SUM(OFFSET('Output data (results)'!$B$10,W$15-2000+INDEX($I$2:$I$4,MATCH($B$1,$H$2:$H$4,0)),INDEX($M$2:$M$9,MATCH($B17&amp;$C17,$J$2:$J$9,0)),1,INDEX($N$2:$N$9,MATCH($B17&amp;$C17,$J$2:$J$9,0))))</f>
        <v>2184.584109666705</v>
      </c>
      <c r="X17" s="714">
        <f ca="1">SUM(OFFSET('Output data (results)'!$B$10,X$15-2000+INDEX($I$2:$I$4,MATCH($B$1,$H$2:$H$4,0)),INDEX($M$2:$M$9,MATCH($B17&amp;$C17,$J$2:$J$9,0)),1,INDEX($N$2:$N$9,MATCH($B17&amp;$C17,$J$2:$J$9,0))))</f>
        <v>2162.0499184935452</v>
      </c>
      <c r="Y17" s="714">
        <f ca="1">SUM(OFFSET('Output data (results)'!$B$10,Y$15-2000+INDEX($I$2:$I$4,MATCH($B$1,$H$2:$H$4,0)),INDEX($M$2:$M$9,MATCH($B17&amp;$C17,$J$2:$J$9,0)),1,INDEX($N$2:$N$9,MATCH($B17&amp;$C17,$J$2:$J$9,0))))</f>
        <v>2139.5473759064935</v>
      </c>
      <c r="Z17" s="714">
        <f ca="1">SUM(OFFSET('Output data (results)'!$B$10,Z$15-2000+INDEX($I$2:$I$4,MATCH($B$1,$H$2:$H$4,0)),INDEX($M$2:$M$9,MATCH($B17&amp;$C17,$J$2:$J$9,0)),1,INDEX($N$2:$N$9,MATCH($B17&amp;$C17,$J$2:$J$9,0))))</f>
        <v>2117.2212814007048</v>
      </c>
      <c r="AA17" s="714">
        <f ca="1">SUM(OFFSET('Output data (results)'!$B$10,AA$15-2000+INDEX($I$2:$I$4,MATCH($B$1,$H$2:$H$4,0)),INDEX($M$2:$M$9,MATCH($B17&amp;$C17,$J$2:$J$9,0)),1,INDEX($N$2:$N$9,MATCH($B17&amp;$C17,$J$2:$J$9,0))))</f>
        <v>2095.1345634951904</v>
      </c>
      <c r="AB17" s="714">
        <f ca="1">SUM(OFFSET('Output data (results)'!$B$10,AB$15-2000+INDEX($I$2:$I$4,MATCH($B$1,$H$2:$H$4,0)),INDEX($M$2:$M$9,MATCH($B17&amp;$C17,$J$2:$J$9,0)),1,INDEX($N$2:$N$9,MATCH($B17&amp;$C17,$J$2:$J$9,0))))</f>
        <v>2073.3446967177265</v>
      </c>
      <c r="AC17" s="714">
        <f ca="1">SUM(OFFSET('Output data (results)'!$B$10,AC$15-2000+INDEX($I$2:$I$4,MATCH($B$1,$H$2:$H$4,0)),INDEX($M$2:$M$9,MATCH($B17&amp;$C17,$J$2:$J$9,0)),1,INDEX($N$2:$N$9,MATCH($B17&amp;$C17,$J$2:$J$9,0))))</f>
        <v>2051.8163858538751</v>
      </c>
      <c r="AD17" s="714">
        <f ca="1">SUM(OFFSET('Output data (results)'!$B$10,AD$15-2000+INDEX($I$2:$I$4,MATCH($B$1,$H$2:$H$4,0)),INDEX($M$2:$M$9,MATCH($B17&amp;$C17,$J$2:$J$9,0)),1,INDEX($N$2:$N$9,MATCH($B17&amp;$C17,$J$2:$J$9,0))))</f>
        <v>2030.8732940734199</v>
      </c>
      <c r="AE17" s="714">
        <f ca="1">SUM(OFFSET('Output data (results)'!$B$10,AE$15-2000+INDEX($I$2:$I$4,MATCH($B$1,$H$2:$H$4,0)),INDEX($M$2:$M$9,MATCH($B17&amp;$C17,$J$2:$J$9,0)),1,INDEX($N$2:$N$9,MATCH($B17&amp;$C17,$J$2:$J$9,0))))</f>
        <v>2010.3095516788273</v>
      </c>
      <c r="AF17" s="714">
        <f ca="1">SUM(OFFSET('Output data (results)'!$B$10,AF$15-2000+INDEX($I$2:$I$4,MATCH($B$1,$H$2:$H$4,0)),INDEX($M$2:$M$9,MATCH($B17&amp;$C17,$J$2:$J$9,0)),1,INDEX($N$2:$N$9,MATCH($B17&amp;$C17,$J$2:$J$9,0))))</f>
        <v>1990.1238217148596</v>
      </c>
      <c r="AG17" s="714">
        <f ca="1">SUM(OFFSET('Output data (results)'!$B$10,AG$15-2000+INDEX($I$2:$I$4,MATCH($B$1,$H$2:$H$4,0)),INDEX($M$2:$M$9,MATCH($B17&amp;$C17,$J$2:$J$9,0)),1,INDEX($N$2:$N$9,MATCH($B17&amp;$C17,$J$2:$J$9,0))))</f>
        <v>1970.3539271664285</v>
      </c>
      <c r="AH17" s="714">
        <f ca="1">SUM(OFFSET('Output data (results)'!$B$10,AH$15-2000+INDEX($I$2:$I$4,MATCH($B$1,$H$2:$H$4,0)),INDEX($M$2:$M$9,MATCH($B17&amp;$C17,$J$2:$J$9,0)),1,INDEX($N$2:$N$9,MATCH($B17&amp;$C17,$J$2:$J$9,0))))</f>
        <v>1949.5838463743007</v>
      </c>
      <c r="AI17" s="714">
        <f ca="1">SUM(OFFSET('Output data (results)'!$B$10,AI$15-2000+INDEX($I$2:$I$4,MATCH($B$1,$H$2:$H$4,0)),INDEX($M$2:$M$9,MATCH($B17&amp;$C17,$J$2:$J$9,0)),1,INDEX($N$2:$N$9,MATCH($B17&amp;$C17,$J$2:$J$9,0))))</f>
        <v>1927.9196524830388</v>
      </c>
      <c r="AJ17" s="714">
        <f ca="1">SUM(OFFSET('Output data (results)'!$B$10,AJ$15-2000+INDEX($I$2:$I$4,MATCH($B$1,$H$2:$H$4,0)),INDEX($M$2:$M$9,MATCH($B17&amp;$C17,$J$2:$J$9,0)),1,INDEX($N$2:$N$9,MATCH($B17&amp;$C17,$J$2:$J$9,0))))</f>
        <v>1905.4508362582528</v>
      </c>
      <c r="AK17" s="714">
        <f ca="1">SUM(OFFSET('Output data (results)'!$B$10,AK$15-2000+INDEX($I$2:$I$4,MATCH($B$1,$H$2:$H$4,0)),INDEX($M$2:$M$9,MATCH($B17&amp;$C17,$J$2:$J$9,0)),1,INDEX($N$2:$N$9,MATCH($B17&amp;$C17,$J$2:$J$9,0))))</f>
        <v>1882.2675867964365</v>
      </c>
      <c r="AL17" s="714">
        <f ca="1">SUM(OFFSET('Output data (results)'!$B$10,AL$15-2000+INDEX($I$2:$I$4,MATCH($B$1,$H$2:$H$4,0)),INDEX($M$2:$M$9,MATCH($B17&amp;$C17,$J$2:$J$9,0)),1,INDEX($N$2:$N$9,MATCH($B17&amp;$C17,$J$2:$J$9,0))))</f>
        <v>1858.4899493722078</v>
      </c>
      <c r="AM17" s="714">
        <f ca="1">SUM(OFFSET('Output data (results)'!$B$10,AM$15-2000+INDEX($I$2:$I$4,MATCH($B$1,$H$2:$H$4,0)),INDEX($M$2:$M$9,MATCH($B17&amp;$C17,$J$2:$J$9,0)),1,INDEX($N$2:$N$9,MATCH($B17&amp;$C17,$J$2:$J$9,0))))</f>
        <v>1834.1965983636569</v>
      </c>
      <c r="AN17" s="714">
        <f ca="1">SUM(OFFSET('Output data (results)'!$B$10,AN$15-2000+INDEX($I$2:$I$4,MATCH($B$1,$H$2:$H$4,0)),INDEX($M$2:$M$9,MATCH($B17&amp;$C17,$J$2:$J$9,0)),1,INDEX($N$2:$N$9,MATCH($B17&amp;$C17,$J$2:$J$9,0))))</f>
        <v>1809.4628171385887</v>
      </c>
      <c r="AO17" s="714">
        <f ca="1">SUM(OFFSET('Output data (results)'!$B$10,AO$15-2000+INDEX($I$2:$I$4,MATCH($B$1,$H$2:$H$4,0)),INDEX($M$2:$M$9,MATCH($B17&amp;$C17,$J$2:$J$9,0)),1,INDEX($N$2:$N$9,MATCH($B17&amp;$C17,$J$2:$J$9,0))))</f>
        <v>1784.6447357224545</v>
      </c>
      <c r="AP17" s="714">
        <f ca="1">SUM(OFFSET('Output data (results)'!$B$10,AP$15-2000+INDEX($I$2:$I$4,MATCH($B$1,$H$2:$H$4,0)),INDEX($M$2:$M$9,MATCH($B17&amp;$C17,$J$2:$J$9,0)),1,INDEX($N$2:$N$9,MATCH($B17&amp;$C17,$J$2:$J$9,0))))</f>
        <v>1759.8060232700573</v>
      </c>
    </row>
    <row r="18" spans="1:42">
      <c r="A18" s="10" t="s">
        <v>799</v>
      </c>
      <c r="B18" t="s">
        <v>801</v>
      </c>
      <c r="C18" t="s">
        <v>188</v>
      </c>
      <c r="D18" s="1503">
        <f ca="1">SUM(OFFSET('Output data (results)'!$B$10,D$15-2000,INDEX($M$2:$M$9,MATCH($B18&amp;$C18,$J$2:$J$9,0)),1,INDEX($N$2:$N$9,MATCH($B18&amp;$C18,$J$2:$J$9,0))))</f>
        <v>29.899496491468216</v>
      </c>
      <c r="E18" s="1503">
        <f ca="1">SUM(OFFSET('Output data (results)'!$B$10,E$15-2000,INDEX($M$2:$M$9,MATCH($B18&amp;$C18,$J$2:$J$9,0)),1,INDEX($N$2:$N$9,MATCH($B18&amp;$C18,$J$2:$J$9,0))))</f>
        <v>31.575490087907731</v>
      </c>
      <c r="F18" s="1503">
        <f ca="1">SUM(OFFSET('Output data (results)'!$B$10,F$15-2000,INDEX($M$2:$M$9,MATCH($B18&amp;$C18,$J$2:$J$9,0)),1,INDEX($N$2:$N$9,MATCH($B18&amp;$C18,$J$2:$J$9,0))))</f>
        <v>33.062627605849308</v>
      </c>
      <c r="G18" s="1503">
        <f ca="1">SUM(OFFSET('Output data (results)'!$B$10,G$15-2000,INDEX($M$2:$M$9,MATCH($B18&amp;$C18,$J$2:$J$9,0)),1,INDEX($N$2:$N$9,MATCH($B18&amp;$C18,$J$2:$J$9,0))))</f>
        <v>34.348879361612049</v>
      </c>
      <c r="H18" s="1503">
        <f ca="1">SUM(OFFSET('Output data (results)'!$B$10,H$15-2000,INDEX($M$2:$M$9,MATCH($B18&amp;$C18,$J$2:$J$9,0)),1,INDEX($N$2:$N$9,MATCH($B18&amp;$C18,$J$2:$J$9,0))))</f>
        <v>35.455438837855411</v>
      </c>
      <c r="I18" s="1503">
        <f ca="1">SUM(OFFSET('Output data (results)'!$B$10,I$15-2000,INDEX($M$2:$M$9,MATCH($B18&amp;$C18,$J$2:$J$9,0)),1,INDEX($N$2:$N$9,MATCH($B18&amp;$C18,$J$2:$J$9,0))))</f>
        <v>36.577498682836271</v>
      </c>
      <c r="J18" s="714">
        <f ca="1">SUM(OFFSET('Output data (results)'!$B$10,J$15-2000+INDEX($I$2:$I$4,MATCH($B$1,$H$2:$H$4,0)),INDEX($M$2:$M$9,MATCH($B18&amp;$C18,$J$2:$J$9,0)),1,INDEX($N$2:$N$9,MATCH($B18&amp;$C18,$J$2:$J$9,0))))</f>
        <v>37.319023145186236</v>
      </c>
      <c r="K18" s="714">
        <f ca="1">SUM(OFFSET('Output data (results)'!$B$10,K$15-2000+INDEX($I$2:$I$4,MATCH($B$1,$H$2:$H$4,0)),INDEX($M$2:$M$9,MATCH($B18&amp;$C18,$J$2:$J$9,0)),1,INDEX($N$2:$N$9,MATCH($B18&amp;$C18,$J$2:$J$9,0))))</f>
        <v>37.419457875117949</v>
      </c>
      <c r="L18" s="714">
        <f ca="1">SUM(OFFSET('Output data (results)'!$B$10,L$15-2000+INDEX($I$2:$I$4,MATCH($B$1,$H$2:$H$4,0)),INDEX($M$2:$M$9,MATCH($B18&amp;$C18,$J$2:$J$9,0)),1,INDEX($N$2:$N$9,MATCH($B18&amp;$C18,$J$2:$J$9,0))))</f>
        <v>33.787104366427201</v>
      </c>
      <c r="M18" s="714">
        <f ca="1">SUM(OFFSET('Output data (results)'!$B$10,M$15-2000+INDEX($I$2:$I$4,MATCH($B$1,$H$2:$H$4,0)),INDEX($M$2:$M$9,MATCH($B18&amp;$C18,$J$2:$J$9,0)),1,INDEX($N$2:$N$9,MATCH($B18&amp;$C18,$J$2:$J$9,0))))</f>
        <v>33.64942958095169</v>
      </c>
      <c r="N18" s="714">
        <f ca="1">SUM(OFFSET('Output data (results)'!$B$10,N$15-2000+INDEX($I$2:$I$4,MATCH($B$1,$H$2:$H$4,0)),INDEX($M$2:$M$9,MATCH($B18&amp;$C18,$J$2:$J$9,0)),1,INDEX($N$2:$N$9,MATCH($B18&amp;$C18,$J$2:$J$9,0))))</f>
        <v>33.669282451335782</v>
      </c>
      <c r="O18" s="714">
        <f ca="1">SUM(OFFSET('Output data (results)'!$B$10,O$15-2000+INDEX($I$2:$I$4,MATCH($B$1,$H$2:$H$4,0)),INDEX($M$2:$M$9,MATCH($B18&amp;$C18,$J$2:$J$9,0)),1,INDEX($N$2:$N$9,MATCH($B18&amp;$C18,$J$2:$J$9,0))))</f>
        <v>33.686701135885201</v>
      </c>
      <c r="P18" s="714">
        <f ca="1">SUM(OFFSET('Output data (results)'!$B$10,P$15-2000+INDEX($I$2:$I$4,MATCH($B$1,$H$2:$H$4,0)),INDEX($M$2:$M$9,MATCH($B18&amp;$C18,$J$2:$J$9,0)),1,INDEX($N$2:$N$9,MATCH($B18&amp;$C18,$J$2:$J$9,0))))</f>
        <v>33.727400303484544</v>
      </c>
      <c r="Q18" s="714">
        <f ca="1">SUM(OFFSET('Output data (results)'!$B$10,Q$15-2000+INDEX($I$2:$I$4,MATCH($B$1,$H$2:$H$4,0)),INDEX($M$2:$M$9,MATCH($B18&amp;$C18,$J$2:$J$9,0)),1,INDEX($N$2:$N$9,MATCH($B18&amp;$C18,$J$2:$J$9,0))))</f>
        <v>32.763662971552918</v>
      </c>
      <c r="R18" s="714">
        <f ca="1">SUM(OFFSET('Output data (results)'!$B$10,R$15-2000+INDEX($I$2:$I$4,MATCH($B$1,$H$2:$H$4,0)),INDEX($M$2:$M$9,MATCH($B18&amp;$C18,$J$2:$J$9,0)),1,INDEX($N$2:$N$9,MATCH($B18&amp;$C18,$J$2:$J$9,0))))</f>
        <v>32.829198043521565</v>
      </c>
      <c r="S18" s="714">
        <f ca="1">SUM(OFFSET('Output data (results)'!$B$10,S$15-2000+INDEX($I$2:$I$4,MATCH($B$1,$H$2:$H$4,0)),INDEX($M$2:$M$9,MATCH($B18&amp;$C18,$J$2:$J$9,0)),1,INDEX($N$2:$N$9,MATCH($B18&amp;$C18,$J$2:$J$9,0))))</f>
        <v>32.880182133026736</v>
      </c>
      <c r="T18" s="714">
        <f ca="1">SUM(OFFSET('Output data (results)'!$B$10,T$15-2000+INDEX($I$2:$I$4,MATCH($B$1,$H$2:$H$4,0)),INDEX($M$2:$M$9,MATCH($B18&amp;$C18,$J$2:$J$9,0)),1,INDEX($N$2:$N$9,MATCH($B18&amp;$C18,$J$2:$J$9,0))))</f>
        <v>30.721305568406422</v>
      </c>
      <c r="U18" s="714">
        <f ca="1">SUM(OFFSET('Output data (results)'!$B$10,U$15-2000+INDEX($I$2:$I$4,MATCH($B$1,$H$2:$H$4,0)),INDEX($M$2:$M$9,MATCH($B18&amp;$C18,$J$2:$J$9,0)),1,INDEX($N$2:$N$9,MATCH($B18&amp;$C18,$J$2:$J$9,0))))</f>
        <v>28.777341481613924</v>
      </c>
      <c r="V18" s="714">
        <f ca="1">SUM(OFFSET('Output data (results)'!$B$10,V$15-2000+INDEX($I$2:$I$4,MATCH($B$1,$H$2:$H$4,0)),INDEX($M$2:$M$9,MATCH($B18&amp;$C18,$J$2:$J$9,0)),1,INDEX($N$2:$N$9,MATCH($B18&amp;$C18,$J$2:$J$9,0))))</f>
        <v>27.059442591169073</v>
      </c>
      <c r="W18" s="714">
        <f ca="1">SUM(OFFSET('Output data (results)'!$B$10,W$15-2000+INDEX($I$2:$I$4,MATCH($B$1,$H$2:$H$4,0)),INDEX($M$2:$M$9,MATCH($B18&amp;$C18,$J$2:$J$9,0)),1,INDEX($N$2:$N$9,MATCH($B18&amp;$C18,$J$2:$J$9,0))))</f>
        <v>28.003611623323732</v>
      </c>
      <c r="X18" s="714">
        <f ca="1">SUM(OFFSET('Output data (results)'!$B$10,X$15-2000+INDEX($I$2:$I$4,MATCH($B$1,$H$2:$H$4,0)),INDEX($M$2:$M$9,MATCH($B18&amp;$C18,$J$2:$J$9,0)),1,INDEX($N$2:$N$9,MATCH($B18&amp;$C18,$J$2:$J$9,0))))</f>
        <v>28.820303490144521</v>
      </c>
      <c r="Y18" s="714">
        <f ca="1">SUM(OFFSET('Output data (results)'!$B$10,Y$15-2000+INDEX($I$2:$I$4,MATCH($B$1,$H$2:$H$4,0)),INDEX($M$2:$M$9,MATCH($B18&amp;$C18,$J$2:$J$9,0)),1,INDEX($N$2:$N$9,MATCH($B18&amp;$C18,$J$2:$J$9,0))))</f>
        <v>29.755548789975784</v>
      </c>
      <c r="Z18" s="714">
        <f ca="1">SUM(OFFSET('Output data (results)'!$B$10,Z$15-2000+INDEX($I$2:$I$4,MATCH($B$1,$H$2:$H$4,0)),INDEX($M$2:$M$9,MATCH($B18&amp;$C18,$J$2:$J$9,0)),1,INDEX($N$2:$N$9,MATCH($B18&amp;$C18,$J$2:$J$9,0))))</f>
        <v>30.748192886130248</v>
      </c>
      <c r="AA18" s="714">
        <f ca="1">SUM(OFFSET('Output data (results)'!$B$10,AA$15-2000+INDEX($I$2:$I$4,MATCH($B$1,$H$2:$H$4,0)),INDEX($M$2:$M$9,MATCH($B18&amp;$C18,$J$2:$J$9,0)),1,INDEX($N$2:$N$9,MATCH($B18&amp;$C18,$J$2:$J$9,0))))</f>
        <v>31.795977174551741</v>
      </c>
      <c r="AB18" s="714">
        <f ca="1">SUM(OFFSET('Output data (results)'!$B$10,AB$15-2000+INDEX($I$2:$I$4,MATCH($B$1,$H$2:$H$4,0)),INDEX($M$2:$M$9,MATCH($B18&amp;$C18,$J$2:$J$9,0)),1,INDEX($N$2:$N$9,MATCH($B18&amp;$C18,$J$2:$J$9,0))))</f>
        <v>34.563189401408799</v>
      </c>
      <c r="AC18" s="714">
        <f ca="1">SUM(OFFSET('Output data (results)'!$B$10,AC$15-2000+INDEX($I$2:$I$4,MATCH($B$1,$H$2:$H$4,0)),INDEX($M$2:$M$9,MATCH($B18&amp;$C18,$J$2:$J$9,0)),1,INDEX($N$2:$N$9,MATCH($B18&amp;$C18,$J$2:$J$9,0))))</f>
        <v>37.967776482335161</v>
      </c>
      <c r="AD18" s="714">
        <f ca="1">SUM(OFFSET('Output data (results)'!$B$10,AD$15-2000+INDEX($I$2:$I$4,MATCH($B$1,$H$2:$H$4,0)),INDEX($M$2:$M$9,MATCH($B18&amp;$C18,$J$2:$J$9,0)),1,INDEX($N$2:$N$9,MATCH($B18&amp;$C18,$J$2:$J$9,0))))</f>
        <v>41.062267122689505</v>
      </c>
      <c r="AE18" s="714">
        <f ca="1">SUM(OFFSET('Output data (results)'!$B$10,AE$15-2000+INDEX($I$2:$I$4,MATCH($B$1,$H$2:$H$4,0)),INDEX($M$2:$M$9,MATCH($B18&amp;$C18,$J$2:$J$9,0)),1,INDEX($N$2:$N$9,MATCH($B18&amp;$C18,$J$2:$J$9,0))))</f>
        <v>44.167844069715635</v>
      </c>
      <c r="AF18" s="714">
        <f ca="1">SUM(OFFSET('Output data (results)'!$B$10,AF$15-2000+INDEX($I$2:$I$4,MATCH($B$1,$H$2:$H$4,0)),INDEX($M$2:$M$9,MATCH($B18&amp;$C18,$J$2:$J$9,0)),1,INDEX($N$2:$N$9,MATCH($B18&amp;$C18,$J$2:$J$9,0))))</f>
        <v>47.321718477603632</v>
      </c>
      <c r="AG18" s="714">
        <f ca="1">SUM(OFFSET('Output data (results)'!$B$10,AG$15-2000+INDEX($I$2:$I$4,MATCH($B$1,$H$2:$H$4,0)),INDEX($M$2:$M$9,MATCH($B18&amp;$C18,$J$2:$J$9,0)),1,INDEX($N$2:$N$9,MATCH($B18&amp;$C18,$J$2:$J$9,0))))</f>
        <v>46.81629868967245</v>
      </c>
      <c r="AH18" s="714">
        <f ca="1">SUM(OFFSET('Output data (results)'!$B$10,AH$15-2000+INDEX($I$2:$I$4,MATCH($B$1,$H$2:$H$4,0)),INDEX($M$2:$M$9,MATCH($B18&amp;$C18,$J$2:$J$9,0)),1,INDEX($N$2:$N$9,MATCH($B18&amp;$C18,$J$2:$J$9,0))))</f>
        <v>46.358856353263505</v>
      </c>
      <c r="AI18" s="714">
        <f ca="1">SUM(OFFSET('Output data (results)'!$B$10,AI$15-2000+INDEX($I$2:$I$4,MATCH($B$1,$H$2:$H$4,0)),INDEX($M$2:$M$9,MATCH($B18&amp;$C18,$J$2:$J$9,0)),1,INDEX($N$2:$N$9,MATCH($B18&amp;$C18,$J$2:$J$9,0))))</f>
        <v>45.939828966996956</v>
      </c>
      <c r="AJ18" s="714">
        <f ca="1">SUM(OFFSET('Output data (results)'!$B$10,AJ$15-2000+INDEX($I$2:$I$4,MATCH($B$1,$H$2:$H$4,0)),INDEX($M$2:$M$9,MATCH($B18&amp;$C18,$J$2:$J$9,0)),1,INDEX($N$2:$N$9,MATCH($B18&amp;$C18,$J$2:$J$9,0))))</f>
        <v>45.563472131518253</v>
      </c>
      <c r="AK18" s="714">
        <f ca="1">SUM(OFFSET('Output data (results)'!$B$10,AK$15-2000+INDEX($I$2:$I$4,MATCH($B$1,$H$2:$H$4,0)),INDEX($M$2:$M$9,MATCH($B18&amp;$C18,$J$2:$J$9,0)),1,INDEX($N$2:$N$9,MATCH($B18&amp;$C18,$J$2:$J$9,0))))</f>
        <v>45.259010372615826</v>
      </c>
      <c r="AL18" s="714">
        <f ca="1">SUM(OFFSET('Output data (results)'!$B$10,AL$15-2000+INDEX($I$2:$I$4,MATCH($B$1,$H$2:$H$4,0)),INDEX($M$2:$M$9,MATCH($B18&amp;$C18,$J$2:$J$9,0)),1,INDEX($N$2:$N$9,MATCH($B18&amp;$C18,$J$2:$J$9,0))))</f>
        <v>44.99356425077211</v>
      </c>
      <c r="AM18" s="714">
        <f ca="1">SUM(OFFSET('Output data (results)'!$B$10,AM$15-2000+INDEX($I$2:$I$4,MATCH($B$1,$H$2:$H$4,0)),INDEX($M$2:$M$9,MATCH($B18&amp;$C18,$J$2:$J$9,0)),1,INDEX($N$2:$N$9,MATCH($B18&amp;$C18,$J$2:$J$9,0))))</f>
        <v>44.769074106143286</v>
      </c>
      <c r="AN18" s="714">
        <f ca="1">SUM(OFFSET('Output data (results)'!$B$10,AN$15-2000+INDEX($I$2:$I$4,MATCH($B$1,$H$2:$H$4,0)),INDEX($M$2:$M$9,MATCH($B18&amp;$C18,$J$2:$J$9,0)),1,INDEX($N$2:$N$9,MATCH($B18&amp;$C18,$J$2:$J$9,0))))</f>
        <v>45.168165607300644</v>
      </c>
      <c r="AO18" s="714">
        <f ca="1">SUM(OFFSET('Output data (results)'!$B$10,AO$15-2000+INDEX($I$2:$I$4,MATCH($B$1,$H$2:$H$4,0)),INDEX($M$2:$M$9,MATCH($B18&amp;$C18,$J$2:$J$9,0)),1,INDEX($N$2:$N$9,MATCH($B18&amp;$C18,$J$2:$J$9,0))))</f>
        <v>45.617497002531223</v>
      </c>
      <c r="AP18" s="714">
        <f ca="1">SUM(OFFSET('Output data (results)'!$B$10,AP$15-2000+INDEX($I$2:$I$4,MATCH($B$1,$H$2:$H$4,0)),INDEX($M$2:$M$9,MATCH($B18&amp;$C18,$J$2:$J$9,0)),1,INDEX($N$2:$N$9,MATCH($B18&amp;$C18,$J$2:$J$9,0))))</f>
        <v>46.114778456411827</v>
      </c>
    </row>
    <row r="19" spans="1:42">
      <c r="A19" s="10" t="s">
        <v>797</v>
      </c>
      <c r="B19" t="s">
        <v>802</v>
      </c>
      <c r="C19" t="s">
        <v>188</v>
      </c>
      <c r="D19" s="1503">
        <f ca="1">SUM(OFFSET('Output data (results)'!$B$10,D$15-2000,INDEX($M$2:$M$9,MATCH($B19&amp;$C19,$J$2:$J$9,0)),1,INDEX($N$2:$N$9,MATCH($B19&amp;$C19,$J$2:$J$9,0))))</f>
        <v>10.819303086999998</v>
      </c>
      <c r="E19" s="1503">
        <f ca="1">SUM(OFFSET('Output data (results)'!$B$10,E$15-2000,INDEX($M$2:$M$9,MATCH($B19&amp;$C19,$J$2:$J$9,0)),1,INDEX($N$2:$N$9,MATCH($B19&amp;$C19,$J$2:$J$9,0))))</f>
        <v>10.981838318356314</v>
      </c>
      <c r="F19" s="1503">
        <f ca="1">SUM(OFFSET('Output data (results)'!$B$10,F$15-2000,INDEX($M$2:$M$9,MATCH($B19&amp;$C19,$J$2:$J$9,0)),1,INDEX($N$2:$N$9,MATCH($B19&amp;$C19,$J$2:$J$9,0))))</f>
        <v>11.118476305649359</v>
      </c>
      <c r="G19" s="1503">
        <f ca="1">SUM(OFFSET('Output data (results)'!$B$10,G$15-2000,INDEX($M$2:$M$9,MATCH($B19&amp;$C19,$J$2:$J$9,0)),1,INDEX($N$2:$N$9,MATCH($B19&amp;$C19,$J$2:$J$9,0))))</f>
        <v>11.22793697445876</v>
      </c>
      <c r="H19" s="1503">
        <f ca="1">SUM(OFFSET('Output data (results)'!$B$10,H$15-2000,INDEX($M$2:$M$9,MATCH($B19&amp;$C19,$J$2:$J$9,0)),1,INDEX($N$2:$N$9,MATCH($B19&amp;$C19,$J$2:$J$9,0))))</f>
        <v>11.309033498703608</v>
      </c>
      <c r="I19" s="1503">
        <f ca="1">SUM(OFFSET('Output data (results)'!$B$10,I$15-2000,INDEX($M$2:$M$9,MATCH($B19&amp;$C19,$J$2:$J$9,0)),1,INDEX($N$2:$N$9,MATCH($B19&amp;$C19,$J$2:$J$9,0))))</f>
        <v>11.360051712019839</v>
      </c>
      <c r="J19" s="714">
        <f ca="1">SUM(OFFSET('Output data (results)'!$B$10,J$15-2000+INDEX($I$2:$I$4,MATCH($B$1,$H$2:$H$4,0)),INDEX($M$2:$M$9,MATCH($B19&amp;$C19,$J$2:$J$9,0)),1,INDEX($N$2:$N$9,MATCH($B19&amp;$C19,$J$2:$J$9,0))))</f>
        <v>11.25062136004405</v>
      </c>
      <c r="K19" s="714">
        <f ca="1">SUM(OFFSET('Output data (results)'!$B$10,K$15-2000+INDEX($I$2:$I$4,MATCH($B$1,$H$2:$H$4,0)),INDEX($M$2:$M$9,MATCH($B19&amp;$C19,$J$2:$J$9,0)),1,INDEX($N$2:$N$9,MATCH($B19&amp;$C19,$J$2:$J$9,0))))</f>
        <v>11.151018561744593</v>
      </c>
      <c r="L19" s="714">
        <f ca="1">SUM(OFFSET('Output data (results)'!$B$10,L$15-2000+INDEX($I$2:$I$4,MATCH($B$1,$H$2:$H$4,0)),INDEX($M$2:$M$9,MATCH($B19&amp;$C19,$J$2:$J$9,0)),1,INDEX($N$2:$N$9,MATCH($B19&amp;$C19,$J$2:$J$9,0))))</f>
        <v>11.061459845241448</v>
      </c>
      <c r="M19" s="714">
        <f ca="1">SUM(OFFSET('Output data (results)'!$B$10,M$15-2000+INDEX($I$2:$I$4,MATCH($B$1,$H$2:$H$4,0)),INDEX($M$2:$M$9,MATCH($B19&amp;$C19,$J$2:$J$9,0)),1,INDEX($N$2:$N$9,MATCH($B19&amp;$C19,$J$2:$J$9,0))))</f>
        <v>10.931927037175978</v>
      </c>
      <c r="N19" s="714">
        <f ca="1">SUM(OFFSET('Output data (results)'!$B$10,N$15-2000+INDEX($I$2:$I$4,MATCH($B$1,$H$2:$H$4,0)),INDEX($M$2:$M$9,MATCH($B19&amp;$C19,$J$2:$J$9,0)),1,INDEX($N$2:$N$9,MATCH($B19&amp;$C19,$J$2:$J$9,0))))</f>
        <v>10.813847453694965</v>
      </c>
      <c r="O19" s="714">
        <f ca="1">SUM(OFFSET('Output data (results)'!$B$10,O$15-2000+INDEX($I$2:$I$4,MATCH($B$1,$H$2:$H$4,0)),INDEX($M$2:$M$9,MATCH($B19&amp;$C19,$J$2:$J$9,0)),1,INDEX($N$2:$N$9,MATCH($B19&amp;$C19,$J$2:$J$9,0))))</f>
        <v>10.707859816438173</v>
      </c>
      <c r="P19" s="714">
        <f ca="1">SUM(OFFSET('Output data (results)'!$B$10,P$15-2000+INDEX($I$2:$I$4,MATCH($B$1,$H$2:$H$4,0)),INDEX($M$2:$M$9,MATCH($B19&amp;$C19,$J$2:$J$9,0)),1,INDEX($N$2:$N$9,MATCH($B19&amp;$C19,$J$2:$J$9,0))))</f>
        <v>10.61413703354239</v>
      </c>
      <c r="Q19" s="714">
        <f ca="1">SUM(OFFSET('Output data (results)'!$B$10,Q$15-2000+INDEX($I$2:$I$4,MATCH($B$1,$H$2:$H$4,0)),INDEX($M$2:$M$9,MATCH($B19&amp;$C19,$J$2:$J$9,0)),1,INDEX($N$2:$N$9,MATCH($B19&amp;$C19,$J$2:$J$9,0))))</f>
        <v>10.533122180608201</v>
      </c>
      <c r="R19" s="714">
        <f ca="1">SUM(OFFSET('Output data (results)'!$B$10,R$15-2000+INDEX($I$2:$I$4,MATCH($B$1,$H$2:$H$4,0)),INDEX($M$2:$M$9,MATCH($B19&amp;$C19,$J$2:$J$9,0)),1,INDEX($N$2:$N$9,MATCH($B19&amp;$C19,$J$2:$J$9,0))))</f>
        <v>10.448062373670492</v>
      </c>
      <c r="S19" s="714">
        <f ca="1">SUM(OFFSET('Output data (results)'!$B$10,S$15-2000+INDEX($I$2:$I$4,MATCH($B$1,$H$2:$H$4,0)),INDEX($M$2:$M$9,MATCH($B19&amp;$C19,$J$2:$J$9,0)),1,INDEX($N$2:$N$9,MATCH($B19&amp;$C19,$J$2:$J$9,0))))</f>
        <v>10.377326985128654</v>
      </c>
      <c r="T19" s="714">
        <f ca="1">SUM(OFFSET('Output data (results)'!$B$10,T$15-2000+INDEX($I$2:$I$4,MATCH($B$1,$H$2:$H$4,0)),INDEX($M$2:$M$9,MATCH($B19&amp;$C19,$J$2:$J$9,0)),1,INDEX($N$2:$N$9,MATCH($B19&amp;$C19,$J$2:$J$9,0))))</f>
        <v>9.9352886506485021</v>
      </c>
      <c r="U19" s="714">
        <f ca="1">SUM(OFFSET('Output data (results)'!$B$10,U$15-2000+INDEX($I$2:$I$4,MATCH($B$1,$H$2:$H$4,0)),INDEX($M$2:$M$9,MATCH($B19&amp;$C19,$J$2:$J$9,0)),1,INDEX($N$2:$N$9,MATCH($B19&amp;$C19,$J$2:$J$9,0))))</f>
        <v>9.5121965577512011</v>
      </c>
      <c r="V19" s="714">
        <f ca="1">SUM(OFFSET('Output data (results)'!$B$10,V$15-2000+INDEX($I$2:$I$4,MATCH($B$1,$H$2:$H$4,0)),INDEX($M$2:$M$9,MATCH($B19&amp;$C19,$J$2:$J$9,0)),1,INDEX($N$2:$N$9,MATCH($B19&amp;$C19,$J$2:$J$9,0))))</f>
        <v>9.1070839331766287</v>
      </c>
      <c r="W19" s="714">
        <f ca="1">SUM(OFFSET('Output data (results)'!$B$10,W$15-2000+INDEX($I$2:$I$4,MATCH($B$1,$H$2:$H$4,0)),INDEX($M$2:$M$9,MATCH($B19&amp;$C19,$J$2:$J$9,0)),1,INDEX($N$2:$N$9,MATCH($B19&amp;$C19,$J$2:$J$9,0))))</f>
        <v>8.7499569419140357</v>
      </c>
      <c r="X19" s="714">
        <f ca="1">SUM(OFFSET('Output data (results)'!$B$10,X$15-2000+INDEX($I$2:$I$4,MATCH($B$1,$H$2:$H$4,0)),INDEX($M$2:$M$9,MATCH($B19&amp;$C19,$J$2:$J$9,0)),1,INDEX($N$2:$N$9,MATCH($B19&amp;$C19,$J$2:$J$9,0))))</f>
        <v>8.3860937920672249</v>
      </c>
      <c r="Y19" s="714">
        <f ca="1">SUM(OFFSET('Output data (results)'!$B$10,Y$15-2000+INDEX($I$2:$I$4,MATCH($B$1,$H$2:$H$4,0)),INDEX($M$2:$M$9,MATCH($B19&amp;$C19,$J$2:$J$9,0)),1,INDEX($N$2:$N$9,MATCH($B19&amp;$C19,$J$2:$J$9,0))))</f>
        <v>8.0152779559978917</v>
      </c>
      <c r="Z19" s="714">
        <f ca="1">SUM(OFFSET('Output data (results)'!$B$10,Z$15-2000+INDEX($I$2:$I$4,MATCH($B$1,$H$2:$H$4,0)),INDEX($M$2:$M$9,MATCH($B19&amp;$C19,$J$2:$J$9,0)),1,INDEX($N$2:$N$9,MATCH($B19&amp;$C19,$J$2:$J$9,0))))</f>
        <v>7.637654840940705</v>
      </c>
      <c r="AA19" s="714">
        <f ca="1">SUM(OFFSET('Output data (results)'!$B$10,AA$15-2000+INDEX($I$2:$I$4,MATCH($B$1,$H$2:$H$4,0)),INDEX($M$2:$M$9,MATCH($B19&amp;$C19,$J$2:$J$9,0)),1,INDEX($N$2:$N$9,MATCH($B19&amp;$C19,$J$2:$J$9,0))))</f>
        <v>7.2528959909070609</v>
      </c>
      <c r="AB19" s="714">
        <f ca="1">SUM(OFFSET('Output data (results)'!$B$10,AB$15-2000+INDEX($I$2:$I$4,MATCH($B$1,$H$2:$H$4,0)),INDEX($M$2:$M$9,MATCH($B19&amp;$C19,$J$2:$J$9,0)),1,INDEX($N$2:$N$9,MATCH($B19&amp;$C19,$J$2:$J$9,0))))</f>
        <v>6.8528169744062257</v>
      </c>
      <c r="AC19" s="714">
        <f ca="1">SUM(OFFSET('Output data (results)'!$B$10,AC$15-2000+INDEX($I$2:$I$4,MATCH($B$1,$H$2:$H$4,0)),INDEX($M$2:$M$9,MATCH($B19&amp;$C19,$J$2:$J$9,0)),1,INDEX($N$2:$N$9,MATCH($B19&amp;$C19,$J$2:$J$9,0))))</f>
        <v>6.7493991409061564</v>
      </c>
      <c r="AD19" s="714">
        <f ca="1">SUM(OFFSET('Output data (results)'!$B$10,AD$15-2000+INDEX($I$2:$I$4,MATCH($B$1,$H$2:$H$4,0)),INDEX($M$2:$M$9,MATCH($B19&amp;$C19,$J$2:$J$9,0)),1,INDEX($N$2:$N$9,MATCH($B19&amp;$C19,$J$2:$J$9,0))))</f>
        <v>6.5075055139552376</v>
      </c>
      <c r="AE19" s="714">
        <f ca="1">SUM(OFFSET('Output data (results)'!$B$10,AE$15-2000+INDEX($I$2:$I$4,MATCH($B$1,$H$2:$H$4,0)),INDEX($M$2:$M$9,MATCH($B19&amp;$C19,$J$2:$J$9,0)),1,INDEX($N$2:$N$9,MATCH($B19&amp;$C19,$J$2:$J$9,0))))</f>
        <v>6.2616352356416609</v>
      </c>
      <c r="AF19" s="714">
        <f ca="1">SUM(OFFSET('Output data (results)'!$B$10,AF$15-2000+INDEX($I$2:$I$4,MATCH($B$1,$H$2:$H$4,0)),INDEX($M$2:$M$9,MATCH($B19&amp;$C19,$J$2:$J$9,0)),1,INDEX($N$2:$N$9,MATCH($B19&amp;$C19,$J$2:$J$9,0))))</f>
        <v>6.0117510248589028</v>
      </c>
      <c r="AG19" s="714">
        <f ca="1">SUM(OFFSET('Output data (results)'!$B$10,AG$15-2000+INDEX($I$2:$I$4,MATCH($B$1,$H$2:$H$4,0)),INDEX($M$2:$M$9,MATCH($B19&amp;$C19,$J$2:$J$9,0)),1,INDEX($N$2:$N$9,MATCH($B19&amp;$C19,$J$2:$J$9,0))))</f>
        <v>5.7516490293248683</v>
      </c>
      <c r="AH19" s="714">
        <f ca="1">SUM(OFFSET('Output data (results)'!$B$10,AH$15-2000+INDEX($I$2:$I$4,MATCH($B$1,$H$2:$H$4,0)),INDEX($M$2:$M$9,MATCH($B19&amp;$C19,$J$2:$J$9,0)),1,INDEX($N$2:$N$9,MATCH($B19&amp;$C19,$J$2:$J$9,0))))</f>
        <v>5.4880205172699199</v>
      </c>
      <c r="AI19" s="714">
        <f ca="1">SUM(OFFSET('Output data (results)'!$B$10,AI$15-2000+INDEX($I$2:$I$4,MATCH($B$1,$H$2:$H$4,0)),INDEX($M$2:$M$9,MATCH($B19&amp;$C19,$J$2:$J$9,0)),1,INDEX($N$2:$N$9,MATCH($B19&amp;$C19,$J$2:$J$9,0))))</f>
        <v>5.220912435272643</v>
      </c>
      <c r="AJ19" s="714">
        <f ca="1">SUM(OFFSET('Output data (results)'!$B$10,AJ$15-2000+INDEX($I$2:$I$4,MATCH($B$1,$H$2:$H$4,0)),INDEX($M$2:$M$9,MATCH($B19&amp;$C19,$J$2:$J$9,0)),1,INDEX($N$2:$N$9,MATCH($B19&amp;$C19,$J$2:$J$9,0))))</f>
        <v>4.9502198439220866</v>
      </c>
      <c r="AK19" s="714">
        <f ca="1">SUM(OFFSET('Output data (results)'!$B$10,AK$15-2000+INDEX($I$2:$I$4,MATCH($B$1,$H$2:$H$4,0)),INDEX($M$2:$M$9,MATCH($B19&amp;$C19,$J$2:$J$9,0)),1,INDEX($N$2:$N$9,MATCH($B19&amp;$C19,$J$2:$J$9,0))))</f>
        <v>4.6760449210657562</v>
      </c>
      <c r="AL19" s="714">
        <f ca="1">SUM(OFFSET('Output data (results)'!$B$10,AL$15-2000+INDEX($I$2:$I$4,MATCH($B$1,$H$2:$H$4,0)),INDEX($M$2:$M$9,MATCH($B19&amp;$C19,$J$2:$J$9,0)),1,INDEX($N$2:$N$9,MATCH($B19&amp;$C19,$J$2:$J$9,0))))</f>
        <v>4.3933505749776192</v>
      </c>
      <c r="AM19" s="714">
        <f ca="1">SUM(OFFSET('Output data (results)'!$B$10,AM$15-2000+INDEX($I$2:$I$4,MATCH($B$1,$H$2:$H$4,0)),INDEX($M$2:$M$9,MATCH($B19&amp;$C19,$J$2:$J$9,0)),1,INDEX($N$2:$N$9,MATCH($B19&amp;$C19,$J$2:$J$9,0))))</f>
        <v>4.1077151638191802</v>
      </c>
      <c r="AN19" s="714">
        <f ca="1">SUM(OFFSET('Output data (results)'!$B$10,AN$15-2000+INDEX($I$2:$I$4,MATCH($B$1,$H$2:$H$4,0)),INDEX($M$2:$M$9,MATCH($B19&amp;$C19,$J$2:$J$9,0)),1,INDEX($N$2:$N$9,MATCH($B19&amp;$C19,$J$2:$J$9,0))))</f>
        <v>4.1287030460109868</v>
      </c>
      <c r="AO19" s="714">
        <f ca="1">SUM(OFFSET('Output data (results)'!$B$10,AO$15-2000+INDEX($I$2:$I$4,MATCH($B$1,$H$2:$H$4,0)),INDEX($M$2:$M$9,MATCH($B19&amp;$C19,$J$2:$J$9,0)),1,INDEX($N$2:$N$9,MATCH($B19&amp;$C19,$J$2:$J$9,0))))</f>
        <v>4.1497461594717198</v>
      </c>
      <c r="AP19" s="714">
        <f ca="1">SUM(OFFSET('Output data (results)'!$B$10,AP$15-2000+INDEX($I$2:$I$4,MATCH($B$1,$H$2:$H$4,0)),INDEX($M$2:$M$9,MATCH($B19&amp;$C19,$J$2:$J$9,0)),1,INDEX($N$2:$N$9,MATCH($B19&amp;$C19,$J$2:$J$9,0))))</f>
        <v>4.1709549667392309</v>
      </c>
    </row>
    <row r="20" spans="1:42">
      <c r="A20" s="10" t="s">
        <v>798</v>
      </c>
      <c r="B20" t="s">
        <v>803</v>
      </c>
      <c r="C20" t="s">
        <v>188</v>
      </c>
      <c r="D20" s="1503">
        <f ca="1">SUM(OFFSET('Output data (results)'!$B$10,D$15-2000,INDEX($M$2:$M$9,MATCH($B20&amp;$C20,$J$2:$J$9,0)),1,INDEX($N$2:$N$9,MATCH($B20&amp;$C20,$J$2:$J$9,0))))</f>
        <v>121.41922272207</v>
      </c>
      <c r="E20" s="1503">
        <f ca="1">SUM(OFFSET('Output data (results)'!$B$10,E$15-2000,INDEX($M$2:$M$9,MATCH($B20&amp;$C20,$J$2:$J$9,0)),1,INDEX($N$2:$N$9,MATCH($B20&amp;$C20,$J$2:$J$9,0))))</f>
        <v>123.22687823091842</v>
      </c>
      <c r="F20" s="1503">
        <f ca="1">SUM(OFFSET('Output data (results)'!$B$10,F$15-2000,INDEX($M$2:$M$9,MATCH($B20&amp;$C20,$J$2:$J$9,0)),1,INDEX($N$2:$N$9,MATCH($B20&amp;$C20,$J$2:$J$9,0))))</f>
        <v>125.10182771891525</v>
      </c>
      <c r="G20" s="1503">
        <f ca="1">SUM(OFFSET('Output data (results)'!$B$10,G$15-2000,INDEX($M$2:$M$9,MATCH($B20&amp;$C20,$J$2:$J$9,0)),1,INDEX($N$2:$N$9,MATCH($B20&amp;$C20,$J$2:$J$9,0))))</f>
        <v>127.04639166810001</v>
      </c>
      <c r="H20" s="1503">
        <f ca="1">SUM(OFFSET('Output data (results)'!$B$10,H$15-2000,INDEX($M$2:$M$9,MATCH($B20&amp;$C20,$J$2:$J$9,0)),1,INDEX($N$2:$N$9,MATCH($B20&amp;$C20,$J$2:$J$9,0))))</f>
        <v>129.06521104255199</v>
      </c>
      <c r="I20" s="1503">
        <f ca="1">SUM(OFFSET('Output data (results)'!$B$10,I$15-2000,INDEX($M$2:$M$9,MATCH($B20&amp;$C20,$J$2:$J$9,0)),1,INDEX($N$2:$N$9,MATCH($B20&amp;$C20,$J$2:$J$9,0))))</f>
        <v>131.15828584227123</v>
      </c>
      <c r="J20" s="714">
        <f ca="1">SUM(OFFSET('Output data (results)'!$B$10,J$15-2000+INDEX($I$2:$I$4,MATCH($B$1,$H$2:$H$4,0)),INDEX($M$2:$M$9,MATCH($B20&amp;$C20,$J$2:$J$9,0)),1,INDEX($N$2:$N$9,MATCH($B20&amp;$C20,$J$2:$J$9,0))))</f>
        <v>134.80820881535828</v>
      </c>
      <c r="K20" s="714">
        <f ca="1">SUM(OFFSET('Output data (results)'!$B$10,K$15-2000+INDEX($I$2:$I$4,MATCH($B$1,$H$2:$H$4,0)),INDEX($M$2:$M$9,MATCH($B20&amp;$C20,$J$2:$J$9,0)),1,INDEX($N$2:$N$9,MATCH($B20&amp;$C20,$J$2:$J$9,0))))</f>
        <v>138.54240079281473</v>
      </c>
      <c r="L20" s="714">
        <f ca="1">SUM(OFFSET('Output data (results)'!$B$10,L$15-2000+INDEX($I$2:$I$4,MATCH($B$1,$H$2:$H$4,0)),INDEX($M$2:$M$9,MATCH($B20&amp;$C20,$J$2:$J$9,0)),1,INDEX($N$2:$N$9,MATCH($B20&amp;$C20,$J$2:$J$9,0))))</f>
        <v>142.36205971856938</v>
      </c>
      <c r="M20" s="714">
        <f ca="1">SUM(OFFSET('Output data (results)'!$B$10,M$15-2000+INDEX($I$2:$I$4,MATCH($B$1,$H$2:$H$4,0)),INDEX($M$2:$M$9,MATCH($B20&amp;$C20,$J$2:$J$9,0)),1,INDEX($N$2:$N$9,MATCH($B20&amp;$C20,$J$2:$J$9,0))))</f>
        <v>145.59854093589945</v>
      </c>
      <c r="N20" s="714">
        <f ca="1">SUM(OFFSET('Output data (results)'!$B$10,N$15-2000+INDEX($I$2:$I$4,MATCH($B$1,$H$2:$H$4,0)),INDEX($M$2:$M$9,MATCH($B20&amp;$C20,$J$2:$J$9,0)),1,INDEX($N$2:$N$9,MATCH($B20&amp;$C20,$J$2:$J$9,0))))</f>
        <v>148.88856151515967</v>
      </c>
      <c r="O20" s="714">
        <f ca="1">SUM(OFFSET('Output data (results)'!$B$10,O$15-2000+INDEX($I$2:$I$4,MATCH($B$1,$H$2:$H$4,0)),INDEX($M$2:$M$9,MATCH($B20&amp;$C20,$J$2:$J$9,0)),1,INDEX($N$2:$N$9,MATCH($B20&amp;$C20,$J$2:$J$9,0))))</f>
        <v>152.2376409126438</v>
      </c>
      <c r="P20" s="714">
        <f ca="1">SUM(OFFSET('Output data (results)'!$B$10,P$15-2000+INDEX($I$2:$I$4,MATCH($B$1,$H$2:$H$4,0)),INDEX($M$2:$M$9,MATCH($B20&amp;$C20,$J$2:$J$9,0)),1,INDEX($N$2:$N$9,MATCH($B20&amp;$C20,$J$2:$J$9,0))))</f>
        <v>155.64399106583625</v>
      </c>
      <c r="Q20" s="714">
        <f ca="1">SUM(OFFSET('Output data (results)'!$B$10,Q$15-2000+INDEX($I$2:$I$4,MATCH($B$1,$H$2:$H$4,0)),INDEX($M$2:$M$9,MATCH($B20&amp;$C20,$J$2:$J$9,0)),1,INDEX($N$2:$N$9,MATCH($B20&amp;$C20,$J$2:$J$9,0))))</f>
        <v>159.10825087816576</v>
      </c>
      <c r="R20" s="714">
        <f ca="1">SUM(OFFSET('Output data (results)'!$B$10,R$15-2000+INDEX($I$2:$I$4,MATCH($B$1,$H$2:$H$4,0)),INDEX($M$2:$M$9,MATCH($B20&amp;$C20,$J$2:$J$9,0)),1,INDEX($N$2:$N$9,MATCH($B20&amp;$C20,$J$2:$J$9,0))))</f>
        <v>162.3622518163962</v>
      </c>
      <c r="S20" s="714">
        <f ca="1">SUM(OFFSET('Output data (results)'!$B$10,S$15-2000+INDEX($I$2:$I$4,MATCH($B$1,$H$2:$H$4,0)),INDEX($M$2:$M$9,MATCH($B20&amp;$C20,$J$2:$J$9,0)),1,INDEX($N$2:$N$9,MATCH($B20&amp;$C20,$J$2:$J$9,0))))</f>
        <v>165.66726312381803</v>
      </c>
      <c r="T20" s="714">
        <f ca="1">SUM(OFFSET('Output data (results)'!$B$10,T$15-2000+INDEX($I$2:$I$4,MATCH($B$1,$H$2:$H$4,0)),INDEX($M$2:$M$9,MATCH($B20&amp;$C20,$J$2:$J$9,0)),1,INDEX($N$2:$N$9,MATCH($B20&amp;$C20,$J$2:$J$9,0))))</f>
        <v>169.01861721537597</v>
      </c>
      <c r="U20" s="714">
        <f ca="1">SUM(OFFSET('Output data (results)'!$B$10,U$15-2000+INDEX($I$2:$I$4,MATCH($B$1,$H$2:$H$4,0)),INDEX($M$2:$M$9,MATCH($B20&amp;$C20,$J$2:$J$9,0)),1,INDEX($N$2:$N$9,MATCH($B20&amp;$C20,$J$2:$J$9,0))))</f>
        <v>172.42199327322078</v>
      </c>
      <c r="V20" s="714">
        <f ca="1">SUM(OFFSET('Output data (results)'!$B$10,V$15-2000+INDEX($I$2:$I$4,MATCH($B$1,$H$2:$H$4,0)),INDEX($M$2:$M$9,MATCH($B20&amp;$C20,$J$2:$J$9,0)),1,INDEX($N$2:$N$9,MATCH($B20&amp;$C20,$J$2:$J$9,0))))</f>
        <v>175.87528378312254</v>
      </c>
      <c r="W20" s="714">
        <f ca="1">SUM(OFFSET('Output data (results)'!$B$10,W$15-2000+INDEX($I$2:$I$4,MATCH($B$1,$H$2:$H$4,0)),INDEX($M$2:$M$9,MATCH($B20&amp;$C20,$J$2:$J$9,0)),1,INDEX($N$2:$N$9,MATCH($B20&amp;$C20,$J$2:$J$9,0))))</f>
        <v>179.14735481190519</v>
      </c>
      <c r="X20" s="714">
        <f ca="1">SUM(OFFSET('Output data (results)'!$B$10,X$15-2000+INDEX($I$2:$I$4,MATCH($B$1,$H$2:$H$4,0)),INDEX($M$2:$M$9,MATCH($B20&amp;$C20,$J$2:$J$9,0)),1,INDEX($N$2:$N$9,MATCH($B20&amp;$C20,$J$2:$J$9,0))))</f>
        <v>182.46300004329916</v>
      </c>
      <c r="Y20" s="714">
        <f ca="1">SUM(OFFSET('Output data (results)'!$B$10,Y$15-2000+INDEX($I$2:$I$4,MATCH($B$1,$H$2:$H$4,0)),INDEX($M$2:$M$9,MATCH($B20&amp;$C20,$J$2:$J$9,0)),1,INDEX($N$2:$N$9,MATCH($B20&amp;$C20,$J$2:$J$9,0))))</f>
        <v>185.81987237428893</v>
      </c>
      <c r="Z20" s="714">
        <f ca="1">SUM(OFFSET('Output data (results)'!$B$10,Z$15-2000+INDEX($I$2:$I$4,MATCH($B$1,$H$2:$H$4,0)),INDEX($M$2:$M$9,MATCH($B20&amp;$C20,$J$2:$J$9,0)),1,INDEX($N$2:$N$9,MATCH($B20&amp;$C20,$J$2:$J$9,0))))</f>
        <v>189.22383733385854</v>
      </c>
      <c r="AA20" s="714">
        <f ca="1">SUM(OFFSET('Output data (results)'!$B$10,AA$15-2000+INDEX($I$2:$I$4,MATCH($B$1,$H$2:$H$4,0)),INDEX($M$2:$M$9,MATCH($B20&amp;$C20,$J$2:$J$9,0)),1,INDEX($N$2:$N$9,MATCH($B20&amp;$C20,$J$2:$J$9,0))))</f>
        <v>192.66977478035747</v>
      </c>
      <c r="AB20" s="714">
        <f ca="1">SUM(OFFSET('Output data (results)'!$B$10,AB$15-2000+INDEX($I$2:$I$4,MATCH($B$1,$H$2:$H$4,0)),INDEX($M$2:$M$9,MATCH($B20&amp;$C20,$J$2:$J$9,0)),1,INDEX($N$2:$N$9,MATCH($B20&amp;$C20,$J$2:$J$9,0))))</f>
        <v>195.92624915733671</v>
      </c>
      <c r="AC20" s="714">
        <f ca="1">SUM(OFFSET('Output data (results)'!$B$10,AC$15-2000+INDEX($I$2:$I$4,MATCH($B$1,$H$2:$H$4,0)),INDEX($M$2:$M$9,MATCH($B20&amp;$C20,$J$2:$J$9,0)),1,INDEX($N$2:$N$9,MATCH($B20&amp;$C20,$J$2:$J$9,0))))</f>
        <v>199.21811618301393</v>
      </c>
      <c r="AD20" s="714">
        <f ca="1">SUM(OFFSET('Output data (results)'!$B$10,AD$15-2000+INDEX($I$2:$I$4,MATCH($B$1,$H$2:$H$4,0)),INDEX($M$2:$M$9,MATCH($B20&amp;$C20,$J$2:$J$9,0)),1,INDEX($N$2:$N$9,MATCH($B20&amp;$C20,$J$2:$J$9,0))))</f>
        <v>202.55137449125439</v>
      </c>
      <c r="AE20" s="714">
        <f ca="1">SUM(OFFSET('Output data (results)'!$B$10,AE$15-2000+INDEX($I$2:$I$4,MATCH($B$1,$H$2:$H$4,0)),INDEX($M$2:$M$9,MATCH($B20&amp;$C20,$J$2:$J$9,0)),1,INDEX($N$2:$N$9,MATCH($B20&amp;$C20,$J$2:$J$9,0))))</f>
        <v>205.92061110966921</v>
      </c>
      <c r="AF20" s="714">
        <f ca="1">SUM(OFFSET('Output data (results)'!$B$10,AF$15-2000+INDEX($I$2:$I$4,MATCH($B$1,$H$2:$H$4,0)),INDEX($M$2:$M$9,MATCH($B20&amp;$C20,$J$2:$J$9,0)),1,INDEX($N$2:$N$9,MATCH($B20&amp;$C20,$J$2:$J$9,0))))</f>
        <v>209.32606562704407</v>
      </c>
      <c r="AG20" s="714">
        <f ca="1">SUM(OFFSET('Output data (results)'!$B$10,AG$15-2000+INDEX($I$2:$I$4,MATCH($B$1,$H$2:$H$4,0)),INDEX($M$2:$M$9,MATCH($B20&amp;$C20,$J$2:$J$9,0)),1,INDEX($N$2:$N$9,MATCH($B20&amp;$C20,$J$2:$J$9,0))))</f>
        <v>212.54010495110225</v>
      </c>
      <c r="AH20" s="714">
        <f ca="1">SUM(OFFSET('Output data (results)'!$B$10,AH$15-2000+INDEX($I$2:$I$4,MATCH($B$1,$H$2:$H$4,0)),INDEX($M$2:$M$9,MATCH($B20&amp;$C20,$J$2:$J$9,0)),1,INDEX($N$2:$N$9,MATCH($B20&amp;$C20,$J$2:$J$9,0))))</f>
        <v>215.78375571491307</v>
      </c>
      <c r="AI20" s="714">
        <f ca="1">SUM(OFFSET('Output data (results)'!$B$10,AI$15-2000+INDEX($I$2:$I$4,MATCH($B$1,$H$2:$H$4,0)),INDEX($M$2:$M$9,MATCH($B20&amp;$C20,$J$2:$J$9,0)),1,INDEX($N$2:$N$9,MATCH($B20&amp;$C20,$J$2:$J$9,0))))</f>
        <v>219.06019027175444</v>
      </c>
      <c r="AJ20" s="714">
        <f ca="1">SUM(OFFSET('Output data (results)'!$B$10,AJ$15-2000+INDEX($I$2:$I$4,MATCH($B$1,$H$2:$H$4,0)),INDEX($M$2:$M$9,MATCH($B20&amp;$C20,$J$2:$J$9,0)),1,INDEX($N$2:$N$9,MATCH($B20&amp;$C20,$J$2:$J$9,0))))</f>
        <v>222.36660896201545</v>
      </c>
      <c r="AK20" s="714">
        <f ca="1">SUM(OFFSET('Output data (results)'!$B$10,AK$15-2000+INDEX($I$2:$I$4,MATCH($B$1,$H$2:$H$4,0)),INDEX($M$2:$M$9,MATCH($B20&amp;$C20,$J$2:$J$9,0)),1,INDEX($N$2:$N$9,MATCH($B20&amp;$C20,$J$2:$J$9,0))))</f>
        <v>225.70930325029914</v>
      </c>
      <c r="AL20" s="714">
        <f ca="1">SUM(OFFSET('Output data (results)'!$B$10,AL$15-2000+INDEX($I$2:$I$4,MATCH($B$1,$H$2:$H$4,0)),INDEX($M$2:$M$9,MATCH($B20&amp;$C20,$J$2:$J$9,0)),1,INDEX($N$2:$N$9,MATCH($B20&amp;$C20,$J$2:$J$9,0))))</f>
        <v>228.82882339897614</v>
      </c>
      <c r="AM20" s="714">
        <f ca="1">SUM(OFFSET('Output data (results)'!$B$10,AM$15-2000+INDEX($I$2:$I$4,MATCH($B$1,$H$2:$H$4,0)),INDEX($M$2:$M$9,MATCH($B20&amp;$C20,$J$2:$J$9,0)),1,INDEX($N$2:$N$9,MATCH($B20&amp;$C20,$J$2:$J$9,0))))</f>
        <v>231.97766661377796</v>
      </c>
      <c r="AN20" s="714">
        <f ca="1">SUM(OFFSET('Output data (results)'!$B$10,AN$15-2000+INDEX($I$2:$I$4,MATCH($B$1,$H$2:$H$4,0)),INDEX($M$2:$M$9,MATCH($B20&amp;$C20,$J$2:$J$9,0)),1,INDEX($N$2:$N$9,MATCH($B20&amp;$C20,$J$2:$J$9,0))))</f>
        <v>235.1529267511888</v>
      </c>
      <c r="AO20" s="714">
        <f ca="1">SUM(OFFSET('Output data (results)'!$B$10,AO$15-2000+INDEX($I$2:$I$4,MATCH($B$1,$H$2:$H$4,0)),INDEX($M$2:$M$9,MATCH($B20&amp;$C20,$J$2:$J$9,0)),1,INDEX($N$2:$N$9,MATCH($B20&amp;$C20,$J$2:$J$9,0))))</f>
        <v>238.35159118378778</v>
      </c>
      <c r="AP20" s="714">
        <f ca="1">SUM(OFFSET('Output data (results)'!$B$10,AP$15-2000+INDEX($I$2:$I$4,MATCH($B$1,$H$2:$H$4,0)),INDEX($M$2:$M$9,MATCH($B20&amp;$C20,$J$2:$J$9,0)),1,INDEX($N$2:$N$9,MATCH($B20&amp;$C20,$J$2:$J$9,0))))</f>
        <v>241.58013772301177</v>
      </c>
    </row>
    <row r="21" spans="1:42">
      <c r="A21" s="10" t="s">
        <v>799</v>
      </c>
      <c r="B21" t="s">
        <v>801</v>
      </c>
      <c r="C21" t="s">
        <v>191</v>
      </c>
      <c r="D21" s="1503">
        <f ca="1">SUM(OFFSET('Output data (results)'!$B$10,D$15-2000,INDEX($M$2:$M$9,MATCH($B21&amp;$C21,$J$2:$J$9,0)),1,INDEX($N$2:$N$9,MATCH($B21&amp;$C21,$J$2:$J$9,0))))</f>
        <v>1.7752826041809253</v>
      </c>
      <c r="E21" s="1503">
        <f ca="1">SUM(OFFSET('Output data (results)'!$B$10,E$15-2000,INDEX($M$2:$M$9,MATCH($B21&amp;$C21,$J$2:$J$9,0)),1,INDEX($N$2:$N$9,MATCH($B21&amp;$C21,$J$2:$J$9,0))))</f>
        <v>1.8747947239695217</v>
      </c>
      <c r="F21" s="1503">
        <f ca="1">SUM(OFFSET('Output data (results)'!$B$10,F$15-2000,INDEX($M$2:$M$9,MATCH($B21&amp;$C21,$J$2:$J$9,0)),1,INDEX($N$2:$N$9,MATCH($B21&amp;$C21,$J$2:$J$9,0))))</f>
        <v>1.9630935140973027</v>
      </c>
      <c r="G21" s="1503">
        <f ca="1">SUM(OFFSET('Output data (results)'!$B$10,G$15-2000,INDEX($M$2:$M$9,MATCH($B21&amp;$C21,$J$2:$J$9,0)),1,INDEX($N$2:$N$9,MATCH($B21&amp;$C21,$J$2:$J$9,0))))</f>
        <v>2.039464712095715</v>
      </c>
      <c r="H21" s="1503">
        <f ca="1">SUM(OFFSET('Output data (results)'!$B$10,H$15-2000,INDEX($M$2:$M$9,MATCH($B21&amp;$C21,$J$2:$J$9,0)),1,INDEX($N$2:$N$9,MATCH($B21&amp;$C21,$J$2:$J$9,0))))</f>
        <v>2.105166680997665</v>
      </c>
      <c r="I21" s="1503">
        <f ca="1">SUM(OFFSET('Output data (results)'!$B$10,I$15-2000,INDEX($M$2:$M$9,MATCH($B21&amp;$C21,$J$2:$J$9,0)),1,INDEX($N$2:$N$9,MATCH($B21&amp;$C21,$J$2:$J$9,0))))</f>
        <v>2.1717889842934035</v>
      </c>
      <c r="J21" s="714">
        <f ca="1">SUM(OFFSET('Output data (results)'!$B$10,J$15-2000+INDEX($I$2:$I$4,MATCH($B$1,$H$2:$H$4,0)),INDEX($M$2:$M$9,MATCH($B21&amp;$C21,$J$2:$J$9,0)),1,INDEX($N$2:$N$9,MATCH($B21&amp;$C21,$J$2:$J$9,0))))</f>
        <v>2.2109169174248993</v>
      </c>
      <c r="K21" s="714">
        <f ca="1">SUM(OFFSET('Output data (results)'!$B$10,K$15-2000+INDEX($I$2:$I$4,MATCH($B$1,$H$2:$H$4,0)),INDEX($M$2:$M$9,MATCH($B21&amp;$C21,$J$2:$J$9,0)),1,INDEX($N$2:$N$9,MATCH($B21&amp;$C21,$J$2:$J$9,0))))</f>
        <v>2.2118704972792176</v>
      </c>
      <c r="L21" s="714">
        <f ca="1">SUM(OFFSET('Output data (results)'!$B$10,L$15-2000+INDEX($I$2:$I$4,MATCH($B$1,$H$2:$H$4,0)),INDEX($M$2:$M$9,MATCH($B21&amp;$C21,$J$2:$J$9,0)),1,INDEX($N$2:$N$9,MATCH($B21&amp;$C21,$J$2:$J$9,0))))</f>
        <v>1.9925728216098093</v>
      </c>
      <c r="M21" s="714">
        <f ca="1">SUM(OFFSET('Output data (results)'!$B$10,M$15-2000+INDEX($I$2:$I$4,MATCH($B$1,$H$2:$H$4,0)),INDEX($M$2:$M$9,MATCH($B21&amp;$C21,$J$2:$J$9,0)),1,INDEX($N$2:$N$9,MATCH($B21&amp;$C21,$J$2:$J$9,0))))</f>
        <v>1.9798048007758213</v>
      </c>
      <c r="N21" s="714">
        <f ca="1">SUM(OFFSET('Output data (results)'!$B$10,N$15-2000+INDEX($I$2:$I$4,MATCH($B$1,$H$2:$H$4,0)),INDEX($M$2:$M$9,MATCH($B21&amp;$C21,$J$2:$J$9,0)),1,INDEX($N$2:$N$9,MATCH($B21&amp;$C21,$J$2:$J$9,0))))</f>
        <v>1.9762404917088392</v>
      </c>
      <c r="O21" s="714">
        <f ca="1">SUM(OFFSET('Output data (results)'!$B$10,O$15-2000+INDEX($I$2:$I$4,MATCH($B$1,$H$2:$H$4,0)),INDEX($M$2:$M$9,MATCH($B21&amp;$C21,$J$2:$J$9,0)),1,INDEX($N$2:$N$9,MATCH($B21&amp;$C21,$J$2:$J$9,0))))</f>
        <v>1.9772628927584792</v>
      </c>
      <c r="P21" s="714">
        <f ca="1">SUM(OFFSET('Output data (results)'!$B$10,P$15-2000+INDEX($I$2:$I$4,MATCH($B$1,$H$2:$H$4,0)),INDEX($M$2:$M$9,MATCH($B21&amp;$C21,$J$2:$J$9,0)),1,INDEX($N$2:$N$9,MATCH($B21&amp;$C21,$J$2:$J$9,0))))</f>
        <v>1.9796517569436576</v>
      </c>
      <c r="Q21" s="714">
        <f ca="1">SUM(OFFSET('Output data (results)'!$B$10,Q$15-2000+INDEX($I$2:$I$4,MATCH($B$1,$H$2:$H$4,0)),INDEX($M$2:$M$9,MATCH($B21&amp;$C21,$J$2:$J$9,0)),1,INDEX($N$2:$N$9,MATCH($B21&amp;$C21,$J$2:$J$9,0))))</f>
        <v>1.9230845657215845</v>
      </c>
      <c r="R21" s="714">
        <f ca="1">SUM(OFFSET('Output data (results)'!$B$10,R$15-2000+INDEX($I$2:$I$4,MATCH($B$1,$H$2:$H$4,0)),INDEX($M$2:$M$9,MATCH($B21&amp;$C21,$J$2:$J$9,0)),1,INDEX($N$2:$N$9,MATCH($B21&amp;$C21,$J$2:$J$9,0))))</f>
        <v>1.9269311895110479</v>
      </c>
      <c r="S21" s="714">
        <f ca="1">SUM(OFFSET('Output data (results)'!$B$10,S$15-2000+INDEX($I$2:$I$4,MATCH($B$1,$H$2:$H$4,0)),INDEX($M$2:$M$9,MATCH($B21&amp;$C21,$J$2:$J$9,0)),1,INDEX($N$2:$N$9,MATCH($B21&amp;$C21,$J$2:$J$9,0))))</f>
        <v>1.9299237338950475</v>
      </c>
      <c r="T21" s="714">
        <f ca="1">SUM(OFFSET('Output data (results)'!$B$10,T$15-2000+INDEX($I$2:$I$4,MATCH($B$1,$H$2:$H$4,0)),INDEX($M$2:$M$9,MATCH($B21&amp;$C21,$J$2:$J$9,0)),1,INDEX($N$2:$N$9,MATCH($B21&amp;$C21,$J$2:$J$9,0))))</f>
        <v>1.8032070659716812</v>
      </c>
      <c r="U21" s="714">
        <f ca="1">SUM(OFFSET('Output data (results)'!$B$10,U$15-2000+INDEX($I$2:$I$4,MATCH($B$1,$H$2:$H$4,0)),INDEX($M$2:$M$9,MATCH($B21&amp;$C21,$J$2:$J$9,0)),1,INDEX($N$2:$N$9,MATCH($B21&amp;$C21,$J$2:$J$9,0))))</f>
        <v>1.6891048260947306</v>
      </c>
      <c r="V21" s="714">
        <f ca="1">SUM(OFFSET('Output data (results)'!$B$10,V$15-2000+INDEX($I$2:$I$4,MATCH($B$1,$H$2:$H$4,0)),INDEX($M$2:$M$9,MATCH($B21&amp;$C21,$J$2:$J$9,0)),1,INDEX($N$2:$N$9,MATCH($B21&amp;$C21,$J$2:$J$9,0))))</f>
        <v>1.5882716303512279</v>
      </c>
      <c r="W21" s="714">
        <f ca="1">SUM(OFFSET('Output data (results)'!$B$10,W$15-2000+INDEX($I$2:$I$4,MATCH($B$1,$H$2:$H$4,0)),INDEX($M$2:$M$9,MATCH($B21&amp;$C21,$J$2:$J$9,0)),1,INDEX($N$2:$N$9,MATCH($B21&amp;$C21,$J$2:$J$9,0))))</f>
        <v>1.6436902474559583</v>
      </c>
      <c r="X21" s="714">
        <f ca="1">SUM(OFFSET('Output data (results)'!$B$10,X$15-2000+INDEX($I$2:$I$4,MATCH($B$1,$H$2:$H$4,0)),INDEX($M$2:$M$9,MATCH($B21&amp;$C21,$J$2:$J$9,0)),1,INDEX($N$2:$N$9,MATCH($B21&amp;$C21,$J$2:$J$9,0))))</f>
        <v>1.6916265092041352</v>
      </c>
      <c r="Y21" s="714">
        <f ca="1">SUM(OFFSET('Output data (results)'!$B$10,Y$15-2000+INDEX($I$2:$I$4,MATCH($B$1,$H$2:$H$4,0)),INDEX($M$2:$M$9,MATCH($B21&amp;$C21,$J$2:$J$9,0)),1,INDEX($N$2:$N$9,MATCH($B21&amp;$C21,$J$2:$J$9,0))))</f>
        <v>1.7465213420203176</v>
      </c>
      <c r="Z21" s="714">
        <f ca="1">SUM(OFFSET('Output data (results)'!$B$10,Z$15-2000+INDEX($I$2:$I$4,MATCH($B$1,$H$2:$H$4,0)),INDEX($M$2:$M$9,MATCH($B21&amp;$C21,$J$2:$J$9,0)),1,INDEX($N$2:$N$9,MATCH($B21&amp;$C21,$J$2:$J$9,0))))</f>
        <v>1.8047852346206885</v>
      </c>
      <c r="AA21" s="714">
        <f ca="1">SUM(OFFSET('Output data (results)'!$B$10,AA$15-2000+INDEX($I$2:$I$4,MATCH($B$1,$H$2:$H$4,0)),INDEX($M$2:$M$9,MATCH($B21&amp;$C21,$J$2:$J$9,0)),1,INDEX($N$2:$N$9,MATCH($B21&amp;$C21,$J$2:$J$9,0))))</f>
        <v>1.8662856167671675</v>
      </c>
      <c r="AB21" s="714">
        <f ca="1">SUM(OFFSET('Output data (results)'!$B$10,AB$15-2000+INDEX($I$2:$I$4,MATCH($B$1,$H$2:$H$4,0)),INDEX($M$2:$M$9,MATCH($B21&amp;$C21,$J$2:$J$9,0)),1,INDEX($N$2:$N$9,MATCH($B21&amp;$C21,$J$2:$J$9,0))))</f>
        <v>2.0287089431261687</v>
      </c>
      <c r="AC21" s="714">
        <f ca="1">SUM(OFFSET('Output data (results)'!$B$10,AC$15-2000+INDEX($I$2:$I$4,MATCH($B$1,$H$2:$H$4,0)),INDEX($M$2:$M$9,MATCH($B21&amp;$C21,$J$2:$J$9,0)),1,INDEX($N$2:$N$9,MATCH($B21&amp;$C21,$J$2:$J$9,0))))</f>
        <v>2.22854340222402</v>
      </c>
      <c r="AD21" s="714">
        <f ca="1">SUM(OFFSET('Output data (results)'!$B$10,AD$15-2000+INDEX($I$2:$I$4,MATCH($B$1,$H$2:$H$4,0)),INDEX($M$2:$M$9,MATCH($B21&amp;$C21,$J$2:$J$9,0)),1,INDEX($N$2:$N$9,MATCH($B21&amp;$C21,$J$2:$J$9,0))))</f>
        <v>2.4101765485056879</v>
      </c>
      <c r="AE21" s="714">
        <f ca="1">SUM(OFFSET('Output data (results)'!$B$10,AE$15-2000+INDEX($I$2:$I$4,MATCH($B$1,$H$2:$H$4,0)),INDEX($M$2:$M$9,MATCH($B21&amp;$C21,$J$2:$J$9,0)),1,INDEX($N$2:$N$9,MATCH($B21&amp;$C21,$J$2:$J$9,0))))</f>
        <v>2.5924604127876569</v>
      </c>
      <c r="AF21" s="714">
        <f ca="1">SUM(OFFSET('Output data (results)'!$B$10,AF$15-2000+INDEX($I$2:$I$4,MATCH($B$1,$H$2:$H$4,0)),INDEX($M$2:$M$9,MATCH($B21&amp;$C21,$J$2:$J$9,0)),1,INDEX($N$2:$N$9,MATCH($B21&amp;$C21,$J$2:$J$9,0))))</f>
        <v>2.7775791280332562</v>
      </c>
      <c r="AG21" s="714">
        <f ca="1">SUM(OFFSET('Output data (results)'!$B$10,AG$15-2000+INDEX($I$2:$I$4,MATCH($B$1,$H$2:$H$4,0)),INDEX($M$2:$M$9,MATCH($B21&amp;$C21,$J$2:$J$9,0)),1,INDEX($N$2:$N$9,MATCH($B21&amp;$C21,$J$2:$J$9,0))))</f>
        <v>2.7479131839590343</v>
      </c>
      <c r="AH21" s="714">
        <f ca="1">SUM(OFFSET('Output data (results)'!$B$10,AH$15-2000+INDEX($I$2:$I$4,MATCH($B$1,$H$2:$H$4,0)),INDEX($M$2:$M$9,MATCH($B21&amp;$C21,$J$2:$J$9,0)),1,INDEX($N$2:$N$9,MATCH($B21&amp;$C21,$J$2:$J$9,0))))</f>
        <v>2.7210633076915531</v>
      </c>
      <c r="AI21" s="714">
        <f ca="1">SUM(OFFSET('Output data (results)'!$B$10,AI$15-2000+INDEX($I$2:$I$4,MATCH($B$1,$H$2:$H$4,0)),INDEX($M$2:$M$9,MATCH($B21&amp;$C21,$J$2:$J$9,0)),1,INDEX($N$2:$N$9,MATCH($B21&amp;$C21,$J$2:$J$9,0))))</f>
        <v>2.6964682219759082</v>
      </c>
      <c r="AJ21" s="714">
        <f ca="1">SUM(OFFSET('Output data (results)'!$B$10,AJ$15-2000+INDEX($I$2:$I$4,MATCH($B$1,$H$2:$H$4,0)),INDEX($M$2:$M$9,MATCH($B21&amp;$C21,$J$2:$J$9,0)),1,INDEX($N$2:$N$9,MATCH($B21&amp;$C21,$J$2:$J$9,0))))</f>
        <v>2.674377712067376</v>
      </c>
      <c r="AK21" s="714">
        <f ca="1">SUM(OFFSET('Output data (results)'!$B$10,AK$15-2000+INDEX($I$2:$I$4,MATCH($B$1,$H$2:$H$4,0)),INDEX($M$2:$M$9,MATCH($B21&amp;$C21,$J$2:$J$9,0)),1,INDEX($N$2:$N$9,MATCH($B21&amp;$C21,$J$2:$J$9,0))))</f>
        <v>2.6565071305665811</v>
      </c>
      <c r="AL21" s="714">
        <f ca="1">SUM(OFFSET('Output data (results)'!$B$10,AL$15-2000+INDEX($I$2:$I$4,MATCH($B$1,$H$2:$H$4,0)),INDEX($M$2:$M$9,MATCH($B21&amp;$C21,$J$2:$J$9,0)),1,INDEX($N$2:$N$9,MATCH($B21&amp;$C21,$J$2:$J$9,0))))</f>
        <v>2.6409265973279279</v>
      </c>
      <c r="AM21" s="714">
        <f ca="1">SUM(OFFSET('Output data (results)'!$B$10,AM$15-2000+INDEX($I$2:$I$4,MATCH($B$1,$H$2:$H$4,0)),INDEX($M$2:$M$9,MATCH($B21&amp;$C21,$J$2:$J$9,0)),1,INDEX($N$2:$N$9,MATCH($B21&amp;$C21,$J$2:$J$9,0))))</f>
        <v>2.6277500018823234</v>
      </c>
      <c r="AN21" s="714">
        <f ca="1">SUM(OFFSET('Output data (results)'!$B$10,AN$15-2000+INDEX($I$2:$I$4,MATCH($B$1,$H$2:$H$4,0)),INDEX($M$2:$M$9,MATCH($B21&amp;$C21,$J$2:$J$9,0)),1,INDEX($N$2:$N$9,MATCH($B21&amp;$C21,$J$2:$J$9,0))))</f>
        <v>2.6511749378198202</v>
      </c>
      <c r="AO21" s="714">
        <f ca="1">SUM(OFFSET('Output data (results)'!$B$10,AO$15-2000+INDEX($I$2:$I$4,MATCH($B$1,$H$2:$H$4,0)),INDEX($M$2:$M$9,MATCH($B21&amp;$C21,$J$2:$J$9,0)),1,INDEX($N$2:$N$9,MATCH($B21&amp;$C21,$J$2:$J$9,0))))</f>
        <v>2.6775487371050932</v>
      </c>
      <c r="AP21" s="714">
        <f ca="1">SUM(OFFSET('Output data (results)'!$B$10,AP$15-2000+INDEX($I$2:$I$4,MATCH($B$1,$H$2:$H$4,0)),INDEX($M$2:$M$9,MATCH($B21&amp;$C21,$J$2:$J$9,0)),1,INDEX($N$2:$N$9,MATCH($B21&amp;$C21,$J$2:$J$9,0))))</f>
        <v>2.706736996354608</v>
      </c>
    </row>
    <row r="22" spans="1:42">
      <c r="A22" s="10" t="s">
        <v>797</v>
      </c>
      <c r="B22" t="s">
        <v>802</v>
      </c>
      <c r="C22" t="s">
        <v>191</v>
      </c>
      <c r="D22" s="1503">
        <f ca="1">SUM(OFFSET('Output data (results)'!$B$10,D$15-2000,INDEX($M$2:$M$9,MATCH($B22&amp;$C22,$J$2:$J$9,0)),1,INDEX($N$2:$N$9,MATCH($B22&amp;$C22,$J$2:$J$9,0))))</f>
        <v>0.1666858558313194</v>
      </c>
      <c r="E22" s="1503">
        <f ca="1">SUM(OFFSET('Output data (results)'!$B$10,E$15-2000,INDEX($M$2:$M$9,MATCH($B22&amp;$C22,$J$2:$J$9,0)),1,INDEX($N$2:$N$9,MATCH($B22&amp;$C22,$J$2:$J$9,0))))</f>
        <v>0.16918992877608441</v>
      </c>
      <c r="F22" s="1503">
        <f ca="1">SUM(OFFSET('Output data (results)'!$B$10,F$15-2000,INDEX($M$2:$M$9,MATCH($B22&amp;$C22,$J$2:$J$9,0)),1,INDEX($N$2:$N$9,MATCH($B22&amp;$C22,$J$2:$J$9,0))))</f>
        <v>0.17129501998832491</v>
      </c>
      <c r="G22" s="1503">
        <f ca="1">SUM(OFFSET('Output data (results)'!$B$10,G$15-2000,INDEX($M$2:$M$9,MATCH($B22&amp;$C22,$J$2:$J$9,0)),1,INDEX($N$2:$N$9,MATCH($B22&amp;$C22,$J$2:$J$9,0))))</f>
        <v>0.17298140820701585</v>
      </c>
      <c r="H22" s="1503">
        <f ca="1">SUM(OFFSET('Output data (results)'!$B$10,H$15-2000,INDEX($M$2:$M$9,MATCH($B22&amp;$C22,$J$2:$J$9,0)),1,INDEX($N$2:$N$9,MATCH($B22&amp;$C22,$J$2:$J$9,0))))</f>
        <v>0.174230808786702</v>
      </c>
      <c r="I22" s="1503">
        <f ca="1">SUM(OFFSET('Output data (results)'!$B$10,I$15-2000,INDEX($M$2:$M$9,MATCH($B22&amp;$C22,$J$2:$J$9,0)),1,INDEX($N$2:$N$9,MATCH($B22&amp;$C22,$J$2:$J$9,0))))</f>
        <v>0.17501681269852692</v>
      </c>
      <c r="J22" s="714">
        <f ca="1">SUM(OFFSET('Output data (results)'!$B$10,J$15-2000+INDEX($I$2:$I$4,MATCH($B$1,$H$2:$H$4,0)),INDEX($M$2:$M$9,MATCH($B22&amp;$C22,$J$2:$J$9,0)),1,INDEX($N$2:$N$9,MATCH($B22&amp;$C22,$J$2:$J$9,0))))</f>
        <v>0.17333089155126519</v>
      </c>
      <c r="K22" s="714">
        <f ca="1">SUM(OFFSET('Output data (results)'!$B$10,K$15-2000+INDEX($I$2:$I$4,MATCH($B$1,$H$2:$H$4,0)),INDEX($M$2:$M$9,MATCH($B22&amp;$C22,$J$2:$J$9,0)),1,INDEX($N$2:$N$9,MATCH($B22&amp;$C22,$J$2:$J$9,0))))</f>
        <v>0.1717963770317775</v>
      </c>
      <c r="L22" s="714">
        <f ca="1">SUM(OFFSET('Output data (results)'!$B$10,L$15-2000+INDEX($I$2:$I$4,MATCH($B$1,$H$2:$H$4,0)),INDEX($M$2:$M$9,MATCH($B22&amp;$C22,$J$2:$J$9,0)),1,INDEX($N$2:$N$9,MATCH($B22&amp;$C22,$J$2:$J$9,0))))</f>
        <v>0.17041660504577799</v>
      </c>
      <c r="M22" s="714">
        <f ca="1">SUM(OFFSET('Output data (results)'!$B$10,M$15-2000+INDEX($I$2:$I$4,MATCH($B$1,$H$2:$H$4,0)),INDEX($M$2:$M$9,MATCH($B22&amp;$C22,$J$2:$J$9,0)),1,INDEX($N$2:$N$9,MATCH($B22&amp;$C22,$J$2:$J$9,0))))</f>
        <v>0.16842097863647904</v>
      </c>
      <c r="N22" s="714">
        <f ca="1">SUM(OFFSET('Output data (results)'!$B$10,N$15-2000+INDEX($I$2:$I$4,MATCH($B$1,$H$2:$H$4,0)),INDEX($M$2:$M$9,MATCH($B22&amp;$C22,$J$2:$J$9,0)),1,INDEX($N$2:$N$9,MATCH($B22&amp;$C22,$J$2:$J$9,0))))</f>
        <v>0.16660180449277767</v>
      </c>
      <c r="O22" s="714">
        <f ca="1">SUM(OFFSET('Output data (results)'!$B$10,O$15-2000+INDEX($I$2:$I$4,MATCH($B$1,$H$2:$H$4,0)),INDEX($M$2:$M$9,MATCH($B22&amp;$C22,$J$2:$J$9,0)),1,INDEX($N$2:$N$9,MATCH($B22&amp;$C22,$J$2:$J$9,0))))</f>
        <v>0.164968922977062</v>
      </c>
      <c r="P22" s="714">
        <f ca="1">SUM(OFFSET('Output data (results)'!$B$10,P$15-2000+INDEX($I$2:$I$4,MATCH($B$1,$H$2:$H$4,0)),INDEX($M$2:$M$9,MATCH($B22&amp;$C22,$J$2:$J$9,0)),1,INDEX($N$2:$N$9,MATCH($B22&amp;$C22,$J$2:$J$9,0))))</f>
        <v>0.16352499797077877</v>
      </c>
      <c r="Q22" s="714">
        <f ca="1">SUM(OFFSET('Output data (results)'!$B$10,Q$15-2000+INDEX($I$2:$I$4,MATCH($B$1,$H$2:$H$4,0)),INDEX($M$2:$M$9,MATCH($B22&amp;$C22,$J$2:$J$9,0)),1,INDEX($N$2:$N$9,MATCH($B22&amp;$C22,$J$2:$J$9,0))))</f>
        <v>0.16227685564702693</v>
      </c>
      <c r="R22" s="714">
        <f ca="1">SUM(OFFSET('Output data (results)'!$B$10,R$15-2000+INDEX($I$2:$I$4,MATCH($B$1,$H$2:$H$4,0)),INDEX($M$2:$M$9,MATCH($B22&amp;$C22,$J$2:$J$9,0)),1,INDEX($N$2:$N$9,MATCH($B22&amp;$C22,$J$2:$J$9,0))))</f>
        <v>0.16096639538888938</v>
      </c>
      <c r="S22" s="714">
        <f ca="1">SUM(OFFSET('Output data (results)'!$B$10,S$15-2000+INDEX($I$2:$I$4,MATCH($B$1,$H$2:$H$4,0)),INDEX($M$2:$M$9,MATCH($B22&amp;$C22,$J$2:$J$9,0)),1,INDEX($N$2:$N$9,MATCH($B22&amp;$C22,$J$2:$J$9,0))))</f>
        <v>0.15987662198279778</v>
      </c>
      <c r="T22" s="714">
        <f ca="1">SUM(OFFSET('Output data (results)'!$B$10,T$15-2000+INDEX($I$2:$I$4,MATCH($B$1,$H$2:$H$4,0)),INDEX($M$2:$M$9,MATCH($B22&amp;$C22,$J$2:$J$9,0)),1,INDEX($N$2:$N$9,MATCH($B22&amp;$C22,$J$2:$J$9,0))))</f>
        <v>0.15306642935758075</v>
      </c>
      <c r="U22" s="714">
        <f ca="1">SUM(OFFSET('Output data (results)'!$B$10,U$15-2000+INDEX($I$2:$I$4,MATCH($B$1,$H$2:$H$4,0)),INDEX($M$2:$M$9,MATCH($B22&amp;$C22,$J$2:$J$9,0)),1,INDEX($N$2:$N$9,MATCH($B22&amp;$C22,$J$2:$J$9,0))))</f>
        <v>0.14654812896124664</v>
      </c>
      <c r="V22" s="714">
        <f ca="1">SUM(OFFSET('Output data (results)'!$B$10,V$15-2000+INDEX($I$2:$I$4,MATCH($B$1,$H$2:$H$4,0)),INDEX($M$2:$M$9,MATCH($B22&amp;$C22,$J$2:$J$9,0)),1,INDEX($N$2:$N$9,MATCH($B22&amp;$C22,$J$2:$J$9,0))))</f>
        <v>0.14030682635679131</v>
      </c>
      <c r="W22" s="714">
        <f ca="1">SUM(OFFSET('Output data (results)'!$B$10,W$15-2000+INDEX($I$2:$I$4,MATCH($B$1,$H$2:$H$4,0)),INDEX($M$2:$M$9,MATCH($B22&amp;$C22,$J$2:$J$9,0)),1,INDEX($N$2:$N$9,MATCH($B22&amp;$C22,$J$2:$J$9,0))))</f>
        <v>0.13480480670724521</v>
      </c>
      <c r="X22" s="714">
        <f ca="1">SUM(OFFSET('Output data (results)'!$B$10,X$15-2000+INDEX($I$2:$I$4,MATCH($B$1,$H$2:$H$4,0)),INDEX($M$2:$M$9,MATCH($B22&amp;$C22,$J$2:$J$9,0)),1,INDEX($N$2:$N$9,MATCH($B22&amp;$C22,$J$2:$J$9,0))))</f>
        <v>0.12919900751204833</v>
      </c>
      <c r="Y22" s="714">
        <f ca="1">SUM(OFFSET('Output data (results)'!$B$10,Y$15-2000+INDEX($I$2:$I$4,MATCH($B$1,$H$2:$H$4,0)),INDEX($M$2:$M$9,MATCH($B22&amp;$C22,$J$2:$J$9,0)),1,INDEX($N$2:$N$9,MATCH($B22&amp;$C22,$J$2:$J$9,0))))</f>
        <v>0.12348609287290757</v>
      </c>
      <c r="Z22" s="714">
        <f ca="1">SUM(OFFSET('Output data (results)'!$B$10,Z$15-2000+INDEX($I$2:$I$4,MATCH($B$1,$H$2:$H$4,0)),INDEX($M$2:$M$9,MATCH($B22&amp;$C22,$J$2:$J$9,0)),1,INDEX($N$2:$N$9,MATCH($B22&amp;$C22,$J$2:$J$9,0))))</f>
        <v>0.11766830298303682</v>
      </c>
      <c r="AA22" s="714">
        <f ca="1">SUM(OFFSET('Output data (results)'!$B$10,AA$15-2000+INDEX($I$2:$I$4,MATCH($B$1,$H$2:$H$4,0)),INDEX($M$2:$M$9,MATCH($B22&amp;$C22,$J$2:$J$9,0)),1,INDEX($N$2:$N$9,MATCH($B22&amp;$C22,$J$2:$J$9,0))))</f>
        <v>0.1117405775379855</v>
      </c>
      <c r="AB22" s="714">
        <f ca="1">SUM(OFFSET('Output data (results)'!$B$10,AB$15-2000+INDEX($I$2:$I$4,MATCH($B$1,$H$2:$H$4,0)),INDEX($M$2:$M$9,MATCH($B22&amp;$C22,$J$2:$J$9,0)),1,INDEX($N$2:$N$9,MATCH($B22&amp;$C22,$J$2:$J$9,0))))</f>
        <v>0.10557682440810756</v>
      </c>
      <c r="AC22" s="714">
        <f ca="1">SUM(OFFSET('Output data (results)'!$B$10,AC$15-2000+INDEX($I$2:$I$4,MATCH($B$1,$H$2:$H$4,0)),INDEX($M$2:$M$9,MATCH($B22&amp;$C22,$J$2:$J$9,0)),1,INDEX($N$2:$N$9,MATCH($B22&amp;$C22,$J$2:$J$9,0))))</f>
        <v>0.10398353416135472</v>
      </c>
      <c r="AD22" s="714">
        <f ca="1">SUM(OFFSET('Output data (results)'!$B$10,AD$15-2000+INDEX($I$2:$I$4,MATCH($B$1,$H$2:$H$4,0)),INDEX($M$2:$M$9,MATCH($B22&amp;$C22,$J$2:$J$9,0)),1,INDEX($N$2:$N$9,MATCH($B22&amp;$C22,$J$2:$J$9,0))))</f>
        <v>0.10025683883687464</v>
      </c>
      <c r="AE22" s="714">
        <f ca="1">SUM(OFFSET('Output data (results)'!$B$10,AE$15-2000+INDEX($I$2:$I$4,MATCH($B$1,$H$2:$H$4,0)),INDEX($M$2:$M$9,MATCH($B22&amp;$C22,$J$2:$J$9,0)),1,INDEX($N$2:$N$9,MATCH($B22&amp;$C22,$J$2:$J$9,0))))</f>
        <v>9.6468877871678377E-2</v>
      </c>
      <c r="AF22" s="714">
        <f ca="1">SUM(OFFSET('Output data (results)'!$B$10,AF$15-2000+INDEX($I$2:$I$4,MATCH($B$1,$H$2:$H$4,0)),INDEX($M$2:$M$9,MATCH($B22&amp;$C22,$J$2:$J$9,0)),1,INDEX($N$2:$N$9,MATCH($B22&amp;$C22,$J$2:$J$9,0))))</f>
        <v>9.2619076900384276E-2</v>
      </c>
      <c r="AG22" s="714">
        <f ca="1">SUM(OFFSET('Output data (results)'!$B$10,AG$15-2000+INDEX($I$2:$I$4,MATCH($B$1,$H$2:$H$4,0)),INDEX($M$2:$M$9,MATCH($B22&amp;$C22,$J$2:$J$9,0)),1,INDEX($N$2:$N$9,MATCH($B22&amp;$C22,$J$2:$J$9,0))))</f>
        <v>8.8611857268916683E-2</v>
      </c>
      <c r="AH22" s="714">
        <f ca="1">SUM(OFFSET('Output data (results)'!$B$10,AH$15-2000+INDEX($I$2:$I$4,MATCH($B$1,$H$2:$H$4,0)),INDEX($M$2:$M$9,MATCH($B22&amp;$C22,$J$2:$J$9,0)),1,INDEX($N$2:$N$9,MATCH($B22&amp;$C22,$J$2:$J$9,0))))</f>
        <v>8.4550306926897259E-2</v>
      </c>
      <c r="AI22" s="714">
        <f ca="1">SUM(OFFSET('Output data (results)'!$B$10,AI$15-2000+INDEX($I$2:$I$4,MATCH($B$1,$H$2:$H$4,0)),INDEX($M$2:$M$9,MATCH($B22&amp;$C22,$J$2:$J$9,0)),1,INDEX($N$2:$N$9,MATCH($B22&amp;$C22,$J$2:$J$9,0))))</f>
        <v>8.0435149149251178E-2</v>
      </c>
      <c r="AJ22" s="714">
        <f ca="1">SUM(OFFSET('Output data (results)'!$B$10,AJ$15-2000+INDEX($I$2:$I$4,MATCH($B$1,$H$2:$H$4,0)),INDEX($M$2:$M$9,MATCH($B22&amp;$C22,$J$2:$J$9,0)),1,INDEX($N$2:$N$9,MATCH($B22&amp;$C22,$J$2:$J$9,0))))</f>
        <v>7.6264767203792966E-2</v>
      </c>
      <c r="AK22" s="714">
        <f ca="1">SUM(OFFSET('Output data (results)'!$B$10,AK$15-2000+INDEX($I$2:$I$4,MATCH($B$1,$H$2:$H$4,0)),INDEX($M$2:$M$9,MATCH($B22&amp;$C22,$J$2:$J$9,0)),1,INDEX($N$2:$N$9,MATCH($B22&amp;$C22,$J$2:$J$9,0))))</f>
        <v>7.2040735277124263E-2</v>
      </c>
      <c r="AL22" s="714">
        <f ca="1">SUM(OFFSET('Output data (results)'!$B$10,AL$15-2000+INDEX($I$2:$I$4,MATCH($B$1,$H$2:$H$4,0)),INDEX($M$2:$M$9,MATCH($B22&amp;$C22,$J$2:$J$9,0)),1,INDEX($N$2:$N$9,MATCH($B22&amp;$C22,$J$2:$J$9,0))))</f>
        <v>6.768545022433789E-2</v>
      </c>
      <c r="AM22" s="714">
        <f ca="1">SUM(OFFSET('Output data (results)'!$B$10,AM$15-2000+INDEX($I$2:$I$4,MATCH($B$1,$H$2:$H$4,0)),INDEX($M$2:$M$9,MATCH($B22&amp;$C22,$J$2:$J$9,0)),1,INDEX($N$2:$N$9,MATCH($B22&amp;$C22,$J$2:$J$9,0))))</f>
        <v>6.3284854124771847E-2</v>
      </c>
      <c r="AN22" s="714">
        <f ca="1">SUM(OFFSET('Output data (results)'!$B$10,AN$15-2000+INDEX($I$2:$I$4,MATCH($B$1,$H$2:$H$4,0)),INDEX($M$2:$M$9,MATCH($B22&amp;$C22,$J$2:$J$9,0)),1,INDEX($N$2:$N$9,MATCH($B22&amp;$C22,$J$2:$J$9,0))))</f>
        <v>6.3608200561884959E-2</v>
      </c>
      <c r="AO22" s="714">
        <f ca="1">SUM(OFFSET('Output data (results)'!$B$10,AO$15-2000+INDEX($I$2:$I$4,MATCH($B$1,$H$2:$H$4,0)),INDEX($M$2:$M$9,MATCH($B22&amp;$C22,$J$2:$J$9,0)),1,INDEX($N$2:$N$9,MATCH($B22&amp;$C22,$J$2:$J$9,0))))</f>
        <v>6.3932397910674676E-2</v>
      </c>
      <c r="AP22" s="714">
        <f ca="1">SUM(OFFSET('Output data (results)'!$B$10,AP$15-2000+INDEX($I$2:$I$4,MATCH($B$1,$H$2:$H$4,0)),INDEX($M$2:$M$9,MATCH($B22&amp;$C22,$J$2:$J$9,0)),1,INDEX($N$2:$N$9,MATCH($B22&amp;$C22,$J$2:$J$9,0))))</f>
        <v>6.425914799449424E-2</v>
      </c>
    </row>
    <row r="23" spans="1:42">
      <c r="A23" s="10" t="s">
        <v>798</v>
      </c>
      <c r="B23" t="s">
        <v>803</v>
      </c>
      <c r="C23" t="s">
        <v>191</v>
      </c>
      <c r="D23" s="1503">
        <f ca="1">SUM(OFFSET('Output data (results)'!$B$10,D$15-2000,INDEX($M$2:$M$9,MATCH($B23&amp;$C23,$J$2:$J$9,0)),1,INDEX($N$2:$N$9,MATCH($B23&amp;$C23,$J$2:$J$9,0))))</f>
        <v>2.6382989586250001</v>
      </c>
      <c r="E23" s="1503">
        <f ca="1">SUM(OFFSET('Output data (results)'!$B$10,E$15-2000,INDEX($M$2:$M$9,MATCH($B23&amp;$C23,$J$2:$J$9,0)),1,INDEX($N$2:$N$9,MATCH($B23&amp;$C23,$J$2:$J$9,0))))</f>
        <v>2.6775772173687913</v>
      </c>
      <c r="F23" s="1503">
        <f ca="1">SUM(OFFSET('Output data (results)'!$B$10,F$15-2000,INDEX($M$2:$M$9,MATCH($B23&amp;$C23,$J$2:$J$9,0)),1,INDEX($N$2:$N$9,MATCH($B23&amp;$C23,$J$2:$J$9,0))))</f>
        <v>2.7183176962712094</v>
      </c>
      <c r="G23" s="1503">
        <f ca="1">SUM(OFFSET('Output data (results)'!$B$10,G$15-2000,INDEX($M$2:$M$9,MATCH($B23&amp;$C23,$J$2:$J$9,0)),1,INDEX($N$2:$N$9,MATCH($B23&amp;$C23,$J$2:$J$9,0))))</f>
        <v>2.7605708167170335</v>
      </c>
      <c r="H23" s="1503">
        <f ca="1">SUM(OFFSET('Output data (results)'!$B$10,H$15-2000,INDEX($M$2:$M$9,MATCH($B23&amp;$C23,$J$2:$J$9,0)),1,INDEX($N$2:$N$9,MATCH($B23&amp;$C23,$J$2:$J$9,0))))</f>
        <v>2.8044374214758245</v>
      </c>
      <c r="I23" s="1503">
        <f ca="1">SUM(OFFSET('Output data (results)'!$B$10,I$15-2000,INDEX($M$2:$M$9,MATCH($B23&amp;$C23,$J$2:$J$9,0)),1,INDEX($N$2:$N$9,MATCH($B23&amp;$C23,$J$2:$J$9,0))))</f>
        <v>2.8499175105475834</v>
      </c>
      <c r="J23" s="714">
        <f ca="1">SUM(OFFSET('Output data (results)'!$B$10,J$15-2000+INDEX($I$2:$I$4,MATCH($B$1,$H$2:$H$4,0)),INDEX($M$2:$M$9,MATCH($B23&amp;$C23,$J$2:$J$9,0)),1,INDEX($N$2:$N$9,MATCH($B23&amp;$C23,$J$2:$J$9,0))))</f>
        <v>2.8960026562367029</v>
      </c>
      <c r="K23" s="714">
        <f ca="1">SUM(OFFSET('Output data (results)'!$B$10,K$15-2000+INDEX($I$2:$I$4,MATCH($B$1,$H$2:$H$4,0)),INDEX($M$2:$M$9,MATCH($B23&amp;$C23,$J$2:$J$9,0)),1,INDEX($N$2:$N$9,MATCH($B23&amp;$C23,$J$2:$J$9,0))))</f>
        <v>2.9428441226975277</v>
      </c>
      <c r="L23" s="714">
        <f ca="1">SUM(OFFSET('Output data (results)'!$B$10,L$15-2000+INDEX($I$2:$I$4,MATCH($B$1,$H$2:$H$4,0)),INDEX($M$2:$M$9,MATCH($B23&amp;$C23,$J$2:$J$9,0)),1,INDEX($N$2:$N$9,MATCH($B23&amp;$C23,$J$2:$J$9,0))))</f>
        <v>2.9904419099300554</v>
      </c>
      <c r="M23" s="714">
        <f ca="1">SUM(OFFSET('Output data (results)'!$B$10,M$15-2000+INDEX($I$2:$I$4,MATCH($B$1,$H$2:$H$4,0)),INDEX($M$2:$M$9,MATCH($B23&amp;$C23,$J$2:$J$9,0)),1,INDEX($N$2:$N$9,MATCH($B23&amp;$C23,$J$2:$J$9,0))))</f>
        <v>3.024879715734945</v>
      </c>
      <c r="N23" s="714">
        <f ca="1">SUM(OFFSET('Output data (results)'!$B$10,N$15-2000+INDEX($I$2:$I$4,MATCH($B$1,$H$2:$H$4,0)),INDEX($M$2:$M$9,MATCH($B23&amp;$C23,$J$2:$J$9,0)),1,INDEX($N$2:$N$9,MATCH($B23&amp;$C23,$J$2:$J$9,0))))</f>
        <v>3.0596704712332969</v>
      </c>
      <c r="O23" s="714">
        <f ca="1">SUM(OFFSET('Output data (results)'!$B$10,O$15-2000+INDEX($I$2:$I$4,MATCH($B$1,$H$2:$H$4,0)),INDEX($M$2:$M$9,MATCH($B23&amp;$C23,$J$2:$J$9,0)),1,INDEX($N$2:$N$9,MATCH($B23&amp;$C23,$J$2:$J$9,0))))</f>
        <v>3.0949150191946715</v>
      </c>
      <c r="P23" s="714">
        <f ca="1">SUM(OFFSET('Output data (results)'!$B$10,P$15-2000+INDEX($I$2:$I$4,MATCH($B$1,$H$2:$H$4,0)),INDEX($M$2:$M$9,MATCH($B23&amp;$C23,$J$2:$J$9,0)),1,INDEX($N$2:$N$9,MATCH($B23&amp;$C23,$J$2:$J$9,0))))</f>
        <v>3.1305629382342866</v>
      </c>
      <c r="Q23" s="714">
        <f ca="1">SUM(OFFSET('Output data (results)'!$B$10,Q$15-2000+INDEX($I$2:$I$4,MATCH($B$1,$H$2:$H$4,0)),INDEX($M$2:$M$9,MATCH($B23&amp;$C23,$J$2:$J$9,0)),1,INDEX($N$2:$N$9,MATCH($B23&amp;$C23,$J$2:$J$9,0))))</f>
        <v>3.166614228352143</v>
      </c>
      <c r="R23" s="714">
        <f ca="1">SUM(OFFSET('Output data (results)'!$B$10,R$15-2000+INDEX($I$2:$I$4,MATCH($B$1,$H$2:$H$4,0)),INDEX($M$2:$M$9,MATCH($B23&amp;$C23,$J$2:$J$9,0)),1,INDEX($N$2:$N$9,MATCH($B23&amp;$C23,$J$2:$J$9,0))))</f>
        <v>3.1977746441463193</v>
      </c>
      <c r="S23" s="714">
        <f ca="1">SUM(OFFSET('Output data (results)'!$B$10,S$15-2000+INDEX($I$2:$I$4,MATCH($B$1,$H$2:$H$4,0)),INDEX($M$2:$M$9,MATCH($B23&amp;$C23,$J$2:$J$9,0)),1,INDEX($N$2:$N$9,MATCH($B23&amp;$C23,$J$2:$J$9,0))))</f>
        <v>3.2292880096339567</v>
      </c>
      <c r="T23" s="714">
        <f ca="1">SUM(OFFSET('Output data (results)'!$B$10,T$15-2000+INDEX($I$2:$I$4,MATCH($B$1,$H$2:$H$4,0)),INDEX($M$2:$M$9,MATCH($B23&amp;$C23,$J$2:$J$9,0)),1,INDEX($N$2:$N$9,MATCH($B23&amp;$C23,$J$2:$J$9,0))))</f>
        <v>3.2610534820454951</v>
      </c>
      <c r="U23" s="714">
        <f ca="1">SUM(OFFSET('Output data (results)'!$B$10,U$15-2000+INDEX($I$2:$I$4,MATCH($B$1,$H$2:$H$4,0)),INDEX($M$2:$M$9,MATCH($B23&amp;$C23,$J$2:$J$9,0)),1,INDEX($N$2:$N$9,MATCH($B23&amp;$C23,$J$2:$J$9,0))))</f>
        <v>3.2931719041504954</v>
      </c>
      <c r="V23" s="714">
        <f ca="1">SUM(OFFSET('Output data (results)'!$B$10,V$15-2000+INDEX($I$2:$I$4,MATCH($B$1,$H$2:$H$4,0)),INDEX($M$2:$M$9,MATCH($B23&amp;$C23,$J$2:$J$9,0)),1,INDEX($N$2:$N$9,MATCH($B23&amp;$C23,$J$2:$J$9,0))))</f>
        <v>3.3255928545641762</v>
      </c>
      <c r="W23" s="714">
        <f ca="1">SUM(OFFSET('Output data (results)'!$B$10,W$15-2000+INDEX($I$2:$I$4,MATCH($B$1,$H$2:$H$4,0)),INDEX($M$2:$M$9,MATCH($B23&amp;$C23,$J$2:$J$9,0)),1,INDEX($N$2:$N$9,MATCH($B23&amp;$C23,$J$2:$J$9,0))))</f>
        <v>3.3539800941954407</v>
      </c>
      <c r="X23" s="714">
        <f ca="1">SUM(OFFSET('Output data (results)'!$B$10,X$15-2000+INDEX($I$2:$I$4,MATCH($B$1,$H$2:$H$4,0)),INDEX($M$2:$M$9,MATCH($B23&amp;$C23,$J$2:$J$9,0)),1,INDEX($N$2:$N$9,MATCH($B23&amp;$C23,$J$2:$J$9,0))))</f>
        <v>3.3826194407506049</v>
      </c>
      <c r="Y23" s="714">
        <f ca="1">SUM(OFFSET('Output data (results)'!$B$10,Y$15-2000+INDEX($I$2:$I$4,MATCH($B$1,$H$2:$H$4,0)),INDEX($M$2:$M$9,MATCH($B23&amp;$C23,$J$2:$J$9,0)),1,INDEX($N$2:$N$9,MATCH($B23&amp;$C23,$J$2:$J$9,0))))</f>
        <v>3.4114604728448907</v>
      </c>
      <c r="Z23" s="714">
        <f ca="1">SUM(OFFSET('Output data (results)'!$B$10,Z$15-2000+INDEX($I$2:$I$4,MATCH($B$1,$H$2:$H$4,0)),INDEX($M$2:$M$9,MATCH($B23&amp;$C23,$J$2:$J$9,0)),1,INDEX($N$2:$N$9,MATCH($B23&amp;$C23,$J$2:$J$9,0))))</f>
        <v>3.4406040332478574</v>
      </c>
      <c r="AA23" s="714">
        <f ca="1">SUM(OFFSET('Output data (results)'!$B$10,AA$15-2000+INDEX($I$2:$I$4,MATCH($B$1,$H$2:$H$4,0)),INDEX($M$2:$M$9,MATCH($B23&amp;$C23,$J$2:$J$9,0)),1,INDEX($N$2:$N$9,MATCH($B23&amp;$C23,$J$2:$J$9,0))))</f>
        <v>3.4699492791899456</v>
      </c>
      <c r="AB23" s="714">
        <f ca="1">SUM(OFFSET('Output data (results)'!$B$10,AB$15-2000+INDEX($I$2:$I$4,MATCH($B$1,$H$2:$H$4,0)),INDEX($M$2:$M$9,MATCH($B23&amp;$C23,$J$2:$J$9,0)),1,INDEX($N$2:$N$9,MATCH($B23&amp;$C23,$J$2:$J$9,0))))</f>
        <v>3.4953616571191763</v>
      </c>
      <c r="AC23" s="714">
        <f ca="1">SUM(OFFSET('Output data (results)'!$B$10,AC$15-2000+INDEX($I$2:$I$4,MATCH($B$1,$H$2:$H$4,0)),INDEX($M$2:$M$9,MATCH($B23&amp;$C23,$J$2:$J$9,0)),1,INDEX($N$2:$N$9,MATCH($B23&amp;$C23,$J$2:$J$9,0))))</f>
        <v>3.5209252992027475</v>
      </c>
      <c r="AD23" s="714">
        <f ca="1">SUM(OFFSET('Output data (results)'!$B$10,AD$15-2000+INDEX($I$2:$I$4,MATCH($B$1,$H$2:$H$4,0)),INDEX($M$2:$M$9,MATCH($B23&amp;$C23,$J$2:$J$9,0)),1,INDEX($N$2:$N$9,MATCH($B23&amp;$C23,$J$2:$J$9,0))))</f>
        <v>3.5467410482102202</v>
      </c>
      <c r="AE23" s="714">
        <f ca="1">SUM(OFFSET('Output data (results)'!$B$10,AE$15-2000+INDEX($I$2:$I$4,MATCH($B$1,$H$2:$H$4,0)),INDEX($M$2:$M$9,MATCH($B23&amp;$C23,$J$2:$J$9,0)),1,INDEX($N$2:$N$9,MATCH($B23&amp;$C23,$J$2:$J$9,0))))</f>
        <v>3.5727080613720332</v>
      </c>
      <c r="AF23" s="714">
        <f ca="1">SUM(OFFSET('Output data (results)'!$B$10,AF$15-2000+INDEX($I$2:$I$4,MATCH($B$1,$H$2:$H$4,0)),INDEX($M$2:$M$9,MATCH($B23&amp;$C23,$J$2:$J$9,0)),1,INDEX($N$2:$N$9,MATCH($B23&amp;$C23,$J$2:$J$9,0))))</f>
        <v>3.5988263386881876</v>
      </c>
      <c r="AG23" s="714">
        <f ca="1">SUM(OFFSET('Output data (results)'!$B$10,AG$15-2000+INDEX($I$2:$I$4,MATCH($B$1,$H$2:$H$4,0)),INDEX($M$2:$M$9,MATCH($B23&amp;$C23,$J$2:$J$9,0)),1,INDEX($N$2:$N$9,MATCH($B23&amp;$C23,$J$2:$J$9,0))))</f>
        <v>3.6212134335306052</v>
      </c>
      <c r="AH23" s="714">
        <f ca="1">SUM(OFFSET('Output data (results)'!$B$10,AH$15-2000+INDEX($I$2:$I$4,MATCH($B$1,$H$2:$H$4,0)),INDEX($M$2:$M$9,MATCH($B23&amp;$C23,$J$2:$J$9,0)),1,INDEX($N$2:$N$9,MATCH($B23&amp;$C23,$J$2:$J$9,0))))</f>
        <v>3.643701371142583</v>
      </c>
      <c r="AI23" s="714">
        <f ca="1">SUM(OFFSET('Output data (results)'!$B$10,AI$15-2000+INDEX($I$2:$I$4,MATCH($B$1,$H$2:$H$4,0)),INDEX($M$2:$M$9,MATCH($B23&amp;$C23,$J$2:$J$9,0)),1,INDEX($N$2:$N$9,MATCH($B23&amp;$C23,$J$2:$J$9,0))))</f>
        <v>3.6663405729089016</v>
      </c>
      <c r="AJ23" s="714">
        <f ca="1">SUM(OFFSET('Output data (results)'!$B$10,AJ$15-2000+INDEX($I$2:$I$4,MATCH($B$1,$H$2:$H$4,0)),INDEX($M$2:$M$9,MATCH($B23&amp;$C23,$J$2:$J$9,0)),1,INDEX($N$2:$N$9,MATCH($B23&amp;$C23,$J$2:$J$9,0))))</f>
        <v>3.6890806174447812</v>
      </c>
      <c r="AK23" s="714">
        <f ca="1">SUM(OFFSET('Output data (results)'!$B$10,AK$15-2000+INDEX($I$2:$I$4,MATCH($B$1,$H$2:$H$4,0)),INDEX($M$2:$M$9,MATCH($B23&amp;$C23,$J$2:$J$9,0)),1,INDEX($N$2:$N$9,MATCH($B23&amp;$C23,$J$2:$J$9,0))))</f>
        <v>3.7120223475197802</v>
      </c>
      <c r="AL23" s="714">
        <f ca="1">SUM(OFFSET('Output data (results)'!$B$10,AL$15-2000+INDEX($I$2:$I$4,MATCH($B$1,$H$2:$H$4,0)),INDEX($M$2:$M$9,MATCH($B23&amp;$C23,$J$2:$J$9,0)),1,INDEX($N$2:$N$9,MATCH($B23&amp;$C23,$J$2:$J$9,0))))</f>
        <v>3.7309303668123635</v>
      </c>
      <c r="AM23" s="714">
        <f ca="1">SUM(OFFSET('Output data (results)'!$B$10,AM$15-2000+INDEX($I$2:$I$4,MATCH($B$1,$H$2:$H$4,0)),INDEX($M$2:$M$9,MATCH($B23&amp;$C23,$J$2:$J$9,0)),1,INDEX($N$2:$N$9,MATCH($B23&amp;$C23,$J$2:$J$9,0))))</f>
        <v>3.7499896502592862</v>
      </c>
      <c r="AN23" s="714">
        <f ca="1">SUM(OFFSET('Output data (results)'!$B$10,AN$15-2000+INDEX($I$2:$I$4,MATCH($B$1,$H$2:$H$4,0)),INDEX($M$2:$M$9,MATCH($B23&amp;$C23,$J$2:$J$9,0)),1,INDEX($N$2:$N$9,MATCH($B23&amp;$C23,$J$2:$J$9,0))))</f>
        <v>3.76914977647577</v>
      </c>
      <c r="AO23" s="714">
        <f ca="1">SUM(OFFSET('Output data (results)'!$B$10,AO$15-2000+INDEX($I$2:$I$4,MATCH($B$1,$H$2:$H$4,0)),INDEX($M$2:$M$9,MATCH($B23&amp;$C23,$J$2:$J$9,0)),1,INDEX($N$2:$N$9,MATCH($B23&amp;$C23,$J$2:$J$9,0))))</f>
        <v>3.7883603240770336</v>
      </c>
      <c r="AP23" s="714">
        <f ca="1">SUM(OFFSET('Output data (results)'!$B$10,AP$15-2000+INDEX($I$2:$I$4,MATCH($B$1,$H$2:$H$4,0)),INDEX($M$2:$M$9,MATCH($B23&amp;$C23,$J$2:$J$9,0)),1,INDEX($N$2:$N$9,MATCH($B23&amp;$C23,$J$2:$J$9,0))))</f>
        <v>3.8077221358326381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17339-0460-4AE5-8407-C01D7FA9687A}">
  <sheetPr codeName="Sheet1"/>
  <dimension ref="A1:V149"/>
  <sheetViews>
    <sheetView topLeftCell="A98" zoomScale="60" zoomScaleNormal="60" workbookViewId="0">
      <selection activeCell="D148" sqref="D148"/>
    </sheetView>
  </sheetViews>
  <sheetFormatPr defaultColWidth="8.85546875" defaultRowHeight="15.75"/>
  <cols>
    <col min="1" max="1" width="32.7109375" style="183" customWidth="1"/>
    <col min="2" max="2" width="31" style="183" customWidth="1"/>
    <col min="3" max="3" width="23.28515625" style="183" bestFit="1" customWidth="1"/>
    <col min="4" max="4" width="32.28515625" style="183" bestFit="1" customWidth="1"/>
    <col min="5" max="5" width="21.7109375" style="183" customWidth="1"/>
    <col min="6" max="6" width="24.42578125" style="183" customWidth="1"/>
    <col min="7" max="7" width="21.85546875" style="183" customWidth="1"/>
    <col min="8" max="8" width="20" style="183" customWidth="1"/>
    <col min="9" max="9" width="17.7109375" style="183" customWidth="1"/>
    <col min="10" max="10" width="16.85546875" style="183" customWidth="1"/>
    <col min="11" max="12" width="13.42578125" style="183" bestFit="1" customWidth="1"/>
    <col min="13" max="13" width="13.140625" style="183" customWidth="1"/>
    <col min="14" max="14" width="14.7109375" style="183" bestFit="1" customWidth="1"/>
    <col min="15" max="15" width="11.7109375" style="183" customWidth="1"/>
    <col min="16" max="16" width="11.28515625" style="183" customWidth="1"/>
    <col min="17" max="17" width="12.7109375" customWidth="1"/>
    <col min="18" max="18" width="11" customWidth="1"/>
    <col min="19" max="20" width="9.140625" customWidth="1"/>
    <col min="21" max="16384" width="8.85546875" style="183"/>
  </cols>
  <sheetData>
    <row r="1" spans="1:14" ht="16.5" thickBot="1">
      <c r="A1" s="182" t="s">
        <v>231</v>
      </c>
    </row>
    <row r="2" spans="1:14">
      <c r="A2" s="564"/>
      <c r="B2" s="565" t="s">
        <v>2</v>
      </c>
      <c r="C2" s="565" t="s">
        <v>4</v>
      </c>
      <c r="D2" s="566" t="s">
        <v>544</v>
      </c>
    </row>
    <row r="3" spans="1:14" ht="31.5">
      <c r="A3" s="190" t="s">
        <v>564</v>
      </c>
      <c r="B3" s="500" t="s">
        <v>227</v>
      </c>
      <c r="C3" s="485">
        <v>578.73</v>
      </c>
      <c r="D3" s="197" t="s">
        <v>563</v>
      </c>
    </row>
    <row r="4" spans="1:14" ht="31.5">
      <c r="A4" s="190" t="s">
        <v>562</v>
      </c>
      <c r="B4" s="500" t="s">
        <v>227</v>
      </c>
      <c r="C4" s="485">
        <f>'Waste Summary 2017 SASOW'!P6</f>
        <v>424.26313389388866</v>
      </c>
      <c r="D4" s="197" t="s">
        <v>545</v>
      </c>
    </row>
    <row r="5" spans="1:14" ht="31.5">
      <c r="A5" s="190" t="s">
        <v>551</v>
      </c>
      <c r="B5" s="563" t="str">
        <f>'Waste Summary 2017 SASOW'!C33</f>
        <v>ton industrial waste/Rmill GDP</v>
      </c>
      <c r="C5" s="485">
        <f>'Waste Summary 2017 SASOW'!B33</f>
        <v>27.526054267727826</v>
      </c>
      <c r="D5" s="197" t="s">
        <v>546</v>
      </c>
    </row>
    <row r="6" spans="1:14" ht="31.5">
      <c r="A6" s="190" t="s">
        <v>648</v>
      </c>
      <c r="B6" s="563" t="str">
        <f>B5</f>
        <v>ton industrial waste/Rmill GDP</v>
      </c>
      <c r="C6" s="485">
        <f>'Waste Summary 2017 SASOW'!B35</f>
        <v>11.504772374209397</v>
      </c>
      <c r="D6" s="197" t="s">
        <v>546</v>
      </c>
    </row>
    <row r="7" spans="1:14" ht="55.9" customHeight="1">
      <c r="A7" s="190" t="s">
        <v>552</v>
      </c>
      <c r="B7" s="191" t="s">
        <v>3</v>
      </c>
      <c r="C7" s="485">
        <f>37*365/1000</f>
        <v>13.505000000000001</v>
      </c>
      <c r="D7" s="197" t="s">
        <v>547</v>
      </c>
    </row>
    <row r="8" spans="1:14" ht="31.5">
      <c r="A8" s="190" t="s">
        <v>295</v>
      </c>
      <c r="B8" s="191" t="s">
        <v>52</v>
      </c>
      <c r="C8" s="485">
        <v>29.169396153846154</v>
      </c>
      <c r="D8" s="197" t="s">
        <v>550</v>
      </c>
    </row>
    <row r="9" spans="1:14" ht="48" customHeight="1" thickBot="1">
      <c r="A9" s="192" t="s">
        <v>578</v>
      </c>
      <c r="B9" s="193" t="s">
        <v>3</v>
      </c>
      <c r="C9" s="1439">
        <f>H115*10^6/(G115*B115*10^6)</f>
        <v>30.607062306546265</v>
      </c>
      <c r="D9" s="198" t="s">
        <v>612</v>
      </c>
    </row>
    <row r="10" spans="1:14">
      <c r="A10" s="353"/>
      <c r="B10" s="354"/>
      <c r="C10" s="355"/>
      <c r="D10" s="356"/>
    </row>
    <row r="11" spans="1:14" ht="16.5" thickBot="1">
      <c r="A11" s="601" t="s">
        <v>611</v>
      </c>
      <c r="B11" s="342"/>
      <c r="C11"/>
      <c r="D11" s="3"/>
      <c r="E11" s="3"/>
      <c r="F11" s="3"/>
      <c r="G11" s="3"/>
      <c r="H11" s="3"/>
      <c r="I11" s="3"/>
      <c r="J11" s="3"/>
      <c r="K11" s="3"/>
      <c r="L11" s="3"/>
      <c r="M11" s="3"/>
      <c r="N11" s="3"/>
    </row>
    <row r="12" spans="1:14" ht="31.5">
      <c r="A12" s="517"/>
      <c r="B12" s="518" t="s">
        <v>372</v>
      </c>
      <c r="C12" s="519" t="s">
        <v>221</v>
      </c>
      <c r="D12" s="519" t="s">
        <v>85</v>
      </c>
      <c r="E12" s="519" t="s">
        <v>87</v>
      </c>
      <c r="F12" s="519" t="s">
        <v>222</v>
      </c>
      <c r="G12" s="519" t="s">
        <v>115</v>
      </c>
      <c r="H12" s="519" t="s">
        <v>223</v>
      </c>
      <c r="I12" s="519" t="s">
        <v>548</v>
      </c>
      <c r="J12" s="519" t="s">
        <v>374</v>
      </c>
      <c r="K12" s="519" t="s">
        <v>375</v>
      </c>
      <c r="L12" s="519" t="s">
        <v>376</v>
      </c>
      <c r="M12" s="519" t="s">
        <v>377</v>
      </c>
      <c r="N12" s="520" t="s">
        <v>225</v>
      </c>
    </row>
    <row r="13" spans="1:14">
      <c r="A13" s="521"/>
      <c r="B13" s="344" t="s">
        <v>378</v>
      </c>
      <c r="C13" s="345">
        <v>1233791.4119790548</v>
      </c>
      <c r="D13" s="345">
        <v>1138884.3802883581</v>
      </c>
      <c r="E13" s="345">
        <v>378326.54427023319</v>
      </c>
      <c r="F13" s="345">
        <v>0</v>
      </c>
      <c r="G13" s="345">
        <v>0</v>
      </c>
      <c r="H13" s="345">
        <v>0</v>
      </c>
      <c r="I13" s="345"/>
      <c r="J13" s="345">
        <v>381000</v>
      </c>
      <c r="K13" s="345">
        <v>338388.97868490184</v>
      </c>
      <c r="L13" s="345">
        <v>297470.77450579114</v>
      </c>
      <c r="M13" s="345">
        <v>0</v>
      </c>
      <c r="N13" s="522">
        <f>SUM(C13:M13)</f>
        <v>3767862.0897283391</v>
      </c>
    </row>
    <row r="14" spans="1:14">
      <c r="A14" s="523" t="s">
        <v>379</v>
      </c>
      <c r="B14" s="344" t="s">
        <v>380</v>
      </c>
      <c r="C14" s="345">
        <v>964286</v>
      </c>
      <c r="D14" s="345">
        <v>964286</v>
      </c>
      <c r="E14" s="345">
        <v>0</v>
      </c>
      <c r="F14" s="345">
        <v>0</v>
      </c>
      <c r="G14" s="345">
        <v>0</v>
      </c>
      <c r="H14" s="345">
        <v>0</v>
      </c>
      <c r="I14" s="345">
        <v>2892858</v>
      </c>
      <c r="J14" s="345">
        <v>0</v>
      </c>
      <c r="K14" s="345">
        <v>0</v>
      </c>
      <c r="L14" s="345">
        <v>0</v>
      </c>
      <c r="M14" s="345">
        <v>0</v>
      </c>
      <c r="N14" s="522">
        <f t="shared" ref="N14:N18" si="0">SUM(C14:M14)</f>
        <v>4821430</v>
      </c>
    </row>
    <row r="15" spans="1:14">
      <c r="A15" s="523" t="s">
        <v>381</v>
      </c>
      <c r="B15" s="344" t="s">
        <v>382</v>
      </c>
      <c r="C15" s="345">
        <v>72176.800000000003</v>
      </c>
      <c r="D15" s="345">
        <v>72176.800000000003</v>
      </c>
      <c r="E15" s="345">
        <v>0</v>
      </c>
      <c r="F15" s="345">
        <v>0</v>
      </c>
      <c r="G15" s="345">
        <v>0</v>
      </c>
      <c r="H15" s="345">
        <v>0</v>
      </c>
      <c r="I15" s="345">
        <v>216530.4</v>
      </c>
      <c r="J15" s="345">
        <v>0</v>
      </c>
      <c r="K15" s="345">
        <v>0</v>
      </c>
      <c r="L15" s="345">
        <v>0</v>
      </c>
      <c r="M15" s="345">
        <v>0</v>
      </c>
      <c r="N15" s="522">
        <f t="shared" si="0"/>
        <v>360884</v>
      </c>
    </row>
    <row r="16" spans="1:14">
      <c r="A16" s="523" t="s">
        <v>383</v>
      </c>
      <c r="B16" s="344" t="s">
        <v>384</v>
      </c>
      <c r="C16" s="345">
        <v>0</v>
      </c>
      <c r="D16" s="345">
        <v>0</v>
      </c>
      <c r="E16" s="345">
        <v>520349.97572976683</v>
      </c>
      <c r="F16" s="345">
        <v>0</v>
      </c>
      <c r="G16" s="345">
        <v>0</v>
      </c>
      <c r="H16" s="345">
        <v>0</v>
      </c>
      <c r="I16" s="345">
        <v>0</v>
      </c>
      <c r="J16" s="345">
        <v>237880.00199999998</v>
      </c>
      <c r="K16" s="345">
        <v>465419.88531509798</v>
      </c>
      <c r="L16" s="345">
        <v>409141.02549420868</v>
      </c>
      <c r="M16" s="345">
        <v>123895.58799999999</v>
      </c>
      <c r="N16" s="522">
        <f t="shared" si="0"/>
        <v>1756686.4765390735</v>
      </c>
    </row>
    <row r="17" spans="1:16">
      <c r="A17" s="523" t="s">
        <v>383</v>
      </c>
      <c r="B17" s="344" t="s">
        <v>385</v>
      </c>
      <c r="C17" s="345">
        <v>0</v>
      </c>
      <c r="D17" s="345">
        <v>0</v>
      </c>
      <c r="E17" s="345">
        <v>1241029.48</v>
      </c>
      <c r="F17" s="345">
        <v>0</v>
      </c>
      <c r="G17" s="345">
        <v>0</v>
      </c>
      <c r="H17" s="345">
        <v>0</v>
      </c>
      <c r="I17" s="345">
        <v>0</v>
      </c>
      <c r="J17" s="345">
        <v>480373.99800000002</v>
      </c>
      <c r="K17" s="345">
        <v>1987194.1360000002</v>
      </c>
      <c r="L17" s="345">
        <v>2826447.2</v>
      </c>
      <c r="M17" s="345">
        <v>38271.412000000004</v>
      </c>
      <c r="N17" s="522">
        <f t="shared" si="0"/>
        <v>6573316.2259999998</v>
      </c>
    </row>
    <row r="18" spans="1:16">
      <c r="A18" s="523" t="s">
        <v>386</v>
      </c>
      <c r="B18" s="344" t="s">
        <v>387</v>
      </c>
      <c r="C18" s="345">
        <v>2500000</v>
      </c>
      <c r="D18" s="345">
        <v>4200000</v>
      </c>
      <c r="E18" s="345">
        <v>0</v>
      </c>
      <c r="F18" s="345">
        <v>0</v>
      </c>
      <c r="G18" s="345">
        <v>0</v>
      </c>
      <c r="H18" s="345">
        <v>0</v>
      </c>
      <c r="I18" s="345">
        <v>0</v>
      </c>
      <c r="J18" s="345">
        <v>0</v>
      </c>
      <c r="K18" s="345">
        <v>0</v>
      </c>
      <c r="L18" s="345">
        <v>0</v>
      </c>
      <c r="M18" s="345">
        <v>0</v>
      </c>
      <c r="N18" s="522">
        <f t="shared" si="0"/>
        <v>6700000</v>
      </c>
      <c r="O18" s="184"/>
    </row>
    <row r="19" spans="1:16">
      <c r="A19" s="521"/>
      <c r="B19" s="346" t="s">
        <v>560</v>
      </c>
      <c r="C19" s="347">
        <f>SUM(C13:C18)</f>
        <v>4770254.2119790548</v>
      </c>
      <c r="D19" s="347">
        <f t="shared" ref="D19:M19" si="1">SUM(D13:D18)</f>
        <v>6375347.1802883577</v>
      </c>
      <c r="E19" s="347">
        <f t="shared" si="1"/>
        <v>2139706</v>
      </c>
      <c r="F19" s="347">
        <f t="shared" si="1"/>
        <v>0</v>
      </c>
      <c r="G19" s="347">
        <f t="shared" si="1"/>
        <v>0</v>
      </c>
      <c r="H19" s="347">
        <f t="shared" si="1"/>
        <v>0</v>
      </c>
      <c r="I19" s="347">
        <f t="shared" si="1"/>
        <v>3109388.4</v>
      </c>
      <c r="J19" s="347">
        <f t="shared" si="1"/>
        <v>1099254</v>
      </c>
      <c r="K19" s="347">
        <f t="shared" si="1"/>
        <v>2791003</v>
      </c>
      <c r="L19" s="347">
        <f t="shared" si="1"/>
        <v>3533059</v>
      </c>
      <c r="M19" s="347">
        <f t="shared" si="1"/>
        <v>162167</v>
      </c>
      <c r="N19" s="524">
        <f>SUM(C19:M19)</f>
        <v>23980178.792267412</v>
      </c>
      <c r="O19" s="184"/>
    </row>
    <row r="20" spans="1:16">
      <c r="A20" s="521"/>
      <c r="B20" s="346" t="s">
        <v>572</v>
      </c>
      <c r="C20" s="347">
        <f>C13*0.5+0.9*(C14+C15+C16)+0.5*C18*0.9</f>
        <v>2674712.2259895275</v>
      </c>
      <c r="D20" s="347">
        <f>D13*0.5+0.9*(D14+D15+D16)+0.5*D18*0.9</f>
        <v>3392258.7101441789</v>
      </c>
      <c r="E20" s="347">
        <f t="shared" ref="E20:M20" si="2">E13*0.5+0.9*(E14+E15+E16)+0.5*E18*0.9</f>
        <v>657478.25029190676</v>
      </c>
      <c r="F20" s="347">
        <f t="shared" si="2"/>
        <v>0</v>
      </c>
      <c r="G20" s="347">
        <f t="shared" si="2"/>
        <v>0</v>
      </c>
      <c r="H20" s="347">
        <f t="shared" si="2"/>
        <v>0</v>
      </c>
      <c r="I20" s="347">
        <f t="shared" si="2"/>
        <v>2798449.56</v>
      </c>
      <c r="J20" s="347">
        <f t="shared" si="2"/>
        <v>404592.00179999997</v>
      </c>
      <c r="K20" s="347">
        <f t="shared" si="2"/>
        <v>588072.38612603908</v>
      </c>
      <c r="L20" s="347">
        <f t="shared" si="2"/>
        <v>516962.3101976834</v>
      </c>
      <c r="M20" s="347">
        <f t="shared" si="2"/>
        <v>111506.02919999999</v>
      </c>
      <c r="N20" s="524">
        <f>SUM(C20:M20)</f>
        <v>11144031.473749338</v>
      </c>
      <c r="O20" s="515"/>
    </row>
    <row r="21" spans="1:16">
      <c r="A21" s="521"/>
      <c r="B21" s="348" t="s">
        <v>389</v>
      </c>
      <c r="C21" s="349"/>
      <c r="D21" s="349"/>
      <c r="E21" s="349"/>
      <c r="F21" s="349"/>
      <c r="G21" s="349"/>
      <c r="H21" s="349"/>
      <c r="I21" s="349"/>
      <c r="J21" s="343"/>
      <c r="K21" s="6"/>
      <c r="L21" s="6"/>
      <c r="M21" s="6"/>
      <c r="N21" s="836"/>
      <c r="O21" s="184"/>
    </row>
    <row r="22" spans="1:16">
      <c r="A22" s="521"/>
      <c r="B22" s="344" t="s">
        <v>390</v>
      </c>
      <c r="C22" s="351">
        <f>C13/$N$13</f>
        <v>0.32745131923552184</v>
      </c>
      <c r="D22" s="351">
        <f t="shared" ref="D22:M22" si="3">D13/$N$13</f>
        <v>0.30226275621740473</v>
      </c>
      <c r="E22" s="351">
        <f t="shared" si="3"/>
        <v>0.10040880883129943</v>
      </c>
      <c r="F22" s="351">
        <f t="shared" si="3"/>
        <v>0</v>
      </c>
      <c r="G22" s="351">
        <f t="shared" si="3"/>
        <v>0</v>
      </c>
      <c r="H22" s="351">
        <f t="shared" si="3"/>
        <v>0</v>
      </c>
      <c r="I22" s="351">
        <f t="shared" si="3"/>
        <v>0</v>
      </c>
      <c r="J22" s="351">
        <f t="shared" si="3"/>
        <v>0.10111835065265616</v>
      </c>
      <c r="K22" s="351">
        <f t="shared" si="3"/>
        <v>8.9809279274682671E-2</v>
      </c>
      <c r="L22" s="351">
        <f t="shared" si="3"/>
        <v>7.8949485788435164E-2</v>
      </c>
      <c r="M22" s="351">
        <f t="shared" si="3"/>
        <v>0</v>
      </c>
      <c r="N22" s="526">
        <f>SUM(C22:M22)</f>
        <v>1</v>
      </c>
      <c r="O22" s="358"/>
      <c r="P22" s="358"/>
    </row>
    <row r="23" spans="1:16">
      <c r="A23" s="523" t="s">
        <v>379</v>
      </c>
      <c r="B23" s="344" t="s">
        <v>391</v>
      </c>
      <c r="C23" s="351">
        <f>C14/$N$14</f>
        <v>0.2</v>
      </c>
      <c r="D23" s="351">
        <f t="shared" ref="D23:M23" si="4">D14/$N$14</f>
        <v>0.2</v>
      </c>
      <c r="E23" s="351">
        <f t="shared" si="4"/>
        <v>0</v>
      </c>
      <c r="F23" s="351">
        <f t="shared" si="4"/>
        <v>0</v>
      </c>
      <c r="G23" s="351">
        <f t="shared" si="4"/>
        <v>0</v>
      </c>
      <c r="H23" s="351">
        <f t="shared" si="4"/>
        <v>0</v>
      </c>
      <c r="I23" s="351">
        <f t="shared" si="4"/>
        <v>0.6</v>
      </c>
      <c r="J23" s="351">
        <f t="shared" si="4"/>
        <v>0</v>
      </c>
      <c r="K23" s="351">
        <f t="shared" si="4"/>
        <v>0</v>
      </c>
      <c r="L23" s="351">
        <f t="shared" si="4"/>
        <v>0</v>
      </c>
      <c r="M23" s="351">
        <f t="shared" si="4"/>
        <v>0</v>
      </c>
      <c r="N23" s="526">
        <f t="shared" ref="N23:N27" si="5">SUM(C23:M23)</f>
        <v>1</v>
      </c>
      <c r="O23" s="184"/>
      <c r="P23" s="358"/>
    </row>
    <row r="24" spans="1:16">
      <c r="A24" s="523" t="s">
        <v>381</v>
      </c>
      <c r="B24" s="344" t="s">
        <v>392</v>
      </c>
      <c r="C24" s="351">
        <f>C15/$N$15</f>
        <v>0.2</v>
      </c>
      <c r="D24" s="351">
        <f t="shared" ref="D24:M24" si="6">D15/$N$15</f>
        <v>0.2</v>
      </c>
      <c r="E24" s="351">
        <f t="shared" si="6"/>
        <v>0</v>
      </c>
      <c r="F24" s="351">
        <f t="shared" si="6"/>
        <v>0</v>
      </c>
      <c r="G24" s="351">
        <f t="shared" si="6"/>
        <v>0</v>
      </c>
      <c r="H24" s="351">
        <f t="shared" si="6"/>
        <v>0</v>
      </c>
      <c r="I24" s="351">
        <f t="shared" si="6"/>
        <v>0.6</v>
      </c>
      <c r="J24" s="351">
        <f t="shared" si="6"/>
        <v>0</v>
      </c>
      <c r="K24" s="351">
        <f t="shared" si="6"/>
        <v>0</v>
      </c>
      <c r="L24" s="351">
        <f t="shared" si="6"/>
        <v>0</v>
      </c>
      <c r="M24" s="351">
        <f t="shared" si="6"/>
        <v>0</v>
      </c>
      <c r="N24" s="526">
        <f t="shared" si="5"/>
        <v>1</v>
      </c>
      <c r="O24" s="358"/>
      <c r="P24" s="358"/>
    </row>
    <row r="25" spans="1:16">
      <c r="A25" s="523" t="s">
        <v>383</v>
      </c>
      <c r="B25" s="344" t="s">
        <v>384</v>
      </c>
      <c r="C25" s="351">
        <f>C16/$N$16</f>
        <v>0</v>
      </c>
      <c r="D25" s="351">
        <f t="shared" ref="D25:M25" si="7">D16/$N$16</f>
        <v>0</v>
      </c>
      <c r="E25" s="351">
        <f t="shared" si="7"/>
        <v>0.29621106707380795</v>
      </c>
      <c r="F25" s="351">
        <f t="shared" si="7"/>
        <v>0</v>
      </c>
      <c r="G25" s="351">
        <f t="shared" si="7"/>
        <v>0</v>
      </c>
      <c r="H25" s="351">
        <f t="shared" si="7"/>
        <v>0</v>
      </c>
      <c r="I25" s="351">
        <f t="shared" si="7"/>
        <v>0</v>
      </c>
      <c r="J25" s="351">
        <f t="shared" si="7"/>
        <v>0.1354140338511958</v>
      </c>
      <c r="K25" s="351">
        <f t="shared" si="7"/>
        <v>0.26494191851015014</v>
      </c>
      <c r="L25" s="351">
        <f t="shared" si="7"/>
        <v>0.2329049781838565</v>
      </c>
      <c r="M25" s="351">
        <f t="shared" si="7"/>
        <v>7.0528002380989593E-2</v>
      </c>
      <c r="N25" s="526">
        <f t="shared" si="5"/>
        <v>0.99999999999999989</v>
      </c>
      <c r="O25" s="358"/>
      <c r="P25" s="358"/>
    </row>
    <row r="26" spans="1:16">
      <c r="A26" s="523" t="s">
        <v>383</v>
      </c>
      <c r="B26" s="344" t="s">
        <v>385</v>
      </c>
      <c r="C26" s="351">
        <f>C17/$N$17</f>
        <v>0</v>
      </c>
      <c r="D26" s="351">
        <f t="shared" ref="D26:M26" si="8">D17/$N$17</f>
        <v>0</v>
      </c>
      <c r="E26" s="351">
        <f t="shared" si="8"/>
        <v>0.188798079588998</v>
      </c>
      <c r="F26" s="351">
        <f t="shared" si="8"/>
        <v>0</v>
      </c>
      <c r="G26" s="351">
        <f t="shared" si="8"/>
        <v>0</v>
      </c>
      <c r="H26" s="351">
        <f t="shared" si="8"/>
        <v>0</v>
      </c>
      <c r="I26" s="351">
        <f t="shared" si="8"/>
        <v>0</v>
      </c>
      <c r="J26" s="351">
        <f t="shared" si="8"/>
        <v>7.3079398812419163E-2</v>
      </c>
      <c r="K26" s="351">
        <f t="shared" si="8"/>
        <v>0.30231226791431109</v>
      </c>
      <c r="L26" s="351">
        <f t="shared" si="8"/>
        <v>0.42998801561079808</v>
      </c>
      <c r="M26" s="351">
        <f t="shared" si="8"/>
        <v>5.8222380734737535E-3</v>
      </c>
      <c r="N26" s="526">
        <f t="shared" si="5"/>
        <v>1.0000000000000002</v>
      </c>
      <c r="O26" s="358"/>
      <c r="P26" s="358"/>
    </row>
    <row r="27" spans="1:16">
      <c r="A27" s="523" t="s">
        <v>386</v>
      </c>
      <c r="B27" s="344" t="s">
        <v>387</v>
      </c>
      <c r="C27" s="351">
        <f>C18/$N$18</f>
        <v>0.37313432835820898</v>
      </c>
      <c r="D27" s="351">
        <f t="shared" ref="D27:M27" si="9">D18/$N$18</f>
        <v>0.62686567164179108</v>
      </c>
      <c r="E27" s="351">
        <f t="shared" si="9"/>
        <v>0</v>
      </c>
      <c r="F27" s="351">
        <f t="shared" si="9"/>
        <v>0</v>
      </c>
      <c r="G27" s="351">
        <f t="shared" si="9"/>
        <v>0</v>
      </c>
      <c r="H27" s="351">
        <f t="shared" si="9"/>
        <v>0</v>
      </c>
      <c r="I27" s="351">
        <f t="shared" si="9"/>
        <v>0</v>
      </c>
      <c r="J27" s="351">
        <f t="shared" si="9"/>
        <v>0</v>
      </c>
      <c r="K27" s="351">
        <f t="shared" si="9"/>
        <v>0</v>
      </c>
      <c r="L27" s="351">
        <f t="shared" si="9"/>
        <v>0</v>
      </c>
      <c r="M27" s="351">
        <f t="shared" si="9"/>
        <v>0</v>
      </c>
      <c r="N27" s="526">
        <f t="shared" si="5"/>
        <v>1</v>
      </c>
      <c r="O27" s="358"/>
      <c r="P27" s="358"/>
    </row>
    <row r="28" spans="1:16">
      <c r="A28" s="521"/>
      <c r="B28" s="346" t="s">
        <v>393</v>
      </c>
      <c r="C28" s="352">
        <f>C19/$N$19</f>
        <v>0.19892488097366726</v>
      </c>
      <c r="D28" s="352">
        <f t="shared" ref="D28:M28" si="10">D19/$N$19</f>
        <v>0.26585903447659598</v>
      </c>
      <c r="E28" s="352">
        <f t="shared" si="10"/>
        <v>8.9228108703258049E-2</v>
      </c>
      <c r="F28" s="352">
        <f t="shared" si="10"/>
        <v>0</v>
      </c>
      <c r="G28" s="352">
        <f t="shared" si="10"/>
        <v>0</v>
      </c>
      <c r="H28" s="352">
        <f t="shared" si="10"/>
        <v>0</v>
      </c>
      <c r="I28" s="352">
        <f t="shared" si="10"/>
        <v>0.12966493815311525</v>
      </c>
      <c r="J28" s="352">
        <f t="shared" si="10"/>
        <v>4.5840108596457284E-2</v>
      </c>
      <c r="K28" s="352">
        <f t="shared" si="10"/>
        <v>0.1163879145429883</v>
      </c>
      <c r="L28" s="352">
        <f t="shared" si="10"/>
        <v>0.1473324711465146</v>
      </c>
      <c r="M28" s="352">
        <f t="shared" si="10"/>
        <v>6.7625434074032823E-3</v>
      </c>
      <c r="N28" s="527">
        <v>1</v>
      </c>
      <c r="O28" s="358"/>
      <c r="P28" s="358"/>
    </row>
    <row r="29" spans="1:16" ht="16.5" thickBot="1">
      <c r="A29" s="528"/>
      <c r="B29" s="529" t="s">
        <v>573</v>
      </c>
      <c r="C29" s="530">
        <f>C20/$N$20</f>
        <v>0.24001298204245269</v>
      </c>
      <c r="D29" s="530">
        <f t="shared" ref="D29:M29" si="11">D20/$N$20</f>
        <v>0.30440139352934503</v>
      </c>
      <c r="E29" s="530">
        <f t="shared" si="11"/>
        <v>5.8998240613430578E-2</v>
      </c>
      <c r="F29" s="530">
        <f t="shared" si="11"/>
        <v>0</v>
      </c>
      <c r="G29" s="530">
        <f t="shared" si="11"/>
        <v>0</v>
      </c>
      <c r="H29" s="530">
        <f t="shared" si="11"/>
        <v>0</v>
      </c>
      <c r="I29" s="530">
        <f t="shared" si="11"/>
        <v>0.25111644440272562</v>
      </c>
      <c r="J29" s="530">
        <f t="shared" si="11"/>
        <v>3.6305712412339194E-2</v>
      </c>
      <c r="K29" s="530">
        <f t="shared" si="11"/>
        <v>5.2770165582472633E-2</v>
      </c>
      <c r="L29" s="530">
        <f t="shared" si="11"/>
        <v>4.6389164586929758E-2</v>
      </c>
      <c r="M29" s="530">
        <f t="shared" si="11"/>
        <v>1.0005896830304312E-2</v>
      </c>
      <c r="N29" s="527">
        <v>1</v>
      </c>
      <c r="O29" s="358"/>
      <c r="P29" s="358"/>
    </row>
    <row r="30" spans="1:16" ht="16.5" thickBot="1">
      <c r="A30" s="104"/>
      <c r="B30" s="357"/>
      <c r="C30" s="510"/>
      <c r="D30" s="510"/>
      <c r="E30" s="510"/>
      <c r="F30" s="510"/>
      <c r="G30" s="510"/>
      <c r="H30" s="510"/>
      <c r="I30" s="510"/>
      <c r="J30" s="510"/>
      <c r="K30" s="510"/>
      <c r="L30" s="510"/>
      <c r="M30" s="510"/>
      <c r="N30" s="358"/>
      <c r="O30" s="358"/>
      <c r="P30" s="358"/>
    </row>
    <row r="31" spans="1:16">
      <c r="A31" s="1518"/>
      <c r="B31" s="1515" t="s">
        <v>561</v>
      </c>
      <c r="C31" s="1516"/>
      <c r="D31" s="1516"/>
      <c r="E31" s="1516"/>
      <c r="F31" s="1517"/>
      <c r="G31" s="1515" t="s">
        <v>610</v>
      </c>
      <c r="H31" s="1516"/>
      <c r="I31" s="1517"/>
      <c r="J31" s="510"/>
      <c r="L31" s="510"/>
      <c r="M31" s="510"/>
      <c r="N31" s="358"/>
      <c r="O31" s="358"/>
      <c r="P31" s="358"/>
    </row>
    <row r="32" spans="1:16" ht="32.25" thickBot="1">
      <c r="A32" s="1519"/>
      <c r="B32" s="561" t="s">
        <v>549</v>
      </c>
      <c r="C32" s="307" t="s">
        <v>566</v>
      </c>
      <c r="D32" s="307" t="s">
        <v>429</v>
      </c>
      <c r="E32" s="307" t="s">
        <v>553</v>
      </c>
      <c r="F32" s="562" t="s">
        <v>303</v>
      </c>
      <c r="G32" s="561" t="s">
        <v>569</v>
      </c>
      <c r="H32" s="307" t="s">
        <v>570</v>
      </c>
      <c r="I32" s="562" t="s">
        <v>303</v>
      </c>
      <c r="J32" s="184"/>
      <c r="K32" s="184"/>
      <c r="L32" s="184"/>
    </row>
    <row r="33" spans="1:20">
      <c r="A33" s="542" t="s">
        <v>267</v>
      </c>
      <c r="B33" s="547">
        <f>(0.5*'Waste Summary 2017 SASOW'!M6+0.9*('Waste Summary 2017 SASOW'!L6+'Waste Summary 2017 SASOW'!N6))/'Waste Summary 2017 SASOW'!J6</f>
        <v>0.46471844811027063</v>
      </c>
      <c r="C33" s="516">
        <f>'Waste Summary 2017 SASOW'!O22</f>
        <v>0.41381327103365251</v>
      </c>
      <c r="D33" s="516">
        <f>(0.5*'Waste Summary 2017 SASOW'!M6+('Waste Summary 2017 SASOW'!L6+'Waste Summary 2017 SASOW'!N6)*0.1)/'Waste Summary 2017 SASOW'!J6</f>
        <v>0.12146828085607692</v>
      </c>
      <c r="E33" s="548">
        <v>0</v>
      </c>
      <c r="F33" s="546">
        <f>SUM(B33:E33)</f>
        <v>1</v>
      </c>
      <c r="G33" s="545">
        <f>N17/(N17+N18*0.5)</f>
        <v>0.66241124199764068</v>
      </c>
      <c r="H33" s="483">
        <f>(N18*0.5)/(N18*0.5+N17)</f>
        <v>0.33758875800235938</v>
      </c>
      <c r="I33" s="546">
        <f>SUM(G33:H33)</f>
        <v>1</v>
      </c>
      <c r="J33" s="184"/>
      <c r="K33" s="510"/>
      <c r="L33" s="184"/>
    </row>
    <row r="34" spans="1:20">
      <c r="A34" s="543" t="s">
        <v>656</v>
      </c>
      <c r="B34" s="541">
        <f>'Waste Summary 2017 SASOW'!L20+'Waste Summary 2017 SASOW'!M20+'Waste Summary 2017 SASOW'!N20</f>
        <v>0.85641924869700936</v>
      </c>
      <c r="C34" s="484">
        <f>'Waste Summary 2017 SASOW'!O20</f>
        <v>0.14268338865096522</v>
      </c>
      <c r="D34" s="484">
        <v>0</v>
      </c>
      <c r="E34" s="536">
        <f>'Waste Summary 2017 SASOW'!K20</f>
        <v>8.973626520254116E-4</v>
      </c>
      <c r="F34" s="526">
        <f>SUM(B34:E34)</f>
        <v>1</v>
      </c>
      <c r="G34" s="537">
        <f>('Waste Summary 2017 SASOW'!O10+'Waste Summary 2017 SASOW'!O13+'Waste Summary 2017 SASOW'!O14+'Waste Summary 2017 SASOW'!O15+'Waste Summary 2017 SASOW'!O7)/'Waste Summary 2017 SASOW'!O19</f>
        <v>0.49613166950665732</v>
      </c>
      <c r="H34" s="351">
        <f>'Waste Summary 2017 SASOW'!O9/'Waste Summary 2017 SASOW'!O19</f>
        <v>0.50386833049334279</v>
      </c>
      <c r="I34" s="526">
        <f t="shared" ref="I34:I36" si="12">SUM(G34:H34)</f>
        <v>1</v>
      </c>
      <c r="J34" s="184"/>
      <c r="K34" s="184"/>
      <c r="L34" s="184"/>
      <c r="O34" s="358"/>
      <c r="P34" s="358"/>
    </row>
    <row r="35" spans="1:20">
      <c r="A35" s="816" t="s">
        <v>657</v>
      </c>
      <c r="B35" s="817">
        <f>'Waste Summary 2017 SASOW'!L24+'Waste Summary 2017 SASOW'!M24+'Waste Summary 2017 SASOW'!N24</f>
        <v>0.74218195843015589</v>
      </c>
      <c r="C35" s="818">
        <f>'Waste Summary 2017 SASOW'!O24</f>
        <v>0.25567103228934263</v>
      </c>
      <c r="D35" s="818">
        <f>0</f>
        <v>0</v>
      </c>
      <c r="E35" s="819">
        <f>'Waste Summary 2017 SASOW'!K24</f>
        <v>2.1470092805013948E-3</v>
      </c>
      <c r="F35" s="526">
        <f>SUM(B35:E35)</f>
        <v>0.99999999999999989</v>
      </c>
      <c r="G35" s="820">
        <f>('Waste Summary 2017 SASOW'!O23-'Waste Summary 2017 SASOW'!O9)/'Waste Summary 2017 SASOW'!O23</f>
        <v>0.32721719372829228</v>
      </c>
      <c r="H35" s="821">
        <f>'Waste Summary 2017 SASOW'!O9/'Waste Summary 2017 SASOW'!O23</f>
        <v>0.67278280627170772</v>
      </c>
      <c r="I35" s="526">
        <f t="shared" si="12"/>
        <v>1</v>
      </c>
      <c r="J35" s="184"/>
      <c r="K35" s="184"/>
      <c r="L35" s="184"/>
      <c r="O35" s="358"/>
      <c r="P35" s="358"/>
    </row>
    <row r="36" spans="1:20" ht="16.5" thickBot="1">
      <c r="A36" s="544" t="s">
        <v>575</v>
      </c>
      <c r="B36" s="538">
        <v>0.8</v>
      </c>
      <c r="C36" s="539">
        <v>0.11</v>
      </c>
      <c r="D36" s="539">
        <v>0.09</v>
      </c>
      <c r="E36" s="539">
        <v>0</v>
      </c>
      <c r="F36" s="540">
        <f>SUM(B36:E36)</f>
        <v>1</v>
      </c>
      <c r="G36" s="538">
        <v>1</v>
      </c>
      <c r="H36" s="539">
        <v>0</v>
      </c>
      <c r="I36" s="540">
        <f t="shared" si="12"/>
        <v>1</v>
      </c>
      <c r="J36" s="184"/>
      <c r="K36" s="184"/>
      <c r="L36" s="184"/>
    </row>
    <row r="37" spans="1:20" ht="16.5" thickBot="1">
      <c r="A37" s="580"/>
      <c r="B37" s="510"/>
      <c r="C37" s="510"/>
      <c r="D37" s="510"/>
      <c r="E37" s="510"/>
      <c r="F37" s="581"/>
      <c r="G37" s="510"/>
      <c r="H37" s="510"/>
      <c r="I37" s="510"/>
      <c r="J37" s="184"/>
      <c r="K37" s="184"/>
      <c r="L37" s="184"/>
    </row>
    <row r="38" spans="1:20">
      <c r="A38" s="1520" t="s">
        <v>707</v>
      </c>
      <c r="B38" s="1521"/>
      <c r="C38" s="1522"/>
      <c r="D38" s="184"/>
      <c r="G38" s="184"/>
      <c r="H38" s="534"/>
      <c r="I38" s="184"/>
      <c r="J38" s="184"/>
      <c r="K38" s="184"/>
      <c r="L38" s="532"/>
    </row>
    <row r="39" spans="1:20" ht="30">
      <c r="A39" s="608" t="s">
        <v>581</v>
      </c>
      <c r="B39" s="607" t="s">
        <v>229</v>
      </c>
      <c r="C39" s="718">
        <f>Parameters!D12*(Parameters!D17+Parameters!E17)+Parameters!D13*(Parameters!D18+Parameters!E18)+Parameters!D14*(Parameters!D19+Parameters!E19)</f>
        <v>0.28959999999999997</v>
      </c>
      <c r="D39" s="184"/>
      <c r="G39" s="184"/>
      <c r="H39" s="534"/>
      <c r="I39" s="184"/>
      <c r="J39" s="184"/>
      <c r="K39" s="184"/>
      <c r="L39" s="532"/>
    </row>
    <row r="40" spans="1:20" ht="36.6" customHeight="1" thickBot="1">
      <c r="A40" s="609" t="s">
        <v>582</v>
      </c>
      <c r="B40" s="610" t="s">
        <v>229</v>
      </c>
      <c r="C40" s="719">
        <f>Parameters!D12*(SUM(Parameters!D17:H17))+Parameters!D13*(SUM(Parameters!D18:H18))+Parameters!D14*(SUM(Parameters!D19:H19))</f>
        <v>0.71479999999999999</v>
      </c>
      <c r="D40" s="184"/>
      <c r="G40" s="184"/>
      <c r="H40" s="534"/>
      <c r="I40" s="184"/>
      <c r="J40" s="184"/>
      <c r="K40" s="510"/>
      <c r="L40" s="510"/>
    </row>
    <row r="41" spans="1:20">
      <c r="A41" s="534"/>
      <c r="B41" s="510"/>
      <c r="C41" s="510"/>
      <c r="D41" s="184"/>
      <c r="G41" s="184"/>
      <c r="H41" s="184"/>
      <c r="I41" s="184"/>
      <c r="J41" s="184"/>
      <c r="K41" s="184"/>
      <c r="L41" s="184"/>
    </row>
    <row r="42" spans="1:20" ht="16.5" thickBot="1">
      <c r="A42" s="534"/>
      <c r="B42" s="184"/>
      <c r="C42" s="510"/>
      <c r="D42" s="184"/>
      <c r="F42" s="531"/>
      <c r="G42" s="533"/>
      <c r="H42" s="533"/>
      <c r="I42" s="533"/>
      <c r="J42" s="533"/>
      <c r="K42" s="533"/>
      <c r="L42" s="533"/>
      <c r="M42" s="493"/>
    </row>
    <row r="43" spans="1:20">
      <c r="A43" s="534"/>
      <c r="B43" s="184"/>
      <c r="C43" s="510"/>
      <c r="D43" s="184"/>
    </row>
    <row r="44" spans="1:20" ht="16.5" thickBot="1">
      <c r="A44" s="534"/>
      <c r="B44" s="184"/>
      <c r="C44" s="510"/>
      <c r="D44" s="184"/>
    </row>
    <row r="45" spans="1:20" ht="16.5" thickBot="1">
      <c r="A45" s="534"/>
      <c r="B45" s="1512" t="s">
        <v>605</v>
      </c>
      <c r="C45" s="1513"/>
      <c r="D45" s="1513"/>
      <c r="E45" s="1514"/>
      <c r="F45" s="1401" t="s">
        <v>607</v>
      </c>
      <c r="G45" s="1401"/>
      <c r="H45" s="1401"/>
      <c r="I45" s="1523" t="s">
        <v>726</v>
      </c>
      <c r="J45" s="1523"/>
      <c r="K45" s="1523"/>
      <c r="L45" s="1524"/>
      <c r="M45" s="1391" t="s">
        <v>608</v>
      </c>
      <c r="N45" s="1392"/>
      <c r="O45" s="1392"/>
      <c r="P45" s="1392"/>
      <c r="Q45" s="1392"/>
      <c r="R45" s="1392"/>
      <c r="S45" s="1392"/>
      <c r="T45" s="1393"/>
    </row>
    <row r="46" spans="1:20" ht="63">
      <c r="A46" s="1510" t="s">
        <v>217</v>
      </c>
      <c r="B46" s="1394" t="s">
        <v>218</v>
      </c>
      <c r="C46" s="1394" t="s">
        <v>464</v>
      </c>
      <c r="D46" s="717" t="s">
        <v>724</v>
      </c>
      <c r="E46" s="579" t="s">
        <v>725</v>
      </c>
      <c r="F46" s="1402" t="s">
        <v>577</v>
      </c>
      <c r="G46" s="717" t="s">
        <v>580</v>
      </c>
      <c r="H46" s="579" t="s">
        <v>606</v>
      </c>
      <c r="I46" s="1399" t="s">
        <v>554</v>
      </c>
      <c r="J46" s="551" t="s">
        <v>551</v>
      </c>
      <c r="K46" s="551" t="s">
        <v>288</v>
      </c>
      <c r="L46" s="560" t="s">
        <v>555</v>
      </c>
      <c r="M46" s="1507" t="s">
        <v>557</v>
      </c>
      <c r="N46" s="1508"/>
      <c r="O46" s="1508"/>
      <c r="P46" s="1508"/>
      <c r="Q46" s="1508"/>
      <c r="R46" s="1508"/>
      <c r="S46" s="1508"/>
      <c r="T46" s="1509"/>
    </row>
    <row r="47" spans="1:20" ht="39" customHeight="1" thickBot="1">
      <c r="A47" s="1511"/>
      <c r="B47" s="567" t="s">
        <v>232</v>
      </c>
      <c r="C47" s="568" t="s">
        <v>558</v>
      </c>
      <c r="D47" s="568" t="s">
        <v>556</v>
      </c>
      <c r="E47" s="605" t="s">
        <v>556</v>
      </c>
      <c r="F47" s="1403" t="s">
        <v>229</v>
      </c>
      <c r="G47" s="568" t="s">
        <v>229</v>
      </c>
      <c r="H47" s="605" t="s">
        <v>228</v>
      </c>
      <c r="I47" s="715" t="s">
        <v>227</v>
      </c>
      <c r="J47" s="553" t="s">
        <v>467</v>
      </c>
      <c r="K47" s="553" t="s">
        <v>228</v>
      </c>
      <c r="L47" s="554" t="s">
        <v>228</v>
      </c>
      <c r="M47" s="509" t="s">
        <v>221</v>
      </c>
      <c r="N47" s="185" t="s">
        <v>85</v>
      </c>
      <c r="O47" s="185" t="s">
        <v>87</v>
      </c>
      <c r="P47" s="185" t="s">
        <v>222</v>
      </c>
      <c r="Q47" s="185" t="s">
        <v>115</v>
      </c>
      <c r="R47" s="185" t="s">
        <v>223</v>
      </c>
      <c r="S47" s="185" t="s">
        <v>224</v>
      </c>
      <c r="T47" s="188" t="s">
        <v>225</v>
      </c>
    </row>
    <row r="48" spans="1:20">
      <c r="A48" s="968">
        <f>year</f>
        <v>1950</v>
      </c>
      <c r="B48" s="969">
        <v>5.3541578999999997</v>
      </c>
      <c r="C48" s="969"/>
      <c r="D48" s="1406">
        <v>0</v>
      </c>
      <c r="E48" s="970">
        <v>0</v>
      </c>
      <c r="F48" s="186">
        <f>C40</f>
        <v>0.71479999999999999</v>
      </c>
      <c r="G48" s="186">
        <f>C39</f>
        <v>0.28959999999999997</v>
      </c>
      <c r="H48" s="606">
        <v>0</v>
      </c>
      <c r="I48" s="716">
        <f>$C$3</f>
        <v>578.73</v>
      </c>
      <c r="J48" s="603">
        <f>'Waste Summary 2017 SASOW'!B33</f>
        <v>27.526054267727826</v>
      </c>
      <c r="K48" s="604">
        <f t="shared" ref="K48:K79" si="13">B48*I48</f>
        <v>3098.6118014670001</v>
      </c>
      <c r="L48" s="189">
        <f t="shared" ref="L48:L79" si="14">C48*J48*1000/1000</f>
        <v>0</v>
      </c>
      <c r="M48" s="186">
        <f t="shared" ref="M48:R48" si="15">C28</f>
        <v>0.19892488097366726</v>
      </c>
      <c r="N48" s="186">
        <f t="shared" si="15"/>
        <v>0.26585903447659598</v>
      </c>
      <c r="O48" s="186">
        <f t="shared" si="15"/>
        <v>8.9228108703258049E-2</v>
      </c>
      <c r="P48" s="186">
        <f t="shared" si="15"/>
        <v>0</v>
      </c>
      <c r="Q48" s="186">
        <f t="shared" si="15"/>
        <v>0</v>
      </c>
      <c r="R48" s="186">
        <f t="shared" si="15"/>
        <v>0</v>
      </c>
      <c r="S48" s="186">
        <f>SUM(I28:M28)</f>
        <v>0.4459879758464787</v>
      </c>
      <c r="T48" s="602">
        <f t="shared" ref="T48:T79" si="16">SUM(M48:S48)</f>
        <v>1</v>
      </c>
    </row>
    <row r="49" spans="1:22">
      <c r="A49" s="187">
        <f t="shared" ref="A49:A80" si="17">A48+1</f>
        <v>1951</v>
      </c>
      <c r="B49" s="494">
        <v>5.53942844</v>
      </c>
      <c r="C49" s="494"/>
      <c r="D49" s="184">
        <v>0</v>
      </c>
      <c r="E49" s="606">
        <v>0</v>
      </c>
      <c r="F49" s="186">
        <f>F48</f>
        <v>0.71479999999999999</v>
      </c>
      <c r="G49" s="186">
        <f>G48</f>
        <v>0.28959999999999997</v>
      </c>
      <c r="H49" s="606">
        <v>0</v>
      </c>
      <c r="I49" s="716">
        <f t="shared" ref="I49:I107" si="18">$C$3</f>
        <v>578.73</v>
      </c>
      <c r="J49" s="603">
        <f t="shared" ref="J49:J80" si="19">J48</f>
        <v>27.526054267727826</v>
      </c>
      <c r="K49" s="604">
        <f t="shared" si="13"/>
        <v>3205.8334210812</v>
      </c>
      <c r="L49" s="189">
        <f t="shared" si="14"/>
        <v>0</v>
      </c>
      <c r="M49" s="186">
        <f t="shared" ref="M49:M80" si="20">M48</f>
        <v>0.19892488097366726</v>
      </c>
      <c r="N49" s="186">
        <f t="shared" ref="N49:N80" si="21">N48</f>
        <v>0.26585903447659598</v>
      </c>
      <c r="O49" s="186">
        <f t="shared" ref="O49:O80" si="22">O48</f>
        <v>8.9228108703258049E-2</v>
      </c>
      <c r="P49" s="186">
        <f t="shared" ref="P49:P80" si="23">P48</f>
        <v>0</v>
      </c>
      <c r="Q49" s="186">
        <f t="shared" ref="Q49:Q80" si="24">Q48</f>
        <v>0</v>
      </c>
      <c r="R49" s="186">
        <f t="shared" ref="R49:R80" si="25">R48</f>
        <v>0</v>
      </c>
      <c r="S49" s="186">
        <f t="shared" ref="S49:S80" si="26">S48</f>
        <v>0.4459879758464787</v>
      </c>
      <c r="T49" s="602">
        <f t="shared" si="16"/>
        <v>1</v>
      </c>
    </row>
    <row r="50" spans="1:22">
      <c r="A50" s="187">
        <f t="shared" si="17"/>
        <v>1952</v>
      </c>
      <c r="B50" s="494">
        <v>5.7129272200000001</v>
      </c>
      <c r="C50" s="494"/>
      <c r="D50" s="184">
        <v>0</v>
      </c>
      <c r="E50" s="606">
        <v>0</v>
      </c>
      <c r="F50" s="186">
        <f t="shared" ref="F50:F113" si="27">F49</f>
        <v>0.71479999999999999</v>
      </c>
      <c r="G50" s="186">
        <f t="shared" ref="G50:G113" si="28">G49</f>
        <v>0.28959999999999997</v>
      </c>
      <c r="H50" s="606">
        <v>0</v>
      </c>
      <c r="I50" s="716">
        <f t="shared" si="18"/>
        <v>578.73</v>
      </c>
      <c r="J50" s="603">
        <f t="shared" si="19"/>
        <v>27.526054267727826</v>
      </c>
      <c r="K50" s="604">
        <f t="shared" si="13"/>
        <v>3306.2423700306003</v>
      </c>
      <c r="L50" s="189">
        <f t="shared" si="14"/>
        <v>0</v>
      </c>
      <c r="M50" s="186">
        <f t="shared" si="20"/>
        <v>0.19892488097366726</v>
      </c>
      <c r="N50" s="186">
        <f t="shared" si="21"/>
        <v>0.26585903447659598</v>
      </c>
      <c r="O50" s="186">
        <f t="shared" si="22"/>
        <v>8.9228108703258049E-2</v>
      </c>
      <c r="P50" s="186">
        <f t="shared" si="23"/>
        <v>0</v>
      </c>
      <c r="Q50" s="186">
        <f t="shared" si="24"/>
        <v>0</v>
      </c>
      <c r="R50" s="186">
        <f t="shared" si="25"/>
        <v>0</v>
      </c>
      <c r="S50" s="186">
        <f t="shared" si="26"/>
        <v>0.4459879758464787</v>
      </c>
      <c r="T50" s="602">
        <f t="shared" si="16"/>
        <v>1</v>
      </c>
    </row>
    <row r="51" spans="1:22">
      <c r="A51" s="187">
        <f t="shared" si="17"/>
        <v>1953</v>
      </c>
      <c r="B51" s="494">
        <v>5.9284297800000001</v>
      </c>
      <c r="C51" s="494"/>
      <c r="D51" s="184">
        <v>0</v>
      </c>
      <c r="E51" s="606">
        <v>0</v>
      </c>
      <c r="F51" s="186">
        <f t="shared" si="27"/>
        <v>0.71479999999999999</v>
      </c>
      <c r="G51" s="186">
        <f t="shared" si="28"/>
        <v>0.28959999999999997</v>
      </c>
      <c r="H51" s="606">
        <v>0</v>
      </c>
      <c r="I51" s="716">
        <f t="shared" si="18"/>
        <v>578.73</v>
      </c>
      <c r="J51" s="603">
        <f t="shared" si="19"/>
        <v>27.526054267727826</v>
      </c>
      <c r="K51" s="604">
        <f t="shared" si="13"/>
        <v>3430.9601665794003</v>
      </c>
      <c r="L51" s="189">
        <f t="shared" si="14"/>
        <v>0</v>
      </c>
      <c r="M51" s="186">
        <f t="shared" si="20"/>
        <v>0.19892488097366726</v>
      </c>
      <c r="N51" s="186">
        <f t="shared" si="21"/>
        <v>0.26585903447659598</v>
      </c>
      <c r="O51" s="186">
        <f t="shared" si="22"/>
        <v>8.9228108703258049E-2</v>
      </c>
      <c r="P51" s="186">
        <f t="shared" si="23"/>
        <v>0</v>
      </c>
      <c r="Q51" s="186">
        <f t="shared" si="24"/>
        <v>0</v>
      </c>
      <c r="R51" s="186">
        <f t="shared" si="25"/>
        <v>0</v>
      </c>
      <c r="S51" s="186">
        <f t="shared" si="26"/>
        <v>0.4459879758464787</v>
      </c>
      <c r="T51" s="602">
        <f t="shared" si="16"/>
        <v>1</v>
      </c>
      <c r="U51" s="184"/>
      <c r="V51" s="184"/>
    </row>
    <row r="52" spans="1:22">
      <c r="A52" s="187">
        <f t="shared" si="17"/>
        <v>1954</v>
      </c>
      <c r="B52" s="494">
        <v>6.1065695599999996</v>
      </c>
      <c r="C52" s="494"/>
      <c r="D52" s="184">
        <v>0</v>
      </c>
      <c r="E52" s="606">
        <v>0</v>
      </c>
      <c r="F52" s="186">
        <f t="shared" si="27"/>
        <v>0.71479999999999999</v>
      </c>
      <c r="G52" s="186">
        <f t="shared" si="28"/>
        <v>0.28959999999999997</v>
      </c>
      <c r="H52" s="606">
        <v>0</v>
      </c>
      <c r="I52" s="716">
        <f t="shared" si="18"/>
        <v>578.73</v>
      </c>
      <c r="J52" s="603">
        <f t="shared" si="19"/>
        <v>27.526054267727826</v>
      </c>
      <c r="K52" s="604">
        <f t="shared" si="13"/>
        <v>3534.0550014587998</v>
      </c>
      <c r="L52" s="189">
        <f t="shared" si="14"/>
        <v>0</v>
      </c>
      <c r="M52" s="186">
        <f t="shared" si="20"/>
        <v>0.19892488097366726</v>
      </c>
      <c r="N52" s="186">
        <f t="shared" si="21"/>
        <v>0.26585903447659598</v>
      </c>
      <c r="O52" s="186">
        <f t="shared" si="22"/>
        <v>8.9228108703258049E-2</v>
      </c>
      <c r="P52" s="186">
        <f t="shared" si="23"/>
        <v>0</v>
      </c>
      <c r="Q52" s="186">
        <f t="shared" si="24"/>
        <v>0</v>
      </c>
      <c r="R52" s="186">
        <f t="shared" si="25"/>
        <v>0</v>
      </c>
      <c r="S52" s="186">
        <f t="shared" si="26"/>
        <v>0.4459879758464787</v>
      </c>
      <c r="T52" s="602">
        <f t="shared" si="16"/>
        <v>1</v>
      </c>
      <c r="U52" s="184"/>
      <c r="V52" s="184"/>
    </row>
    <row r="53" spans="1:22">
      <c r="A53" s="187">
        <f t="shared" si="17"/>
        <v>1955</v>
      </c>
      <c r="B53" s="494">
        <v>6.2725644799999998</v>
      </c>
      <c r="C53" s="494"/>
      <c r="D53" s="184">
        <v>0</v>
      </c>
      <c r="E53" s="606">
        <v>0</v>
      </c>
      <c r="F53" s="186">
        <f t="shared" si="27"/>
        <v>0.71479999999999999</v>
      </c>
      <c r="G53" s="186">
        <f t="shared" si="28"/>
        <v>0.28959999999999997</v>
      </c>
      <c r="H53" s="606">
        <v>0</v>
      </c>
      <c r="I53" s="716">
        <f t="shared" si="18"/>
        <v>578.73</v>
      </c>
      <c r="J53" s="603">
        <f t="shared" si="19"/>
        <v>27.526054267727826</v>
      </c>
      <c r="K53" s="604">
        <f t="shared" si="13"/>
        <v>3630.1212415104001</v>
      </c>
      <c r="L53" s="189">
        <f t="shared" si="14"/>
        <v>0</v>
      </c>
      <c r="M53" s="186">
        <f t="shared" si="20"/>
        <v>0.19892488097366726</v>
      </c>
      <c r="N53" s="186">
        <f t="shared" si="21"/>
        <v>0.26585903447659598</v>
      </c>
      <c r="O53" s="186">
        <f t="shared" si="22"/>
        <v>8.9228108703258049E-2</v>
      </c>
      <c r="P53" s="186">
        <f t="shared" si="23"/>
        <v>0</v>
      </c>
      <c r="Q53" s="186">
        <f t="shared" si="24"/>
        <v>0</v>
      </c>
      <c r="R53" s="186">
        <f t="shared" si="25"/>
        <v>0</v>
      </c>
      <c r="S53" s="186">
        <f t="shared" si="26"/>
        <v>0.4459879758464787</v>
      </c>
      <c r="T53" s="602">
        <f t="shared" si="16"/>
        <v>1</v>
      </c>
      <c r="U53" s="184"/>
      <c r="V53" s="184"/>
    </row>
    <row r="54" spans="1:22">
      <c r="A54" s="187">
        <f t="shared" si="17"/>
        <v>1956</v>
      </c>
      <c r="B54" s="494">
        <v>6.4651860000000001</v>
      </c>
      <c r="C54" s="494"/>
      <c r="D54" s="184">
        <v>0</v>
      </c>
      <c r="E54" s="606">
        <v>0</v>
      </c>
      <c r="F54" s="186">
        <f t="shared" si="27"/>
        <v>0.71479999999999999</v>
      </c>
      <c r="G54" s="186">
        <f t="shared" si="28"/>
        <v>0.28959999999999997</v>
      </c>
      <c r="H54" s="606">
        <v>0</v>
      </c>
      <c r="I54" s="716">
        <f t="shared" si="18"/>
        <v>578.73</v>
      </c>
      <c r="J54" s="603">
        <f t="shared" si="19"/>
        <v>27.526054267727826</v>
      </c>
      <c r="K54" s="604">
        <f t="shared" si="13"/>
        <v>3741.5970937800003</v>
      </c>
      <c r="L54" s="189">
        <f t="shared" si="14"/>
        <v>0</v>
      </c>
      <c r="M54" s="186">
        <f t="shared" si="20"/>
        <v>0.19892488097366726</v>
      </c>
      <c r="N54" s="186">
        <f t="shared" si="21"/>
        <v>0.26585903447659598</v>
      </c>
      <c r="O54" s="186">
        <f t="shared" si="22"/>
        <v>8.9228108703258049E-2</v>
      </c>
      <c r="P54" s="186">
        <f t="shared" si="23"/>
        <v>0</v>
      </c>
      <c r="Q54" s="186">
        <f t="shared" si="24"/>
        <v>0</v>
      </c>
      <c r="R54" s="186">
        <f t="shared" si="25"/>
        <v>0</v>
      </c>
      <c r="S54" s="186">
        <f t="shared" si="26"/>
        <v>0.4459879758464787</v>
      </c>
      <c r="T54" s="602">
        <f t="shared" si="16"/>
        <v>1</v>
      </c>
      <c r="U54" s="184"/>
      <c r="V54" s="184"/>
    </row>
    <row r="55" spans="1:22">
      <c r="A55" s="187">
        <f t="shared" si="17"/>
        <v>1957</v>
      </c>
      <c r="B55" s="494">
        <v>6.6592707999999998</v>
      </c>
      <c r="C55" s="494"/>
      <c r="D55" s="184">
        <v>0</v>
      </c>
      <c r="E55" s="606">
        <v>0</v>
      </c>
      <c r="F55" s="186">
        <f t="shared" si="27"/>
        <v>0.71479999999999999</v>
      </c>
      <c r="G55" s="186">
        <f t="shared" si="28"/>
        <v>0.28959999999999997</v>
      </c>
      <c r="H55" s="606">
        <v>0</v>
      </c>
      <c r="I55" s="716">
        <f t="shared" si="18"/>
        <v>578.73</v>
      </c>
      <c r="J55" s="603">
        <f t="shared" si="19"/>
        <v>27.526054267727826</v>
      </c>
      <c r="K55" s="604">
        <f t="shared" si="13"/>
        <v>3853.9197900839999</v>
      </c>
      <c r="L55" s="189">
        <f t="shared" si="14"/>
        <v>0</v>
      </c>
      <c r="M55" s="186">
        <f t="shared" si="20"/>
        <v>0.19892488097366726</v>
      </c>
      <c r="N55" s="186">
        <f t="shared" si="21"/>
        <v>0.26585903447659598</v>
      </c>
      <c r="O55" s="186">
        <f t="shared" si="22"/>
        <v>8.9228108703258049E-2</v>
      </c>
      <c r="P55" s="186">
        <f t="shared" si="23"/>
        <v>0</v>
      </c>
      <c r="Q55" s="186">
        <f t="shared" si="24"/>
        <v>0</v>
      </c>
      <c r="R55" s="186">
        <f t="shared" si="25"/>
        <v>0</v>
      </c>
      <c r="S55" s="186">
        <f t="shared" si="26"/>
        <v>0.4459879758464787</v>
      </c>
      <c r="T55" s="602">
        <f t="shared" si="16"/>
        <v>1</v>
      </c>
      <c r="U55" s="184"/>
      <c r="V55" s="184"/>
    </row>
    <row r="56" spans="1:22">
      <c r="A56" s="187">
        <f t="shared" si="17"/>
        <v>1958</v>
      </c>
      <c r="B56" s="494">
        <v>6.8699176</v>
      </c>
      <c r="C56" s="494"/>
      <c r="D56" s="184">
        <v>0</v>
      </c>
      <c r="E56" s="606">
        <v>0</v>
      </c>
      <c r="F56" s="186">
        <f t="shared" si="27"/>
        <v>0.71479999999999999</v>
      </c>
      <c r="G56" s="186">
        <f t="shared" si="28"/>
        <v>0.28959999999999997</v>
      </c>
      <c r="H56" s="606">
        <v>0</v>
      </c>
      <c r="I56" s="716">
        <f t="shared" si="18"/>
        <v>578.73</v>
      </c>
      <c r="J56" s="603">
        <f t="shared" si="19"/>
        <v>27.526054267727826</v>
      </c>
      <c r="K56" s="604">
        <f t="shared" si="13"/>
        <v>3975.8274126480001</v>
      </c>
      <c r="L56" s="189">
        <f t="shared" si="14"/>
        <v>0</v>
      </c>
      <c r="M56" s="186">
        <f t="shared" si="20"/>
        <v>0.19892488097366726</v>
      </c>
      <c r="N56" s="186">
        <f t="shared" si="21"/>
        <v>0.26585903447659598</v>
      </c>
      <c r="O56" s="186">
        <f t="shared" si="22"/>
        <v>8.9228108703258049E-2</v>
      </c>
      <c r="P56" s="186">
        <f t="shared" si="23"/>
        <v>0</v>
      </c>
      <c r="Q56" s="186">
        <f t="shared" si="24"/>
        <v>0</v>
      </c>
      <c r="R56" s="186">
        <f t="shared" si="25"/>
        <v>0</v>
      </c>
      <c r="S56" s="186">
        <f t="shared" si="26"/>
        <v>0.4459879758464787</v>
      </c>
      <c r="T56" s="602">
        <f t="shared" si="16"/>
        <v>1</v>
      </c>
      <c r="U56" s="184"/>
      <c r="V56" s="184"/>
    </row>
    <row r="57" spans="1:22">
      <c r="A57" s="187">
        <f t="shared" si="17"/>
        <v>1959</v>
      </c>
      <c r="B57" s="494">
        <v>7.0827593200000001</v>
      </c>
      <c r="C57" s="494"/>
      <c r="D57" s="184">
        <v>0</v>
      </c>
      <c r="E57" s="606">
        <v>0</v>
      </c>
      <c r="F57" s="186">
        <f t="shared" si="27"/>
        <v>0.71479999999999999</v>
      </c>
      <c r="G57" s="186">
        <f t="shared" si="28"/>
        <v>0.28959999999999997</v>
      </c>
      <c r="H57" s="606">
        <v>0</v>
      </c>
      <c r="I57" s="716">
        <f t="shared" si="18"/>
        <v>578.73</v>
      </c>
      <c r="J57" s="603">
        <f t="shared" si="19"/>
        <v>27.526054267727826</v>
      </c>
      <c r="K57" s="604">
        <f t="shared" si="13"/>
        <v>4099.0053012635999</v>
      </c>
      <c r="L57" s="189">
        <f t="shared" si="14"/>
        <v>0</v>
      </c>
      <c r="M57" s="186">
        <f t="shared" si="20"/>
        <v>0.19892488097366726</v>
      </c>
      <c r="N57" s="186">
        <f t="shared" si="21"/>
        <v>0.26585903447659598</v>
      </c>
      <c r="O57" s="186">
        <f t="shared" si="22"/>
        <v>8.9228108703258049E-2</v>
      </c>
      <c r="P57" s="186">
        <f t="shared" si="23"/>
        <v>0</v>
      </c>
      <c r="Q57" s="186">
        <f t="shared" si="24"/>
        <v>0</v>
      </c>
      <c r="R57" s="186">
        <f t="shared" si="25"/>
        <v>0</v>
      </c>
      <c r="S57" s="186">
        <f t="shared" si="26"/>
        <v>0.4459879758464787</v>
      </c>
      <c r="T57" s="602">
        <f t="shared" si="16"/>
        <v>1</v>
      </c>
      <c r="U57" s="184"/>
      <c r="V57" s="184"/>
    </row>
    <row r="58" spans="1:22">
      <c r="A58" s="187">
        <f t="shared" si="17"/>
        <v>1960</v>
      </c>
      <c r="B58" s="494">
        <v>7.2819655999999995</v>
      </c>
      <c r="C58" s="673"/>
      <c r="D58" s="184">
        <v>0</v>
      </c>
      <c r="E58" s="606">
        <v>0</v>
      </c>
      <c r="F58" s="186">
        <f t="shared" si="27"/>
        <v>0.71479999999999999</v>
      </c>
      <c r="G58" s="186">
        <f t="shared" si="28"/>
        <v>0.28959999999999997</v>
      </c>
      <c r="H58" s="606">
        <v>0</v>
      </c>
      <c r="I58" s="716">
        <f t="shared" si="18"/>
        <v>578.73</v>
      </c>
      <c r="J58" s="603">
        <f t="shared" si="19"/>
        <v>27.526054267727826</v>
      </c>
      <c r="K58" s="604">
        <f t="shared" si="13"/>
        <v>4214.2919516880002</v>
      </c>
      <c r="L58" s="189">
        <f t="shared" si="14"/>
        <v>0</v>
      </c>
      <c r="M58" s="186">
        <f t="shared" si="20"/>
        <v>0.19892488097366726</v>
      </c>
      <c r="N58" s="186">
        <f t="shared" si="21"/>
        <v>0.26585903447659598</v>
      </c>
      <c r="O58" s="186">
        <f t="shared" si="22"/>
        <v>8.9228108703258049E-2</v>
      </c>
      <c r="P58" s="186">
        <f t="shared" si="23"/>
        <v>0</v>
      </c>
      <c r="Q58" s="186">
        <f t="shared" si="24"/>
        <v>0</v>
      </c>
      <c r="R58" s="186">
        <f t="shared" si="25"/>
        <v>0</v>
      </c>
      <c r="S58" s="186">
        <f t="shared" si="26"/>
        <v>0.4459879758464787</v>
      </c>
      <c r="T58" s="602">
        <f t="shared" si="16"/>
        <v>1</v>
      </c>
      <c r="U58" s="184"/>
      <c r="V58" s="184"/>
    </row>
    <row r="59" spans="1:22">
      <c r="A59" s="187">
        <f t="shared" si="17"/>
        <v>1961</v>
      </c>
      <c r="B59" s="494">
        <v>7.6498422000000001</v>
      </c>
      <c r="C59" s="672">
        <v>599.59447889563342</v>
      </c>
      <c r="D59" s="184">
        <v>0</v>
      </c>
      <c r="E59" s="606">
        <v>0</v>
      </c>
      <c r="F59" s="186">
        <f t="shared" si="27"/>
        <v>0.71479999999999999</v>
      </c>
      <c r="G59" s="186">
        <f t="shared" si="28"/>
        <v>0.28959999999999997</v>
      </c>
      <c r="H59" s="606">
        <v>0</v>
      </c>
      <c r="I59" s="716">
        <f t="shared" si="18"/>
        <v>578.73</v>
      </c>
      <c r="J59" s="603">
        <f t="shared" si="19"/>
        <v>27.526054267727826</v>
      </c>
      <c r="K59" s="604">
        <f t="shared" si="13"/>
        <v>4427.193176406</v>
      </c>
      <c r="L59" s="189">
        <f t="shared" si="14"/>
        <v>16504.470164711191</v>
      </c>
      <c r="M59" s="186">
        <f t="shared" si="20"/>
        <v>0.19892488097366726</v>
      </c>
      <c r="N59" s="186">
        <f t="shared" si="21"/>
        <v>0.26585903447659598</v>
      </c>
      <c r="O59" s="186">
        <f t="shared" si="22"/>
        <v>8.9228108703258049E-2</v>
      </c>
      <c r="P59" s="186">
        <f t="shared" si="23"/>
        <v>0</v>
      </c>
      <c r="Q59" s="186">
        <f t="shared" si="24"/>
        <v>0</v>
      </c>
      <c r="R59" s="186">
        <f t="shared" si="25"/>
        <v>0</v>
      </c>
      <c r="S59" s="186">
        <f t="shared" si="26"/>
        <v>0.4459879758464787</v>
      </c>
      <c r="T59" s="602">
        <f t="shared" si="16"/>
        <v>1</v>
      </c>
    </row>
    <row r="60" spans="1:22">
      <c r="A60" s="187">
        <f t="shared" si="17"/>
        <v>1962</v>
      </c>
      <c r="B60" s="494">
        <v>7.8559936000000006</v>
      </c>
      <c r="C60" s="672">
        <v>636.63672484588017</v>
      </c>
      <c r="D60" s="184">
        <v>0</v>
      </c>
      <c r="E60" s="606">
        <v>0</v>
      </c>
      <c r="F60" s="186">
        <f t="shared" si="27"/>
        <v>0.71479999999999999</v>
      </c>
      <c r="G60" s="186">
        <f t="shared" si="28"/>
        <v>0.28959999999999997</v>
      </c>
      <c r="H60" s="606">
        <v>0</v>
      </c>
      <c r="I60" s="716">
        <f t="shared" si="18"/>
        <v>578.73</v>
      </c>
      <c r="J60" s="603">
        <f t="shared" si="19"/>
        <v>27.526054267727826</v>
      </c>
      <c r="K60" s="604">
        <f t="shared" si="13"/>
        <v>4546.4991761280007</v>
      </c>
      <c r="L60" s="189">
        <f t="shared" si="14"/>
        <v>17524.097036936204</v>
      </c>
      <c r="M60" s="186">
        <f t="shared" si="20"/>
        <v>0.19892488097366726</v>
      </c>
      <c r="N60" s="186">
        <f t="shared" si="21"/>
        <v>0.26585903447659598</v>
      </c>
      <c r="O60" s="186">
        <f t="shared" si="22"/>
        <v>8.9228108703258049E-2</v>
      </c>
      <c r="P60" s="186">
        <f t="shared" si="23"/>
        <v>0</v>
      </c>
      <c r="Q60" s="186">
        <f t="shared" si="24"/>
        <v>0</v>
      </c>
      <c r="R60" s="186">
        <f t="shared" si="25"/>
        <v>0</v>
      </c>
      <c r="S60" s="186">
        <f t="shared" si="26"/>
        <v>0.4459879758464787</v>
      </c>
      <c r="T60" s="602">
        <f t="shared" si="16"/>
        <v>1</v>
      </c>
    </row>
    <row r="61" spans="1:22">
      <c r="A61" s="187">
        <f t="shared" si="17"/>
        <v>1963</v>
      </c>
      <c r="B61" s="494">
        <v>8.062145000000001</v>
      </c>
      <c r="C61" s="672">
        <v>683.57985178312117</v>
      </c>
      <c r="D61" s="184">
        <v>0</v>
      </c>
      <c r="E61" s="606">
        <v>0</v>
      </c>
      <c r="F61" s="186">
        <f t="shared" si="27"/>
        <v>0.71479999999999999</v>
      </c>
      <c r="G61" s="186">
        <f t="shared" si="28"/>
        <v>0.28959999999999997</v>
      </c>
      <c r="H61" s="606">
        <v>0</v>
      </c>
      <c r="I61" s="716">
        <f t="shared" si="18"/>
        <v>578.73</v>
      </c>
      <c r="J61" s="603">
        <f t="shared" si="19"/>
        <v>27.526054267727826</v>
      </c>
      <c r="K61" s="604">
        <f t="shared" si="13"/>
        <v>4665.8051758500005</v>
      </c>
      <c r="L61" s="189">
        <f t="shared" si="14"/>
        <v>18816.256096507535</v>
      </c>
      <c r="M61" s="186">
        <f t="shared" si="20"/>
        <v>0.19892488097366726</v>
      </c>
      <c r="N61" s="186">
        <f t="shared" si="21"/>
        <v>0.26585903447659598</v>
      </c>
      <c r="O61" s="186">
        <f t="shared" si="22"/>
        <v>8.9228108703258049E-2</v>
      </c>
      <c r="P61" s="186">
        <f t="shared" si="23"/>
        <v>0</v>
      </c>
      <c r="Q61" s="186">
        <f t="shared" si="24"/>
        <v>0</v>
      </c>
      <c r="R61" s="186">
        <f t="shared" si="25"/>
        <v>0</v>
      </c>
      <c r="S61" s="186">
        <f t="shared" si="26"/>
        <v>0.4459879758464787</v>
      </c>
      <c r="T61" s="602">
        <f t="shared" si="16"/>
        <v>1</v>
      </c>
    </row>
    <row r="62" spans="1:22">
      <c r="A62" s="187">
        <f t="shared" si="17"/>
        <v>1964</v>
      </c>
      <c r="B62" s="494">
        <v>8.2682964000000005</v>
      </c>
      <c r="C62" s="672">
        <v>737.85459954797477</v>
      </c>
      <c r="D62" s="184">
        <v>0</v>
      </c>
      <c r="E62" s="606">
        <v>0</v>
      </c>
      <c r="F62" s="186">
        <f t="shared" si="27"/>
        <v>0.71479999999999999</v>
      </c>
      <c r="G62" s="186">
        <f t="shared" si="28"/>
        <v>0.28959999999999997</v>
      </c>
      <c r="H62" s="606">
        <v>0</v>
      </c>
      <c r="I62" s="716">
        <f t="shared" si="18"/>
        <v>578.73</v>
      </c>
      <c r="J62" s="603">
        <f t="shared" si="19"/>
        <v>27.526054267727826</v>
      </c>
      <c r="K62" s="604">
        <f t="shared" si="13"/>
        <v>4785.1111755720003</v>
      </c>
      <c r="L62" s="189">
        <f t="shared" si="14"/>
        <v>20310.225748850138</v>
      </c>
      <c r="M62" s="186">
        <f t="shared" si="20"/>
        <v>0.19892488097366726</v>
      </c>
      <c r="N62" s="186">
        <f t="shared" si="21"/>
        <v>0.26585903447659598</v>
      </c>
      <c r="O62" s="186">
        <f t="shared" si="22"/>
        <v>8.9228108703258049E-2</v>
      </c>
      <c r="P62" s="186">
        <f t="shared" si="23"/>
        <v>0</v>
      </c>
      <c r="Q62" s="186">
        <f t="shared" si="24"/>
        <v>0</v>
      </c>
      <c r="R62" s="186">
        <f t="shared" si="25"/>
        <v>0</v>
      </c>
      <c r="S62" s="186">
        <f t="shared" si="26"/>
        <v>0.4459879758464787</v>
      </c>
      <c r="T62" s="602">
        <f t="shared" si="16"/>
        <v>1</v>
      </c>
    </row>
    <row r="63" spans="1:22">
      <c r="A63" s="187">
        <f t="shared" si="17"/>
        <v>1965</v>
      </c>
      <c r="B63" s="494">
        <v>8.4744478000000001</v>
      </c>
      <c r="C63" s="672">
        <v>783.03167192931596</v>
      </c>
      <c r="D63" s="184">
        <v>0</v>
      </c>
      <c r="E63" s="606">
        <v>0</v>
      </c>
      <c r="F63" s="186">
        <f t="shared" si="27"/>
        <v>0.71479999999999999</v>
      </c>
      <c r="G63" s="186">
        <f t="shared" si="28"/>
        <v>0.28959999999999997</v>
      </c>
      <c r="H63" s="606">
        <v>0</v>
      </c>
      <c r="I63" s="716">
        <f t="shared" si="18"/>
        <v>578.73</v>
      </c>
      <c r="J63" s="603">
        <f t="shared" si="19"/>
        <v>27.526054267727826</v>
      </c>
      <c r="K63" s="604">
        <f t="shared" si="13"/>
        <v>4904.4171752940001</v>
      </c>
      <c r="L63" s="189">
        <f t="shared" si="14"/>
        <v>21553.772294876002</v>
      </c>
      <c r="M63" s="186">
        <f t="shared" si="20"/>
        <v>0.19892488097366726</v>
      </c>
      <c r="N63" s="186">
        <f t="shared" si="21"/>
        <v>0.26585903447659598</v>
      </c>
      <c r="O63" s="186">
        <f t="shared" si="22"/>
        <v>8.9228108703258049E-2</v>
      </c>
      <c r="P63" s="186">
        <f t="shared" si="23"/>
        <v>0</v>
      </c>
      <c r="Q63" s="186">
        <f t="shared" si="24"/>
        <v>0</v>
      </c>
      <c r="R63" s="186">
        <f t="shared" si="25"/>
        <v>0</v>
      </c>
      <c r="S63" s="186">
        <f t="shared" si="26"/>
        <v>0.4459879758464787</v>
      </c>
      <c r="T63" s="602">
        <f t="shared" si="16"/>
        <v>1</v>
      </c>
    </row>
    <row r="64" spans="1:22">
      <c r="A64" s="187">
        <f t="shared" si="17"/>
        <v>1966</v>
      </c>
      <c r="B64" s="494">
        <v>8.7407319999999995</v>
      </c>
      <c r="C64" s="672">
        <v>817.78503135778317</v>
      </c>
      <c r="D64" s="184">
        <v>0</v>
      </c>
      <c r="E64" s="606">
        <v>0</v>
      </c>
      <c r="F64" s="186">
        <f t="shared" si="27"/>
        <v>0.71479999999999999</v>
      </c>
      <c r="G64" s="186">
        <f t="shared" si="28"/>
        <v>0.28959999999999997</v>
      </c>
      <c r="H64" s="606">
        <v>0</v>
      </c>
      <c r="I64" s="716">
        <f t="shared" si="18"/>
        <v>578.73</v>
      </c>
      <c r="J64" s="603">
        <f t="shared" si="19"/>
        <v>27.526054267727826</v>
      </c>
      <c r="K64" s="604">
        <f t="shared" si="13"/>
        <v>5058.5238303599999</v>
      </c>
      <c r="L64" s="189">
        <f t="shared" si="14"/>
        <v>22510.39515248984</v>
      </c>
      <c r="M64" s="186">
        <f t="shared" si="20"/>
        <v>0.19892488097366726</v>
      </c>
      <c r="N64" s="186">
        <f t="shared" si="21"/>
        <v>0.26585903447659598</v>
      </c>
      <c r="O64" s="186">
        <f t="shared" si="22"/>
        <v>8.9228108703258049E-2</v>
      </c>
      <c r="P64" s="186">
        <f t="shared" si="23"/>
        <v>0</v>
      </c>
      <c r="Q64" s="186">
        <f t="shared" si="24"/>
        <v>0</v>
      </c>
      <c r="R64" s="186">
        <f t="shared" si="25"/>
        <v>0</v>
      </c>
      <c r="S64" s="186">
        <f t="shared" si="26"/>
        <v>0.4459879758464787</v>
      </c>
      <c r="T64" s="602">
        <f t="shared" si="16"/>
        <v>1</v>
      </c>
    </row>
    <row r="65" spans="1:20">
      <c r="A65" s="187">
        <f t="shared" si="17"/>
        <v>1967</v>
      </c>
      <c r="B65" s="494">
        <v>9.0098299199999996</v>
      </c>
      <c r="C65" s="672">
        <v>876.63755217357675</v>
      </c>
      <c r="D65" s="184">
        <v>0</v>
      </c>
      <c r="E65" s="606">
        <v>0</v>
      </c>
      <c r="F65" s="186">
        <f t="shared" si="27"/>
        <v>0.71479999999999999</v>
      </c>
      <c r="G65" s="186">
        <f t="shared" si="28"/>
        <v>0.28959999999999997</v>
      </c>
      <c r="H65" s="606">
        <v>0</v>
      </c>
      <c r="I65" s="716">
        <f t="shared" si="18"/>
        <v>578.73</v>
      </c>
      <c r="J65" s="603">
        <f t="shared" si="19"/>
        <v>27.526054267727826</v>
      </c>
      <c r="K65" s="604">
        <f t="shared" si="13"/>
        <v>5214.2588696016001</v>
      </c>
      <c r="L65" s="189">
        <f t="shared" si="14"/>
        <v>24130.372834257956</v>
      </c>
      <c r="M65" s="186">
        <f t="shared" si="20"/>
        <v>0.19892488097366726</v>
      </c>
      <c r="N65" s="186">
        <f t="shared" si="21"/>
        <v>0.26585903447659598</v>
      </c>
      <c r="O65" s="186">
        <f t="shared" si="22"/>
        <v>8.9228108703258049E-2</v>
      </c>
      <c r="P65" s="186">
        <f t="shared" si="23"/>
        <v>0</v>
      </c>
      <c r="Q65" s="186">
        <f t="shared" si="24"/>
        <v>0</v>
      </c>
      <c r="R65" s="186">
        <f t="shared" si="25"/>
        <v>0</v>
      </c>
      <c r="S65" s="186">
        <f t="shared" si="26"/>
        <v>0.4459879758464787</v>
      </c>
      <c r="T65" s="602">
        <f t="shared" si="16"/>
        <v>1</v>
      </c>
    </row>
    <row r="66" spans="1:20">
      <c r="A66" s="187">
        <f t="shared" si="17"/>
        <v>1968</v>
      </c>
      <c r="B66" s="494">
        <v>9.2808861600000014</v>
      </c>
      <c r="C66" s="672">
        <v>913.04820912190667</v>
      </c>
      <c r="D66" s="184">
        <v>0</v>
      </c>
      <c r="E66" s="606">
        <v>0</v>
      </c>
      <c r="F66" s="186">
        <f t="shared" si="27"/>
        <v>0.71479999999999999</v>
      </c>
      <c r="G66" s="186">
        <f t="shared" si="28"/>
        <v>0.28959999999999997</v>
      </c>
      <c r="H66" s="606">
        <v>0</v>
      </c>
      <c r="I66" s="716">
        <f t="shared" si="18"/>
        <v>578.73</v>
      </c>
      <c r="J66" s="603">
        <f t="shared" si="19"/>
        <v>27.526054267727826</v>
      </c>
      <c r="K66" s="604">
        <f t="shared" si="13"/>
        <v>5371.1272473768013</v>
      </c>
      <c r="L66" s="189">
        <f t="shared" si="14"/>
        <v>25132.614553341307</v>
      </c>
      <c r="M66" s="186">
        <f t="shared" si="20"/>
        <v>0.19892488097366726</v>
      </c>
      <c r="N66" s="186">
        <f t="shared" si="21"/>
        <v>0.26585903447659598</v>
      </c>
      <c r="O66" s="186">
        <f t="shared" si="22"/>
        <v>8.9228108703258049E-2</v>
      </c>
      <c r="P66" s="186">
        <f t="shared" si="23"/>
        <v>0</v>
      </c>
      <c r="Q66" s="186">
        <f t="shared" si="24"/>
        <v>0</v>
      </c>
      <c r="R66" s="186">
        <f t="shared" si="25"/>
        <v>0</v>
      </c>
      <c r="S66" s="186">
        <f t="shared" si="26"/>
        <v>0.4459879758464787</v>
      </c>
      <c r="T66" s="602">
        <f t="shared" si="16"/>
        <v>1</v>
      </c>
    </row>
    <row r="67" spans="1:20">
      <c r="A67" s="187">
        <f t="shared" si="17"/>
        <v>1969</v>
      </c>
      <c r="B67" s="494">
        <v>9.5539007199999997</v>
      </c>
      <c r="C67" s="672">
        <v>956.10601604260387</v>
      </c>
      <c r="D67" s="184">
        <v>0</v>
      </c>
      <c r="E67" s="606">
        <v>0</v>
      </c>
      <c r="F67" s="186">
        <f t="shared" si="27"/>
        <v>0.71479999999999999</v>
      </c>
      <c r="G67" s="186">
        <f t="shared" si="28"/>
        <v>0.28959999999999997</v>
      </c>
      <c r="H67" s="606">
        <v>0</v>
      </c>
      <c r="I67" s="716">
        <f t="shared" si="18"/>
        <v>578.73</v>
      </c>
      <c r="J67" s="603">
        <f t="shared" si="19"/>
        <v>27.526054267727826</v>
      </c>
      <c r="K67" s="604">
        <f t="shared" si="13"/>
        <v>5529.1289636856</v>
      </c>
      <c r="L67" s="189">
        <f t="shared" si="14"/>
        <v>26317.826083289765</v>
      </c>
      <c r="M67" s="186">
        <f t="shared" si="20"/>
        <v>0.19892488097366726</v>
      </c>
      <c r="N67" s="186">
        <f t="shared" si="21"/>
        <v>0.26585903447659598</v>
      </c>
      <c r="O67" s="186">
        <f t="shared" si="22"/>
        <v>8.9228108703258049E-2</v>
      </c>
      <c r="P67" s="186">
        <f t="shared" si="23"/>
        <v>0</v>
      </c>
      <c r="Q67" s="186">
        <f t="shared" si="24"/>
        <v>0</v>
      </c>
      <c r="R67" s="186">
        <f t="shared" si="25"/>
        <v>0</v>
      </c>
      <c r="S67" s="186">
        <f t="shared" si="26"/>
        <v>0.4459879758464787</v>
      </c>
      <c r="T67" s="602">
        <f t="shared" si="16"/>
        <v>1</v>
      </c>
    </row>
    <row r="68" spans="1:20">
      <c r="A68" s="187">
        <f t="shared" si="17"/>
        <v>1970</v>
      </c>
      <c r="B68" s="494">
        <v>9.8288735999999997</v>
      </c>
      <c r="C68" s="672">
        <v>1006.2889052098111</v>
      </c>
      <c r="D68" s="184">
        <v>0</v>
      </c>
      <c r="E68" s="606">
        <v>0</v>
      </c>
      <c r="F68" s="186">
        <f t="shared" si="27"/>
        <v>0.71479999999999999</v>
      </c>
      <c r="G68" s="186">
        <f t="shared" si="28"/>
        <v>0.28959999999999997</v>
      </c>
      <c r="H68" s="606">
        <v>0</v>
      </c>
      <c r="I68" s="716">
        <f t="shared" si="18"/>
        <v>578.73</v>
      </c>
      <c r="J68" s="603">
        <f t="shared" si="19"/>
        <v>27.526054267727826</v>
      </c>
      <c r="K68" s="604">
        <f t="shared" si="13"/>
        <v>5688.2640185279997</v>
      </c>
      <c r="L68" s="189">
        <f t="shared" si="14"/>
        <v>27699.163013817684</v>
      </c>
      <c r="M68" s="186">
        <f t="shared" si="20"/>
        <v>0.19892488097366726</v>
      </c>
      <c r="N68" s="186">
        <f t="shared" si="21"/>
        <v>0.26585903447659598</v>
      </c>
      <c r="O68" s="186">
        <f t="shared" si="22"/>
        <v>8.9228108703258049E-2</v>
      </c>
      <c r="P68" s="186">
        <f t="shared" si="23"/>
        <v>0</v>
      </c>
      <c r="Q68" s="186">
        <f t="shared" si="24"/>
        <v>0</v>
      </c>
      <c r="R68" s="186">
        <f t="shared" si="25"/>
        <v>0</v>
      </c>
      <c r="S68" s="186">
        <f t="shared" si="26"/>
        <v>0.4459879758464787</v>
      </c>
      <c r="T68" s="602">
        <f t="shared" si="16"/>
        <v>1</v>
      </c>
    </row>
    <row r="69" spans="1:20">
      <c r="A69" s="187">
        <f t="shared" si="17"/>
        <v>1971</v>
      </c>
      <c r="B69" s="494">
        <v>20.567820000000001</v>
      </c>
      <c r="C69" s="672">
        <v>1049.3477098940468</v>
      </c>
      <c r="D69" s="184">
        <v>0</v>
      </c>
      <c r="E69" s="606">
        <v>0</v>
      </c>
      <c r="F69" s="186">
        <f t="shared" si="27"/>
        <v>0.71479999999999999</v>
      </c>
      <c r="G69" s="186">
        <f t="shared" si="28"/>
        <v>0.28959999999999997</v>
      </c>
      <c r="H69" s="606">
        <v>0</v>
      </c>
      <c r="I69" s="716">
        <f t="shared" si="18"/>
        <v>578.73</v>
      </c>
      <c r="J69" s="603">
        <f t="shared" si="19"/>
        <v>27.526054267727826</v>
      </c>
      <c r="K69" s="604">
        <f t="shared" si="13"/>
        <v>11903.214468600001</v>
      </c>
      <c r="L69" s="189">
        <f t="shared" si="14"/>
        <v>28884.402008259447</v>
      </c>
      <c r="M69" s="186">
        <f t="shared" si="20"/>
        <v>0.19892488097366726</v>
      </c>
      <c r="N69" s="186">
        <f t="shared" si="21"/>
        <v>0.26585903447659598</v>
      </c>
      <c r="O69" s="186">
        <f t="shared" si="22"/>
        <v>8.9228108703258049E-2</v>
      </c>
      <c r="P69" s="186">
        <f t="shared" si="23"/>
        <v>0</v>
      </c>
      <c r="Q69" s="186">
        <f t="shared" si="24"/>
        <v>0</v>
      </c>
      <c r="R69" s="186">
        <f t="shared" si="25"/>
        <v>0</v>
      </c>
      <c r="S69" s="186">
        <f t="shared" si="26"/>
        <v>0.4459879758464787</v>
      </c>
      <c r="T69" s="602">
        <f t="shared" si="16"/>
        <v>1</v>
      </c>
    </row>
    <row r="70" spans="1:20">
      <c r="A70" s="187">
        <f t="shared" si="17"/>
        <v>1972</v>
      </c>
      <c r="B70" s="494">
        <v>21.04466</v>
      </c>
      <c r="C70" s="672">
        <v>1066.7119174754762</v>
      </c>
      <c r="D70" s="184">
        <v>0</v>
      </c>
      <c r="E70" s="606">
        <v>0</v>
      </c>
      <c r="F70" s="186">
        <f t="shared" si="27"/>
        <v>0.71479999999999999</v>
      </c>
      <c r="G70" s="186">
        <f t="shared" si="28"/>
        <v>0.28959999999999997</v>
      </c>
      <c r="H70" s="606">
        <v>0</v>
      </c>
      <c r="I70" s="716">
        <f t="shared" si="18"/>
        <v>578.73</v>
      </c>
      <c r="J70" s="603">
        <f t="shared" si="19"/>
        <v>27.526054267727826</v>
      </c>
      <c r="K70" s="604">
        <f t="shared" si="13"/>
        <v>12179.1760818</v>
      </c>
      <c r="L70" s="189">
        <f t="shared" si="14"/>
        <v>29362.370128461964</v>
      </c>
      <c r="M70" s="186">
        <f t="shared" si="20"/>
        <v>0.19892488097366726</v>
      </c>
      <c r="N70" s="186">
        <f t="shared" si="21"/>
        <v>0.26585903447659598</v>
      </c>
      <c r="O70" s="186">
        <f t="shared" si="22"/>
        <v>8.9228108703258049E-2</v>
      </c>
      <c r="P70" s="186">
        <f t="shared" si="23"/>
        <v>0</v>
      </c>
      <c r="Q70" s="186">
        <f t="shared" si="24"/>
        <v>0</v>
      </c>
      <c r="R70" s="186">
        <f t="shared" si="25"/>
        <v>0</v>
      </c>
      <c r="S70" s="186">
        <f t="shared" si="26"/>
        <v>0.4459879758464787</v>
      </c>
      <c r="T70" s="602">
        <f t="shared" si="16"/>
        <v>1</v>
      </c>
    </row>
    <row r="71" spans="1:20">
      <c r="A71" s="187">
        <f t="shared" si="17"/>
        <v>1973</v>
      </c>
      <c r="B71" s="494">
        <v>21.526959999999999</v>
      </c>
      <c r="C71" s="672">
        <v>1115.481962992131</v>
      </c>
      <c r="D71" s="184">
        <v>0</v>
      </c>
      <c r="E71" s="606">
        <v>0</v>
      </c>
      <c r="F71" s="186">
        <f t="shared" si="27"/>
        <v>0.71479999999999999</v>
      </c>
      <c r="G71" s="186">
        <f t="shared" si="28"/>
        <v>0.28959999999999997</v>
      </c>
      <c r="H71" s="606">
        <v>0</v>
      </c>
      <c r="I71" s="716">
        <f t="shared" si="18"/>
        <v>578.73</v>
      </c>
      <c r="J71" s="603">
        <f t="shared" si="19"/>
        <v>27.526054267727826</v>
      </c>
      <c r="K71" s="604">
        <f t="shared" si="13"/>
        <v>12458.2975608</v>
      </c>
      <c r="L71" s="189">
        <f t="shared" si="14"/>
        <v>30704.817047992961</v>
      </c>
      <c r="M71" s="186">
        <f t="shared" si="20"/>
        <v>0.19892488097366726</v>
      </c>
      <c r="N71" s="186">
        <f t="shared" si="21"/>
        <v>0.26585903447659598</v>
      </c>
      <c r="O71" s="186">
        <f t="shared" si="22"/>
        <v>8.9228108703258049E-2</v>
      </c>
      <c r="P71" s="186">
        <f t="shared" si="23"/>
        <v>0</v>
      </c>
      <c r="Q71" s="186">
        <f t="shared" si="24"/>
        <v>0</v>
      </c>
      <c r="R71" s="186">
        <f t="shared" si="25"/>
        <v>0</v>
      </c>
      <c r="S71" s="186">
        <f t="shared" si="26"/>
        <v>0.4459879758464787</v>
      </c>
      <c r="T71" s="602">
        <f t="shared" si="16"/>
        <v>1</v>
      </c>
    </row>
    <row r="72" spans="1:20">
      <c r="A72" s="187">
        <f t="shared" si="17"/>
        <v>1974</v>
      </c>
      <c r="B72" s="494">
        <v>22.012900000000002</v>
      </c>
      <c r="C72" s="672">
        <v>1183.6496732532121</v>
      </c>
      <c r="D72" s="184">
        <v>0</v>
      </c>
      <c r="E72" s="606">
        <v>0</v>
      </c>
      <c r="F72" s="186">
        <f t="shared" si="27"/>
        <v>0.71479999999999999</v>
      </c>
      <c r="G72" s="186">
        <f t="shared" si="28"/>
        <v>0.28959999999999997</v>
      </c>
      <c r="H72" s="606">
        <v>0</v>
      </c>
      <c r="I72" s="716">
        <f t="shared" si="18"/>
        <v>578.73</v>
      </c>
      <c r="J72" s="603">
        <f t="shared" si="19"/>
        <v>27.526054267727826</v>
      </c>
      <c r="K72" s="604">
        <f t="shared" si="13"/>
        <v>12739.525617000001</v>
      </c>
      <c r="L72" s="189">
        <f t="shared" si="14"/>
        <v>32581.205139946225</v>
      </c>
      <c r="M72" s="186">
        <f t="shared" si="20"/>
        <v>0.19892488097366726</v>
      </c>
      <c r="N72" s="186">
        <f t="shared" si="21"/>
        <v>0.26585903447659598</v>
      </c>
      <c r="O72" s="186">
        <f t="shared" si="22"/>
        <v>8.9228108703258049E-2</v>
      </c>
      <c r="P72" s="186">
        <f t="shared" si="23"/>
        <v>0</v>
      </c>
      <c r="Q72" s="186">
        <f t="shared" si="24"/>
        <v>0</v>
      </c>
      <c r="R72" s="186">
        <f t="shared" si="25"/>
        <v>0</v>
      </c>
      <c r="S72" s="186">
        <f t="shared" si="26"/>
        <v>0.4459879758464787</v>
      </c>
      <c r="T72" s="602">
        <f t="shared" si="16"/>
        <v>1</v>
      </c>
    </row>
    <row r="73" spans="1:20">
      <c r="A73" s="187">
        <f t="shared" si="17"/>
        <v>1975</v>
      </c>
      <c r="B73" s="494">
        <v>22.502480000000002</v>
      </c>
      <c r="C73" s="672">
        <v>1203.7178400604503</v>
      </c>
      <c r="D73" s="184">
        <v>0</v>
      </c>
      <c r="E73" s="606">
        <v>0</v>
      </c>
      <c r="F73" s="186">
        <f t="shared" si="27"/>
        <v>0.71479999999999999</v>
      </c>
      <c r="G73" s="186">
        <f t="shared" si="28"/>
        <v>0.28959999999999997</v>
      </c>
      <c r="H73" s="606">
        <v>0</v>
      </c>
      <c r="I73" s="716">
        <f t="shared" si="18"/>
        <v>578.73</v>
      </c>
      <c r="J73" s="603">
        <f t="shared" si="19"/>
        <v>27.526054267727826</v>
      </c>
      <c r="K73" s="604">
        <f t="shared" si="13"/>
        <v>13022.860250400001</v>
      </c>
      <c r="L73" s="189">
        <f t="shared" si="14"/>
        <v>33133.60258853608</v>
      </c>
      <c r="M73" s="186">
        <f t="shared" si="20"/>
        <v>0.19892488097366726</v>
      </c>
      <c r="N73" s="186">
        <f t="shared" si="21"/>
        <v>0.26585903447659598</v>
      </c>
      <c r="O73" s="186">
        <f t="shared" si="22"/>
        <v>8.9228108703258049E-2</v>
      </c>
      <c r="P73" s="186">
        <f t="shared" si="23"/>
        <v>0</v>
      </c>
      <c r="Q73" s="186">
        <f t="shared" si="24"/>
        <v>0</v>
      </c>
      <c r="R73" s="186">
        <f t="shared" si="25"/>
        <v>0</v>
      </c>
      <c r="S73" s="186">
        <f t="shared" si="26"/>
        <v>0.4459879758464787</v>
      </c>
      <c r="T73" s="602">
        <f t="shared" si="16"/>
        <v>1</v>
      </c>
    </row>
    <row r="74" spans="1:20">
      <c r="A74" s="187">
        <f t="shared" si="17"/>
        <v>1976</v>
      </c>
      <c r="B74" s="494">
        <v>22.993880000000001</v>
      </c>
      <c r="C74" s="672">
        <v>1230.8003365426916</v>
      </c>
      <c r="D74" s="184">
        <v>0</v>
      </c>
      <c r="E74" s="606">
        <v>0</v>
      </c>
      <c r="F74" s="186">
        <f t="shared" si="27"/>
        <v>0.71479999999999999</v>
      </c>
      <c r="G74" s="186">
        <f t="shared" si="28"/>
        <v>0.28959999999999997</v>
      </c>
      <c r="H74" s="606">
        <v>0</v>
      </c>
      <c r="I74" s="716">
        <f t="shared" si="18"/>
        <v>578.73</v>
      </c>
      <c r="J74" s="603">
        <f t="shared" si="19"/>
        <v>27.526054267727826</v>
      </c>
      <c r="K74" s="604">
        <f t="shared" si="13"/>
        <v>13307.248172400001</v>
      </c>
      <c r="L74" s="189">
        <f t="shared" si="14"/>
        <v>33879.076856411804</v>
      </c>
      <c r="M74" s="186">
        <f t="shared" si="20"/>
        <v>0.19892488097366726</v>
      </c>
      <c r="N74" s="186">
        <f t="shared" si="21"/>
        <v>0.26585903447659598</v>
      </c>
      <c r="O74" s="186">
        <f t="shared" si="22"/>
        <v>8.9228108703258049E-2</v>
      </c>
      <c r="P74" s="186">
        <f t="shared" si="23"/>
        <v>0</v>
      </c>
      <c r="Q74" s="186">
        <f t="shared" si="24"/>
        <v>0</v>
      </c>
      <c r="R74" s="186">
        <f t="shared" si="25"/>
        <v>0</v>
      </c>
      <c r="S74" s="186">
        <f t="shared" si="26"/>
        <v>0.4459879758464787</v>
      </c>
      <c r="T74" s="602">
        <f t="shared" si="16"/>
        <v>1</v>
      </c>
    </row>
    <row r="75" spans="1:20">
      <c r="A75" s="187">
        <f t="shared" si="17"/>
        <v>1977</v>
      </c>
      <c r="B75" s="494">
        <v>23.483460000000001</v>
      </c>
      <c r="C75" s="672">
        <v>1229.6429222577431</v>
      </c>
      <c r="D75" s="184">
        <v>0</v>
      </c>
      <c r="E75" s="606">
        <v>0</v>
      </c>
      <c r="F75" s="186">
        <f t="shared" si="27"/>
        <v>0.71479999999999999</v>
      </c>
      <c r="G75" s="186">
        <f t="shared" si="28"/>
        <v>0.28959999999999997</v>
      </c>
      <c r="H75" s="606">
        <v>0</v>
      </c>
      <c r="I75" s="716">
        <f t="shared" si="18"/>
        <v>578.73</v>
      </c>
      <c r="J75" s="603">
        <f t="shared" si="19"/>
        <v>27.526054267727826</v>
      </c>
      <c r="K75" s="604">
        <f t="shared" si="13"/>
        <v>13590.582805800001</v>
      </c>
      <c r="L75" s="189">
        <f t="shared" si="14"/>
        <v>33847.217807994064</v>
      </c>
      <c r="M75" s="186">
        <f t="shared" si="20"/>
        <v>0.19892488097366726</v>
      </c>
      <c r="N75" s="186">
        <f t="shared" si="21"/>
        <v>0.26585903447659598</v>
      </c>
      <c r="O75" s="186">
        <f t="shared" si="22"/>
        <v>8.9228108703258049E-2</v>
      </c>
      <c r="P75" s="186">
        <f t="shared" si="23"/>
        <v>0</v>
      </c>
      <c r="Q75" s="186">
        <f t="shared" si="24"/>
        <v>0</v>
      </c>
      <c r="R75" s="186">
        <f t="shared" si="25"/>
        <v>0</v>
      </c>
      <c r="S75" s="186">
        <f t="shared" si="26"/>
        <v>0.4459879758464787</v>
      </c>
      <c r="T75" s="602">
        <f t="shared" si="16"/>
        <v>1</v>
      </c>
    </row>
    <row r="76" spans="1:20">
      <c r="A76" s="187">
        <f t="shared" si="17"/>
        <v>1978</v>
      </c>
      <c r="B76" s="494">
        <v>23.983049999999999</v>
      </c>
      <c r="C76" s="672">
        <v>1266.711110256156</v>
      </c>
      <c r="D76" s="184">
        <v>0</v>
      </c>
      <c r="E76" s="606">
        <v>0</v>
      </c>
      <c r="F76" s="186">
        <f t="shared" si="27"/>
        <v>0.71479999999999999</v>
      </c>
      <c r="G76" s="186">
        <f t="shared" si="28"/>
        <v>0.28959999999999997</v>
      </c>
      <c r="H76" s="606">
        <v>0</v>
      </c>
      <c r="I76" s="716">
        <f t="shared" si="18"/>
        <v>578.73</v>
      </c>
      <c r="J76" s="603">
        <f t="shared" si="19"/>
        <v>27.526054267727826</v>
      </c>
      <c r="K76" s="604">
        <f t="shared" si="13"/>
        <v>13879.710526499999</v>
      </c>
      <c r="L76" s="189">
        <f t="shared" si="14"/>
        <v>34867.558762444714</v>
      </c>
      <c r="M76" s="186">
        <f t="shared" si="20"/>
        <v>0.19892488097366726</v>
      </c>
      <c r="N76" s="186">
        <f t="shared" si="21"/>
        <v>0.26585903447659598</v>
      </c>
      <c r="O76" s="186">
        <f t="shared" si="22"/>
        <v>8.9228108703258049E-2</v>
      </c>
      <c r="P76" s="186">
        <f t="shared" si="23"/>
        <v>0</v>
      </c>
      <c r="Q76" s="186">
        <f t="shared" si="24"/>
        <v>0</v>
      </c>
      <c r="R76" s="186">
        <f t="shared" si="25"/>
        <v>0</v>
      </c>
      <c r="S76" s="186">
        <f t="shared" si="26"/>
        <v>0.4459879758464787</v>
      </c>
      <c r="T76" s="602">
        <f t="shared" si="16"/>
        <v>1</v>
      </c>
    </row>
    <row r="77" spans="1:20">
      <c r="A77" s="187">
        <f t="shared" si="17"/>
        <v>1979</v>
      </c>
      <c r="B77" s="494">
        <v>24.516309999999997</v>
      </c>
      <c r="C77" s="672">
        <v>1314.725843177443</v>
      </c>
      <c r="D77" s="184">
        <v>0</v>
      </c>
      <c r="E77" s="606">
        <v>0</v>
      </c>
      <c r="F77" s="186">
        <f t="shared" si="27"/>
        <v>0.71479999999999999</v>
      </c>
      <c r="G77" s="186">
        <f t="shared" si="28"/>
        <v>0.28959999999999997</v>
      </c>
      <c r="H77" s="606">
        <v>0</v>
      </c>
      <c r="I77" s="716">
        <f t="shared" si="18"/>
        <v>578.73</v>
      </c>
      <c r="J77" s="603">
        <f t="shared" si="19"/>
        <v>27.526054267727826</v>
      </c>
      <c r="K77" s="604">
        <f t="shared" si="13"/>
        <v>14188.324086299999</v>
      </c>
      <c r="L77" s="189">
        <f t="shared" si="14"/>
        <v>36189.214906486523</v>
      </c>
      <c r="M77" s="186">
        <f t="shared" si="20"/>
        <v>0.19892488097366726</v>
      </c>
      <c r="N77" s="186">
        <f t="shared" si="21"/>
        <v>0.26585903447659598</v>
      </c>
      <c r="O77" s="186">
        <f t="shared" si="22"/>
        <v>8.9228108703258049E-2</v>
      </c>
      <c r="P77" s="186">
        <f t="shared" si="23"/>
        <v>0</v>
      </c>
      <c r="Q77" s="186">
        <f t="shared" si="24"/>
        <v>0</v>
      </c>
      <c r="R77" s="186">
        <f t="shared" si="25"/>
        <v>0</v>
      </c>
      <c r="S77" s="186">
        <f t="shared" si="26"/>
        <v>0.4459879758464787</v>
      </c>
      <c r="T77" s="602">
        <f t="shared" si="16"/>
        <v>1</v>
      </c>
    </row>
    <row r="78" spans="1:20">
      <c r="A78" s="187">
        <f t="shared" si="17"/>
        <v>1980</v>
      </c>
      <c r="B78" s="494">
        <v>25.094160000000002</v>
      </c>
      <c r="C78" s="672">
        <v>1401.7683862069005</v>
      </c>
      <c r="D78" s="184">
        <v>0</v>
      </c>
      <c r="E78" s="606">
        <v>0</v>
      </c>
      <c r="F78" s="186">
        <f t="shared" si="27"/>
        <v>0.71479999999999999</v>
      </c>
      <c r="G78" s="186">
        <f t="shared" si="28"/>
        <v>0.28959999999999997</v>
      </c>
      <c r="H78" s="606">
        <v>0</v>
      </c>
      <c r="I78" s="716">
        <f t="shared" si="18"/>
        <v>578.73</v>
      </c>
      <c r="J78" s="603">
        <f t="shared" si="19"/>
        <v>27.526054267727826</v>
      </c>
      <c r="K78" s="604">
        <f t="shared" si="13"/>
        <v>14522.743216800001</v>
      </c>
      <c r="L78" s="189">
        <f t="shared" si="14"/>
        <v>38585.152669516399</v>
      </c>
      <c r="M78" s="186">
        <f t="shared" si="20"/>
        <v>0.19892488097366726</v>
      </c>
      <c r="N78" s="186">
        <f t="shared" si="21"/>
        <v>0.26585903447659598</v>
      </c>
      <c r="O78" s="186">
        <f t="shared" si="22"/>
        <v>8.9228108703258049E-2</v>
      </c>
      <c r="P78" s="186">
        <f t="shared" si="23"/>
        <v>0</v>
      </c>
      <c r="Q78" s="186">
        <f t="shared" si="24"/>
        <v>0</v>
      </c>
      <c r="R78" s="186">
        <f t="shared" si="25"/>
        <v>0</v>
      </c>
      <c r="S78" s="186">
        <f t="shared" si="26"/>
        <v>0.4459879758464787</v>
      </c>
      <c r="T78" s="602">
        <f t="shared" si="16"/>
        <v>1</v>
      </c>
    </row>
    <row r="79" spans="1:20">
      <c r="A79" s="187">
        <f t="shared" si="17"/>
        <v>1981</v>
      </c>
      <c r="B79" s="494">
        <v>25.712049999999998</v>
      </c>
      <c r="C79" s="672">
        <v>1476.9135086140063</v>
      </c>
      <c r="D79" s="184">
        <v>0</v>
      </c>
      <c r="E79" s="606">
        <v>0</v>
      </c>
      <c r="F79" s="186">
        <f t="shared" si="27"/>
        <v>0.71479999999999999</v>
      </c>
      <c r="G79" s="186">
        <f t="shared" si="28"/>
        <v>0.28959999999999997</v>
      </c>
      <c r="H79" s="606">
        <v>0</v>
      </c>
      <c r="I79" s="716">
        <f t="shared" si="18"/>
        <v>578.73</v>
      </c>
      <c r="J79" s="603">
        <f t="shared" si="19"/>
        <v>27.526054267727826</v>
      </c>
      <c r="K79" s="604">
        <f t="shared" si="13"/>
        <v>14880.3346965</v>
      </c>
      <c r="L79" s="189">
        <f t="shared" si="14"/>
        <v>40653.601386849448</v>
      </c>
      <c r="M79" s="186">
        <f t="shared" si="20"/>
        <v>0.19892488097366726</v>
      </c>
      <c r="N79" s="186">
        <f t="shared" si="21"/>
        <v>0.26585903447659598</v>
      </c>
      <c r="O79" s="186">
        <f t="shared" si="22"/>
        <v>8.9228108703258049E-2</v>
      </c>
      <c r="P79" s="186">
        <f t="shared" si="23"/>
        <v>0</v>
      </c>
      <c r="Q79" s="186">
        <f t="shared" si="24"/>
        <v>0</v>
      </c>
      <c r="R79" s="186">
        <f t="shared" si="25"/>
        <v>0</v>
      </c>
      <c r="S79" s="186">
        <f t="shared" si="26"/>
        <v>0.4459879758464787</v>
      </c>
      <c r="T79" s="602">
        <f t="shared" si="16"/>
        <v>1</v>
      </c>
    </row>
    <row r="80" spans="1:20">
      <c r="A80" s="187">
        <f t="shared" si="17"/>
        <v>1982</v>
      </c>
      <c r="B80" s="494">
        <v>26.364520000000002</v>
      </c>
      <c r="C80" s="672">
        <v>1471.2511585558661</v>
      </c>
      <c r="D80" s="184">
        <v>0</v>
      </c>
      <c r="E80" s="606">
        <v>0</v>
      </c>
      <c r="F80" s="186">
        <f t="shared" si="27"/>
        <v>0.71479999999999999</v>
      </c>
      <c r="G80" s="186">
        <f t="shared" si="28"/>
        <v>0.28959999999999997</v>
      </c>
      <c r="H80" s="606">
        <v>0</v>
      </c>
      <c r="I80" s="716">
        <f t="shared" si="18"/>
        <v>578.73</v>
      </c>
      <c r="J80" s="603">
        <f t="shared" si="19"/>
        <v>27.526054267727826</v>
      </c>
      <c r="K80" s="604">
        <f t="shared" ref="K80:K108" si="29">B80*I80</f>
        <v>15257.938659600002</v>
      </c>
      <c r="L80" s="189">
        <f t="shared" ref="L80:L114" si="30">C80*J80*1000/1000</f>
        <v>40497.73923186621</v>
      </c>
      <c r="M80" s="186">
        <f t="shared" si="20"/>
        <v>0.19892488097366726</v>
      </c>
      <c r="N80" s="186">
        <f t="shared" si="21"/>
        <v>0.26585903447659598</v>
      </c>
      <c r="O80" s="186">
        <f t="shared" si="22"/>
        <v>8.9228108703258049E-2</v>
      </c>
      <c r="P80" s="186">
        <f t="shared" si="23"/>
        <v>0</v>
      </c>
      <c r="Q80" s="186">
        <f t="shared" si="24"/>
        <v>0</v>
      </c>
      <c r="R80" s="186">
        <f t="shared" si="25"/>
        <v>0</v>
      </c>
      <c r="S80" s="186">
        <f t="shared" si="26"/>
        <v>0.4459879758464787</v>
      </c>
      <c r="T80" s="602">
        <f t="shared" ref="T80:T111" si="31">SUM(M80:S80)</f>
        <v>1</v>
      </c>
    </row>
    <row r="81" spans="1:20">
      <c r="A81" s="187">
        <f t="shared" ref="A81:A112" si="32">A80+1</f>
        <v>1983</v>
      </c>
      <c r="B81" s="494">
        <v>27.048839999999998</v>
      </c>
      <c r="C81" s="672">
        <v>1444.0838515447542</v>
      </c>
      <c r="D81" s="184">
        <v>0</v>
      </c>
      <c r="E81" s="606">
        <v>0</v>
      </c>
      <c r="F81" s="186">
        <f t="shared" si="27"/>
        <v>0.71479999999999999</v>
      </c>
      <c r="G81" s="186">
        <f t="shared" si="28"/>
        <v>0.28959999999999997</v>
      </c>
      <c r="H81" s="606">
        <v>0</v>
      </c>
      <c r="I81" s="716">
        <f t="shared" si="18"/>
        <v>578.73</v>
      </c>
      <c r="J81" s="603">
        <f t="shared" ref="J81:J112" si="33">J80</f>
        <v>27.526054267727826</v>
      </c>
      <c r="K81" s="604">
        <f t="shared" si="29"/>
        <v>15653.9751732</v>
      </c>
      <c r="L81" s="189">
        <f t="shared" si="30"/>
        <v>39749.930464770317</v>
      </c>
      <c r="M81" s="186">
        <f t="shared" ref="M81:M112" si="34">M80</f>
        <v>0.19892488097366726</v>
      </c>
      <c r="N81" s="186">
        <f t="shared" ref="N81:N112" si="35">N80</f>
        <v>0.26585903447659598</v>
      </c>
      <c r="O81" s="186">
        <f t="shared" ref="O81:O112" si="36">O80</f>
        <v>8.9228108703258049E-2</v>
      </c>
      <c r="P81" s="186">
        <f t="shared" ref="P81:P112" si="37">P80</f>
        <v>0</v>
      </c>
      <c r="Q81" s="186">
        <f t="shared" ref="Q81:Q112" si="38">Q80</f>
        <v>0</v>
      </c>
      <c r="R81" s="186">
        <f t="shared" ref="R81:R112" si="39">R80</f>
        <v>0</v>
      </c>
      <c r="S81" s="186">
        <f t="shared" ref="S81:S112" si="40">S80</f>
        <v>0.4459879758464787</v>
      </c>
      <c r="T81" s="602">
        <f t="shared" si="31"/>
        <v>1</v>
      </c>
    </row>
    <row r="82" spans="1:20">
      <c r="A82" s="187">
        <f t="shared" si="32"/>
        <v>1984</v>
      </c>
      <c r="B82" s="494">
        <v>27.759549999999997</v>
      </c>
      <c r="C82" s="672">
        <v>1517.7193465317748</v>
      </c>
      <c r="D82" s="184">
        <v>0</v>
      </c>
      <c r="E82" s="606">
        <v>0</v>
      </c>
      <c r="F82" s="186">
        <f t="shared" si="27"/>
        <v>0.71479999999999999</v>
      </c>
      <c r="G82" s="186">
        <f t="shared" si="28"/>
        <v>0.28959999999999997</v>
      </c>
      <c r="H82" s="606">
        <v>0</v>
      </c>
      <c r="I82" s="716">
        <f t="shared" si="18"/>
        <v>578.73</v>
      </c>
      <c r="J82" s="603">
        <f t="shared" si="33"/>
        <v>27.526054267727826</v>
      </c>
      <c r="K82" s="604">
        <f t="shared" si="29"/>
        <v>16065.284371499998</v>
      </c>
      <c r="L82" s="189">
        <f t="shared" si="30"/>
        <v>41776.825095814049</v>
      </c>
      <c r="M82" s="186">
        <f t="shared" si="34"/>
        <v>0.19892488097366726</v>
      </c>
      <c r="N82" s="186">
        <f t="shared" si="35"/>
        <v>0.26585903447659598</v>
      </c>
      <c r="O82" s="186">
        <f t="shared" si="36"/>
        <v>8.9228108703258049E-2</v>
      </c>
      <c r="P82" s="186">
        <f t="shared" si="37"/>
        <v>0</v>
      </c>
      <c r="Q82" s="186">
        <f t="shared" si="38"/>
        <v>0</v>
      </c>
      <c r="R82" s="186">
        <f t="shared" si="39"/>
        <v>0</v>
      </c>
      <c r="S82" s="186">
        <f t="shared" si="40"/>
        <v>0.4459879758464787</v>
      </c>
      <c r="T82" s="602">
        <f t="shared" si="31"/>
        <v>1</v>
      </c>
    </row>
    <row r="83" spans="1:20">
      <c r="A83" s="187">
        <f t="shared" si="32"/>
        <v>1985</v>
      </c>
      <c r="B83" s="494">
        <v>28.490279999999998</v>
      </c>
      <c r="C83" s="672">
        <v>1499.3324237484292</v>
      </c>
      <c r="D83" s="1404">
        <v>0</v>
      </c>
      <c r="E83" s="606">
        <v>0</v>
      </c>
      <c r="F83" s="186">
        <f t="shared" si="27"/>
        <v>0.71479999999999999</v>
      </c>
      <c r="G83" s="186">
        <f t="shared" si="28"/>
        <v>0.28959999999999997</v>
      </c>
      <c r="H83" s="606">
        <v>0</v>
      </c>
      <c r="I83" s="716">
        <f t="shared" si="18"/>
        <v>578.73</v>
      </c>
      <c r="J83" s="603">
        <f t="shared" si="33"/>
        <v>27.526054267727826</v>
      </c>
      <c r="K83" s="604">
        <f t="shared" si="29"/>
        <v>16488.1797444</v>
      </c>
      <c r="L83" s="189">
        <f t="shared" si="30"/>
        <v>41270.705661463151</v>
      </c>
      <c r="M83" s="186">
        <f t="shared" si="34"/>
        <v>0.19892488097366726</v>
      </c>
      <c r="N83" s="186">
        <f t="shared" si="35"/>
        <v>0.26585903447659598</v>
      </c>
      <c r="O83" s="186">
        <f t="shared" si="36"/>
        <v>8.9228108703258049E-2</v>
      </c>
      <c r="P83" s="186">
        <f t="shared" si="37"/>
        <v>0</v>
      </c>
      <c r="Q83" s="186">
        <f t="shared" si="38"/>
        <v>0</v>
      </c>
      <c r="R83" s="186">
        <f t="shared" si="39"/>
        <v>0</v>
      </c>
      <c r="S83" s="186">
        <f t="shared" si="40"/>
        <v>0.4459879758464787</v>
      </c>
      <c r="T83" s="602">
        <f t="shared" si="31"/>
        <v>1</v>
      </c>
    </row>
    <row r="84" spans="1:20">
      <c r="A84" s="187">
        <f t="shared" si="32"/>
        <v>1986</v>
      </c>
      <c r="B84" s="494">
        <v>29.230110000000003</v>
      </c>
      <c r="C84" s="672">
        <v>1499.5998263576867</v>
      </c>
      <c r="D84" s="184">
        <v>0</v>
      </c>
      <c r="E84" s="606">
        <v>0</v>
      </c>
      <c r="F84" s="186">
        <f t="shared" si="27"/>
        <v>0.71479999999999999</v>
      </c>
      <c r="G84" s="186">
        <f t="shared" si="28"/>
        <v>0.28959999999999997</v>
      </c>
      <c r="H84" s="606">
        <v>0</v>
      </c>
      <c r="I84" s="716">
        <f t="shared" si="18"/>
        <v>578.73</v>
      </c>
      <c r="J84" s="603">
        <f t="shared" si="33"/>
        <v>27.526054267727826</v>
      </c>
      <c r="K84" s="604">
        <f t="shared" si="29"/>
        <v>16916.341560300003</v>
      </c>
      <c r="L84" s="189">
        <f t="shared" si="30"/>
        <v>41278.06620019691</v>
      </c>
      <c r="M84" s="186">
        <f t="shared" si="34"/>
        <v>0.19892488097366726</v>
      </c>
      <c r="N84" s="186">
        <f t="shared" si="35"/>
        <v>0.26585903447659598</v>
      </c>
      <c r="O84" s="186">
        <f t="shared" si="36"/>
        <v>8.9228108703258049E-2</v>
      </c>
      <c r="P84" s="186">
        <f t="shared" si="37"/>
        <v>0</v>
      </c>
      <c r="Q84" s="186">
        <f t="shared" si="38"/>
        <v>0</v>
      </c>
      <c r="R84" s="186">
        <f t="shared" si="39"/>
        <v>0</v>
      </c>
      <c r="S84" s="186">
        <f t="shared" si="40"/>
        <v>0.4459879758464787</v>
      </c>
      <c r="T84" s="602">
        <f t="shared" si="31"/>
        <v>1</v>
      </c>
    </row>
    <row r="85" spans="1:20">
      <c r="A85" s="187">
        <f t="shared" si="32"/>
        <v>1987</v>
      </c>
      <c r="B85" s="494">
        <v>29.96903</v>
      </c>
      <c r="C85" s="672">
        <v>1531.1024480840374</v>
      </c>
      <c r="D85" s="184">
        <v>0</v>
      </c>
      <c r="E85" s="606">
        <v>0</v>
      </c>
      <c r="F85" s="186">
        <f t="shared" si="27"/>
        <v>0.71479999999999999</v>
      </c>
      <c r="G85" s="186">
        <f t="shared" si="28"/>
        <v>0.28959999999999997</v>
      </c>
      <c r="H85" s="606">
        <v>0</v>
      </c>
      <c r="I85" s="716">
        <f t="shared" si="18"/>
        <v>578.73</v>
      </c>
      <c r="J85" s="603">
        <f t="shared" si="33"/>
        <v>27.526054267727826</v>
      </c>
      <c r="K85" s="604">
        <f t="shared" si="29"/>
        <v>17343.976731900002</v>
      </c>
      <c r="L85" s="189">
        <f t="shared" si="30"/>
        <v>42145.209075412138</v>
      </c>
      <c r="M85" s="186">
        <f t="shared" si="34"/>
        <v>0.19892488097366726</v>
      </c>
      <c r="N85" s="186">
        <f t="shared" si="35"/>
        <v>0.26585903447659598</v>
      </c>
      <c r="O85" s="186">
        <f t="shared" si="36"/>
        <v>8.9228108703258049E-2</v>
      </c>
      <c r="P85" s="186">
        <f t="shared" si="37"/>
        <v>0</v>
      </c>
      <c r="Q85" s="186">
        <f t="shared" si="38"/>
        <v>0</v>
      </c>
      <c r="R85" s="186">
        <f t="shared" si="39"/>
        <v>0</v>
      </c>
      <c r="S85" s="186">
        <f t="shared" si="40"/>
        <v>0.4459879758464787</v>
      </c>
      <c r="T85" s="602">
        <f t="shared" si="31"/>
        <v>1</v>
      </c>
    </row>
    <row r="86" spans="1:20">
      <c r="A86" s="187">
        <f t="shared" si="32"/>
        <v>1988</v>
      </c>
      <c r="B86" s="494">
        <v>30.692480000000003</v>
      </c>
      <c r="C86" s="672">
        <v>1595.4107803645509</v>
      </c>
      <c r="D86" s="184">
        <v>0</v>
      </c>
      <c r="E86" s="606">
        <v>0</v>
      </c>
      <c r="F86" s="186">
        <f t="shared" si="27"/>
        <v>0.71479999999999999</v>
      </c>
      <c r="G86" s="186">
        <f t="shared" si="28"/>
        <v>0.28959999999999997</v>
      </c>
      <c r="H86" s="606">
        <v>0</v>
      </c>
      <c r="I86" s="716">
        <f t="shared" si="18"/>
        <v>578.73</v>
      </c>
      <c r="J86" s="603">
        <f t="shared" si="33"/>
        <v>27.526054267727826</v>
      </c>
      <c r="K86" s="604">
        <f t="shared" si="29"/>
        <v>17762.658950400004</v>
      </c>
      <c r="L86" s="189">
        <f t="shared" si="30"/>
        <v>43915.363719632624</v>
      </c>
      <c r="M86" s="186">
        <f t="shared" si="34"/>
        <v>0.19892488097366726</v>
      </c>
      <c r="N86" s="186">
        <f t="shared" si="35"/>
        <v>0.26585903447659598</v>
      </c>
      <c r="O86" s="186">
        <f t="shared" si="36"/>
        <v>8.9228108703258049E-2</v>
      </c>
      <c r="P86" s="186">
        <f t="shared" si="37"/>
        <v>0</v>
      </c>
      <c r="Q86" s="186">
        <f t="shared" si="38"/>
        <v>0</v>
      </c>
      <c r="R86" s="186">
        <f t="shared" si="39"/>
        <v>0</v>
      </c>
      <c r="S86" s="186">
        <f t="shared" si="40"/>
        <v>0.4459879758464787</v>
      </c>
      <c r="T86" s="602">
        <f t="shared" si="31"/>
        <v>1</v>
      </c>
    </row>
    <row r="87" spans="1:20">
      <c r="A87" s="187">
        <f t="shared" si="32"/>
        <v>1989</v>
      </c>
      <c r="B87" s="494">
        <v>31.386810000000001</v>
      </c>
      <c r="C87" s="672">
        <v>1633.6174250036995</v>
      </c>
      <c r="D87" s="184">
        <v>0</v>
      </c>
      <c r="E87" s="606">
        <v>0</v>
      </c>
      <c r="F87" s="186">
        <f t="shared" si="27"/>
        <v>0.71479999999999999</v>
      </c>
      <c r="G87" s="186">
        <f t="shared" si="28"/>
        <v>0.28959999999999997</v>
      </c>
      <c r="H87" s="606">
        <v>0</v>
      </c>
      <c r="I87" s="716">
        <f t="shared" si="18"/>
        <v>578.73</v>
      </c>
      <c r="J87" s="603">
        <f t="shared" si="33"/>
        <v>27.526054267727826</v>
      </c>
      <c r="K87" s="604">
        <f t="shared" si="29"/>
        <v>18164.488551300001</v>
      </c>
      <c r="L87" s="189">
        <f t="shared" si="30"/>
        <v>44967.041893357622</v>
      </c>
      <c r="M87" s="186">
        <f t="shared" si="34"/>
        <v>0.19892488097366726</v>
      </c>
      <c r="N87" s="186">
        <f t="shared" si="35"/>
        <v>0.26585903447659598</v>
      </c>
      <c r="O87" s="186">
        <f t="shared" si="36"/>
        <v>8.9228108703258049E-2</v>
      </c>
      <c r="P87" s="186">
        <f t="shared" si="37"/>
        <v>0</v>
      </c>
      <c r="Q87" s="186">
        <f t="shared" si="38"/>
        <v>0</v>
      </c>
      <c r="R87" s="186">
        <f t="shared" si="39"/>
        <v>0</v>
      </c>
      <c r="S87" s="186">
        <f t="shared" si="40"/>
        <v>0.4459879758464787</v>
      </c>
      <c r="T87" s="602">
        <f t="shared" si="31"/>
        <v>1</v>
      </c>
    </row>
    <row r="88" spans="1:20">
      <c r="A88" s="187">
        <f t="shared" si="32"/>
        <v>1990</v>
      </c>
      <c r="B88" s="494">
        <v>32.032000000000004</v>
      </c>
      <c r="C88" s="672">
        <v>1628.4260228263977</v>
      </c>
      <c r="D88" s="184">
        <v>0</v>
      </c>
      <c r="E88" s="606">
        <v>0</v>
      </c>
      <c r="F88" s="186">
        <f t="shared" si="27"/>
        <v>0.71479999999999999</v>
      </c>
      <c r="G88" s="186">
        <f t="shared" si="28"/>
        <v>0.28959999999999997</v>
      </c>
      <c r="H88" s="606">
        <v>0</v>
      </c>
      <c r="I88" s="716">
        <f t="shared" si="18"/>
        <v>578.73</v>
      </c>
      <c r="J88" s="603">
        <f t="shared" si="33"/>
        <v>27.526054267727826</v>
      </c>
      <c r="K88" s="604">
        <f t="shared" si="29"/>
        <v>18537.879360000003</v>
      </c>
      <c r="L88" s="189">
        <f t="shared" si="30"/>
        <v>44824.143075299617</v>
      </c>
      <c r="M88" s="186">
        <f t="shared" si="34"/>
        <v>0.19892488097366726</v>
      </c>
      <c r="N88" s="186">
        <f t="shared" si="35"/>
        <v>0.26585903447659598</v>
      </c>
      <c r="O88" s="186">
        <f t="shared" si="36"/>
        <v>8.9228108703258049E-2</v>
      </c>
      <c r="P88" s="186">
        <f t="shared" si="37"/>
        <v>0</v>
      </c>
      <c r="Q88" s="186">
        <f t="shared" si="38"/>
        <v>0</v>
      </c>
      <c r="R88" s="186">
        <f t="shared" si="39"/>
        <v>0</v>
      </c>
      <c r="S88" s="186">
        <f t="shared" si="40"/>
        <v>0.4459879758464787</v>
      </c>
      <c r="T88" s="602">
        <f t="shared" si="31"/>
        <v>1</v>
      </c>
    </row>
    <row r="89" spans="1:20">
      <c r="A89" s="187">
        <f t="shared" si="32"/>
        <v>1991</v>
      </c>
      <c r="B89" s="494">
        <v>32.69903</v>
      </c>
      <c r="C89" s="672">
        <v>1611.8450654448757</v>
      </c>
      <c r="D89" s="184">
        <v>0</v>
      </c>
      <c r="E89" s="606">
        <v>0</v>
      </c>
      <c r="F89" s="186">
        <f t="shared" si="27"/>
        <v>0.71479999999999999</v>
      </c>
      <c r="G89" s="186">
        <f t="shared" si="28"/>
        <v>0.28959999999999997</v>
      </c>
      <c r="H89" s="606">
        <v>0</v>
      </c>
      <c r="I89" s="716">
        <f t="shared" si="18"/>
        <v>578.73</v>
      </c>
      <c r="J89" s="603">
        <f t="shared" si="33"/>
        <v>27.526054267727826</v>
      </c>
      <c r="K89" s="604">
        <f t="shared" si="29"/>
        <v>18923.909631900002</v>
      </c>
      <c r="L89" s="189">
        <f t="shared" si="30"/>
        <v>44367.73474260496</v>
      </c>
      <c r="M89" s="186">
        <f t="shared" si="34"/>
        <v>0.19892488097366726</v>
      </c>
      <c r="N89" s="186">
        <f t="shared" si="35"/>
        <v>0.26585903447659598</v>
      </c>
      <c r="O89" s="186">
        <f t="shared" si="36"/>
        <v>8.9228108703258049E-2</v>
      </c>
      <c r="P89" s="186">
        <f t="shared" si="37"/>
        <v>0</v>
      </c>
      <c r="Q89" s="186">
        <f t="shared" si="38"/>
        <v>0</v>
      </c>
      <c r="R89" s="186">
        <f t="shared" si="39"/>
        <v>0</v>
      </c>
      <c r="S89" s="186">
        <f t="shared" si="40"/>
        <v>0.4459879758464787</v>
      </c>
      <c r="T89" s="602">
        <f t="shared" si="31"/>
        <v>1</v>
      </c>
    </row>
    <row r="90" spans="1:20">
      <c r="A90" s="187">
        <f t="shared" si="32"/>
        <v>1992</v>
      </c>
      <c r="B90" s="494">
        <v>33.388809999999999</v>
      </c>
      <c r="C90" s="672">
        <v>1577.3990194337794</v>
      </c>
      <c r="D90" s="184">
        <v>0</v>
      </c>
      <c r="E90" s="606">
        <v>0</v>
      </c>
      <c r="F90" s="186">
        <f t="shared" si="27"/>
        <v>0.71479999999999999</v>
      </c>
      <c r="G90" s="186">
        <f t="shared" si="28"/>
        <v>0.28959999999999997</v>
      </c>
      <c r="H90" s="606">
        <v>0</v>
      </c>
      <c r="I90" s="716">
        <f t="shared" si="18"/>
        <v>578.73</v>
      </c>
      <c r="J90" s="603">
        <f t="shared" si="33"/>
        <v>27.526054267727826</v>
      </c>
      <c r="K90" s="604">
        <f t="shared" si="29"/>
        <v>19323.106011299998</v>
      </c>
      <c r="L90" s="189">
        <f t="shared" si="30"/>
        <v>43419.571010794869</v>
      </c>
      <c r="M90" s="186">
        <f t="shared" si="34"/>
        <v>0.19892488097366726</v>
      </c>
      <c r="N90" s="186">
        <f t="shared" si="35"/>
        <v>0.26585903447659598</v>
      </c>
      <c r="O90" s="186">
        <f t="shared" si="36"/>
        <v>8.9228108703258049E-2</v>
      </c>
      <c r="P90" s="186">
        <f t="shared" si="37"/>
        <v>0</v>
      </c>
      <c r="Q90" s="186">
        <f t="shared" si="38"/>
        <v>0</v>
      </c>
      <c r="R90" s="186">
        <f t="shared" si="39"/>
        <v>0</v>
      </c>
      <c r="S90" s="186">
        <f t="shared" si="40"/>
        <v>0.4459879758464787</v>
      </c>
      <c r="T90" s="602">
        <f t="shared" si="31"/>
        <v>1</v>
      </c>
    </row>
    <row r="91" spans="1:20">
      <c r="A91" s="187">
        <f t="shared" si="32"/>
        <v>1993</v>
      </c>
      <c r="B91" s="494">
        <v>34.101339999999993</v>
      </c>
      <c r="C91" s="672">
        <v>1596.8565504459618</v>
      </c>
      <c r="D91" s="184">
        <v>0</v>
      </c>
      <c r="E91" s="606">
        <v>0</v>
      </c>
      <c r="F91" s="186">
        <f t="shared" si="27"/>
        <v>0.71479999999999999</v>
      </c>
      <c r="G91" s="186">
        <f t="shared" si="28"/>
        <v>0.28959999999999997</v>
      </c>
      <c r="H91" s="606">
        <v>0</v>
      </c>
      <c r="I91" s="716">
        <f t="shared" si="18"/>
        <v>578.73</v>
      </c>
      <c r="J91" s="603">
        <f t="shared" si="33"/>
        <v>27.526054267727826</v>
      </c>
      <c r="K91" s="604">
        <f t="shared" si="29"/>
        <v>19735.468498199996</v>
      </c>
      <c r="L91" s="189">
        <f t="shared" si="30"/>
        <v>43955.160065352204</v>
      </c>
      <c r="M91" s="186">
        <f t="shared" si="34"/>
        <v>0.19892488097366726</v>
      </c>
      <c r="N91" s="186">
        <f t="shared" si="35"/>
        <v>0.26585903447659598</v>
      </c>
      <c r="O91" s="186">
        <f t="shared" si="36"/>
        <v>8.9228108703258049E-2</v>
      </c>
      <c r="P91" s="186">
        <f t="shared" si="37"/>
        <v>0</v>
      </c>
      <c r="Q91" s="186">
        <f t="shared" si="38"/>
        <v>0</v>
      </c>
      <c r="R91" s="186">
        <f t="shared" si="39"/>
        <v>0</v>
      </c>
      <c r="S91" s="186">
        <f t="shared" si="40"/>
        <v>0.4459879758464787</v>
      </c>
      <c r="T91" s="602">
        <f t="shared" si="31"/>
        <v>1</v>
      </c>
    </row>
    <row r="92" spans="1:20">
      <c r="A92" s="187">
        <f t="shared" si="32"/>
        <v>1994</v>
      </c>
      <c r="B92" s="494">
        <v>34.837530000000001</v>
      </c>
      <c r="C92" s="672">
        <v>1647.9559768112579</v>
      </c>
      <c r="D92" s="184">
        <v>0</v>
      </c>
      <c r="E92" s="606">
        <v>0</v>
      </c>
      <c r="F92" s="186">
        <f t="shared" si="27"/>
        <v>0.71479999999999999</v>
      </c>
      <c r="G92" s="186">
        <f t="shared" si="28"/>
        <v>0.28959999999999997</v>
      </c>
      <c r="H92" s="606">
        <v>0</v>
      </c>
      <c r="I92" s="716">
        <f t="shared" si="18"/>
        <v>578.73</v>
      </c>
      <c r="J92" s="603">
        <f t="shared" si="33"/>
        <v>27.526054267727826</v>
      </c>
      <c r="K92" s="604">
        <f t="shared" si="29"/>
        <v>20161.523736900002</v>
      </c>
      <c r="L92" s="189">
        <f t="shared" si="30"/>
        <v>45361.725648533102</v>
      </c>
      <c r="M92" s="186">
        <f t="shared" si="34"/>
        <v>0.19892488097366726</v>
      </c>
      <c r="N92" s="186">
        <f t="shared" si="35"/>
        <v>0.26585903447659598</v>
      </c>
      <c r="O92" s="186">
        <f t="shared" si="36"/>
        <v>8.9228108703258049E-2</v>
      </c>
      <c r="P92" s="186">
        <f t="shared" si="37"/>
        <v>0</v>
      </c>
      <c r="Q92" s="186">
        <f t="shared" si="38"/>
        <v>0</v>
      </c>
      <c r="R92" s="186">
        <f t="shared" si="39"/>
        <v>0</v>
      </c>
      <c r="S92" s="186">
        <f t="shared" si="40"/>
        <v>0.4459879758464787</v>
      </c>
      <c r="T92" s="602">
        <f t="shared" si="31"/>
        <v>1</v>
      </c>
    </row>
    <row r="93" spans="1:20">
      <c r="A93" s="187">
        <f t="shared" si="32"/>
        <v>1995</v>
      </c>
      <c r="B93" s="494">
        <v>35.599199999999996</v>
      </c>
      <c r="C93" s="672">
        <v>1699.0425365830638</v>
      </c>
      <c r="D93" s="184">
        <v>0</v>
      </c>
      <c r="E93" s="606">
        <v>0</v>
      </c>
      <c r="F93" s="186">
        <f t="shared" si="27"/>
        <v>0.71479999999999999</v>
      </c>
      <c r="G93" s="186">
        <f t="shared" si="28"/>
        <v>0.28959999999999997</v>
      </c>
      <c r="H93" s="606">
        <v>0</v>
      </c>
      <c r="I93" s="716">
        <f t="shared" si="18"/>
        <v>578.73</v>
      </c>
      <c r="J93" s="603">
        <f t="shared" si="33"/>
        <v>27.526054267727826</v>
      </c>
      <c r="K93" s="604">
        <f t="shared" si="29"/>
        <v>20602.325015999999</v>
      </c>
      <c r="L93" s="189">
        <f t="shared" si="30"/>
        <v>46767.937065163351</v>
      </c>
      <c r="M93" s="186">
        <f t="shared" si="34"/>
        <v>0.19892488097366726</v>
      </c>
      <c r="N93" s="186">
        <f t="shared" si="35"/>
        <v>0.26585903447659598</v>
      </c>
      <c r="O93" s="186">
        <f t="shared" si="36"/>
        <v>8.9228108703258049E-2</v>
      </c>
      <c r="P93" s="186">
        <f t="shared" si="37"/>
        <v>0</v>
      </c>
      <c r="Q93" s="186">
        <f t="shared" si="38"/>
        <v>0</v>
      </c>
      <c r="R93" s="186">
        <f t="shared" si="39"/>
        <v>0</v>
      </c>
      <c r="S93" s="186">
        <f t="shared" si="40"/>
        <v>0.4459879758464787</v>
      </c>
      <c r="T93" s="602">
        <f t="shared" si="31"/>
        <v>1</v>
      </c>
    </row>
    <row r="94" spans="1:20">
      <c r="A94" s="187">
        <f t="shared" si="32"/>
        <v>1996</v>
      </c>
      <c r="B94" s="494">
        <v>36.4</v>
      </c>
      <c r="C94" s="672">
        <v>1772.1013480030836</v>
      </c>
      <c r="D94" s="184">
        <v>0</v>
      </c>
      <c r="E94" s="606">
        <v>0</v>
      </c>
      <c r="F94" s="186">
        <f t="shared" si="27"/>
        <v>0.71479999999999999</v>
      </c>
      <c r="G94" s="186">
        <f t="shared" si="28"/>
        <v>0.28959999999999997</v>
      </c>
      <c r="H94" s="606">
        <v>0</v>
      </c>
      <c r="I94" s="716">
        <f t="shared" si="18"/>
        <v>578.73</v>
      </c>
      <c r="J94" s="603">
        <f t="shared" si="33"/>
        <v>27.526054267727826</v>
      </c>
      <c r="K94" s="604">
        <f t="shared" si="29"/>
        <v>21065.772000000001</v>
      </c>
      <c r="L94" s="189">
        <f t="shared" si="30"/>
        <v>48778.957873046515</v>
      </c>
      <c r="M94" s="186">
        <f t="shared" si="34"/>
        <v>0.19892488097366726</v>
      </c>
      <c r="N94" s="186">
        <f t="shared" si="35"/>
        <v>0.26585903447659598</v>
      </c>
      <c r="O94" s="186">
        <f t="shared" si="36"/>
        <v>8.9228108703258049E-2</v>
      </c>
      <c r="P94" s="186">
        <f t="shared" si="37"/>
        <v>0</v>
      </c>
      <c r="Q94" s="186">
        <f t="shared" si="38"/>
        <v>0</v>
      </c>
      <c r="R94" s="186">
        <f t="shared" si="39"/>
        <v>0</v>
      </c>
      <c r="S94" s="186">
        <f t="shared" si="40"/>
        <v>0.4459879758464787</v>
      </c>
      <c r="T94" s="602">
        <f t="shared" si="31"/>
        <v>1</v>
      </c>
    </row>
    <row r="95" spans="1:20">
      <c r="A95" s="187">
        <f t="shared" si="32"/>
        <v>1997</v>
      </c>
      <c r="B95" s="494">
        <v>37.242660000000001</v>
      </c>
      <c r="C95" s="672">
        <v>1818.1760205488283</v>
      </c>
      <c r="D95" s="184">
        <v>0</v>
      </c>
      <c r="E95" s="606">
        <v>0</v>
      </c>
      <c r="F95" s="186">
        <f t="shared" si="27"/>
        <v>0.71479999999999999</v>
      </c>
      <c r="G95" s="186">
        <f t="shared" si="28"/>
        <v>0.28959999999999997</v>
      </c>
      <c r="H95" s="606">
        <v>0</v>
      </c>
      <c r="I95" s="716">
        <f t="shared" si="18"/>
        <v>578.73</v>
      </c>
      <c r="J95" s="603">
        <f t="shared" si="33"/>
        <v>27.526054267727826</v>
      </c>
      <c r="K95" s="604">
        <f t="shared" si="29"/>
        <v>21553.444621800001</v>
      </c>
      <c r="L95" s="189">
        <f t="shared" si="30"/>
        <v>50047.211809908469</v>
      </c>
      <c r="M95" s="186">
        <f t="shared" si="34"/>
        <v>0.19892488097366726</v>
      </c>
      <c r="N95" s="186">
        <f t="shared" si="35"/>
        <v>0.26585903447659598</v>
      </c>
      <c r="O95" s="186">
        <f t="shared" si="36"/>
        <v>8.9228108703258049E-2</v>
      </c>
      <c r="P95" s="186">
        <f t="shared" si="37"/>
        <v>0</v>
      </c>
      <c r="Q95" s="186">
        <f t="shared" si="38"/>
        <v>0</v>
      </c>
      <c r="R95" s="186">
        <f t="shared" si="39"/>
        <v>0</v>
      </c>
      <c r="S95" s="186">
        <f t="shared" si="40"/>
        <v>0.4459879758464787</v>
      </c>
      <c r="T95" s="602">
        <f t="shared" si="31"/>
        <v>1</v>
      </c>
    </row>
    <row r="96" spans="1:20">
      <c r="A96" s="187">
        <f t="shared" si="32"/>
        <v>1998</v>
      </c>
      <c r="B96" s="494">
        <v>38.128999999999998</v>
      </c>
      <c r="C96" s="672">
        <v>1827.2669171060654</v>
      </c>
      <c r="D96" s="184">
        <v>0</v>
      </c>
      <c r="E96" s="606">
        <v>0</v>
      </c>
      <c r="F96" s="186">
        <f t="shared" si="27"/>
        <v>0.71479999999999999</v>
      </c>
      <c r="G96" s="186">
        <f t="shared" si="28"/>
        <v>0.28959999999999997</v>
      </c>
      <c r="H96" s="606">
        <v>0</v>
      </c>
      <c r="I96" s="716">
        <f t="shared" si="18"/>
        <v>578.73</v>
      </c>
      <c r="J96" s="603">
        <f t="shared" si="33"/>
        <v>27.526054267727826</v>
      </c>
      <c r="K96" s="604">
        <f t="shared" si="29"/>
        <v>22066.39617</v>
      </c>
      <c r="L96" s="189">
        <f t="shared" si="30"/>
        <v>50297.448321885269</v>
      </c>
      <c r="M96" s="186">
        <f t="shared" si="34"/>
        <v>0.19892488097366726</v>
      </c>
      <c r="N96" s="186">
        <f t="shared" si="35"/>
        <v>0.26585903447659598</v>
      </c>
      <c r="O96" s="186">
        <f t="shared" si="36"/>
        <v>8.9228108703258049E-2</v>
      </c>
      <c r="P96" s="186">
        <f t="shared" si="37"/>
        <v>0</v>
      </c>
      <c r="Q96" s="186">
        <f t="shared" si="38"/>
        <v>0</v>
      </c>
      <c r="R96" s="186">
        <f t="shared" si="39"/>
        <v>0</v>
      </c>
      <c r="S96" s="186">
        <f t="shared" si="40"/>
        <v>0.4459879758464787</v>
      </c>
      <c r="T96" s="602">
        <f t="shared" si="31"/>
        <v>1</v>
      </c>
    </row>
    <row r="97" spans="1:20" ht="13.9" customHeight="1">
      <c r="A97" s="187">
        <f t="shared" si="32"/>
        <v>1999</v>
      </c>
      <c r="B97" s="494">
        <v>39.059930000000001</v>
      </c>
      <c r="C97" s="672">
        <v>1871.1212545027383</v>
      </c>
      <c r="D97" s="184">
        <v>0</v>
      </c>
      <c r="E97" s="606">
        <v>0</v>
      </c>
      <c r="F97" s="186">
        <f t="shared" si="27"/>
        <v>0.71479999999999999</v>
      </c>
      <c r="G97" s="186">
        <f t="shared" si="28"/>
        <v>0.28959999999999997</v>
      </c>
      <c r="H97" s="606">
        <v>0</v>
      </c>
      <c r="I97" s="716">
        <f t="shared" si="18"/>
        <v>578.73</v>
      </c>
      <c r="J97" s="603">
        <f t="shared" si="33"/>
        <v>27.526054267727826</v>
      </c>
      <c r="K97" s="604">
        <f t="shared" si="29"/>
        <v>22605.153288900001</v>
      </c>
      <c r="L97" s="189">
        <f t="shared" si="30"/>
        <v>51504.585192941347</v>
      </c>
      <c r="M97" s="186">
        <f t="shared" si="34"/>
        <v>0.19892488097366726</v>
      </c>
      <c r="N97" s="186">
        <f t="shared" si="35"/>
        <v>0.26585903447659598</v>
      </c>
      <c r="O97" s="186">
        <f t="shared" si="36"/>
        <v>8.9228108703258049E-2</v>
      </c>
      <c r="P97" s="186">
        <f t="shared" si="37"/>
        <v>0</v>
      </c>
      <c r="Q97" s="186">
        <f t="shared" si="38"/>
        <v>0</v>
      </c>
      <c r="R97" s="186">
        <f t="shared" si="39"/>
        <v>0</v>
      </c>
      <c r="S97" s="186">
        <f t="shared" si="40"/>
        <v>0.4459879758464787</v>
      </c>
      <c r="T97" s="602">
        <f t="shared" si="31"/>
        <v>1</v>
      </c>
    </row>
    <row r="98" spans="1:20">
      <c r="A98" s="950">
        <f t="shared" si="32"/>
        <v>2000</v>
      </c>
      <c r="B98" s="967">
        <v>44</v>
      </c>
      <c r="C98" s="967">
        <v>1949.7084122320282</v>
      </c>
      <c r="D98" s="1405">
        <f t="shared" ref="D98:D113" si="41">D99/C99*C98</f>
        <v>31236828.082533572</v>
      </c>
      <c r="E98" s="1381">
        <f>D98</f>
        <v>31236828.082533572</v>
      </c>
      <c r="F98" s="951">
        <f t="shared" si="27"/>
        <v>0.71479999999999999</v>
      </c>
      <c r="G98" s="951">
        <f t="shared" si="28"/>
        <v>0.28959999999999997</v>
      </c>
      <c r="H98" s="952">
        <v>501</v>
      </c>
      <c r="I98" s="953">
        <f t="shared" si="18"/>
        <v>578.73</v>
      </c>
      <c r="J98" s="954">
        <f t="shared" si="33"/>
        <v>27.526054267727826</v>
      </c>
      <c r="K98" s="955">
        <f t="shared" si="29"/>
        <v>25464.120000000003</v>
      </c>
      <c r="L98" s="956">
        <f t="shared" si="30"/>
        <v>53667.779561344265</v>
      </c>
      <c r="M98" s="951">
        <f t="shared" si="34"/>
        <v>0.19892488097366726</v>
      </c>
      <c r="N98" s="951">
        <f t="shared" si="35"/>
        <v>0.26585903447659598</v>
      </c>
      <c r="O98" s="951">
        <f t="shared" si="36"/>
        <v>8.9228108703258049E-2</v>
      </c>
      <c r="P98" s="951">
        <f t="shared" si="37"/>
        <v>0</v>
      </c>
      <c r="Q98" s="951">
        <f t="shared" si="38"/>
        <v>0</v>
      </c>
      <c r="R98" s="951">
        <f t="shared" si="39"/>
        <v>0</v>
      </c>
      <c r="S98" s="951">
        <f t="shared" si="40"/>
        <v>0.4459879758464787</v>
      </c>
      <c r="T98" s="957">
        <f t="shared" si="31"/>
        <v>1</v>
      </c>
    </row>
    <row r="99" spans="1:20">
      <c r="A99" s="950">
        <f t="shared" si="32"/>
        <v>2001</v>
      </c>
      <c r="B99" s="967">
        <v>44.91</v>
      </c>
      <c r="C99" s="967">
        <v>2002.3504334346351</v>
      </c>
      <c r="D99" s="1405">
        <f t="shared" si="41"/>
        <v>32080220.74366511</v>
      </c>
      <c r="E99" s="1381">
        <f t="shared" ref="E99:E115" si="42">D99</f>
        <v>32080220.74366511</v>
      </c>
      <c r="F99" s="958">
        <f t="shared" si="27"/>
        <v>0.71479999999999999</v>
      </c>
      <c r="G99" s="958">
        <f t="shared" si="28"/>
        <v>0.28959999999999997</v>
      </c>
      <c r="H99" s="959">
        <v>501</v>
      </c>
      <c r="I99" s="960">
        <f t="shared" si="18"/>
        <v>578.73</v>
      </c>
      <c r="J99" s="961">
        <f t="shared" si="33"/>
        <v>27.526054267727826</v>
      </c>
      <c r="K99" s="962">
        <f t="shared" si="29"/>
        <v>25990.764299999999</v>
      </c>
      <c r="L99" s="963">
        <f t="shared" si="30"/>
        <v>55116.806693730105</v>
      </c>
      <c r="M99" s="958">
        <f t="shared" si="34"/>
        <v>0.19892488097366726</v>
      </c>
      <c r="N99" s="958">
        <f t="shared" si="35"/>
        <v>0.26585903447659598</v>
      </c>
      <c r="O99" s="958">
        <f t="shared" si="36"/>
        <v>8.9228108703258049E-2</v>
      </c>
      <c r="P99" s="958">
        <f t="shared" si="37"/>
        <v>0</v>
      </c>
      <c r="Q99" s="958">
        <f t="shared" si="38"/>
        <v>0</v>
      </c>
      <c r="R99" s="958">
        <f t="shared" si="39"/>
        <v>0</v>
      </c>
      <c r="S99" s="958">
        <f t="shared" si="40"/>
        <v>0.4459879758464787</v>
      </c>
      <c r="T99" s="964">
        <f t="shared" si="31"/>
        <v>1</v>
      </c>
    </row>
    <row r="100" spans="1:20">
      <c r="A100" s="950">
        <f t="shared" si="32"/>
        <v>2002</v>
      </c>
      <c r="B100" s="967">
        <v>45.533000000000001</v>
      </c>
      <c r="C100" s="967">
        <v>2076.4450554986461</v>
      </c>
      <c r="D100" s="1405">
        <f t="shared" si="41"/>
        <v>33267311.57054634</v>
      </c>
      <c r="E100" s="1381">
        <f t="shared" si="42"/>
        <v>33267311.57054634</v>
      </c>
      <c r="F100" s="958">
        <f t="shared" si="27"/>
        <v>0.71479999999999999</v>
      </c>
      <c r="G100" s="958">
        <f t="shared" si="28"/>
        <v>0.28959999999999997</v>
      </c>
      <c r="H100" s="959">
        <v>501</v>
      </c>
      <c r="I100" s="960">
        <f t="shared" si="18"/>
        <v>578.73</v>
      </c>
      <c r="J100" s="961">
        <f t="shared" si="33"/>
        <v>27.526054267727826</v>
      </c>
      <c r="K100" s="962">
        <f t="shared" si="29"/>
        <v>26351.313090000003</v>
      </c>
      <c r="L100" s="963">
        <f t="shared" si="30"/>
        <v>57156.339281610846</v>
      </c>
      <c r="M100" s="958">
        <f t="shared" si="34"/>
        <v>0.19892488097366726</v>
      </c>
      <c r="N100" s="958">
        <f t="shared" si="35"/>
        <v>0.26585903447659598</v>
      </c>
      <c r="O100" s="958">
        <f t="shared" si="36"/>
        <v>8.9228108703258049E-2</v>
      </c>
      <c r="P100" s="958">
        <f t="shared" si="37"/>
        <v>0</v>
      </c>
      <c r="Q100" s="958">
        <f t="shared" si="38"/>
        <v>0</v>
      </c>
      <c r="R100" s="958">
        <f t="shared" si="39"/>
        <v>0</v>
      </c>
      <c r="S100" s="958">
        <f t="shared" si="40"/>
        <v>0.4459879758464787</v>
      </c>
      <c r="T100" s="964">
        <f t="shared" si="31"/>
        <v>1</v>
      </c>
    </row>
    <row r="101" spans="1:20">
      <c r="A101" s="950">
        <f t="shared" si="32"/>
        <v>2003</v>
      </c>
      <c r="B101" s="967">
        <v>46.116</v>
      </c>
      <c r="C101" s="967">
        <v>2137.6810634216249</v>
      </c>
      <c r="D101" s="1405">
        <f t="shared" si="41"/>
        <v>34248390.915514112</v>
      </c>
      <c r="E101" s="1381">
        <f t="shared" si="42"/>
        <v>34248390.915514112</v>
      </c>
      <c r="F101" s="958">
        <f t="shared" si="27"/>
        <v>0.71479999999999999</v>
      </c>
      <c r="G101" s="958">
        <f t="shared" si="28"/>
        <v>0.28959999999999997</v>
      </c>
      <c r="H101" s="959">
        <v>501</v>
      </c>
      <c r="I101" s="960">
        <f t="shared" si="18"/>
        <v>578.73</v>
      </c>
      <c r="J101" s="961">
        <f t="shared" si="33"/>
        <v>27.526054267727826</v>
      </c>
      <c r="K101" s="962">
        <f t="shared" si="29"/>
        <v>26688.712680000001</v>
      </c>
      <c r="L101" s="963">
        <f t="shared" si="30"/>
        <v>58841.924958837779</v>
      </c>
      <c r="M101" s="958">
        <f t="shared" si="34"/>
        <v>0.19892488097366726</v>
      </c>
      <c r="N101" s="958">
        <f t="shared" si="35"/>
        <v>0.26585903447659598</v>
      </c>
      <c r="O101" s="958">
        <f t="shared" si="36"/>
        <v>8.9228108703258049E-2</v>
      </c>
      <c r="P101" s="958">
        <f t="shared" si="37"/>
        <v>0</v>
      </c>
      <c r="Q101" s="958">
        <f t="shared" si="38"/>
        <v>0</v>
      </c>
      <c r="R101" s="958">
        <f t="shared" si="39"/>
        <v>0</v>
      </c>
      <c r="S101" s="958">
        <f t="shared" si="40"/>
        <v>0.4459879758464787</v>
      </c>
      <c r="T101" s="964">
        <f t="shared" si="31"/>
        <v>1</v>
      </c>
    </row>
    <row r="102" spans="1:20">
      <c r="A102" s="950">
        <f t="shared" si="32"/>
        <v>2004</v>
      </c>
      <c r="B102" s="967">
        <v>46.664999999999999</v>
      </c>
      <c r="C102" s="967">
        <v>2235.0428749750399</v>
      </c>
      <c r="D102" s="1405">
        <f t="shared" si="41"/>
        <v>35808251.944074988</v>
      </c>
      <c r="E102" s="1381">
        <f t="shared" si="42"/>
        <v>35808251.944074988</v>
      </c>
      <c r="F102" s="958">
        <f t="shared" si="27"/>
        <v>0.71479999999999999</v>
      </c>
      <c r="G102" s="958">
        <f t="shared" si="28"/>
        <v>0.28959999999999997</v>
      </c>
      <c r="H102" s="959">
        <v>501</v>
      </c>
      <c r="I102" s="960">
        <f t="shared" si="18"/>
        <v>578.73</v>
      </c>
      <c r="J102" s="961">
        <f t="shared" si="33"/>
        <v>27.526054267727826</v>
      </c>
      <c r="K102" s="962">
        <f t="shared" si="29"/>
        <v>27006.435450000001</v>
      </c>
      <c r="L102" s="963">
        <f t="shared" si="30"/>
        <v>61521.911467261365</v>
      </c>
      <c r="M102" s="958">
        <f t="shared" si="34"/>
        <v>0.19892488097366726</v>
      </c>
      <c r="N102" s="958">
        <f t="shared" si="35"/>
        <v>0.26585903447659598</v>
      </c>
      <c r="O102" s="958">
        <f t="shared" si="36"/>
        <v>8.9228108703258049E-2</v>
      </c>
      <c r="P102" s="958">
        <f t="shared" si="37"/>
        <v>0</v>
      </c>
      <c r="Q102" s="958">
        <f t="shared" si="38"/>
        <v>0</v>
      </c>
      <c r="R102" s="958">
        <f t="shared" si="39"/>
        <v>0</v>
      </c>
      <c r="S102" s="958">
        <f t="shared" si="40"/>
        <v>0.4459879758464787</v>
      </c>
      <c r="T102" s="964">
        <f t="shared" si="31"/>
        <v>1</v>
      </c>
    </row>
    <row r="103" spans="1:20">
      <c r="A103" s="950">
        <f t="shared" si="32"/>
        <v>2005</v>
      </c>
      <c r="B103" s="967">
        <v>47.198</v>
      </c>
      <c r="C103" s="967">
        <v>2352.9873460848162</v>
      </c>
      <c r="D103" s="1405">
        <f t="shared" si="41"/>
        <v>37697873.563506655</v>
      </c>
      <c r="E103" s="1381">
        <f t="shared" si="42"/>
        <v>37697873.563506655</v>
      </c>
      <c r="F103" s="958">
        <f t="shared" si="27"/>
        <v>0.71479999999999999</v>
      </c>
      <c r="G103" s="958">
        <f t="shared" si="28"/>
        <v>0.28959999999999997</v>
      </c>
      <c r="H103" s="959">
        <v>501</v>
      </c>
      <c r="I103" s="960">
        <f t="shared" si="18"/>
        <v>578.73</v>
      </c>
      <c r="J103" s="961">
        <f t="shared" si="33"/>
        <v>27.526054267727826</v>
      </c>
      <c r="K103" s="962">
        <f t="shared" si="29"/>
        <v>27314.898540000002</v>
      </c>
      <c r="L103" s="963">
        <f t="shared" si="30"/>
        <v>64768.457379607527</v>
      </c>
      <c r="M103" s="958">
        <f t="shared" si="34"/>
        <v>0.19892488097366726</v>
      </c>
      <c r="N103" s="958">
        <f t="shared" si="35"/>
        <v>0.26585903447659598</v>
      </c>
      <c r="O103" s="958">
        <f t="shared" si="36"/>
        <v>8.9228108703258049E-2</v>
      </c>
      <c r="P103" s="958">
        <f t="shared" si="37"/>
        <v>0</v>
      </c>
      <c r="Q103" s="958">
        <f t="shared" si="38"/>
        <v>0</v>
      </c>
      <c r="R103" s="958">
        <f t="shared" si="39"/>
        <v>0</v>
      </c>
      <c r="S103" s="958">
        <f t="shared" si="40"/>
        <v>0.4459879758464787</v>
      </c>
      <c r="T103" s="964">
        <f t="shared" si="31"/>
        <v>1</v>
      </c>
    </row>
    <row r="104" spans="1:20">
      <c r="A104" s="950">
        <f t="shared" si="32"/>
        <v>2006</v>
      </c>
      <c r="B104" s="967">
        <v>47.731000000000002</v>
      </c>
      <c r="C104" s="967">
        <v>2484.843995854224</v>
      </c>
      <c r="D104" s="1405">
        <f t="shared" si="41"/>
        <v>39810386.118997268</v>
      </c>
      <c r="E104" s="1381">
        <f t="shared" si="42"/>
        <v>39810386.118997268</v>
      </c>
      <c r="F104" s="958">
        <f t="shared" si="27"/>
        <v>0.71479999999999999</v>
      </c>
      <c r="G104" s="958">
        <f t="shared" si="28"/>
        <v>0.28959999999999997</v>
      </c>
      <c r="H104" s="959">
        <v>501</v>
      </c>
      <c r="I104" s="960">
        <f t="shared" si="18"/>
        <v>578.73</v>
      </c>
      <c r="J104" s="961">
        <f t="shared" si="33"/>
        <v>27.526054267727826</v>
      </c>
      <c r="K104" s="962">
        <f t="shared" si="29"/>
        <v>27623.361630000003</v>
      </c>
      <c r="L104" s="963">
        <f t="shared" si="30"/>
        <v>68397.950676721026</v>
      </c>
      <c r="M104" s="958">
        <f t="shared" si="34"/>
        <v>0.19892488097366726</v>
      </c>
      <c r="N104" s="958">
        <f t="shared" si="35"/>
        <v>0.26585903447659598</v>
      </c>
      <c r="O104" s="958">
        <f t="shared" si="36"/>
        <v>8.9228108703258049E-2</v>
      </c>
      <c r="P104" s="958">
        <f t="shared" si="37"/>
        <v>0</v>
      </c>
      <c r="Q104" s="958">
        <f t="shared" si="38"/>
        <v>0</v>
      </c>
      <c r="R104" s="958">
        <f t="shared" si="39"/>
        <v>0</v>
      </c>
      <c r="S104" s="958">
        <f t="shared" si="40"/>
        <v>0.4459879758464787</v>
      </c>
      <c r="T104" s="964">
        <f t="shared" si="31"/>
        <v>1</v>
      </c>
    </row>
    <row r="105" spans="1:20">
      <c r="A105" s="950">
        <f t="shared" si="32"/>
        <v>2007</v>
      </c>
      <c r="B105" s="967">
        <v>48.256999999999998</v>
      </c>
      <c r="C105" s="967">
        <v>2618.0434591809503</v>
      </c>
      <c r="D105" s="1405">
        <f t="shared" si="41"/>
        <v>41944412.269020118</v>
      </c>
      <c r="E105" s="1381">
        <f t="shared" si="42"/>
        <v>41944412.269020118</v>
      </c>
      <c r="F105" s="958">
        <f t="shared" si="27"/>
        <v>0.71479999999999999</v>
      </c>
      <c r="G105" s="958">
        <f t="shared" si="28"/>
        <v>0.28959999999999997</v>
      </c>
      <c r="H105" s="959">
        <v>501</v>
      </c>
      <c r="I105" s="960">
        <f t="shared" si="18"/>
        <v>578.73</v>
      </c>
      <c r="J105" s="961">
        <f t="shared" si="33"/>
        <v>27.526054267727826</v>
      </c>
      <c r="K105" s="962">
        <f t="shared" si="29"/>
        <v>27927.77361</v>
      </c>
      <c r="L105" s="963">
        <f t="shared" si="30"/>
        <v>72064.406332684724</v>
      </c>
      <c r="M105" s="958">
        <f t="shared" si="34"/>
        <v>0.19892488097366726</v>
      </c>
      <c r="N105" s="958">
        <f t="shared" si="35"/>
        <v>0.26585903447659598</v>
      </c>
      <c r="O105" s="958">
        <f t="shared" si="36"/>
        <v>8.9228108703258049E-2</v>
      </c>
      <c r="P105" s="958">
        <f t="shared" si="37"/>
        <v>0</v>
      </c>
      <c r="Q105" s="958">
        <f t="shared" si="38"/>
        <v>0</v>
      </c>
      <c r="R105" s="958">
        <f t="shared" si="39"/>
        <v>0</v>
      </c>
      <c r="S105" s="958">
        <f t="shared" si="40"/>
        <v>0.4459879758464787</v>
      </c>
      <c r="T105" s="964">
        <f t="shared" si="31"/>
        <v>1</v>
      </c>
    </row>
    <row r="106" spans="1:20">
      <c r="A106" s="950">
        <f t="shared" si="32"/>
        <v>2008</v>
      </c>
      <c r="B106" s="967">
        <v>48.792999999999999</v>
      </c>
      <c r="C106" s="967">
        <v>2701.5864496631075</v>
      </c>
      <c r="D106" s="1405">
        <f t="shared" si="41"/>
        <v>43282878.069762282</v>
      </c>
      <c r="E106" s="1381">
        <f t="shared" si="42"/>
        <v>43282878.069762282</v>
      </c>
      <c r="F106" s="958">
        <f t="shared" si="27"/>
        <v>0.71479999999999999</v>
      </c>
      <c r="G106" s="958">
        <f t="shared" si="28"/>
        <v>0.28959999999999997</v>
      </c>
      <c r="H106" s="959">
        <v>501</v>
      </c>
      <c r="I106" s="960">
        <f t="shared" si="18"/>
        <v>578.73</v>
      </c>
      <c r="J106" s="961">
        <f t="shared" si="33"/>
        <v>27.526054267727826</v>
      </c>
      <c r="K106" s="962">
        <f t="shared" si="29"/>
        <v>28237.972890000001</v>
      </c>
      <c r="L106" s="963">
        <f t="shared" si="30"/>
        <v>74364.015222384842</v>
      </c>
      <c r="M106" s="958">
        <f t="shared" si="34"/>
        <v>0.19892488097366726</v>
      </c>
      <c r="N106" s="958">
        <f t="shared" si="35"/>
        <v>0.26585903447659598</v>
      </c>
      <c r="O106" s="958">
        <f t="shared" si="36"/>
        <v>8.9228108703258049E-2</v>
      </c>
      <c r="P106" s="958">
        <f t="shared" si="37"/>
        <v>0</v>
      </c>
      <c r="Q106" s="958">
        <f t="shared" si="38"/>
        <v>0</v>
      </c>
      <c r="R106" s="958">
        <f t="shared" si="39"/>
        <v>0</v>
      </c>
      <c r="S106" s="958">
        <f t="shared" si="40"/>
        <v>0.4459879758464787</v>
      </c>
      <c r="T106" s="964">
        <f t="shared" si="31"/>
        <v>1</v>
      </c>
    </row>
    <row r="107" spans="1:20">
      <c r="A107" s="950">
        <f t="shared" si="32"/>
        <v>2009</v>
      </c>
      <c r="B107" s="967">
        <v>49.32</v>
      </c>
      <c r="C107" s="967">
        <v>2660.0336366320498</v>
      </c>
      <c r="D107" s="1405">
        <f t="shared" si="41"/>
        <v>42617148.73872304</v>
      </c>
      <c r="E107" s="1381">
        <f t="shared" si="42"/>
        <v>42617148.73872304</v>
      </c>
      <c r="F107" s="958">
        <f t="shared" si="27"/>
        <v>0.71479999999999999</v>
      </c>
      <c r="G107" s="958">
        <f t="shared" si="28"/>
        <v>0.28959999999999997</v>
      </c>
      <c r="H107" s="959">
        <v>501</v>
      </c>
      <c r="I107" s="960">
        <f t="shared" si="18"/>
        <v>578.73</v>
      </c>
      <c r="J107" s="961">
        <f t="shared" si="33"/>
        <v>27.526054267727826</v>
      </c>
      <c r="K107" s="962">
        <f t="shared" si="29"/>
        <v>28542.963600000003</v>
      </c>
      <c r="L107" s="963">
        <f t="shared" si="30"/>
        <v>73220.230235915209</v>
      </c>
      <c r="M107" s="958">
        <f t="shared" si="34"/>
        <v>0.19892488097366726</v>
      </c>
      <c r="N107" s="958">
        <f t="shared" si="35"/>
        <v>0.26585903447659598</v>
      </c>
      <c r="O107" s="958">
        <f t="shared" si="36"/>
        <v>8.9228108703258049E-2</v>
      </c>
      <c r="P107" s="958">
        <f t="shared" si="37"/>
        <v>0</v>
      </c>
      <c r="Q107" s="958">
        <f t="shared" si="38"/>
        <v>0</v>
      </c>
      <c r="R107" s="958">
        <f t="shared" si="39"/>
        <v>0</v>
      </c>
      <c r="S107" s="958">
        <f t="shared" si="40"/>
        <v>0.4459879758464787</v>
      </c>
      <c r="T107" s="964">
        <f t="shared" si="31"/>
        <v>1</v>
      </c>
    </row>
    <row r="108" spans="1:20" s="359" customFormat="1">
      <c r="A108" s="950">
        <f t="shared" si="32"/>
        <v>2010</v>
      </c>
      <c r="B108" s="967">
        <v>49.87</v>
      </c>
      <c r="C108" s="967">
        <v>2740.8914987475191</v>
      </c>
      <c r="D108" s="1405">
        <f t="shared" si="41"/>
        <v>43912595.340982221</v>
      </c>
      <c r="E108" s="1381">
        <f t="shared" si="42"/>
        <v>43912595.340982221</v>
      </c>
      <c r="F108" s="951">
        <f t="shared" si="27"/>
        <v>0.71479999999999999</v>
      </c>
      <c r="G108" s="951">
        <f t="shared" si="28"/>
        <v>0.28959999999999997</v>
      </c>
      <c r="H108" s="952">
        <v>501</v>
      </c>
      <c r="I108" s="953">
        <f t="shared" ref="I108:I114" si="43">($I$115-$I$107)/($A$115-$A$107)+I107</f>
        <v>559.42164173673609</v>
      </c>
      <c r="J108" s="954">
        <f t="shared" si="33"/>
        <v>27.526054267727826</v>
      </c>
      <c r="K108" s="955">
        <f t="shared" si="29"/>
        <v>27898.357273411028</v>
      </c>
      <c r="L108" s="956">
        <f t="shared" si="30"/>
        <v>75445.928136478062</v>
      </c>
      <c r="M108" s="951">
        <f t="shared" si="34"/>
        <v>0.19892488097366726</v>
      </c>
      <c r="N108" s="951">
        <f t="shared" si="35"/>
        <v>0.26585903447659598</v>
      </c>
      <c r="O108" s="951">
        <f t="shared" si="36"/>
        <v>8.9228108703258049E-2</v>
      </c>
      <c r="P108" s="951">
        <f t="shared" si="37"/>
        <v>0</v>
      </c>
      <c r="Q108" s="951">
        <f t="shared" si="38"/>
        <v>0</v>
      </c>
      <c r="R108" s="951">
        <f t="shared" si="39"/>
        <v>0</v>
      </c>
      <c r="S108" s="951">
        <f t="shared" si="40"/>
        <v>0.4459879758464787</v>
      </c>
      <c r="T108" s="957">
        <f t="shared" si="31"/>
        <v>1</v>
      </c>
    </row>
    <row r="109" spans="1:20">
      <c r="A109" s="950">
        <f t="shared" si="32"/>
        <v>2011</v>
      </c>
      <c r="B109" s="967">
        <v>51.771000000000001</v>
      </c>
      <c r="C109" s="967">
        <v>2830.9069841561718</v>
      </c>
      <c r="D109" s="1405">
        <f t="shared" si="41"/>
        <v>45354758.807496138</v>
      </c>
      <c r="E109" s="1381">
        <f t="shared" si="42"/>
        <v>45354758.807496138</v>
      </c>
      <c r="F109" s="958">
        <f t="shared" si="27"/>
        <v>0.71479999999999999</v>
      </c>
      <c r="G109" s="958">
        <f t="shared" si="28"/>
        <v>0.28959999999999997</v>
      </c>
      <c r="H109" s="959">
        <v>501</v>
      </c>
      <c r="I109" s="960">
        <f t="shared" si="43"/>
        <v>540.11328347347217</v>
      </c>
      <c r="J109" s="961">
        <f t="shared" si="33"/>
        <v>27.526054267727826</v>
      </c>
      <c r="K109" s="962">
        <f>B109*I108</f>
        <v>28961.817814352566</v>
      </c>
      <c r="L109" s="963">
        <f t="shared" si="30"/>
        <v>77923.699272772501</v>
      </c>
      <c r="M109" s="958">
        <f t="shared" si="34"/>
        <v>0.19892488097366726</v>
      </c>
      <c r="N109" s="958">
        <f t="shared" si="35"/>
        <v>0.26585903447659598</v>
      </c>
      <c r="O109" s="958">
        <f t="shared" si="36"/>
        <v>8.9228108703258049E-2</v>
      </c>
      <c r="P109" s="958">
        <f t="shared" si="37"/>
        <v>0</v>
      </c>
      <c r="Q109" s="958">
        <f t="shared" si="38"/>
        <v>0</v>
      </c>
      <c r="R109" s="958">
        <f t="shared" si="39"/>
        <v>0</v>
      </c>
      <c r="S109" s="958">
        <f t="shared" si="40"/>
        <v>0.4459879758464787</v>
      </c>
      <c r="T109" s="964">
        <f t="shared" si="31"/>
        <v>1</v>
      </c>
    </row>
    <row r="110" spans="1:20">
      <c r="A110" s="950">
        <f t="shared" si="32"/>
        <v>2012</v>
      </c>
      <c r="B110" s="1506">
        <f>INDEX(Drivers!$A$8:$AM$8,1,$A110-2011)/1000</f>
        <v>52.325000000000003</v>
      </c>
      <c r="C110" s="1506">
        <f>INDEX(Drivers!$A$16:$AM$16,1,$A110-2011)</f>
        <v>2893.5800000000004</v>
      </c>
      <c r="D110" s="1405">
        <f t="shared" si="41"/>
        <v>46358860.861447066</v>
      </c>
      <c r="E110" s="1381">
        <f t="shared" si="42"/>
        <v>46358860.861447066</v>
      </c>
      <c r="F110" s="958">
        <f t="shared" si="27"/>
        <v>0.71479999999999999</v>
      </c>
      <c r="G110" s="958">
        <f t="shared" si="28"/>
        <v>0.28959999999999997</v>
      </c>
      <c r="H110" s="959">
        <v>501</v>
      </c>
      <c r="I110" s="960">
        <f t="shared" si="43"/>
        <v>520.80492521020824</v>
      </c>
      <c r="J110" s="961">
        <f t="shared" si="33"/>
        <v>27.526054267727826</v>
      </c>
      <c r="K110" s="962">
        <f t="shared" ref="K110:K148" si="44">B110*I110</f>
        <v>27251.117711624149</v>
      </c>
      <c r="L110" s="963">
        <f t="shared" si="30"/>
        <v>79648.840108011893</v>
      </c>
      <c r="M110" s="958">
        <f t="shared" si="34"/>
        <v>0.19892488097366726</v>
      </c>
      <c r="N110" s="958">
        <f t="shared" si="35"/>
        <v>0.26585903447659598</v>
      </c>
      <c r="O110" s="958">
        <f t="shared" si="36"/>
        <v>8.9228108703258049E-2</v>
      </c>
      <c r="P110" s="958">
        <f t="shared" si="37"/>
        <v>0</v>
      </c>
      <c r="Q110" s="958">
        <f t="shared" si="38"/>
        <v>0</v>
      </c>
      <c r="R110" s="958">
        <f t="shared" si="39"/>
        <v>0</v>
      </c>
      <c r="S110" s="958">
        <f t="shared" si="40"/>
        <v>0.4459879758464787</v>
      </c>
      <c r="T110" s="964">
        <f t="shared" si="31"/>
        <v>1</v>
      </c>
    </row>
    <row r="111" spans="1:20">
      <c r="A111" s="950">
        <f t="shared" si="32"/>
        <v>2013</v>
      </c>
      <c r="B111" s="1506">
        <f>INDEX(Drivers!$A$8:$AM$8,1,$A111-2011)/1000</f>
        <v>53.103999999999999</v>
      </c>
      <c r="C111" s="1506">
        <f>INDEX(Drivers!$A$16:$AM$16,1,$A111-2011)</f>
        <v>2965.2699999999995</v>
      </c>
      <c r="D111" s="1405">
        <f t="shared" si="41"/>
        <v>47507426.560393393</v>
      </c>
      <c r="E111" s="1381">
        <f t="shared" si="42"/>
        <v>47507426.560393393</v>
      </c>
      <c r="F111" s="958">
        <f t="shared" si="27"/>
        <v>0.71479999999999999</v>
      </c>
      <c r="G111" s="958">
        <f t="shared" si="28"/>
        <v>0.28959999999999997</v>
      </c>
      <c r="H111" s="959">
        <v>501</v>
      </c>
      <c r="I111" s="960">
        <f t="shared" si="43"/>
        <v>501.49656694694431</v>
      </c>
      <c r="J111" s="961">
        <f t="shared" si="33"/>
        <v>27.526054267727826</v>
      </c>
      <c r="K111" s="962">
        <f t="shared" si="44"/>
        <v>26631.473691150532</v>
      </c>
      <c r="L111" s="963">
        <f t="shared" si="30"/>
        <v>81622.182938465281</v>
      </c>
      <c r="M111" s="958">
        <f t="shared" si="34"/>
        <v>0.19892488097366726</v>
      </c>
      <c r="N111" s="958">
        <f t="shared" si="35"/>
        <v>0.26585903447659598</v>
      </c>
      <c r="O111" s="958">
        <f t="shared" si="36"/>
        <v>8.9228108703258049E-2</v>
      </c>
      <c r="P111" s="958">
        <f t="shared" si="37"/>
        <v>0</v>
      </c>
      <c r="Q111" s="958">
        <f t="shared" si="38"/>
        <v>0</v>
      </c>
      <c r="R111" s="958">
        <f t="shared" si="39"/>
        <v>0</v>
      </c>
      <c r="S111" s="958">
        <f t="shared" si="40"/>
        <v>0.4459879758464787</v>
      </c>
      <c r="T111" s="964">
        <f t="shared" si="31"/>
        <v>1</v>
      </c>
    </row>
    <row r="112" spans="1:20">
      <c r="A112" s="950">
        <f t="shared" si="32"/>
        <v>2014</v>
      </c>
      <c r="B112" s="1506">
        <f>INDEX(Drivers!$A$8:$AM$8,1,$A112-2011)/1000</f>
        <v>53.911999999999999</v>
      </c>
      <c r="C112" s="1506">
        <f>INDEX(Drivers!$A$16:$AM$16,1,$A112-2011)</f>
        <v>3020.9599999999996</v>
      </c>
      <c r="D112" s="1405">
        <f t="shared" si="41"/>
        <v>48399651.749043435</v>
      </c>
      <c r="E112" s="1381">
        <f t="shared" si="42"/>
        <v>48399651.749043435</v>
      </c>
      <c r="F112" s="958">
        <f t="shared" si="27"/>
        <v>0.71479999999999999</v>
      </c>
      <c r="G112" s="958">
        <f t="shared" si="28"/>
        <v>0.28959999999999997</v>
      </c>
      <c r="H112" s="959">
        <v>501</v>
      </c>
      <c r="I112" s="960">
        <f t="shared" si="43"/>
        <v>482.18820868368039</v>
      </c>
      <c r="J112" s="961">
        <f t="shared" si="33"/>
        <v>27.526054267727826</v>
      </c>
      <c r="K112" s="962">
        <f t="shared" si="44"/>
        <v>25995.730706554576</v>
      </c>
      <c r="L112" s="963">
        <f t="shared" si="30"/>
        <v>83155.108900635038</v>
      </c>
      <c r="M112" s="958">
        <f t="shared" si="34"/>
        <v>0.19892488097366726</v>
      </c>
      <c r="N112" s="958">
        <f t="shared" si="35"/>
        <v>0.26585903447659598</v>
      </c>
      <c r="O112" s="958">
        <f t="shared" si="36"/>
        <v>8.9228108703258049E-2</v>
      </c>
      <c r="P112" s="958">
        <f t="shared" si="37"/>
        <v>0</v>
      </c>
      <c r="Q112" s="958">
        <f t="shared" si="38"/>
        <v>0</v>
      </c>
      <c r="R112" s="958">
        <f t="shared" si="39"/>
        <v>0</v>
      </c>
      <c r="S112" s="958">
        <f t="shared" si="40"/>
        <v>0.4459879758464787</v>
      </c>
      <c r="T112" s="964">
        <f t="shared" ref="T112:T143" si="45">SUM(M112:S112)</f>
        <v>1</v>
      </c>
    </row>
    <row r="113" spans="1:20">
      <c r="A113" s="950">
        <f t="shared" ref="A113:A125" si="46">A112+1</f>
        <v>2015</v>
      </c>
      <c r="B113" s="1506">
        <f>INDEX(Drivers!$A$8:$AM$8,1,$A113-2011)/1000</f>
        <v>54.75</v>
      </c>
      <c r="C113" s="1506">
        <f>INDEX(Drivers!$A$16:$AM$16,1,$A113-2011)</f>
        <v>3059.45</v>
      </c>
      <c r="D113" s="1405">
        <f t="shared" si="41"/>
        <v>49016310.88912496</v>
      </c>
      <c r="E113" s="1381">
        <f t="shared" si="42"/>
        <v>49016310.88912496</v>
      </c>
      <c r="F113" s="958">
        <f t="shared" si="27"/>
        <v>0.71479999999999999</v>
      </c>
      <c r="G113" s="958">
        <f t="shared" si="28"/>
        <v>0.28959999999999997</v>
      </c>
      <c r="H113" s="959">
        <v>501</v>
      </c>
      <c r="I113" s="960">
        <f t="shared" si="43"/>
        <v>462.87985042041646</v>
      </c>
      <c r="J113" s="961">
        <f t="shared" ref="J113:J114" si="47">J112</f>
        <v>27.526054267727826</v>
      </c>
      <c r="K113" s="962">
        <f t="shared" si="44"/>
        <v>25342.671810517801</v>
      </c>
      <c r="L113" s="963">
        <f t="shared" si="30"/>
        <v>84214.586729399889</v>
      </c>
      <c r="M113" s="958">
        <f t="shared" ref="M113:M148" si="48">M112</f>
        <v>0.19892488097366726</v>
      </c>
      <c r="N113" s="958">
        <f t="shared" ref="N113:N148" si="49">N112</f>
        <v>0.26585903447659598</v>
      </c>
      <c r="O113" s="958">
        <f t="shared" ref="O113:O148" si="50">O112</f>
        <v>8.9228108703258049E-2</v>
      </c>
      <c r="P113" s="958">
        <f t="shared" ref="P113:P148" si="51">P112</f>
        <v>0</v>
      </c>
      <c r="Q113" s="958">
        <f t="shared" ref="Q113:Q148" si="52">Q112</f>
        <v>0</v>
      </c>
      <c r="R113" s="958">
        <f t="shared" ref="R113:R148" si="53">R112</f>
        <v>0</v>
      </c>
      <c r="S113" s="958">
        <f t="shared" ref="S113:S148" si="54">S112</f>
        <v>0.4459879758464787</v>
      </c>
      <c r="T113" s="964">
        <f t="shared" si="45"/>
        <v>1</v>
      </c>
    </row>
    <row r="114" spans="1:20">
      <c r="A114" s="950">
        <f t="shared" si="46"/>
        <v>2016</v>
      </c>
      <c r="B114" s="1506">
        <f>INDEX(Drivers!$A$8:$AM$8,1,$A114-2011)/1000</f>
        <v>55.62</v>
      </c>
      <c r="C114" s="1506">
        <f>INDEX(Drivers!$A$16:$AM$16,1,$A114-2011)</f>
        <v>3083.9199999999996</v>
      </c>
      <c r="D114" s="1405">
        <f>D115/C115*C114</f>
        <v>49408351.657059349</v>
      </c>
      <c r="E114" s="1381">
        <f t="shared" si="42"/>
        <v>49408351.657059349</v>
      </c>
      <c r="F114" s="958">
        <f t="shared" ref="F114:F115" si="55">F113</f>
        <v>0.71479999999999999</v>
      </c>
      <c r="G114" s="958">
        <f t="shared" ref="G114:G115" si="56">G113</f>
        <v>0.28959999999999997</v>
      </c>
      <c r="H114" s="959">
        <v>501</v>
      </c>
      <c r="I114" s="960">
        <f t="shared" si="43"/>
        <v>443.57149215715253</v>
      </c>
      <c r="J114" s="961">
        <f t="shared" si="47"/>
        <v>27.526054267727826</v>
      </c>
      <c r="K114" s="962">
        <f t="shared" si="44"/>
        <v>24671.446393780821</v>
      </c>
      <c r="L114" s="963">
        <f t="shared" si="30"/>
        <v>84888.149277331191</v>
      </c>
      <c r="M114" s="958">
        <f t="shared" si="48"/>
        <v>0.19892488097366726</v>
      </c>
      <c r="N114" s="958">
        <f t="shared" si="49"/>
        <v>0.26585903447659598</v>
      </c>
      <c r="O114" s="958">
        <f t="shared" si="50"/>
        <v>8.9228108703258049E-2</v>
      </c>
      <c r="P114" s="958">
        <f t="shared" si="51"/>
        <v>0</v>
      </c>
      <c r="Q114" s="958">
        <f t="shared" si="52"/>
        <v>0</v>
      </c>
      <c r="R114" s="958">
        <f t="shared" si="53"/>
        <v>0</v>
      </c>
      <c r="S114" s="958">
        <f t="shared" si="54"/>
        <v>0.4459879758464787</v>
      </c>
      <c r="T114" s="964">
        <f t="shared" si="45"/>
        <v>1</v>
      </c>
    </row>
    <row r="115" spans="1:20">
      <c r="A115" s="950">
        <f>A114+1</f>
        <v>2017</v>
      </c>
      <c r="B115" s="1506">
        <f>INDEX(Drivers!$A$8:$AM$8,1,$A115-2011)/1000</f>
        <v>56.521999999999998</v>
      </c>
      <c r="C115" s="1506">
        <f>INDEX(Drivers!$A$16:$AM$16,1,$A115-2011)</f>
        <v>3120.54</v>
      </c>
      <c r="D115" s="955">
        <f>'Waste Summary 2017 SASOW'!J10+'Waste Summary 2017 SASOW'!J13</f>
        <v>49995051</v>
      </c>
      <c r="E115" s="1381">
        <f t="shared" si="42"/>
        <v>49995051</v>
      </c>
      <c r="F115" s="951">
        <f t="shared" si="55"/>
        <v>0.71479999999999999</v>
      </c>
      <c r="G115" s="951">
        <f t="shared" si="56"/>
        <v>0.28959999999999997</v>
      </c>
      <c r="H115" s="952">
        <v>501</v>
      </c>
      <c r="I115" s="953">
        <f>C4</f>
        <v>424.26313389388866</v>
      </c>
      <c r="J115" s="965">
        <f>$C$6</f>
        <v>11.504772374209397</v>
      </c>
      <c r="K115" s="955">
        <f t="shared" si="44"/>
        <v>23980.200853950373</v>
      </c>
      <c r="L115" s="956">
        <f t="shared" ref="L115:L148" si="57">C115*J115*1000/1000+D115/1000</f>
        <v>85896.153384615391</v>
      </c>
      <c r="M115" s="951">
        <f t="shared" ref="M115:S115" si="58">M114</f>
        <v>0.19892488097366726</v>
      </c>
      <c r="N115" s="951">
        <f t="shared" si="58"/>
        <v>0.26585903447659598</v>
      </c>
      <c r="O115" s="951">
        <f t="shared" si="58"/>
        <v>8.9228108703258049E-2</v>
      </c>
      <c r="P115" s="951">
        <f t="shared" si="58"/>
        <v>0</v>
      </c>
      <c r="Q115" s="951">
        <f t="shared" si="58"/>
        <v>0</v>
      </c>
      <c r="R115" s="951">
        <f t="shared" si="58"/>
        <v>0</v>
      </c>
      <c r="S115" s="951">
        <f t="shared" si="58"/>
        <v>0.4459879758464787</v>
      </c>
      <c r="T115" s="957">
        <f t="shared" si="45"/>
        <v>1</v>
      </c>
    </row>
    <row r="116" spans="1:20">
      <c r="A116" s="187">
        <f t="shared" si="46"/>
        <v>2018</v>
      </c>
      <c r="B116" s="1506">
        <f>INDEX(Drivers!$A$8:$AM$8,1,$A116-2011)/1000</f>
        <v>57.436</v>
      </c>
      <c r="C116" s="1506">
        <f>INDEX(Drivers!$A$16:$AM$16,1,$A116-2011)</f>
        <v>3152.24</v>
      </c>
      <c r="D116" s="1505">
        <f>INDEX(Drivers!$A$25:$AM$25,1,$A116-2011)/INDEX(Drivers!$A$25:$AM$25,1,$A116-2012)*D115</f>
        <v>48694518.38623029</v>
      </c>
      <c r="E116" s="971">
        <f>D116</f>
        <v>48694518.38623029</v>
      </c>
      <c r="F116" s="1424"/>
      <c r="G116" s="1424"/>
      <c r="H116" s="1425"/>
      <c r="I116" s="716">
        <f t="shared" ref="I116:I148" si="59">I115</f>
        <v>424.26313389388866</v>
      </c>
      <c r="J116" s="603">
        <f>$C$6</f>
        <v>11.504772374209397</v>
      </c>
      <c r="K116" s="604">
        <f t="shared" si="44"/>
        <v>24367.97735832939</v>
      </c>
      <c r="L116" s="189">
        <f t="shared" si="57"/>
        <v>84960.322055108118</v>
      </c>
      <c r="M116" s="186">
        <f t="shared" si="48"/>
        <v>0.19892488097366726</v>
      </c>
      <c r="N116" s="186">
        <f t="shared" si="49"/>
        <v>0.26585903447659598</v>
      </c>
      <c r="O116" s="186">
        <f t="shared" si="50"/>
        <v>8.9228108703258049E-2</v>
      </c>
      <c r="P116" s="186">
        <f t="shared" si="51"/>
        <v>0</v>
      </c>
      <c r="Q116" s="186">
        <f t="shared" si="52"/>
        <v>0</v>
      </c>
      <c r="R116" s="186">
        <f t="shared" si="53"/>
        <v>0</v>
      </c>
      <c r="S116" s="186">
        <f t="shared" si="54"/>
        <v>0.4459879758464787</v>
      </c>
      <c r="T116" s="602">
        <f t="shared" si="45"/>
        <v>1</v>
      </c>
    </row>
    <row r="117" spans="1:20">
      <c r="A117" s="187">
        <f t="shared" si="46"/>
        <v>2019</v>
      </c>
      <c r="B117" s="1506">
        <f>INDEX(Drivers!$A$8:$AM$8,1,$A117-2011)/1000</f>
        <v>58.365000000000002</v>
      </c>
      <c r="C117" s="1506">
        <f>INDEX(Drivers!$A$16:$AM$16,1,$A117-2011)</f>
        <v>3179.2899999999995</v>
      </c>
      <c r="D117" s="1505">
        <f>INDEX(Drivers!$A$25:$AM$25,1,$A117-2011)/INDEX(Drivers!$A$25:$AM$25,1,$A117-2012)*D116</f>
        <v>47939972.084890619</v>
      </c>
      <c r="E117" s="971">
        <f>E116</f>
        <v>48694518.38623029</v>
      </c>
      <c r="F117" s="1426"/>
      <c r="G117" s="1426"/>
      <c r="H117" s="1427"/>
      <c r="I117" s="716">
        <f t="shared" si="59"/>
        <v>424.26313389388866</v>
      </c>
      <c r="J117" s="603">
        <f t="shared" ref="J117:J148" si="60">$C$6</f>
        <v>11.504772374209397</v>
      </c>
      <c r="K117" s="604">
        <f t="shared" si="44"/>
        <v>24762.117809716812</v>
      </c>
      <c r="L117" s="189">
        <f t="shared" si="57"/>
        <v>84516.979846490809</v>
      </c>
      <c r="M117" s="186">
        <f t="shared" si="48"/>
        <v>0.19892488097366726</v>
      </c>
      <c r="N117" s="186">
        <f t="shared" si="49"/>
        <v>0.26585903447659598</v>
      </c>
      <c r="O117" s="186">
        <f t="shared" si="50"/>
        <v>8.9228108703258049E-2</v>
      </c>
      <c r="P117" s="186">
        <f t="shared" si="51"/>
        <v>0</v>
      </c>
      <c r="Q117" s="186">
        <f t="shared" si="52"/>
        <v>0</v>
      </c>
      <c r="R117" s="186">
        <f t="shared" si="53"/>
        <v>0</v>
      </c>
      <c r="S117" s="186">
        <f t="shared" si="54"/>
        <v>0.4459879758464787</v>
      </c>
      <c r="T117" s="602">
        <f t="shared" si="45"/>
        <v>1</v>
      </c>
    </row>
    <row r="118" spans="1:20">
      <c r="A118" s="187">
        <f t="shared" si="46"/>
        <v>2020</v>
      </c>
      <c r="B118" s="1506">
        <f>INDEX(Drivers!$A$8:$AM$8,1,$A118-2011)/1000</f>
        <v>59.308999999999997</v>
      </c>
      <c r="C118" s="1506">
        <f>INDEX(Drivers!$A$16:$AM$16,1,$A118-2011)</f>
        <v>2948.9199999999987</v>
      </c>
      <c r="D118" s="1505">
        <f>INDEX(Drivers!$A$25:$AM$25,1,$A118-2011)/INDEX(Drivers!$A$25:$AM$25,1,$A118-2012)*D117</f>
        <v>45386383.927997284</v>
      </c>
      <c r="E118" s="971">
        <f t="shared" ref="E118:E148" si="61">E117</f>
        <v>48694518.38623029</v>
      </c>
      <c r="F118" s="1426"/>
      <c r="G118" s="1426"/>
      <c r="H118" s="1427"/>
      <c r="I118" s="716">
        <f t="shared" si="59"/>
        <v>424.26313389388866</v>
      </c>
      <c r="J118" s="603">
        <f t="shared" si="60"/>
        <v>11.504772374209397</v>
      </c>
      <c r="K118" s="604">
        <f t="shared" si="44"/>
        <v>25162.622208112643</v>
      </c>
      <c r="L118" s="189">
        <f t="shared" si="57"/>
        <v>79313.037277750846</v>
      </c>
      <c r="M118" s="186">
        <f t="shared" si="48"/>
        <v>0.19892488097366726</v>
      </c>
      <c r="N118" s="186">
        <f t="shared" si="49"/>
        <v>0.26585903447659598</v>
      </c>
      <c r="O118" s="186">
        <f t="shared" si="50"/>
        <v>8.9228108703258049E-2</v>
      </c>
      <c r="P118" s="186">
        <f t="shared" si="51"/>
        <v>0</v>
      </c>
      <c r="Q118" s="186">
        <f t="shared" si="52"/>
        <v>0</v>
      </c>
      <c r="R118" s="186">
        <f t="shared" si="53"/>
        <v>0</v>
      </c>
      <c r="S118" s="186">
        <f t="shared" si="54"/>
        <v>0.4459879758464787</v>
      </c>
      <c r="T118" s="602">
        <f t="shared" si="45"/>
        <v>1</v>
      </c>
    </row>
    <row r="119" spans="1:20">
      <c r="A119" s="187">
        <f t="shared" si="46"/>
        <v>2021</v>
      </c>
      <c r="B119" s="1506">
        <f>INDEX(Drivers!$A$8:$AM$8,1,$A119-2011)/1000</f>
        <v>59.991999999999997</v>
      </c>
      <c r="C119" s="1506">
        <f>INDEX(Drivers!$A$16:$AM$16,1,$A119-2011)</f>
        <v>3014.38</v>
      </c>
      <c r="D119" s="1505">
        <f>INDEX(Drivers!$A$25:$AM$25,1,$A119-2011)/INDEX(Drivers!$A$25:$AM$25,1,$A119-2012)*D118</f>
        <v>45579683.429913521</v>
      </c>
      <c r="E119" s="971">
        <f t="shared" si="61"/>
        <v>48694518.38623029</v>
      </c>
      <c r="F119" s="1426"/>
      <c r="G119" s="1426"/>
      <c r="H119" s="1427"/>
      <c r="I119" s="716">
        <f t="shared" si="59"/>
        <v>424.26313389388866</v>
      </c>
      <c r="J119" s="603">
        <f t="shared" si="60"/>
        <v>11.504772374209397</v>
      </c>
      <c r="K119" s="604">
        <f t="shared" si="44"/>
        <v>25452.393928562167</v>
      </c>
      <c r="L119" s="189">
        <f t="shared" si="57"/>
        <v>80259.439179282839</v>
      </c>
      <c r="M119" s="186">
        <f t="shared" si="48"/>
        <v>0.19892488097366726</v>
      </c>
      <c r="N119" s="186">
        <f t="shared" si="49"/>
        <v>0.26585903447659598</v>
      </c>
      <c r="O119" s="186">
        <f t="shared" si="50"/>
        <v>8.9228108703258049E-2</v>
      </c>
      <c r="P119" s="186">
        <f t="shared" si="51"/>
        <v>0</v>
      </c>
      <c r="Q119" s="186">
        <f t="shared" si="52"/>
        <v>0</v>
      </c>
      <c r="R119" s="186">
        <f t="shared" si="53"/>
        <v>0</v>
      </c>
      <c r="S119" s="186">
        <f t="shared" si="54"/>
        <v>0.4459879758464787</v>
      </c>
      <c r="T119" s="602">
        <f t="shared" si="45"/>
        <v>1</v>
      </c>
    </row>
    <row r="120" spans="1:20">
      <c r="A120" s="187">
        <f t="shared" si="46"/>
        <v>2022</v>
      </c>
      <c r="B120" s="1506">
        <f>INDEX(Drivers!$A$8:$AM$8,1,$A120-2011)/1000</f>
        <v>60.682000000000002</v>
      </c>
      <c r="C120" s="1506">
        <f>INDEX(Drivers!$A$16:$AM$16,1,$A120-2011)</f>
        <v>3077.2</v>
      </c>
      <c r="D120" s="1505">
        <f>INDEX(Drivers!$A$25:$AM$25,1,$A120-2011)/INDEX(Drivers!$A$25:$AM$25,1,$A120-2012)*D119</f>
        <v>45460990.75329829</v>
      </c>
      <c r="E120" s="971">
        <f t="shared" si="61"/>
        <v>48694518.38623029</v>
      </c>
      <c r="F120" s="1426"/>
      <c r="G120" s="1426"/>
      <c r="H120" s="1427"/>
      <c r="I120" s="716">
        <f t="shared" si="59"/>
        <v>424.26313389388866</v>
      </c>
      <c r="J120" s="603">
        <f t="shared" si="60"/>
        <v>11.504772374209397</v>
      </c>
      <c r="K120" s="604">
        <f t="shared" si="44"/>
        <v>25745.135490948953</v>
      </c>
      <c r="L120" s="189">
        <f t="shared" si="57"/>
        <v>80863.476303215444</v>
      </c>
      <c r="M120" s="186">
        <f t="shared" si="48"/>
        <v>0.19892488097366726</v>
      </c>
      <c r="N120" s="186">
        <f t="shared" si="49"/>
        <v>0.26585903447659598</v>
      </c>
      <c r="O120" s="186">
        <f t="shared" si="50"/>
        <v>8.9228108703258049E-2</v>
      </c>
      <c r="P120" s="186">
        <f t="shared" si="51"/>
        <v>0</v>
      </c>
      <c r="Q120" s="186">
        <f t="shared" si="52"/>
        <v>0</v>
      </c>
      <c r="R120" s="186">
        <f t="shared" si="53"/>
        <v>0</v>
      </c>
      <c r="S120" s="186">
        <f t="shared" si="54"/>
        <v>0.4459879758464787</v>
      </c>
      <c r="T120" s="602">
        <f t="shared" si="45"/>
        <v>1</v>
      </c>
    </row>
    <row r="121" spans="1:20">
      <c r="A121" s="187">
        <f t="shared" si="46"/>
        <v>2023</v>
      </c>
      <c r="B121" s="1506">
        <f>INDEX(Drivers!$A$8:$AM$8,1,$A121-2011)/1000</f>
        <v>61.381</v>
      </c>
      <c r="C121" s="1506">
        <f>INDEX(Drivers!$A$16:$AM$16,1,$A121-2011)</f>
        <v>3140.61</v>
      </c>
      <c r="D121" s="1505">
        <f>INDEX(Drivers!$A$25:$AM$25,1,$A121-2011)/INDEX(Drivers!$A$25:$AM$25,1,$A121-2012)*D120</f>
        <v>45566118.552586071</v>
      </c>
      <c r="E121" s="971">
        <f t="shared" si="61"/>
        <v>48694518.38623029</v>
      </c>
      <c r="F121" s="1426"/>
      <c r="G121" s="1426"/>
      <c r="H121" s="1427"/>
      <c r="I121" s="716">
        <f t="shared" si="59"/>
        <v>424.26313389388866</v>
      </c>
      <c r="J121" s="603">
        <f t="shared" si="60"/>
        <v>11.504772374209397</v>
      </c>
      <c r="K121" s="604">
        <f t="shared" si="44"/>
        <v>26041.695421540779</v>
      </c>
      <c r="L121" s="189">
        <f t="shared" si="57"/>
        <v>81698.121718751849</v>
      </c>
      <c r="M121" s="186">
        <f t="shared" si="48"/>
        <v>0.19892488097366726</v>
      </c>
      <c r="N121" s="186">
        <f t="shared" si="49"/>
        <v>0.26585903447659598</v>
      </c>
      <c r="O121" s="186">
        <f t="shared" si="50"/>
        <v>8.9228108703258049E-2</v>
      </c>
      <c r="P121" s="186">
        <f t="shared" si="51"/>
        <v>0</v>
      </c>
      <c r="Q121" s="186">
        <f t="shared" si="52"/>
        <v>0</v>
      </c>
      <c r="R121" s="186">
        <f t="shared" si="53"/>
        <v>0</v>
      </c>
      <c r="S121" s="186">
        <f t="shared" si="54"/>
        <v>0.4459879758464787</v>
      </c>
      <c r="T121" s="602">
        <f t="shared" si="45"/>
        <v>1</v>
      </c>
    </row>
    <row r="122" spans="1:20">
      <c r="A122" s="187">
        <f t="shared" si="46"/>
        <v>2024</v>
      </c>
      <c r="B122" s="1506">
        <f>INDEX(Drivers!$A$8:$AM$8,1,$A122-2011)/1000</f>
        <v>62.088000000000001</v>
      </c>
      <c r="C122" s="1506">
        <f>INDEX(Drivers!$A$16:$AM$16,1,$A122-2011)</f>
        <v>3201.77</v>
      </c>
      <c r="D122" s="1505">
        <f>INDEX(Drivers!$A$25:$AM$25,1,$A122-2011)/INDEX(Drivers!$A$25:$AM$25,1,$A122-2012)*D121</f>
        <v>45550858.065592684</v>
      </c>
      <c r="E122" s="971">
        <f t="shared" si="61"/>
        <v>48694518.38623029</v>
      </c>
      <c r="F122" s="1426"/>
      <c r="G122" s="1426"/>
      <c r="H122" s="1427"/>
      <c r="I122" s="716">
        <f t="shared" si="59"/>
        <v>424.26313389388866</v>
      </c>
      <c r="J122" s="603">
        <f t="shared" si="60"/>
        <v>11.504772374209397</v>
      </c>
      <c r="K122" s="604">
        <f t="shared" si="44"/>
        <v>26341.649457203759</v>
      </c>
      <c r="L122" s="189">
        <f t="shared" si="57"/>
        <v>82386.493110165116</v>
      </c>
      <c r="M122" s="186">
        <f t="shared" si="48"/>
        <v>0.19892488097366726</v>
      </c>
      <c r="N122" s="186">
        <f t="shared" si="49"/>
        <v>0.26585903447659598</v>
      </c>
      <c r="O122" s="186">
        <f t="shared" si="50"/>
        <v>8.9228108703258049E-2</v>
      </c>
      <c r="P122" s="186">
        <f t="shared" si="51"/>
        <v>0</v>
      </c>
      <c r="Q122" s="186">
        <f t="shared" si="52"/>
        <v>0</v>
      </c>
      <c r="R122" s="186">
        <f t="shared" si="53"/>
        <v>0</v>
      </c>
      <c r="S122" s="186">
        <f t="shared" si="54"/>
        <v>0.4459879758464787</v>
      </c>
      <c r="T122" s="602">
        <f t="shared" si="45"/>
        <v>1</v>
      </c>
    </row>
    <row r="123" spans="1:20">
      <c r="A123" s="187">
        <f t="shared" si="46"/>
        <v>2025</v>
      </c>
      <c r="B123" s="1506">
        <f>INDEX(Drivers!$A$8:$AM$8,1,$A123-2011)/1000</f>
        <v>62.802999999999997</v>
      </c>
      <c r="C123" s="1506">
        <f>INDEX(Drivers!$A$16:$AM$16,1,$A123-2011)</f>
        <v>3265.54</v>
      </c>
      <c r="D123" s="1505">
        <f>INDEX(Drivers!$A$25:$AM$25,1,$A123-2011)/INDEX(Drivers!$A$25:$AM$25,1,$A123-2012)*D122</f>
        <v>46410532.166220129</v>
      </c>
      <c r="E123" s="971">
        <f t="shared" si="61"/>
        <v>48694518.38623029</v>
      </c>
      <c r="F123" s="1426"/>
      <c r="G123" s="1426"/>
      <c r="H123" s="1427"/>
      <c r="I123" s="716">
        <f t="shared" si="59"/>
        <v>424.26313389388866</v>
      </c>
      <c r="J123" s="603">
        <f t="shared" si="60"/>
        <v>11.504772374209397</v>
      </c>
      <c r="K123" s="604">
        <f t="shared" si="44"/>
        <v>26644.997597937887</v>
      </c>
      <c r="L123" s="189">
        <f t="shared" si="57"/>
        <v>83979.826545095886</v>
      </c>
      <c r="M123" s="186">
        <f t="shared" si="48"/>
        <v>0.19892488097366726</v>
      </c>
      <c r="N123" s="186">
        <f t="shared" si="49"/>
        <v>0.26585903447659598</v>
      </c>
      <c r="O123" s="186">
        <f t="shared" si="50"/>
        <v>8.9228108703258049E-2</v>
      </c>
      <c r="P123" s="186">
        <f t="shared" si="51"/>
        <v>0</v>
      </c>
      <c r="Q123" s="186">
        <f t="shared" si="52"/>
        <v>0</v>
      </c>
      <c r="R123" s="186">
        <f t="shared" si="53"/>
        <v>0</v>
      </c>
      <c r="S123" s="186">
        <f t="shared" si="54"/>
        <v>0.4459879758464787</v>
      </c>
      <c r="T123" s="602">
        <f t="shared" si="45"/>
        <v>1</v>
      </c>
    </row>
    <row r="124" spans="1:20">
      <c r="A124" s="187">
        <f t="shared" si="46"/>
        <v>2026</v>
      </c>
      <c r="B124" s="1506">
        <f>INDEX(Drivers!$A$8:$AM$8,1,$A124-2011)/1000</f>
        <v>63.420999999999999</v>
      </c>
      <c r="C124" s="1506">
        <f>INDEX(Drivers!$A$16:$AM$16,1,$A124-2011)</f>
        <v>3341.28</v>
      </c>
      <c r="D124" s="1505">
        <f>INDEX(Drivers!$A$25:$AM$25,1,$A124-2011)/INDEX(Drivers!$A$25:$AM$25,1,$A124-2012)*D123</f>
        <v>46524138.013837561</v>
      </c>
      <c r="E124" s="971">
        <f t="shared" si="61"/>
        <v>48694518.38623029</v>
      </c>
      <c r="F124" s="1426"/>
      <c r="G124" s="1426"/>
      <c r="H124" s="1427"/>
      <c r="I124" s="716">
        <f t="shared" si="59"/>
        <v>424.26313389388866</v>
      </c>
      <c r="J124" s="603">
        <f t="shared" si="60"/>
        <v>11.504772374209397</v>
      </c>
      <c r="K124" s="604">
        <f t="shared" si="44"/>
        <v>26907.192214684314</v>
      </c>
      <c r="L124" s="189">
        <f t="shared" si="57"/>
        <v>84964.803852335928</v>
      </c>
      <c r="M124" s="186">
        <f t="shared" si="48"/>
        <v>0.19892488097366726</v>
      </c>
      <c r="N124" s="186">
        <f t="shared" si="49"/>
        <v>0.26585903447659598</v>
      </c>
      <c r="O124" s="186">
        <f t="shared" si="50"/>
        <v>8.9228108703258049E-2</v>
      </c>
      <c r="P124" s="186">
        <f t="shared" si="51"/>
        <v>0</v>
      </c>
      <c r="Q124" s="186">
        <f t="shared" si="52"/>
        <v>0</v>
      </c>
      <c r="R124" s="186">
        <f t="shared" si="53"/>
        <v>0</v>
      </c>
      <c r="S124" s="186">
        <f t="shared" si="54"/>
        <v>0.4459879758464787</v>
      </c>
      <c r="T124" s="602">
        <f t="shared" si="45"/>
        <v>1</v>
      </c>
    </row>
    <row r="125" spans="1:20">
      <c r="A125" s="187">
        <f t="shared" si="46"/>
        <v>2027</v>
      </c>
      <c r="B125" s="1506">
        <f>INDEX(Drivers!$A$8:$AM$8,1,$A125-2011)/1000</f>
        <v>64.046000000000006</v>
      </c>
      <c r="C125" s="1506">
        <f>INDEX(Drivers!$A$16:$AM$16,1,$A125-2011)</f>
        <v>3416.2799999999997</v>
      </c>
      <c r="D125" s="1505">
        <f>INDEX(Drivers!$A$25:$AM$25,1,$A125-2011)/INDEX(Drivers!$A$25:$AM$25,1,$A125-2012)*D124</f>
        <v>46636048.251789063</v>
      </c>
      <c r="E125" s="971">
        <f t="shared" si="61"/>
        <v>48694518.38623029</v>
      </c>
      <c r="F125" s="1426"/>
      <c r="G125" s="1426"/>
      <c r="H125" s="1427"/>
      <c r="I125" s="716">
        <f t="shared" si="59"/>
        <v>424.26313389388866</v>
      </c>
      <c r="J125" s="603">
        <f t="shared" si="60"/>
        <v>11.504772374209397</v>
      </c>
      <c r="K125" s="604">
        <f t="shared" si="44"/>
        <v>27172.356673367995</v>
      </c>
      <c r="L125" s="189">
        <f t="shared" si="57"/>
        <v>85939.572018353138</v>
      </c>
      <c r="M125" s="186">
        <f t="shared" si="48"/>
        <v>0.19892488097366726</v>
      </c>
      <c r="N125" s="186">
        <f t="shared" si="49"/>
        <v>0.26585903447659598</v>
      </c>
      <c r="O125" s="186">
        <f t="shared" si="50"/>
        <v>8.9228108703258049E-2</v>
      </c>
      <c r="P125" s="186">
        <f t="shared" si="51"/>
        <v>0</v>
      </c>
      <c r="Q125" s="186">
        <f t="shared" si="52"/>
        <v>0</v>
      </c>
      <c r="R125" s="186">
        <f t="shared" si="53"/>
        <v>0</v>
      </c>
      <c r="S125" s="186">
        <f t="shared" si="54"/>
        <v>0.4459879758464787</v>
      </c>
      <c r="T125" s="602">
        <f t="shared" si="45"/>
        <v>1</v>
      </c>
    </row>
    <row r="126" spans="1:20">
      <c r="A126" s="187">
        <f t="shared" ref="A126:A148" si="62">A125+1</f>
        <v>2028</v>
      </c>
      <c r="B126" s="1506">
        <f>INDEX(Drivers!$A$8:$AM$8,1,$A126-2011)/1000</f>
        <v>64.676000000000002</v>
      </c>
      <c r="C126" s="1506">
        <f>INDEX(Drivers!$A$16:$AM$16,1,$A126-2011)</f>
        <v>3494.8800000000006</v>
      </c>
      <c r="D126" s="1505">
        <f>INDEX(Drivers!$A$25:$AM$25,1,$A126-2011)/INDEX(Drivers!$A$25:$AM$25,1,$A126-2012)*D125</f>
        <v>46747958.489740558</v>
      </c>
      <c r="E126" s="971">
        <f t="shared" si="61"/>
        <v>48694518.38623029</v>
      </c>
      <c r="F126" s="1426"/>
      <c r="G126" s="1426"/>
      <c r="H126" s="1427"/>
      <c r="I126" s="716">
        <f t="shared" si="59"/>
        <v>424.26313389388866</v>
      </c>
      <c r="J126" s="603">
        <f t="shared" si="60"/>
        <v>11.504772374209397</v>
      </c>
      <c r="K126" s="604">
        <f t="shared" si="44"/>
        <v>27439.642447721144</v>
      </c>
      <c r="L126" s="189">
        <f t="shared" si="57"/>
        <v>86955.757364917503</v>
      </c>
      <c r="M126" s="186">
        <f t="shared" si="48"/>
        <v>0.19892488097366726</v>
      </c>
      <c r="N126" s="186">
        <f t="shared" si="49"/>
        <v>0.26585903447659598</v>
      </c>
      <c r="O126" s="186">
        <f t="shared" si="50"/>
        <v>8.9228108703258049E-2</v>
      </c>
      <c r="P126" s="186">
        <f t="shared" si="51"/>
        <v>0</v>
      </c>
      <c r="Q126" s="186">
        <f t="shared" si="52"/>
        <v>0</v>
      </c>
      <c r="R126" s="186">
        <f t="shared" si="53"/>
        <v>0</v>
      </c>
      <c r="S126" s="186">
        <f t="shared" si="54"/>
        <v>0.4459879758464787</v>
      </c>
      <c r="T126" s="602">
        <f t="shared" si="45"/>
        <v>1</v>
      </c>
    </row>
    <row r="127" spans="1:20">
      <c r="A127" s="187">
        <f t="shared" si="62"/>
        <v>2029</v>
      </c>
      <c r="B127" s="1506">
        <f>INDEX(Drivers!$A$8:$AM$8,1,$A127-2011)/1000</f>
        <v>65.313000000000002</v>
      </c>
      <c r="C127" s="1506">
        <f>INDEX(Drivers!$A$16:$AM$16,1,$A127-2011)</f>
        <v>3576.08</v>
      </c>
      <c r="D127" s="1505">
        <f>INDEX(Drivers!$A$25:$AM$25,1,$A127-2011)/INDEX(Drivers!$A$25:$AM$25,1,$A127-2012)*D126</f>
        <v>46861564.337357998</v>
      </c>
      <c r="E127" s="971">
        <f t="shared" si="61"/>
        <v>48694518.38623029</v>
      </c>
      <c r="F127" s="1426"/>
      <c r="G127" s="1426"/>
      <c r="H127" s="1427"/>
      <c r="I127" s="716">
        <f t="shared" si="59"/>
        <v>424.26313389388866</v>
      </c>
      <c r="J127" s="603">
        <f t="shared" si="60"/>
        <v>11.504772374209397</v>
      </c>
      <c r="K127" s="604">
        <f t="shared" si="44"/>
        <v>27709.898064011551</v>
      </c>
      <c r="L127" s="189">
        <f t="shared" si="57"/>
        <v>88003.550729320734</v>
      </c>
      <c r="M127" s="186">
        <f t="shared" si="48"/>
        <v>0.19892488097366726</v>
      </c>
      <c r="N127" s="186">
        <f t="shared" si="49"/>
        <v>0.26585903447659598</v>
      </c>
      <c r="O127" s="186">
        <f t="shared" si="50"/>
        <v>8.9228108703258049E-2</v>
      </c>
      <c r="P127" s="186">
        <f t="shared" si="51"/>
        <v>0</v>
      </c>
      <c r="Q127" s="186">
        <f t="shared" si="52"/>
        <v>0</v>
      </c>
      <c r="R127" s="186">
        <f t="shared" si="53"/>
        <v>0</v>
      </c>
      <c r="S127" s="186">
        <f t="shared" si="54"/>
        <v>0.4459879758464787</v>
      </c>
      <c r="T127" s="602">
        <f t="shared" si="45"/>
        <v>1</v>
      </c>
    </row>
    <row r="128" spans="1:20">
      <c r="A128" s="187">
        <f t="shared" si="62"/>
        <v>2030</v>
      </c>
      <c r="B128" s="1506">
        <f>INDEX(Drivers!$A$8:$AM$8,1,$A128-2011)/1000</f>
        <v>65.956000000000003</v>
      </c>
      <c r="C128" s="1506">
        <f>INDEX(Drivers!$A$16:$AM$16,1,$A128-2011)</f>
        <v>3660.12</v>
      </c>
      <c r="D128" s="1505">
        <f>INDEX(Drivers!$A$25:$AM$25,1,$A128-2011)/INDEX(Drivers!$A$25:$AM$25,1,$A128-2012)*D127</f>
        <v>46973474.5753095</v>
      </c>
      <c r="E128" s="971">
        <f t="shared" si="61"/>
        <v>48694518.38623029</v>
      </c>
      <c r="F128" s="1426"/>
      <c r="G128" s="1426"/>
      <c r="H128" s="1427"/>
      <c r="I128" s="716">
        <f t="shared" si="59"/>
        <v>424.26313389388866</v>
      </c>
      <c r="J128" s="603">
        <f t="shared" si="60"/>
        <v>11.504772374209397</v>
      </c>
      <c r="K128" s="604">
        <f t="shared" si="44"/>
        <v>27982.69925910532</v>
      </c>
      <c r="L128" s="189">
        <f t="shared" si="57"/>
        <v>89082.322037600796</v>
      </c>
      <c r="M128" s="186">
        <f t="shared" si="48"/>
        <v>0.19892488097366726</v>
      </c>
      <c r="N128" s="186">
        <f t="shared" si="49"/>
        <v>0.26585903447659598</v>
      </c>
      <c r="O128" s="186">
        <f t="shared" si="50"/>
        <v>8.9228108703258049E-2</v>
      </c>
      <c r="P128" s="186">
        <f t="shared" si="51"/>
        <v>0</v>
      </c>
      <c r="Q128" s="186">
        <f t="shared" si="52"/>
        <v>0</v>
      </c>
      <c r="R128" s="186">
        <f t="shared" si="53"/>
        <v>0</v>
      </c>
      <c r="S128" s="186">
        <f t="shared" si="54"/>
        <v>0.4459879758464787</v>
      </c>
      <c r="T128" s="602">
        <f t="shared" si="45"/>
        <v>1</v>
      </c>
    </row>
    <row r="129" spans="1:20">
      <c r="A129" s="187">
        <f t="shared" si="62"/>
        <v>2031</v>
      </c>
      <c r="B129" s="1506">
        <f>INDEX(Drivers!$A$8:$AM$8,1,$A129-2011)/1000</f>
        <v>66.519000000000005</v>
      </c>
      <c r="C129" s="1506">
        <f>INDEX(Drivers!$A$16:$AM$16,1,$A129-2011)</f>
        <v>3761.03</v>
      </c>
      <c r="D129" s="1505">
        <f>INDEX(Drivers!$A$25:$AM$25,1,$A129-2011)/INDEX(Drivers!$A$25:$AM$25,1,$A129-2012)*D128</f>
        <v>45096434.675122961</v>
      </c>
      <c r="E129" s="971">
        <f t="shared" si="61"/>
        <v>48694518.38623029</v>
      </c>
      <c r="F129" s="1426"/>
      <c r="G129" s="1426"/>
      <c r="H129" s="1427"/>
      <c r="I129" s="716">
        <f t="shared" si="59"/>
        <v>424.26313389388866</v>
      </c>
      <c r="J129" s="603">
        <f t="shared" si="60"/>
        <v>11.504772374209397</v>
      </c>
      <c r="K129" s="604">
        <f t="shared" si="44"/>
        <v>28221.559403487583</v>
      </c>
      <c r="L129" s="189">
        <f t="shared" si="57"/>
        <v>88366.228717695732</v>
      </c>
      <c r="M129" s="186">
        <f t="shared" si="48"/>
        <v>0.19892488097366726</v>
      </c>
      <c r="N129" s="186">
        <f t="shared" si="49"/>
        <v>0.26585903447659598</v>
      </c>
      <c r="O129" s="186">
        <f t="shared" si="50"/>
        <v>8.9228108703258049E-2</v>
      </c>
      <c r="P129" s="186">
        <f t="shared" si="51"/>
        <v>0</v>
      </c>
      <c r="Q129" s="186">
        <f t="shared" si="52"/>
        <v>0</v>
      </c>
      <c r="R129" s="186">
        <f t="shared" si="53"/>
        <v>0</v>
      </c>
      <c r="S129" s="186">
        <f t="shared" si="54"/>
        <v>0.4459879758464787</v>
      </c>
      <c r="T129" s="602">
        <f t="shared" si="45"/>
        <v>1</v>
      </c>
    </row>
    <row r="130" spans="1:20">
      <c r="A130" s="187">
        <f t="shared" si="62"/>
        <v>2032</v>
      </c>
      <c r="B130" s="1506">
        <f>INDEX(Drivers!$A$8:$AM$8,1,$A130-2011)/1000</f>
        <v>67.087000000000003</v>
      </c>
      <c r="C130" s="1506">
        <f>INDEX(Drivers!$A$16:$AM$16,1,$A130-2011)</f>
        <v>3857.2</v>
      </c>
      <c r="D130" s="1505">
        <f>INDEX(Drivers!$A$25:$AM$25,1,$A130-2011)/INDEX(Drivers!$A$25:$AM$25,1,$A130-2012)*D129</f>
        <v>43216003.555604555</v>
      </c>
      <c r="E130" s="971">
        <f t="shared" si="61"/>
        <v>48694518.38623029</v>
      </c>
      <c r="F130" s="1426"/>
      <c r="G130" s="1426"/>
      <c r="H130" s="1427"/>
      <c r="I130" s="716">
        <f t="shared" si="59"/>
        <v>424.26313389388866</v>
      </c>
      <c r="J130" s="603">
        <f t="shared" si="60"/>
        <v>11.504772374209397</v>
      </c>
      <c r="K130" s="604">
        <f t="shared" si="44"/>
        <v>28462.540863539311</v>
      </c>
      <c r="L130" s="189">
        <f t="shared" si="57"/>
        <v>87592.21155740504</v>
      </c>
      <c r="M130" s="186">
        <f t="shared" si="48"/>
        <v>0.19892488097366726</v>
      </c>
      <c r="N130" s="186">
        <f t="shared" si="49"/>
        <v>0.26585903447659598</v>
      </c>
      <c r="O130" s="186">
        <f t="shared" si="50"/>
        <v>8.9228108703258049E-2</v>
      </c>
      <c r="P130" s="186">
        <f t="shared" si="51"/>
        <v>0</v>
      </c>
      <c r="Q130" s="186">
        <f t="shared" si="52"/>
        <v>0</v>
      </c>
      <c r="R130" s="186">
        <f t="shared" si="53"/>
        <v>0</v>
      </c>
      <c r="S130" s="186">
        <f t="shared" si="54"/>
        <v>0.4459879758464787</v>
      </c>
      <c r="T130" s="602">
        <f t="shared" si="45"/>
        <v>1</v>
      </c>
    </row>
    <row r="131" spans="1:20">
      <c r="A131" s="187">
        <f t="shared" si="62"/>
        <v>2033</v>
      </c>
      <c r="B131" s="1506">
        <f>INDEX(Drivers!$A$8:$AM$8,1,$A131-2011)/1000</f>
        <v>67.659000000000006</v>
      </c>
      <c r="C131" s="1506">
        <f>INDEX(Drivers!$A$16:$AM$16,1,$A131-2011)</f>
        <v>3964.01</v>
      </c>
      <c r="D131" s="1505">
        <f>INDEX(Drivers!$A$25:$AM$25,1,$A131-2011)/INDEX(Drivers!$A$25:$AM$25,1,$A131-2012)*D130</f>
        <v>41337268.045752093</v>
      </c>
      <c r="E131" s="971">
        <f t="shared" si="61"/>
        <v>48694518.38623029</v>
      </c>
      <c r="F131" s="1426"/>
      <c r="G131" s="1426"/>
      <c r="H131" s="1427"/>
      <c r="I131" s="716">
        <f t="shared" si="59"/>
        <v>424.26313389388866</v>
      </c>
      <c r="J131" s="603">
        <f t="shared" si="60"/>
        <v>11.504772374209397</v>
      </c>
      <c r="K131" s="604">
        <f t="shared" si="44"/>
        <v>28705.219376126617</v>
      </c>
      <c r="L131" s="189">
        <f t="shared" si="57"/>
        <v>86942.300784841878</v>
      </c>
      <c r="M131" s="186">
        <f t="shared" si="48"/>
        <v>0.19892488097366726</v>
      </c>
      <c r="N131" s="186">
        <f t="shared" si="49"/>
        <v>0.26585903447659598</v>
      </c>
      <c r="O131" s="186">
        <f t="shared" si="50"/>
        <v>8.9228108703258049E-2</v>
      </c>
      <c r="P131" s="186">
        <f t="shared" si="51"/>
        <v>0</v>
      </c>
      <c r="Q131" s="186">
        <f t="shared" si="52"/>
        <v>0</v>
      </c>
      <c r="R131" s="186">
        <f t="shared" si="53"/>
        <v>0</v>
      </c>
      <c r="S131" s="186">
        <f t="shared" si="54"/>
        <v>0.4459879758464787</v>
      </c>
      <c r="T131" s="602">
        <f t="shared" si="45"/>
        <v>1</v>
      </c>
    </row>
    <row r="132" spans="1:20">
      <c r="A132" s="187">
        <f t="shared" si="62"/>
        <v>2034</v>
      </c>
      <c r="B132" s="1506">
        <f>INDEX(Drivers!$A$8:$AM$8,1,$A132-2011)/1000</f>
        <v>68.236999999999995</v>
      </c>
      <c r="C132" s="1506">
        <f>INDEX(Drivers!$A$16:$AM$16,1,$A132-2011)</f>
        <v>4078.22</v>
      </c>
      <c r="D132" s="1505">
        <f>INDEX(Drivers!$A$25:$AM$25,1,$A132-2011)/INDEX(Drivers!$A$25:$AM$25,1,$A132-2012)*D131</f>
        <v>39458532.535899624</v>
      </c>
      <c r="E132" s="971">
        <f t="shared" si="61"/>
        <v>48694518.38623029</v>
      </c>
      <c r="F132" s="1426"/>
      <c r="G132" s="1426"/>
      <c r="H132" s="1427"/>
      <c r="I132" s="716">
        <f t="shared" si="59"/>
        <v>424.26313389388866</v>
      </c>
      <c r="J132" s="603">
        <f t="shared" si="60"/>
        <v>11.504772374209397</v>
      </c>
      <c r="K132" s="604">
        <f t="shared" si="44"/>
        <v>28950.443467517278</v>
      </c>
      <c r="L132" s="189">
        <f t="shared" si="57"/>
        <v>86377.525327847863</v>
      </c>
      <c r="M132" s="186">
        <f t="shared" si="48"/>
        <v>0.19892488097366726</v>
      </c>
      <c r="N132" s="186">
        <f t="shared" si="49"/>
        <v>0.26585903447659598</v>
      </c>
      <c r="O132" s="186">
        <f t="shared" si="50"/>
        <v>8.9228108703258049E-2</v>
      </c>
      <c r="P132" s="186">
        <f t="shared" si="51"/>
        <v>0</v>
      </c>
      <c r="Q132" s="186">
        <f t="shared" si="52"/>
        <v>0</v>
      </c>
      <c r="R132" s="186">
        <f t="shared" si="53"/>
        <v>0</v>
      </c>
      <c r="S132" s="186">
        <f t="shared" si="54"/>
        <v>0.4459879758464787</v>
      </c>
      <c r="T132" s="602">
        <f t="shared" si="45"/>
        <v>1</v>
      </c>
    </row>
    <row r="133" spans="1:20">
      <c r="A133" s="187">
        <f t="shared" si="62"/>
        <v>2035</v>
      </c>
      <c r="B133" s="1506">
        <f>INDEX(Drivers!$A$8:$AM$8,1,$A133-2011)/1000</f>
        <v>68.819000000000003</v>
      </c>
      <c r="C133" s="1506">
        <f>INDEX(Drivers!$A$16:$AM$16,1,$A133-2011)</f>
        <v>4200.2899999999991</v>
      </c>
      <c r="D133" s="1505">
        <f>INDEX(Drivers!$A$25:$AM$25,1,$A133-2011)/INDEX(Drivers!$A$25:$AM$25,1,$A133-2012)*D132</f>
        <v>37579797.026047163</v>
      </c>
      <c r="E133" s="971">
        <f t="shared" si="61"/>
        <v>48694518.38623029</v>
      </c>
      <c r="F133" s="1426"/>
      <c r="G133" s="1426"/>
      <c r="H133" s="1427"/>
      <c r="I133" s="716">
        <f t="shared" si="59"/>
        <v>424.26313389388866</v>
      </c>
      <c r="J133" s="603">
        <f t="shared" si="60"/>
        <v>11.504772374209397</v>
      </c>
      <c r="K133" s="604">
        <f t="shared" si="44"/>
        <v>29197.364611443525</v>
      </c>
      <c r="L133" s="189">
        <f t="shared" si="57"/>
        <v>85903.177381715141</v>
      </c>
      <c r="M133" s="186">
        <f t="shared" si="48"/>
        <v>0.19892488097366726</v>
      </c>
      <c r="N133" s="186">
        <f t="shared" si="49"/>
        <v>0.26585903447659598</v>
      </c>
      <c r="O133" s="186">
        <f t="shared" si="50"/>
        <v>8.9228108703258049E-2</v>
      </c>
      <c r="P133" s="186">
        <f t="shared" si="51"/>
        <v>0</v>
      </c>
      <c r="Q133" s="186">
        <f t="shared" si="52"/>
        <v>0</v>
      </c>
      <c r="R133" s="186">
        <f t="shared" si="53"/>
        <v>0</v>
      </c>
      <c r="S133" s="186">
        <f t="shared" si="54"/>
        <v>0.4459879758464787</v>
      </c>
      <c r="T133" s="602">
        <f t="shared" si="45"/>
        <v>1</v>
      </c>
    </row>
    <row r="134" spans="1:20">
      <c r="A134" s="187">
        <f t="shared" si="62"/>
        <v>2036</v>
      </c>
      <c r="B134" s="1506">
        <f>INDEX(Drivers!$A$8:$AM$8,1,$A134-2011)/1000</f>
        <v>69.322999999999993</v>
      </c>
      <c r="C134" s="1506">
        <f>INDEX(Drivers!$A$16:$AM$16,1,$A134-2011)</f>
        <v>4325.9699999999993</v>
      </c>
      <c r="D134" s="1505">
        <f>INDEX(Drivers!$A$25:$AM$25,1,$A134-2011)/INDEX(Drivers!$A$25:$AM$25,1,$A134-2012)*D133</f>
        <v>34222489.887502141</v>
      </c>
      <c r="E134" s="971">
        <f t="shared" si="61"/>
        <v>48694518.38623029</v>
      </c>
      <c r="F134" s="1426"/>
      <c r="G134" s="1426"/>
      <c r="H134" s="1427"/>
      <c r="I134" s="716">
        <f t="shared" si="59"/>
        <v>424.26313389388866</v>
      </c>
      <c r="J134" s="603">
        <f t="shared" si="60"/>
        <v>11.504772374209397</v>
      </c>
      <c r="K134" s="604">
        <f t="shared" si="44"/>
        <v>29411.193230926041</v>
      </c>
      <c r="L134" s="189">
        <f t="shared" si="57"/>
        <v>83991.790035160753</v>
      </c>
      <c r="M134" s="186">
        <f t="shared" si="48"/>
        <v>0.19892488097366726</v>
      </c>
      <c r="N134" s="186">
        <f t="shared" si="49"/>
        <v>0.26585903447659598</v>
      </c>
      <c r="O134" s="186">
        <f t="shared" si="50"/>
        <v>8.9228108703258049E-2</v>
      </c>
      <c r="P134" s="186">
        <f t="shared" si="51"/>
        <v>0</v>
      </c>
      <c r="Q134" s="186">
        <f t="shared" si="52"/>
        <v>0</v>
      </c>
      <c r="R134" s="186">
        <f t="shared" si="53"/>
        <v>0</v>
      </c>
      <c r="S134" s="186">
        <f t="shared" si="54"/>
        <v>0.4459879758464787</v>
      </c>
      <c r="T134" s="602">
        <f t="shared" si="45"/>
        <v>1</v>
      </c>
    </row>
    <row r="135" spans="1:20">
      <c r="A135" s="187">
        <f t="shared" si="62"/>
        <v>2037</v>
      </c>
      <c r="B135" s="1506">
        <f>INDEX(Drivers!$A$8:$AM$8,1,$A135-2011)/1000</f>
        <v>69.83</v>
      </c>
      <c r="C135" s="1506">
        <f>INDEX(Drivers!$A$16:$AM$16,1,$A135-2011)</f>
        <v>4457.0000000000018</v>
      </c>
      <c r="D135" s="1505">
        <f>INDEX(Drivers!$A$25:$AM$25,1,$A135-2011)/INDEX(Drivers!$A$25:$AM$25,1,$A135-2012)*D134</f>
        <v>30865182.748957112</v>
      </c>
      <c r="E135" s="971">
        <f t="shared" si="61"/>
        <v>48694518.38623029</v>
      </c>
      <c r="F135" s="1426"/>
      <c r="G135" s="1426"/>
      <c r="H135" s="1427"/>
      <c r="I135" s="716">
        <f t="shared" si="59"/>
        <v>424.26313389388866</v>
      </c>
      <c r="J135" s="603">
        <f t="shared" si="60"/>
        <v>11.504772374209397</v>
      </c>
      <c r="K135" s="604">
        <f t="shared" si="44"/>
        <v>29626.294639810243</v>
      </c>
      <c r="L135" s="189">
        <f t="shared" si="57"/>
        <v>82141.953220808413</v>
      </c>
      <c r="M135" s="186">
        <f t="shared" si="48"/>
        <v>0.19892488097366726</v>
      </c>
      <c r="N135" s="186">
        <f t="shared" si="49"/>
        <v>0.26585903447659598</v>
      </c>
      <c r="O135" s="186">
        <f t="shared" si="50"/>
        <v>8.9228108703258049E-2</v>
      </c>
      <c r="P135" s="186">
        <f t="shared" si="51"/>
        <v>0</v>
      </c>
      <c r="Q135" s="186">
        <f t="shared" si="52"/>
        <v>0</v>
      </c>
      <c r="R135" s="186">
        <f t="shared" si="53"/>
        <v>0</v>
      </c>
      <c r="S135" s="186">
        <f t="shared" si="54"/>
        <v>0.4459879758464787</v>
      </c>
      <c r="T135" s="602">
        <f t="shared" si="45"/>
        <v>1</v>
      </c>
    </row>
    <row r="136" spans="1:20">
      <c r="A136" s="187">
        <f t="shared" si="62"/>
        <v>2038</v>
      </c>
      <c r="B136" s="1506">
        <f>INDEX(Drivers!$A$8:$AM$8,1,$A136-2011)/1000</f>
        <v>70.341999999999999</v>
      </c>
      <c r="C136" s="1506">
        <f>INDEX(Drivers!$A$16:$AM$16,1,$A136-2011)</f>
        <v>4590.03</v>
      </c>
      <c r="D136" s="1505">
        <f>INDEX(Drivers!$A$25:$AM$25,1,$A136-2011)/INDEX(Drivers!$A$25:$AM$25,1,$A136-2012)*D135</f>
        <v>27507875.610412091</v>
      </c>
      <c r="E136" s="971">
        <f t="shared" si="61"/>
        <v>48694518.38623029</v>
      </c>
      <c r="F136" s="1426"/>
      <c r="G136" s="1426"/>
      <c r="H136" s="1427"/>
      <c r="I136" s="716">
        <f t="shared" si="59"/>
        <v>424.26313389388866</v>
      </c>
      <c r="J136" s="603">
        <f t="shared" si="60"/>
        <v>11.504772374209397</v>
      </c>
      <c r="K136" s="604">
        <f t="shared" si="44"/>
        <v>29843.517364363917</v>
      </c>
      <c r="L136" s="189">
        <f t="shared" si="57"/>
        <v>80315.125951204449</v>
      </c>
      <c r="M136" s="186">
        <f t="shared" si="48"/>
        <v>0.19892488097366726</v>
      </c>
      <c r="N136" s="186">
        <f t="shared" si="49"/>
        <v>0.26585903447659598</v>
      </c>
      <c r="O136" s="186">
        <f t="shared" si="50"/>
        <v>8.9228108703258049E-2</v>
      </c>
      <c r="P136" s="186">
        <f t="shared" si="51"/>
        <v>0</v>
      </c>
      <c r="Q136" s="186">
        <f t="shared" si="52"/>
        <v>0</v>
      </c>
      <c r="R136" s="186">
        <f t="shared" si="53"/>
        <v>0</v>
      </c>
      <c r="S136" s="186">
        <f t="shared" si="54"/>
        <v>0.4459879758464787</v>
      </c>
      <c r="T136" s="602">
        <f t="shared" si="45"/>
        <v>1</v>
      </c>
    </row>
    <row r="137" spans="1:20">
      <c r="A137" s="187">
        <f t="shared" si="62"/>
        <v>2039</v>
      </c>
      <c r="B137" s="1506">
        <f>INDEX(Drivers!$A$8:$AM$8,1,$A137-2011)/1000</f>
        <v>70.856999999999999</v>
      </c>
      <c r="C137" s="1506">
        <f>INDEX(Drivers!$A$16:$AM$16,1,$A137-2011)</f>
        <v>4728.5300000000007</v>
      </c>
      <c r="D137" s="1505">
        <f>INDEX(Drivers!$A$25:$AM$25,1,$A137-2011)/INDEX(Drivers!$A$25:$AM$25,1,$A137-2012)*D136</f>
        <v>24152264.081533</v>
      </c>
      <c r="E137" s="971">
        <f t="shared" si="61"/>
        <v>48694518.38623029</v>
      </c>
      <c r="F137" s="1426"/>
      <c r="G137" s="1426"/>
      <c r="H137" s="1427"/>
      <c r="I137" s="716">
        <f t="shared" si="59"/>
        <v>424.26313389388866</v>
      </c>
      <c r="J137" s="603">
        <f t="shared" si="60"/>
        <v>11.504772374209397</v>
      </c>
      <c r="K137" s="604">
        <f t="shared" si="44"/>
        <v>30062.01287831927</v>
      </c>
      <c r="L137" s="189">
        <f t="shared" si="57"/>
        <v>78552.925396153369</v>
      </c>
      <c r="M137" s="186">
        <f t="shared" si="48"/>
        <v>0.19892488097366726</v>
      </c>
      <c r="N137" s="186">
        <f t="shared" si="49"/>
        <v>0.26585903447659598</v>
      </c>
      <c r="O137" s="186">
        <f t="shared" si="50"/>
        <v>8.9228108703258049E-2</v>
      </c>
      <c r="P137" s="186">
        <f t="shared" si="51"/>
        <v>0</v>
      </c>
      <c r="Q137" s="186">
        <f t="shared" si="52"/>
        <v>0</v>
      </c>
      <c r="R137" s="186">
        <f t="shared" si="53"/>
        <v>0</v>
      </c>
      <c r="S137" s="186">
        <f t="shared" si="54"/>
        <v>0.4459879758464787</v>
      </c>
      <c r="T137" s="602">
        <f t="shared" si="45"/>
        <v>1</v>
      </c>
    </row>
    <row r="138" spans="1:20">
      <c r="A138" s="187">
        <f t="shared" si="62"/>
        <v>2040</v>
      </c>
      <c r="B138" s="1506">
        <f>INDEX(Drivers!$A$8:$AM$8,1,$A138-2011)/1000</f>
        <v>71.375</v>
      </c>
      <c r="C138" s="1506">
        <f>INDEX(Drivers!$A$16:$AM$16,1,$A138-2011)</f>
        <v>4875.51</v>
      </c>
      <c r="D138" s="1505">
        <f>INDEX(Drivers!$A$25:$AM$25,1,$A138-2011)/INDEX(Drivers!$A$25:$AM$25,1,$A138-2012)*D137</f>
        <v>20794956.942987975</v>
      </c>
      <c r="E138" s="971">
        <f t="shared" si="61"/>
        <v>48694518.38623029</v>
      </c>
      <c r="F138" s="1426"/>
      <c r="G138" s="1426"/>
      <c r="H138" s="1427"/>
      <c r="I138" s="716">
        <f t="shared" si="59"/>
        <v>424.26313389388866</v>
      </c>
      <c r="J138" s="603">
        <f t="shared" si="60"/>
        <v>11.504772374209397</v>
      </c>
      <c r="K138" s="604">
        <f t="shared" si="44"/>
        <v>30281.781181676302</v>
      </c>
      <c r="L138" s="189">
        <f t="shared" si="57"/>
        <v>76886.589701169636</v>
      </c>
      <c r="M138" s="186">
        <f t="shared" si="48"/>
        <v>0.19892488097366726</v>
      </c>
      <c r="N138" s="186">
        <f t="shared" si="49"/>
        <v>0.26585903447659598</v>
      </c>
      <c r="O138" s="186">
        <f t="shared" si="50"/>
        <v>8.9228108703258049E-2</v>
      </c>
      <c r="P138" s="186">
        <f t="shared" si="51"/>
        <v>0</v>
      </c>
      <c r="Q138" s="186">
        <f t="shared" si="52"/>
        <v>0</v>
      </c>
      <c r="R138" s="186">
        <f t="shared" si="53"/>
        <v>0</v>
      </c>
      <c r="S138" s="186">
        <f t="shared" si="54"/>
        <v>0.4459879758464787</v>
      </c>
      <c r="T138" s="602">
        <f t="shared" si="45"/>
        <v>1</v>
      </c>
    </row>
    <row r="139" spans="1:20">
      <c r="A139" s="187">
        <f t="shared" si="62"/>
        <v>2041</v>
      </c>
      <c r="B139" s="1506">
        <f>INDEX(Drivers!$A$8:$AM$8,1,$A139-2011)/1000</f>
        <v>71.819000000000003</v>
      </c>
      <c r="C139" s="1506">
        <f>INDEX(Drivers!$A$16:$AM$16,1,$A139-2011)</f>
        <v>5028.54</v>
      </c>
      <c r="D139" s="1505">
        <f>INDEX(Drivers!$A$25:$AM$25,1,$A139-2011)/INDEX(Drivers!$A$25:$AM$25,1,$A139-2012)*D138</f>
        <v>19523249.693539102</v>
      </c>
      <c r="E139" s="971">
        <f t="shared" si="61"/>
        <v>48694518.38623029</v>
      </c>
      <c r="F139" s="1426"/>
      <c r="G139" s="1426"/>
      <c r="H139" s="1427"/>
      <c r="I139" s="716">
        <f t="shared" si="59"/>
        <v>424.26313389388866</v>
      </c>
      <c r="J139" s="603">
        <f t="shared" si="60"/>
        <v>11.504772374209397</v>
      </c>
      <c r="K139" s="604">
        <f t="shared" si="44"/>
        <v>30470.15401312519</v>
      </c>
      <c r="L139" s="189">
        <f t="shared" si="57"/>
        <v>77375.457768146021</v>
      </c>
      <c r="M139" s="186">
        <f t="shared" si="48"/>
        <v>0.19892488097366726</v>
      </c>
      <c r="N139" s="186">
        <f t="shared" si="49"/>
        <v>0.26585903447659598</v>
      </c>
      <c r="O139" s="186">
        <f t="shared" si="50"/>
        <v>8.9228108703258049E-2</v>
      </c>
      <c r="P139" s="186">
        <f t="shared" si="51"/>
        <v>0</v>
      </c>
      <c r="Q139" s="186">
        <f t="shared" si="52"/>
        <v>0</v>
      </c>
      <c r="R139" s="186">
        <f t="shared" si="53"/>
        <v>0</v>
      </c>
      <c r="S139" s="186">
        <f t="shared" si="54"/>
        <v>0.4459879758464787</v>
      </c>
      <c r="T139" s="602">
        <f t="shared" si="45"/>
        <v>1</v>
      </c>
    </row>
    <row r="140" spans="1:20">
      <c r="A140" s="187">
        <f t="shared" si="62"/>
        <v>2042</v>
      </c>
      <c r="B140" s="1506">
        <f>INDEX(Drivers!$A$8:$AM$8,1,$A140-2011)/1000</f>
        <v>72.265000000000001</v>
      </c>
      <c r="C140" s="1506">
        <f>INDEX(Drivers!$A$16:$AM$16,1,$A140-2011)</f>
        <v>5188.1000000000004</v>
      </c>
      <c r="D140" s="1505">
        <f>INDEX(Drivers!$A$25:$AM$25,1,$A140-2011)/INDEX(Drivers!$A$25:$AM$25,1,$A140-2012)*D139</f>
        <v>18251542.444090229</v>
      </c>
      <c r="E140" s="971">
        <f t="shared" si="61"/>
        <v>48694518.38623029</v>
      </c>
      <c r="F140" s="1426"/>
      <c r="G140" s="1426"/>
      <c r="H140" s="1427"/>
      <c r="I140" s="716">
        <f t="shared" si="59"/>
        <v>424.26313389388866</v>
      </c>
      <c r="J140" s="603">
        <f t="shared" si="60"/>
        <v>11.504772374209397</v>
      </c>
      <c r="K140" s="604">
        <f t="shared" si="44"/>
        <v>30659.375370841866</v>
      </c>
      <c r="L140" s="189">
        <f t="shared" si="57"/>
        <v>77939.451998725999</v>
      </c>
      <c r="M140" s="186">
        <f t="shared" si="48"/>
        <v>0.19892488097366726</v>
      </c>
      <c r="N140" s="186">
        <f t="shared" si="49"/>
        <v>0.26585903447659598</v>
      </c>
      <c r="O140" s="186">
        <f t="shared" si="50"/>
        <v>8.9228108703258049E-2</v>
      </c>
      <c r="P140" s="186">
        <f t="shared" si="51"/>
        <v>0</v>
      </c>
      <c r="Q140" s="186">
        <f t="shared" si="52"/>
        <v>0</v>
      </c>
      <c r="R140" s="186">
        <f t="shared" si="53"/>
        <v>0</v>
      </c>
      <c r="S140" s="186">
        <f t="shared" si="54"/>
        <v>0.4459879758464787</v>
      </c>
      <c r="T140" s="602">
        <f t="shared" si="45"/>
        <v>1</v>
      </c>
    </row>
    <row r="141" spans="1:20">
      <c r="A141" s="187">
        <f t="shared" si="62"/>
        <v>2043</v>
      </c>
      <c r="B141" s="1506">
        <f>INDEX(Drivers!$A$8:$AM$8,1,$A141-2011)/1000</f>
        <v>72.713999999999999</v>
      </c>
      <c r="C141" s="1506">
        <f>INDEX(Drivers!$A$16:$AM$16,1,$A141-2011)</f>
        <v>5353.7899999999991</v>
      </c>
      <c r="D141" s="1505">
        <f>INDEX(Drivers!$A$25:$AM$25,1,$A141-2011)/INDEX(Drivers!$A$25:$AM$25,1,$A141-2012)*D140</f>
        <v>16979835.194641355</v>
      </c>
      <c r="E141" s="971">
        <f t="shared" si="61"/>
        <v>48694518.38623029</v>
      </c>
      <c r="F141" s="1426"/>
      <c r="G141" s="1426"/>
      <c r="H141" s="1427"/>
      <c r="I141" s="716">
        <f t="shared" si="59"/>
        <v>424.26313389388866</v>
      </c>
      <c r="J141" s="603">
        <f t="shared" si="60"/>
        <v>11.504772374209397</v>
      </c>
      <c r="K141" s="604">
        <f t="shared" si="44"/>
        <v>30849.869517960218</v>
      </c>
      <c r="L141" s="189">
        <f t="shared" si="57"/>
        <v>78573.970483959871</v>
      </c>
      <c r="M141" s="186">
        <f t="shared" si="48"/>
        <v>0.19892488097366726</v>
      </c>
      <c r="N141" s="186">
        <f t="shared" si="49"/>
        <v>0.26585903447659598</v>
      </c>
      <c r="O141" s="186">
        <f t="shared" si="50"/>
        <v>8.9228108703258049E-2</v>
      </c>
      <c r="P141" s="186">
        <f t="shared" si="51"/>
        <v>0</v>
      </c>
      <c r="Q141" s="186">
        <f t="shared" si="52"/>
        <v>0</v>
      </c>
      <c r="R141" s="186">
        <f t="shared" si="53"/>
        <v>0</v>
      </c>
      <c r="S141" s="186">
        <f t="shared" si="54"/>
        <v>0.4459879758464787</v>
      </c>
      <c r="T141" s="602">
        <f t="shared" si="45"/>
        <v>1</v>
      </c>
    </row>
    <row r="142" spans="1:20">
      <c r="A142" s="187">
        <f t="shared" si="62"/>
        <v>2044</v>
      </c>
      <c r="B142" s="1506">
        <f>INDEX(Drivers!$A$8:$AM$8,1,$A142-2011)/1000</f>
        <v>73.165000000000006</v>
      </c>
      <c r="C142" s="1506">
        <f>INDEX(Drivers!$A$16:$AM$16,1,$A142-2011)</f>
        <v>5526.5000000000018</v>
      </c>
      <c r="D142" s="1505">
        <f>INDEX(Drivers!$A$25:$AM$25,1,$A142-2011)/INDEX(Drivers!$A$25:$AM$25,1,$A142-2012)*D141</f>
        <v>15708127.94519248</v>
      </c>
      <c r="E142" s="971">
        <f t="shared" si="61"/>
        <v>48694518.38623029</v>
      </c>
      <c r="F142" s="1426"/>
      <c r="G142" s="1426"/>
      <c r="H142" s="1427"/>
      <c r="I142" s="716">
        <f t="shared" si="59"/>
        <v>424.26313389388866</v>
      </c>
      <c r="J142" s="603">
        <f t="shared" si="60"/>
        <v>11.504772374209397</v>
      </c>
      <c r="K142" s="604">
        <f t="shared" si="44"/>
        <v>31041.212191346367</v>
      </c>
      <c r="L142" s="189">
        <f t="shared" si="57"/>
        <v>79289.252471260741</v>
      </c>
      <c r="M142" s="186">
        <f t="shared" si="48"/>
        <v>0.19892488097366726</v>
      </c>
      <c r="N142" s="186">
        <f t="shared" si="49"/>
        <v>0.26585903447659598</v>
      </c>
      <c r="O142" s="186">
        <f t="shared" si="50"/>
        <v>8.9228108703258049E-2</v>
      </c>
      <c r="P142" s="186">
        <f t="shared" si="51"/>
        <v>0</v>
      </c>
      <c r="Q142" s="186">
        <f t="shared" si="52"/>
        <v>0</v>
      </c>
      <c r="R142" s="186">
        <f t="shared" si="53"/>
        <v>0</v>
      </c>
      <c r="S142" s="186">
        <f t="shared" si="54"/>
        <v>0.4459879758464787</v>
      </c>
      <c r="T142" s="602">
        <f t="shared" si="45"/>
        <v>1</v>
      </c>
    </row>
    <row r="143" spans="1:20">
      <c r="A143" s="187">
        <f t="shared" si="62"/>
        <v>2045</v>
      </c>
      <c r="B143" s="1506">
        <f>INDEX(Drivers!$A$8:$AM$8,1,$A143-2011)/1000</f>
        <v>73.62</v>
      </c>
      <c r="C143" s="1506">
        <f>INDEX(Drivers!$A$16:$AM$16,1,$A143-2011)</f>
        <v>5709.93</v>
      </c>
      <c r="D143" s="1505">
        <f>INDEX(Drivers!$A$25:$AM$25,1,$A143-2011)/INDEX(Drivers!$A$25:$AM$25,1,$A143-2012)*D142</f>
        <v>14436420.695743607</v>
      </c>
      <c r="E143" s="971">
        <f t="shared" si="61"/>
        <v>48694518.38623029</v>
      </c>
      <c r="F143" s="1426"/>
      <c r="G143" s="1426"/>
      <c r="H143" s="1427"/>
      <c r="I143" s="716">
        <f t="shared" si="59"/>
        <v>424.26313389388866</v>
      </c>
      <c r="J143" s="603">
        <f t="shared" si="60"/>
        <v>11.504772374209397</v>
      </c>
      <c r="K143" s="604">
        <f t="shared" si="44"/>
        <v>31234.251917268084</v>
      </c>
      <c r="L143" s="189">
        <f t="shared" si="57"/>
        <v>80127.865618413081</v>
      </c>
      <c r="M143" s="186">
        <f t="shared" si="48"/>
        <v>0.19892488097366726</v>
      </c>
      <c r="N143" s="186">
        <f t="shared" si="49"/>
        <v>0.26585903447659598</v>
      </c>
      <c r="O143" s="186">
        <f t="shared" si="50"/>
        <v>8.9228108703258049E-2</v>
      </c>
      <c r="P143" s="186">
        <f t="shared" si="51"/>
        <v>0</v>
      </c>
      <c r="Q143" s="186">
        <f t="shared" si="52"/>
        <v>0</v>
      </c>
      <c r="R143" s="186">
        <f t="shared" si="53"/>
        <v>0</v>
      </c>
      <c r="S143" s="186">
        <f t="shared" si="54"/>
        <v>0.4459879758464787</v>
      </c>
      <c r="T143" s="602">
        <f t="shared" si="45"/>
        <v>1</v>
      </c>
    </row>
    <row r="144" spans="1:20">
      <c r="A144" s="187">
        <f t="shared" si="62"/>
        <v>2046</v>
      </c>
      <c r="B144" s="1506">
        <f>INDEX(Drivers!$A$8:$AM$8,1,$A144-2011)/1000</f>
        <v>73.995000000000005</v>
      </c>
      <c r="C144" s="1506">
        <f>INDEX(Drivers!$A$16:$AM$16,1,$A144-2011)</f>
        <v>5902.43</v>
      </c>
      <c r="D144" s="1505">
        <f>INDEX(Drivers!$A$25:$AM$25,1,$A144-2011)/INDEX(Drivers!$A$25:$AM$25,1,$A144-2012)*D143</f>
        <v>13163017.836628802</v>
      </c>
      <c r="E144" s="971">
        <f t="shared" si="61"/>
        <v>48694518.38623029</v>
      </c>
      <c r="F144" s="1426"/>
      <c r="G144" s="1426"/>
      <c r="H144" s="1427"/>
      <c r="I144" s="716">
        <f t="shared" si="59"/>
        <v>424.26313389388866</v>
      </c>
      <c r="J144" s="603">
        <f t="shared" si="60"/>
        <v>11.504772374209397</v>
      </c>
      <c r="K144" s="604">
        <f t="shared" si="44"/>
        <v>31393.350592478295</v>
      </c>
      <c r="L144" s="189">
        <f t="shared" si="57"/>
        <v>81069.131441333579</v>
      </c>
      <c r="M144" s="186">
        <f t="shared" si="48"/>
        <v>0.19892488097366726</v>
      </c>
      <c r="N144" s="186">
        <f t="shared" si="49"/>
        <v>0.26585903447659598</v>
      </c>
      <c r="O144" s="186">
        <f t="shared" si="50"/>
        <v>8.9228108703258049E-2</v>
      </c>
      <c r="P144" s="186">
        <f t="shared" si="51"/>
        <v>0</v>
      </c>
      <c r="Q144" s="186">
        <f t="shared" si="52"/>
        <v>0</v>
      </c>
      <c r="R144" s="186">
        <f t="shared" si="53"/>
        <v>0</v>
      </c>
      <c r="S144" s="186">
        <f t="shared" si="54"/>
        <v>0.4459879758464787</v>
      </c>
      <c r="T144" s="602">
        <f t="shared" ref="T144:T148" si="63">SUM(M144:S144)</f>
        <v>1</v>
      </c>
    </row>
    <row r="145" spans="1:20">
      <c r="A145" s="187">
        <f t="shared" si="62"/>
        <v>2047</v>
      </c>
      <c r="B145" s="1506">
        <f>INDEX(Drivers!$A$8:$AM$8,1,$A145-2011)/1000</f>
        <v>74.373000000000005</v>
      </c>
      <c r="C145" s="1506">
        <f>INDEX(Drivers!$A$16:$AM$16,1,$A145-2011)</f>
        <v>6104.119999999999</v>
      </c>
      <c r="D145" s="1505">
        <f>INDEX(Drivers!$A$25:$AM$25,1,$A145-2011)/INDEX(Drivers!$A$25:$AM$25,1,$A145-2012)*D144</f>
        <v>11891310.587179929</v>
      </c>
      <c r="E145" s="971">
        <f t="shared" si="61"/>
        <v>48694518.38623029</v>
      </c>
      <c r="F145" s="1426"/>
      <c r="G145" s="1426"/>
      <c r="H145" s="1427"/>
      <c r="I145" s="716">
        <f t="shared" si="59"/>
        <v>424.26313389388866</v>
      </c>
      <c r="J145" s="603">
        <f t="shared" si="60"/>
        <v>11.504772374209397</v>
      </c>
      <c r="K145" s="604">
        <f t="shared" si="44"/>
        <v>31553.722057090185</v>
      </c>
      <c r="L145" s="189">
        <f t="shared" si="57"/>
        <v>82117.821732038981</v>
      </c>
      <c r="M145" s="186">
        <f t="shared" si="48"/>
        <v>0.19892488097366726</v>
      </c>
      <c r="N145" s="186">
        <f t="shared" si="49"/>
        <v>0.26585903447659598</v>
      </c>
      <c r="O145" s="186">
        <f t="shared" si="50"/>
        <v>8.9228108703258049E-2</v>
      </c>
      <c r="P145" s="186">
        <f t="shared" si="51"/>
        <v>0</v>
      </c>
      <c r="Q145" s="186">
        <f t="shared" si="52"/>
        <v>0</v>
      </c>
      <c r="R145" s="186">
        <f t="shared" si="53"/>
        <v>0</v>
      </c>
      <c r="S145" s="186">
        <f t="shared" si="54"/>
        <v>0.4459879758464787</v>
      </c>
      <c r="T145" s="602">
        <f t="shared" si="63"/>
        <v>1</v>
      </c>
    </row>
    <row r="146" spans="1:20">
      <c r="A146" s="187">
        <f t="shared" si="62"/>
        <v>2048</v>
      </c>
      <c r="B146" s="1506">
        <f>INDEX(Drivers!$A$8:$AM$8,1,$A146-2011)/1000</f>
        <v>74.753</v>
      </c>
      <c r="C146" s="1506">
        <f>INDEX(Drivers!$A$16:$AM$16,1,$A146-2011)</f>
        <v>6308.13</v>
      </c>
      <c r="D146" s="1505">
        <f>INDEX(Drivers!$A$25:$AM$25,1,$A146-2011)/INDEX(Drivers!$A$25:$AM$25,1,$A146-2012)*D145</f>
        <v>10619603.337731058</v>
      </c>
      <c r="E146" s="971">
        <f t="shared" si="61"/>
        <v>48694518.38623029</v>
      </c>
      <c r="F146" s="1426"/>
      <c r="G146" s="1426"/>
      <c r="H146" s="1427"/>
      <c r="I146" s="716">
        <f t="shared" si="59"/>
        <v>424.26313389388866</v>
      </c>
      <c r="J146" s="603">
        <f t="shared" si="60"/>
        <v>11.504772374209397</v>
      </c>
      <c r="K146" s="604">
        <f t="shared" si="44"/>
        <v>31714.94204796986</v>
      </c>
      <c r="L146" s="189">
        <f t="shared" si="57"/>
        <v>83193.203094652577</v>
      </c>
      <c r="M146" s="186">
        <f t="shared" si="48"/>
        <v>0.19892488097366726</v>
      </c>
      <c r="N146" s="186">
        <f t="shared" si="49"/>
        <v>0.26585903447659598</v>
      </c>
      <c r="O146" s="186">
        <f t="shared" si="50"/>
        <v>8.9228108703258049E-2</v>
      </c>
      <c r="P146" s="186">
        <f t="shared" si="51"/>
        <v>0</v>
      </c>
      <c r="Q146" s="186">
        <f t="shared" si="52"/>
        <v>0</v>
      </c>
      <c r="R146" s="186">
        <f t="shared" si="53"/>
        <v>0</v>
      </c>
      <c r="S146" s="186">
        <f t="shared" si="54"/>
        <v>0.4459879758464787</v>
      </c>
      <c r="T146" s="602">
        <f t="shared" si="63"/>
        <v>1</v>
      </c>
    </row>
    <row r="147" spans="1:20">
      <c r="A147" s="187">
        <f t="shared" si="62"/>
        <v>2049</v>
      </c>
      <c r="B147" s="1506">
        <f>INDEX(Drivers!$A$8:$AM$8,1,$A147-2011)/1000</f>
        <v>75.134</v>
      </c>
      <c r="C147" s="1506">
        <f>INDEX(Drivers!$A$16:$AM$16,1,$A147-2011)</f>
        <v>6522.2000000000007</v>
      </c>
      <c r="D147" s="1505">
        <f>INDEX(Drivers!$A$25:$AM$25,1,$A147-2011)/INDEX(Drivers!$A$25:$AM$25,1,$A147-2012)*D146</f>
        <v>9347896.0882821828</v>
      </c>
      <c r="E147" s="971">
        <f t="shared" si="61"/>
        <v>48694518.38623029</v>
      </c>
      <c r="F147" s="1426"/>
      <c r="G147" s="1426"/>
      <c r="H147" s="1427"/>
      <c r="I147" s="716">
        <f t="shared" si="59"/>
        <v>424.26313389388866</v>
      </c>
      <c r="J147" s="603">
        <f t="shared" si="60"/>
        <v>11.504772374209397</v>
      </c>
      <c r="K147" s="604">
        <f t="shared" si="44"/>
        <v>31876.586301983432</v>
      </c>
      <c r="L147" s="189">
        <f t="shared" si="57"/>
        <v>84384.322467350721</v>
      </c>
      <c r="M147" s="186">
        <f t="shared" si="48"/>
        <v>0.19892488097366726</v>
      </c>
      <c r="N147" s="186">
        <f t="shared" si="49"/>
        <v>0.26585903447659598</v>
      </c>
      <c r="O147" s="186">
        <f t="shared" si="50"/>
        <v>8.9228108703258049E-2</v>
      </c>
      <c r="P147" s="186">
        <f t="shared" si="51"/>
        <v>0</v>
      </c>
      <c r="Q147" s="186">
        <f t="shared" si="52"/>
        <v>0</v>
      </c>
      <c r="R147" s="186">
        <f t="shared" si="53"/>
        <v>0</v>
      </c>
      <c r="S147" s="186">
        <f t="shared" si="54"/>
        <v>0.4459879758464787</v>
      </c>
      <c r="T147" s="602">
        <f t="shared" si="63"/>
        <v>1</v>
      </c>
    </row>
    <row r="148" spans="1:20" ht="16.5" thickBot="1">
      <c r="A148" s="966">
        <f t="shared" si="62"/>
        <v>2050</v>
      </c>
      <c r="B148" s="1506">
        <f>INDEX(Drivers!$A$8:$AM$8,1,$A148-2011)/1000</f>
        <v>75.518000000000001</v>
      </c>
      <c r="C148" s="1506">
        <f>INDEX(Drivers!$A$16:$AM$16,1,$A148-2011)</f>
        <v>6747.1300000000019</v>
      </c>
      <c r="D148" s="1505">
        <f>INDEX(Drivers!$A$25:$AM$25,1,$A148-2011)/INDEX(Drivers!$A$25:$AM$25,1,$A148-2012)*D147</f>
        <v>8077884.4484992418</v>
      </c>
      <c r="E148" s="971">
        <f t="shared" si="61"/>
        <v>48694518.38623029</v>
      </c>
      <c r="F148" s="1428"/>
      <c r="G148" s="1428"/>
      <c r="H148" s="1429"/>
      <c r="I148" s="1373">
        <f t="shared" si="59"/>
        <v>424.26313389388866</v>
      </c>
      <c r="J148" s="1374">
        <f t="shared" si="60"/>
        <v>11.504772374209397</v>
      </c>
      <c r="K148" s="1375">
        <f t="shared" si="44"/>
        <v>32039.503345398683</v>
      </c>
      <c r="L148" s="1376">
        <f t="shared" si="57"/>
        <v>85702.079277698707</v>
      </c>
      <c r="M148" s="1377">
        <f t="shared" si="48"/>
        <v>0.19892488097366726</v>
      </c>
      <c r="N148" s="1377">
        <f t="shared" si="49"/>
        <v>0.26585903447659598</v>
      </c>
      <c r="O148" s="1377">
        <f t="shared" si="50"/>
        <v>8.9228108703258049E-2</v>
      </c>
      <c r="P148" s="1377">
        <f t="shared" si="51"/>
        <v>0</v>
      </c>
      <c r="Q148" s="1377">
        <f t="shared" si="52"/>
        <v>0</v>
      </c>
      <c r="R148" s="1377">
        <f t="shared" si="53"/>
        <v>0</v>
      </c>
      <c r="S148" s="1377">
        <f t="shared" si="54"/>
        <v>0.4459879758464787</v>
      </c>
      <c r="T148" s="1378">
        <f t="shared" si="63"/>
        <v>1</v>
      </c>
    </row>
    <row r="149" spans="1:20">
      <c r="A149" s="184"/>
      <c r="B149" s="184"/>
      <c r="C149" s="184"/>
      <c r="D149" s="184"/>
      <c r="E149" s="184"/>
      <c r="F149" s="184"/>
    </row>
  </sheetData>
  <mergeCells count="8">
    <mergeCell ref="M46:T46"/>
    <mergeCell ref="A46:A47"/>
    <mergeCell ref="B45:E45"/>
    <mergeCell ref="B31:F31"/>
    <mergeCell ref="G31:I31"/>
    <mergeCell ref="A31:A32"/>
    <mergeCell ref="A38:C38"/>
    <mergeCell ref="I45:L45"/>
  </mergeCells>
  <phoneticPr fontId="16" type="noConversion"/>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701E1-37AF-4CD7-8E15-EFF82CAAF62A}">
  <sheetPr codeName="Sheet5"/>
  <dimension ref="A2:XFA233"/>
  <sheetViews>
    <sheetView topLeftCell="A141" zoomScale="60" zoomScaleNormal="60" workbookViewId="0">
      <selection activeCell="G97" sqref="G97"/>
    </sheetView>
  </sheetViews>
  <sheetFormatPr defaultRowHeight="15"/>
  <cols>
    <col min="1" max="1" width="20.28515625" bestFit="1" customWidth="1"/>
    <col min="2" max="2" width="10.85546875" customWidth="1"/>
    <col min="3" max="3" width="17.28515625" customWidth="1"/>
    <col min="4" max="4" width="25.42578125" customWidth="1"/>
    <col min="5" max="6" width="18.42578125" bestFit="1" customWidth="1"/>
    <col min="7" max="7" width="17.28515625" customWidth="1"/>
    <col min="8" max="9" width="15.7109375" customWidth="1"/>
    <col min="10" max="10" width="17" style="341" customWidth="1"/>
    <col min="11" max="11" width="16.85546875" customWidth="1"/>
    <col min="12" max="12" width="13.140625" customWidth="1"/>
    <col min="13" max="13" width="18.42578125" bestFit="1" customWidth="1"/>
    <col min="14" max="14" width="15.7109375" customWidth="1"/>
    <col min="15" max="15" width="15.5703125" customWidth="1"/>
    <col min="16" max="16" width="22.7109375" customWidth="1"/>
    <col min="17" max="17" width="13.7109375" customWidth="1"/>
    <col min="18" max="18" width="20.42578125" customWidth="1"/>
    <col min="19" max="19" width="21.7109375" customWidth="1"/>
    <col min="20" max="20" width="19" customWidth="1"/>
    <col min="21" max="21" width="12.42578125" customWidth="1"/>
    <col min="24" max="24" width="10.7109375" customWidth="1"/>
    <col min="25" max="25" width="11.7109375" customWidth="1"/>
    <col min="26" max="26" width="10.7109375" customWidth="1"/>
    <col min="27" max="27" width="13.140625" customWidth="1"/>
    <col min="28" max="28" width="12.140625" customWidth="1"/>
    <col min="29" max="29" width="20.42578125" customWidth="1"/>
    <col min="30" max="30" width="10.7109375" customWidth="1"/>
    <col min="31" max="31" width="11.7109375" customWidth="1"/>
    <col min="32" max="32" width="12.28515625" customWidth="1"/>
    <col min="33" max="33" width="13.140625" customWidth="1"/>
    <col min="34" max="34" width="12.140625" customWidth="1"/>
    <col min="35" max="35" width="16.7109375" customWidth="1"/>
    <col min="36" max="37" width="14.7109375" customWidth="1"/>
    <col min="38" max="38" width="12.5703125" customWidth="1"/>
    <col min="39" max="39" width="12.7109375" customWidth="1"/>
    <col min="40" max="40" width="14.42578125" customWidth="1"/>
    <col min="41" max="41" width="18.42578125" customWidth="1"/>
    <col min="42" max="43" width="14.7109375" customWidth="1"/>
    <col min="44" max="44" width="12.5703125" customWidth="1"/>
    <col min="45" max="45" width="12.28515625" customWidth="1"/>
    <col min="47" max="47" width="16.42578125" customWidth="1"/>
    <col min="48" max="48" width="12.7109375" customWidth="1"/>
    <col min="50" max="50" width="13.42578125" customWidth="1"/>
    <col min="51" max="51" width="11.28515625" customWidth="1"/>
    <col min="52" max="52" width="12.7109375" customWidth="1"/>
    <col min="53" max="53" width="21.7109375" customWidth="1"/>
    <col min="54" max="54" width="11.42578125" customWidth="1"/>
    <col min="58" max="58" width="12.7109375" customWidth="1"/>
    <col min="59" max="59" width="20.7109375" customWidth="1"/>
    <col min="61" max="61" width="13.7109375" customWidth="1"/>
    <col min="62" max="63" width="22" customWidth="1"/>
    <col min="64" max="64" width="17.7109375" customWidth="1"/>
    <col min="65" max="66" width="20.28515625" customWidth="1"/>
    <col min="67" max="67" width="15.140625" customWidth="1"/>
    <col min="68" max="68" width="21.5703125" customWidth="1"/>
    <col min="69" max="69" width="18.5703125" customWidth="1"/>
    <col min="70" max="70" width="15.85546875" customWidth="1"/>
    <col min="71" max="71" width="13.7109375" customWidth="1"/>
    <col min="72" max="72" width="20.28515625" customWidth="1"/>
    <col min="73" max="73" width="12.85546875" customWidth="1"/>
    <col min="74" max="74" width="16" customWidth="1"/>
    <col min="75" max="75" width="17.42578125" customWidth="1"/>
    <col min="76" max="76" width="12.85546875" customWidth="1"/>
    <col min="77" max="77" width="16" customWidth="1"/>
    <col min="78" max="78" width="19.7109375" customWidth="1"/>
    <col min="80" max="81" width="16.7109375" customWidth="1"/>
    <col min="82" max="82" width="15.5703125" customWidth="1"/>
    <col min="83" max="83" width="18.42578125" customWidth="1"/>
    <col min="84" max="84" width="14.7109375" customWidth="1"/>
    <col min="85" max="85" width="15.7109375" customWidth="1"/>
    <col min="86" max="86" width="14.28515625" customWidth="1"/>
    <col min="87" max="87" width="18" customWidth="1"/>
    <col min="88" max="88" width="12.85546875" customWidth="1"/>
    <col min="89" max="89" width="20.28515625" customWidth="1"/>
    <col min="90" max="90" width="14.5703125" customWidth="1"/>
    <col min="91" max="91" width="18" customWidth="1"/>
  </cols>
  <sheetData>
    <row r="2" spans="1:16381" ht="15.75" thickBot="1">
      <c r="B2" t="s">
        <v>188</v>
      </c>
      <c r="C2" t="s">
        <v>191</v>
      </c>
    </row>
    <row r="3" spans="1:16381" ht="27" thickBot="1">
      <c r="A3" t="s">
        <v>596</v>
      </c>
      <c r="B3">
        <v>21</v>
      </c>
      <c r="C3">
        <v>310</v>
      </c>
      <c r="W3" s="1525" t="s">
        <v>788</v>
      </c>
      <c r="X3" s="1526"/>
      <c r="Y3" s="1526"/>
      <c r="Z3" s="1526"/>
      <c r="AA3" s="1526"/>
      <c r="AB3" s="1526"/>
      <c r="AC3" s="1526"/>
      <c r="AD3" s="1527"/>
      <c r="AE3" t="s">
        <v>786</v>
      </c>
    </row>
    <row r="4" spans="1:16381" ht="15.75" thickBot="1"/>
    <row r="5" spans="1:16381" ht="16.149999999999999" customHeight="1" thickBot="1">
      <c r="C5" s="1528" t="s">
        <v>294</v>
      </c>
      <c r="D5" s="1529"/>
      <c r="E5" s="1529"/>
      <c r="F5" s="1529"/>
      <c r="G5" s="1529"/>
      <c r="H5" s="1529"/>
      <c r="I5" s="1529"/>
      <c r="J5" s="1529"/>
      <c r="K5" s="1530"/>
      <c r="L5" s="1558" t="s">
        <v>593</v>
      </c>
      <c r="M5" s="1559"/>
      <c r="N5" s="1559"/>
      <c r="O5" s="1559"/>
      <c r="P5" s="1560"/>
      <c r="Q5" s="1564" t="s">
        <v>595</v>
      </c>
      <c r="R5" s="1565"/>
      <c r="S5" s="1565"/>
      <c r="T5" s="1565"/>
      <c r="U5" s="1566"/>
      <c r="W5" s="934"/>
      <c r="X5" s="1533" t="s">
        <v>748</v>
      </c>
      <c r="Y5" s="1534"/>
      <c r="Z5" s="1534"/>
      <c r="AA5" s="1534"/>
      <c r="AB5" s="1535"/>
      <c r="AC5" s="115"/>
      <c r="AD5" s="1533" t="s">
        <v>743</v>
      </c>
      <c r="AE5" s="1534"/>
      <c r="AF5" s="1534"/>
      <c r="AG5" s="1534"/>
      <c r="AH5" s="1535"/>
      <c r="AI5" s="115"/>
      <c r="AJ5" s="1533" t="s">
        <v>753</v>
      </c>
      <c r="AK5" s="1534"/>
      <c r="AL5" s="1534"/>
      <c r="AM5" s="1534"/>
      <c r="AN5" s="1535"/>
      <c r="AO5" s="115"/>
      <c r="AP5" s="1533" t="s">
        <v>760</v>
      </c>
      <c r="AQ5" s="1534"/>
      <c r="AR5" s="1534"/>
      <c r="AS5" s="1534"/>
      <c r="AT5" s="1535"/>
      <c r="AU5" s="115"/>
      <c r="AV5" s="1533" t="s">
        <v>776</v>
      </c>
      <c r="AW5" s="1534"/>
      <c r="AX5" s="1534"/>
      <c r="AY5" s="1534"/>
      <c r="AZ5" s="1535"/>
      <c r="BA5" s="115"/>
      <c r="BB5" s="1533" t="s">
        <v>769</v>
      </c>
      <c r="BC5" s="1534"/>
      <c r="BD5" s="1534"/>
      <c r="BE5" s="1534"/>
      <c r="BF5" s="1535"/>
      <c r="BH5" s="1569" t="s">
        <v>217</v>
      </c>
      <c r="BI5" s="1549" t="s">
        <v>737</v>
      </c>
      <c r="BJ5" s="1550"/>
      <c r="BK5" s="1550"/>
      <c r="BL5" s="1549" t="s">
        <v>740</v>
      </c>
      <c r="BM5" s="1550"/>
      <c r="BN5" s="1551"/>
      <c r="BO5" s="1549" t="s">
        <v>754</v>
      </c>
      <c r="BP5" s="1550"/>
      <c r="BQ5" s="1550"/>
      <c r="BR5" s="1549" t="s">
        <v>761</v>
      </c>
      <c r="BS5" s="1550"/>
      <c r="BT5" s="1551"/>
      <c r="BU5" s="1549" t="s">
        <v>777</v>
      </c>
      <c r="BV5" s="1550"/>
      <c r="BW5" s="1551"/>
      <c r="BX5" s="1549" t="s">
        <v>770</v>
      </c>
      <c r="BY5" s="1550"/>
      <c r="BZ5" s="1551"/>
      <c r="CB5" s="1549" t="s">
        <v>785</v>
      </c>
      <c r="CC5" s="1550"/>
      <c r="CD5" s="1549" t="s">
        <v>785</v>
      </c>
      <c r="CE5" s="1550"/>
      <c r="CF5" s="1549" t="s">
        <v>785</v>
      </c>
      <c r="CG5" s="1550"/>
      <c r="CH5" s="1549" t="s">
        <v>785</v>
      </c>
      <c r="CI5" s="1550"/>
      <c r="CJ5" s="1549" t="s">
        <v>785</v>
      </c>
      <c r="CK5" s="1550"/>
      <c r="CL5" s="1549" t="s">
        <v>785</v>
      </c>
      <c r="CM5" s="1550"/>
    </row>
    <row r="6" spans="1:16381" ht="16.149999999999999" customHeight="1" thickBot="1">
      <c r="A6" s="1536" t="s">
        <v>217</v>
      </c>
      <c r="B6" s="1544" t="s">
        <v>292</v>
      </c>
      <c r="C6" s="330" t="s">
        <v>187</v>
      </c>
      <c r="D6" s="1546" t="s">
        <v>194</v>
      </c>
      <c r="E6" s="1547"/>
      <c r="F6" s="1548"/>
      <c r="G6" s="1546" t="s">
        <v>189</v>
      </c>
      <c r="H6" s="1547"/>
      <c r="I6" s="1548"/>
      <c r="J6" s="1546" t="s">
        <v>192</v>
      </c>
      <c r="K6" s="1548"/>
      <c r="L6" s="638" t="s">
        <v>187</v>
      </c>
      <c r="M6" s="1567" t="s">
        <v>194</v>
      </c>
      <c r="N6" s="1568"/>
      <c r="O6" s="636" t="s">
        <v>189</v>
      </c>
      <c r="P6" s="641" t="s">
        <v>591</v>
      </c>
      <c r="Q6" s="640" t="s">
        <v>187</v>
      </c>
      <c r="R6" s="643" t="s">
        <v>194</v>
      </c>
      <c r="S6" s="643" t="s">
        <v>590</v>
      </c>
      <c r="T6" s="643" t="s">
        <v>594</v>
      </c>
      <c r="U6" s="644">
        <v>4</v>
      </c>
      <c r="W6" s="1531" t="s">
        <v>217</v>
      </c>
      <c r="X6" s="1453" t="s">
        <v>187</v>
      </c>
      <c r="Y6" s="1454" t="s">
        <v>194</v>
      </c>
      <c r="Z6" s="1454" t="s">
        <v>590</v>
      </c>
      <c r="AA6" s="1454" t="s">
        <v>594</v>
      </c>
      <c r="AB6" s="1455">
        <v>4</v>
      </c>
      <c r="AC6" s="104"/>
      <c r="AD6" s="1453" t="s">
        <v>187</v>
      </c>
      <c r="AE6" s="1454" t="s">
        <v>194</v>
      </c>
      <c r="AF6" s="1454" t="s">
        <v>590</v>
      </c>
      <c r="AG6" s="1454" t="s">
        <v>594</v>
      </c>
      <c r="AH6" s="1455">
        <v>4</v>
      </c>
      <c r="AI6" s="104"/>
      <c r="AJ6" s="640" t="s">
        <v>187</v>
      </c>
      <c r="AK6" s="643" t="s">
        <v>194</v>
      </c>
      <c r="AL6" s="643" t="s">
        <v>590</v>
      </c>
      <c r="AM6" s="643" t="s">
        <v>594</v>
      </c>
      <c r="AN6" s="644">
        <v>4</v>
      </c>
      <c r="AO6" s="104"/>
      <c r="AP6" s="640" t="s">
        <v>187</v>
      </c>
      <c r="AQ6" s="643" t="s">
        <v>194</v>
      </c>
      <c r="AR6" s="643" t="s">
        <v>590</v>
      </c>
      <c r="AS6" s="643" t="s">
        <v>594</v>
      </c>
      <c r="AT6" s="644">
        <v>4</v>
      </c>
      <c r="AU6" s="104"/>
      <c r="AV6" s="640" t="s">
        <v>187</v>
      </c>
      <c r="AW6" s="643" t="s">
        <v>194</v>
      </c>
      <c r="AX6" s="643" t="s">
        <v>590</v>
      </c>
      <c r="AY6" s="643" t="s">
        <v>594</v>
      </c>
      <c r="AZ6" s="644">
        <v>4</v>
      </c>
      <c r="BA6" s="104"/>
      <c r="BB6" s="640" t="s">
        <v>187</v>
      </c>
      <c r="BC6" s="643" t="s">
        <v>194</v>
      </c>
      <c r="BD6" s="643" t="s">
        <v>590</v>
      </c>
      <c r="BE6" s="643" t="s">
        <v>594</v>
      </c>
      <c r="BF6" s="644">
        <v>4</v>
      </c>
      <c r="BH6" s="1570"/>
      <c r="BI6" s="1552"/>
      <c r="BJ6" s="1553"/>
      <c r="BK6" s="1553"/>
      <c r="BL6" s="1552"/>
      <c r="BM6" s="1553"/>
      <c r="BN6" s="1554"/>
      <c r="BO6" s="1552"/>
      <c r="BP6" s="1553"/>
      <c r="BQ6" s="1553"/>
      <c r="BR6" s="1552"/>
      <c r="BS6" s="1553"/>
      <c r="BT6" s="1554"/>
      <c r="BU6" s="1552"/>
      <c r="BV6" s="1553"/>
      <c r="BW6" s="1554"/>
      <c r="BX6" s="1552"/>
      <c r="BY6" s="1553"/>
      <c r="BZ6" s="1554"/>
      <c r="CB6" s="1572"/>
      <c r="CC6" s="1573"/>
      <c r="CD6" s="1572"/>
      <c r="CE6" s="1573"/>
      <c r="CF6" s="1572"/>
      <c r="CG6" s="1573"/>
      <c r="CH6" s="1572"/>
      <c r="CI6" s="1573"/>
      <c r="CJ6" s="1572"/>
      <c r="CK6" s="1573"/>
      <c r="CL6" s="1572"/>
      <c r="CM6" s="1573"/>
    </row>
    <row r="7" spans="1:16381" ht="90.75" thickBot="1">
      <c r="A7" s="1537"/>
      <c r="B7" s="1545"/>
      <c r="C7" s="633" t="s">
        <v>233</v>
      </c>
      <c r="D7" s="634" t="s">
        <v>234</v>
      </c>
      <c r="E7" s="1540" t="s">
        <v>176</v>
      </c>
      <c r="F7" s="1541"/>
      <c r="G7" s="1539" t="s">
        <v>284</v>
      </c>
      <c r="H7" s="1540"/>
      <c r="I7" s="1541"/>
      <c r="J7" s="1542" t="s">
        <v>193</v>
      </c>
      <c r="K7" s="1543"/>
      <c r="L7" s="639" t="s">
        <v>233</v>
      </c>
      <c r="M7" s="637" t="s">
        <v>234</v>
      </c>
      <c r="N7" s="637" t="s">
        <v>176</v>
      </c>
      <c r="O7" s="637" t="s">
        <v>284</v>
      </c>
      <c r="P7" s="642" t="s">
        <v>193</v>
      </c>
      <c r="Q7" s="640" t="s">
        <v>233</v>
      </c>
      <c r="R7" s="643" t="s">
        <v>589</v>
      </c>
      <c r="S7" s="643" t="s">
        <v>38</v>
      </c>
      <c r="T7" s="643" t="s">
        <v>193</v>
      </c>
      <c r="U7" s="644" t="s">
        <v>722</v>
      </c>
      <c r="W7" s="1532"/>
      <c r="X7" s="1459" t="s">
        <v>233</v>
      </c>
      <c r="Y7" s="1460" t="s">
        <v>589</v>
      </c>
      <c r="Z7" s="1460" t="s">
        <v>38</v>
      </c>
      <c r="AA7" s="1460" t="s">
        <v>193</v>
      </c>
      <c r="AB7" s="1461" t="s">
        <v>722</v>
      </c>
      <c r="AC7" s="1501" t="s">
        <v>787</v>
      </c>
      <c r="AD7" s="1456" t="s">
        <v>233</v>
      </c>
      <c r="AE7" s="1457" t="s">
        <v>589</v>
      </c>
      <c r="AF7" s="1457" t="s">
        <v>38</v>
      </c>
      <c r="AG7" s="1457" t="s">
        <v>193</v>
      </c>
      <c r="AH7" s="1458" t="s">
        <v>722</v>
      </c>
      <c r="AI7" s="1501" t="s">
        <v>787</v>
      </c>
      <c r="AJ7" s="640" t="s">
        <v>233</v>
      </c>
      <c r="AK7" s="643" t="s">
        <v>589</v>
      </c>
      <c r="AL7" s="643" t="s">
        <v>38</v>
      </c>
      <c r="AM7" s="643" t="s">
        <v>193</v>
      </c>
      <c r="AN7" s="644" t="s">
        <v>722</v>
      </c>
      <c r="AO7" s="1501" t="s">
        <v>787</v>
      </c>
      <c r="AP7" s="640" t="s">
        <v>233</v>
      </c>
      <c r="AQ7" s="643" t="s">
        <v>589</v>
      </c>
      <c r="AR7" s="643" t="s">
        <v>38</v>
      </c>
      <c r="AS7" s="643" t="s">
        <v>193</v>
      </c>
      <c r="AT7" s="644" t="s">
        <v>722</v>
      </c>
      <c r="AU7" s="1501" t="s">
        <v>787</v>
      </c>
      <c r="AV7" s="640" t="s">
        <v>233</v>
      </c>
      <c r="AW7" s="643" t="s">
        <v>589</v>
      </c>
      <c r="AX7" s="643" t="s">
        <v>38</v>
      </c>
      <c r="AY7" s="643" t="s">
        <v>193</v>
      </c>
      <c r="AZ7" s="644" t="s">
        <v>722</v>
      </c>
      <c r="BA7" s="1501" t="s">
        <v>787</v>
      </c>
      <c r="BB7" s="640" t="s">
        <v>233</v>
      </c>
      <c r="BC7" s="643" t="s">
        <v>589</v>
      </c>
      <c r="BD7" s="643" t="s">
        <v>38</v>
      </c>
      <c r="BE7" s="643" t="s">
        <v>193</v>
      </c>
      <c r="BF7" s="644" t="s">
        <v>722</v>
      </c>
      <c r="BG7" s="1501" t="s">
        <v>787</v>
      </c>
      <c r="BH7" s="1570"/>
      <c r="BI7" s="1379" t="s">
        <v>749</v>
      </c>
      <c r="BJ7" s="40" t="s">
        <v>750</v>
      </c>
      <c r="BK7" s="644" t="s">
        <v>751</v>
      </c>
      <c r="BL7" s="1379" t="s">
        <v>744</v>
      </c>
      <c r="BM7" s="40" t="s">
        <v>745</v>
      </c>
      <c r="BN7" s="1380" t="s">
        <v>746</v>
      </c>
      <c r="BO7" s="1379" t="s">
        <v>756</v>
      </c>
      <c r="BP7" s="40" t="s">
        <v>757</v>
      </c>
      <c r="BQ7" s="644" t="s">
        <v>758</v>
      </c>
      <c r="BR7" s="1379" t="s">
        <v>763</v>
      </c>
      <c r="BS7" s="40" t="s">
        <v>764</v>
      </c>
      <c r="BT7" s="1380" t="s">
        <v>765</v>
      </c>
      <c r="BU7" s="1379" t="s">
        <v>779</v>
      </c>
      <c r="BV7" s="40" t="s">
        <v>780</v>
      </c>
      <c r="BW7" s="644" t="s">
        <v>781</v>
      </c>
      <c r="BX7" s="1379" t="s">
        <v>772</v>
      </c>
      <c r="BY7" s="40" t="s">
        <v>773</v>
      </c>
      <c r="BZ7" s="644" t="s">
        <v>774</v>
      </c>
      <c r="CB7" s="1379" t="s">
        <v>267</v>
      </c>
      <c r="CC7" s="1380" t="s">
        <v>752</v>
      </c>
      <c r="CD7" s="40" t="s">
        <v>267</v>
      </c>
      <c r="CE7" s="1380" t="s">
        <v>747</v>
      </c>
      <c r="CF7" s="40" t="s">
        <v>267</v>
      </c>
      <c r="CG7" s="1380" t="s">
        <v>759</v>
      </c>
      <c r="CH7" s="40" t="s">
        <v>267</v>
      </c>
      <c r="CI7" s="1499" t="s">
        <v>766</v>
      </c>
      <c r="CJ7" s="1379" t="s">
        <v>267</v>
      </c>
      <c r="CK7" s="40" t="s">
        <v>782</v>
      </c>
      <c r="CL7" s="40" t="s">
        <v>267</v>
      </c>
      <c r="CM7" s="1380" t="s">
        <v>775</v>
      </c>
    </row>
    <row r="8" spans="1:16381" ht="15.75" thickBot="1">
      <c r="A8" s="1538"/>
      <c r="B8" s="331" t="s">
        <v>293</v>
      </c>
      <c r="C8" s="331" t="s">
        <v>188</v>
      </c>
      <c r="D8" s="332" t="s">
        <v>188</v>
      </c>
      <c r="E8" s="333" t="s">
        <v>188</v>
      </c>
      <c r="F8" s="334" t="s">
        <v>191</v>
      </c>
      <c r="G8" s="335" t="s">
        <v>190</v>
      </c>
      <c r="H8" s="333" t="s">
        <v>188</v>
      </c>
      <c r="I8" s="334" t="s">
        <v>191</v>
      </c>
      <c r="J8" s="1218" t="s">
        <v>188</v>
      </c>
      <c r="K8" s="635" t="s">
        <v>191</v>
      </c>
      <c r="L8" s="1555" t="s">
        <v>592</v>
      </c>
      <c r="M8" s="1556"/>
      <c r="N8" s="1556"/>
      <c r="O8" s="1556"/>
      <c r="P8" s="1557"/>
      <c r="Q8" s="1561" t="s">
        <v>592</v>
      </c>
      <c r="R8" s="1562"/>
      <c r="S8" s="1562"/>
      <c r="T8" s="1562"/>
      <c r="U8" s="1563"/>
      <c r="W8" s="127"/>
      <c r="X8" s="1472" t="s">
        <v>748</v>
      </c>
      <c r="Y8" s="364" t="s">
        <v>748</v>
      </c>
      <c r="Z8" s="364" t="s">
        <v>748</v>
      </c>
      <c r="AA8" s="364" t="s">
        <v>748</v>
      </c>
      <c r="AB8" s="1473" t="s">
        <v>748</v>
      </c>
      <c r="AC8" s="104"/>
      <c r="AD8" s="1470" t="s">
        <v>743</v>
      </c>
      <c r="AE8" s="1462" t="s">
        <v>743</v>
      </c>
      <c r="AF8" s="1462" t="s">
        <v>743</v>
      </c>
      <c r="AG8" s="1462" t="s">
        <v>743</v>
      </c>
      <c r="AH8" s="1463" t="s">
        <v>743</v>
      </c>
      <c r="AI8" s="169"/>
      <c r="AJ8" s="1470" t="s">
        <v>753</v>
      </c>
      <c r="AK8" s="1462" t="s">
        <v>753</v>
      </c>
      <c r="AL8" s="1462" t="s">
        <v>753</v>
      </c>
      <c r="AM8" s="1462" t="s">
        <v>753</v>
      </c>
      <c r="AN8" s="1463" t="s">
        <v>753</v>
      </c>
      <c r="AO8" s="169"/>
      <c r="AP8" s="1470" t="s">
        <v>760</v>
      </c>
      <c r="AQ8" s="1462" t="s">
        <v>760</v>
      </c>
      <c r="AR8" s="1462" t="s">
        <v>760</v>
      </c>
      <c r="AS8" s="1462" t="s">
        <v>760</v>
      </c>
      <c r="AT8" s="1463" t="s">
        <v>760</v>
      </c>
      <c r="AU8" s="104"/>
      <c r="AV8" s="1470" t="s">
        <v>776</v>
      </c>
      <c r="AW8" s="1462" t="s">
        <v>776</v>
      </c>
      <c r="AX8" s="1462" t="s">
        <v>776</v>
      </c>
      <c r="AY8" s="1462" t="s">
        <v>776</v>
      </c>
      <c r="AZ8" s="1463" t="s">
        <v>776</v>
      </c>
      <c r="BA8" s="104"/>
      <c r="BB8" s="1470" t="s">
        <v>769</v>
      </c>
      <c r="BC8" s="1462" t="s">
        <v>769</v>
      </c>
      <c r="BD8" s="1462" t="s">
        <v>769</v>
      </c>
      <c r="BE8" s="1462" t="s">
        <v>769</v>
      </c>
      <c r="BF8" s="1463" t="s">
        <v>769</v>
      </c>
      <c r="BH8" s="1571"/>
      <c r="BI8" s="1481" t="s">
        <v>719</v>
      </c>
      <c r="BJ8" s="1482" t="s">
        <v>229</v>
      </c>
      <c r="BK8" s="1483" t="s">
        <v>719</v>
      </c>
      <c r="BL8" s="1481" t="s">
        <v>719</v>
      </c>
      <c r="BM8" s="1482" t="s">
        <v>229</v>
      </c>
      <c r="BN8" s="1483" t="s">
        <v>719</v>
      </c>
      <c r="BO8" s="1481" t="s">
        <v>719</v>
      </c>
      <c r="BP8" s="1482" t="s">
        <v>229</v>
      </c>
      <c r="BQ8" s="1483" t="s">
        <v>719</v>
      </c>
      <c r="BR8" s="1481" t="s">
        <v>719</v>
      </c>
      <c r="BS8" s="1482" t="s">
        <v>229</v>
      </c>
      <c r="BT8" s="1483" t="s">
        <v>719</v>
      </c>
      <c r="BU8" s="1481" t="s">
        <v>719</v>
      </c>
      <c r="BV8" s="1482" t="s">
        <v>229</v>
      </c>
      <c r="BW8" s="1483" t="s">
        <v>719</v>
      </c>
      <c r="BX8" s="1481" t="s">
        <v>719</v>
      </c>
      <c r="BY8" s="1482" t="s">
        <v>229</v>
      </c>
      <c r="BZ8" s="1483" t="s">
        <v>719</v>
      </c>
      <c r="CB8" s="67" t="s">
        <v>229</v>
      </c>
      <c r="CC8" s="68" t="s">
        <v>229</v>
      </c>
      <c r="CD8" s="1496" t="s">
        <v>229</v>
      </c>
      <c r="CE8" s="68" t="s">
        <v>229</v>
      </c>
      <c r="CF8" s="1496" t="s">
        <v>229</v>
      </c>
      <c r="CG8" s="68" t="s">
        <v>229</v>
      </c>
      <c r="CH8" s="1496" t="s">
        <v>229</v>
      </c>
      <c r="CI8" s="1500" t="s">
        <v>229</v>
      </c>
      <c r="CJ8" s="67" t="s">
        <v>229</v>
      </c>
      <c r="CK8" s="1496" t="s">
        <v>229</v>
      </c>
      <c r="CL8" s="1496" t="s">
        <v>229</v>
      </c>
      <c r="CM8" s="68" t="s">
        <v>229</v>
      </c>
    </row>
    <row r="9" spans="1:16381">
      <c r="W9" s="127"/>
      <c r="X9" s="127"/>
      <c r="Y9" s="104"/>
      <c r="Z9" s="104"/>
      <c r="AA9" s="104"/>
      <c r="AB9" s="130"/>
      <c r="AC9" s="104"/>
      <c r="AD9" s="127"/>
      <c r="AE9" s="104"/>
      <c r="AF9" s="104"/>
      <c r="AG9" s="104"/>
      <c r="AH9" s="130"/>
      <c r="AI9" s="104"/>
      <c r="AJ9" s="127"/>
      <c r="AK9" s="104"/>
      <c r="AL9" s="104"/>
      <c r="AM9" s="104"/>
      <c r="AN9" s="130"/>
      <c r="AO9" s="104"/>
      <c r="AP9" s="1382"/>
      <c r="AQ9" s="104"/>
      <c r="AR9" s="104"/>
      <c r="AS9" s="104"/>
      <c r="AT9" s="130"/>
      <c r="AU9" s="104"/>
      <c r="AV9" s="127"/>
      <c r="AW9" s="104"/>
      <c r="AX9" s="104"/>
      <c r="AY9" s="104"/>
      <c r="AZ9" s="130"/>
      <c r="BA9" s="104"/>
      <c r="BB9" s="127"/>
      <c r="BC9" s="104"/>
      <c r="BD9" s="104"/>
      <c r="BE9" s="104"/>
      <c r="BF9" s="130"/>
      <c r="BH9" s="934"/>
      <c r="BI9" s="115"/>
      <c r="BJ9" s="115"/>
      <c r="BK9" s="115"/>
      <c r="BL9" s="115"/>
      <c r="BM9" s="115"/>
      <c r="BN9" s="115"/>
      <c r="BO9" s="115"/>
      <c r="BP9" s="115"/>
      <c r="BQ9" s="115"/>
      <c r="BR9" s="115"/>
      <c r="BS9" s="115"/>
      <c r="BT9" s="115"/>
      <c r="BU9" s="115"/>
      <c r="BV9" s="115"/>
      <c r="BW9" s="115"/>
      <c r="BX9" s="115"/>
      <c r="BY9" s="115"/>
      <c r="BZ9" s="116"/>
      <c r="CB9" s="805">
        <v>0</v>
      </c>
      <c r="CC9" s="510">
        <v>0</v>
      </c>
      <c r="CD9" s="510">
        <v>0</v>
      </c>
      <c r="CE9" s="510">
        <v>0</v>
      </c>
      <c r="CF9" s="510">
        <v>0</v>
      </c>
      <c r="CG9" s="510">
        <v>0</v>
      </c>
      <c r="CH9" s="510">
        <v>0</v>
      </c>
      <c r="CI9" s="510">
        <v>0</v>
      </c>
      <c r="CJ9" s="510">
        <v>0</v>
      </c>
      <c r="CK9" s="510">
        <v>0</v>
      </c>
      <c r="CL9" s="510">
        <v>0</v>
      </c>
      <c r="CM9" s="658">
        <v>0</v>
      </c>
    </row>
    <row r="10" spans="1:16381">
      <c r="A10" s="501">
        <f>'Input data'!A98</f>
        <v>2000</v>
      </c>
      <c r="B10" s="501"/>
      <c r="C10" s="583">
        <f>'4A SWD Case 1'!BG68</f>
        <v>1412.8014833120599</v>
      </c>
      <c r="D10" s="646">
        <f>'4B Biological treatment '!T63</f>
        <v>0</v>
      </c>
      <c r="E10" s="584">
        <f>'4B Biological treatment '!U63</f>
        <v>19.215904554973509</v>
      </c>
      <c r="F10" s="584">
        <f>'4B Biological treatment '!W63</f>
        <v>1.1529542732984104</v>
      </c>
      <c r="G10" s="646">
        <f>'4C2 Open-burning '!R70</f>
        <v>36.293714719847422</v>
      </c>
      <c r="H10" s="646">
        <f>'4C2 Open-burning '!Z70</f>
        <v>8.937906120000001</v>
      </c>
      <c r="I10" s="646">
        <f>'4C2 Open-burning '!AH70</f>
        <v>0.13770041554176382</v>
      </c>
      <c r="J10" s="1219">
        <f>'4D Wastewater treatment and dis'!AV107</f>
        <v>102.10120974240002</v>
      </c>
      <c r="K10" s="646">
        <f>'4D Wastewater treatment and dis'!AW107</f>
        <v>2.2185409303296706</v>
      </c>
      <c r="L10" s="583">
        <f>C10*$B$3</f>
        <v>29668.831149553258</v>
      </c>
      <c r="M10" s="646">
        <f t="shared" ref="M10:M25" si="0">D10*$B$3</f>
        <v>0</v>
      </c>
      <c r="N10" s="583">
        <f>E10*$B$3+F10*$C$3</f>
        <v>760.94982037695092</v>
      </c>
      <c r="O10" s="645">
        <f>G10+H10*$B$3+I10*$C$3</f>
        <v>266.67687205779424</v>
      </c>
      <c r="P10" s="583">
        <f>J10*$B$3+K10*$C$3</f>
        <v>2831.8730929925982</v>
      </c>
      <c r="Q10" s="583">
        <f>L10</f>
        <v>29668.831149553258</v>
      </c>
      <c r="R10" s="647">
        <f>M10+N10</f>
        <v>760.94982037695092</v>
      </c>
      <c r="S10" s="645">
        <f>O10</f>
        <v>266.67687205779424</v>
      </c>
      <c r="T10" s="583">
        <f>P10</f>
        <v>2831.8730929925982</v>
      </c>
      <c r="U10" s="583">
        <f>SUM(Q10:T10)</f>
        <v>33528.3309349806</v>
      </c>
      <c r="V10" s="646"/>
      <c r="W10" s="752">
        <f>A10</f>
        <v>2000</v>
      </c>
      <c r="X10" s="1382">
        <f>Q10</f>
        <v>29668.831149553258</v>
      </c>
      <c r="Y10" s="1384">
        <f t="shared" ref="Y10:AA10" si="1">R10</f>
        <v>760.94982037695092</v>
      </c>
      <c r="Z10" s="1384">
        <f t="shared" si="1"/>
        <v>266.67687205779424</v>
      </c>
      <c r="AA10" s="1384">
        <f t="shared" si="1"/>
        <v>2831.8730929925982</v>
      </c>
      <c r="AB10" s="1466">
        <f>SUM(X10:AA10)</f>
        <v>33528.3309349806</v>
      </c>
      <c r="AC10" s="1384"/>
      <c r="AD10" s="1382">
        <f>Q10</f>
        <v>29668.831149553258</v>
      </c>
      <c r="AE10" s="1384">
        <f t="shared" ref="AE10:AG10" si="2">R10</f>
        <v>760.94982037695092</v>
      </c>
      <c r="AF10" s="1384">
        <f t="shared" si="2"/>
        <v>266.67687205779424</v>
      </c>
      <c r="AG10" s="1384">
        <f t="shared" si="2"/>
        <v>2831.8730929925982</v>
      </c>
      <c r="AH10" s="1466">
        <f>SUM(AD10:AG10)</f>
        <v>33528.3309349806</v>
      </c>
      <c r="AI10" s="1464"/>
      <c r="AJ10" s="1382">
        <f>Q10</f>
        <v>29668.831149553258</v>
      </c>
      <c r="AK10" s="1384">
        <f t="shared" ref="AK10:AM10" si="3">R10</f>
        <v>760.94982037695092</v>
      </c>
      <c r="AL10" s="1384">
        <f t="shared" si="3"/>
        <v>266.67687205779424</v>
      </c>
      <c r="AM10" s="1384">
        <f t="shared" si="3"/>
        <v>2831.8730929925982</v>
      </c>
      <c r="AN10" s="1466">
        <f>SUM(AJ10:AM10)</f>
        <v>33528.3309349806</v>
      </c>
      <c r="AO10" s="1464"/>
      <c r="AP10" s="1382">
        <f>Q10</f>
        <v>29668.831149553258</v>
      </c>
      <c r="AQ10" s="1384">
        <f t="shared" ref="AQ10:AS10" si="4">R10</f>
        <v>760.94982037695092</v>
      </c>
      <c r="AR10" s="1384">
        <f t="shared" si="4"/>
        <v>266.67687205779424</v>
      </c>
      <c r="AS10" s="1384">
        <f t="shared" si="4"/>
        <v>2831.8730929925982</v>
      </c>
      <c r="AT10" s="1466">
        <f>SUM(AP10:AS10)</f>
        <v>33528.3309349806</v>
      </c>
      <c r="AU10" s="1465"/>
      <c r="AV10" s="1382">
        <f>X10</f>
        <v>29668.831149553258</v>
      </c>
      <c r="AW10" s="1384">
        <f>Y10</f>
        <v>760.94982037695092</v>
      </c>
      <c r="AX10" s="1384">
        <f>Z10</f>
        <v>266.67687205779424</v>
      </c>
      <c r="AY10" s="1384">
        <f>AA10</f>
        <v>2831.8730929925982</v>
      </c>
      <c r="AZ10" s="1466">
        <f>SUM(AV10:AY10)</f>
        <v>33528.3309349806</v>
      </c>
      <c r="BA10" s="1465"/>
      <c r="BB10" s="1382">
        <f>Q10</f>
        <v>29668.831149553258</v>
      </c>
      <c r="BC10" s="1384">
        <f t="shared" ref="BC10:BE10" si="5">R10</f>
        <v>760.94982037695092</v>
      </c>
      <c r="BD10" s="1384">
        <f t="shared" si="5"/>
        <v>266.67687205779424</v>
      </c>
      <c r="BE10" s="1384">
        <f t="shared" si="5"/>
        <v>2831.8730929925982</v>
      </c>
      <c r="BF10" s="1466">
        <f>SUM(BB10:BE10)</f>
        <v>33528.3309349806</v>
      </c>
      <c r="BG10" s="646"/>
      <c r="BH10" s="752">
        <f>W10</f>
        <v>2000</v>
      </c>
      <c r="BI10" s="1384">
        <f>'Baseline data (from input)'!AR57</f>
        <v>81.107570993730093</v>
      </c>
      <c r="BJ10" s="510">
        <f>'Baseline data (from input)'!AS57</f>
        <v>0.19283372758765369</v>
      </c>
      <c r="BK10" s="1383">
        <f>'Baseline data (from input)'!AT57</f>
        <v>32.080220743665109</v>
      </c>
      <c r="BL10" s="1384">
        <f>'Baseline data (from input)'!AR57</f>
        <v>81.107570993730093</v>
      </c>
      <c r="BM10" s="510">
        <f>'Baseline data (from input)'!AS57</f>
        <v>0.19283372758765369</v>
      </c>
      <c r="BN10" s="1383">
        <f>'Baseline data (from input)'!AT57</f>
        <v>32.080220743665109</v>
      </c>
      <c r="BO10" s="1386">
        <f t="shared" ref="BO10:BO26" si="6">BI10</f>
        <v>81.107570993730093</v>
      </c>
      <c r="BP10" s="510">
        <f t="shared" ref="BP10:BP26" si="7">BJ10</f>
        <v>0.19283372758765369</v>
      </c>
      <c r="BQ10" s="1383">
        <f t="shared" ref="BQ10:BQ26" si="8">BK10</f>
        <v>32.080220743665109</v>
      </c>
      <c r="BR10" s="1386">
        <f>'Baseline data (from input)'!AR57</f>
        <v>81.107570993730093</v>
      </c>
      <c r="BS10" s="510">
        <f>'Baseline data (from input)'!AS57</f>
        <v>0.19283372758765369</v>
      </c>
      <c r="BT10" s="1383">
        <f>'Baseline data (from input)'!AT57</f>
        <v>32.080220743665109</v>
      </c>
      <c r="BU10" s="1384">
        <f t="shared" ref="BU10:BU26" si="9">BI10</f>
        <v>81.107570993730093</v>
      </c>
      <c r="BV10" s="510">
        <f t="shared" ref="BV10:BV26" si="10">BJ10</f>
        <v>0.19283372758765369</v>
      </c>
      <c r="BW10" s="1383">
        <f t="shared" ref="BW10:BW26" si="11">BK10</f>
        <v>32.080220743665109</v>
      </c>
      <c r="BX10" s="1384">
        <f>'Baseline data (from input)'!AR57</f>
        <v>81.107570993730093</v>
      </c>
      <c r="BY10" s="510">
        <f>'Baseline data (from input)'!AS57</f>
        <v>0.19283372758765369</v>
      </c>
      <c r="BZ10" s="1385">
        <f>'Baseline data (from input)'!AT57</f>
        <v>32.080220743665109</v>
      </c>
      <c r="CA10" s="501"/>
      <c r="CB10" s="805">
        <v>0</v>
      </c>
      <c r="CC10" s="510">
        <v>0</v>
      </c>
      <c r="CD10" s="510">
        <v>0</v>
      </c>
      <c r="CE10" s="510">
        <v>0</v>
      </c>
      <c r="CF10" s="510">
        <v>0</v>
      </c>
      <c r="CG10" s="510">
        <v>0</v>
      </c>
      <c r="CH10" s="510">
        <v>0</v>
      </c>
      <c r="CI10" s="510">
        <v>0</v>
      </c>
      <c r="CJ10" s="510">
        <v>0</v>
      </c>
      <c r="CK10" s="510">
        <v>0</v>
      </c>
      <c r="CL10" s="510">
        <v>0</v>
      </c>
      <c r="CM10" s="658">
        <v>0</v>
      </c>
      <c r="CN10" s="646"/>
      <c r="CO10" s="646"/>
      <c r="CP10" s="646"/>
      <c r="CQ10" s="646"/>
      <c r="CR10" s="501"/>
      <c r="CS10" s="501"/>
      <c r="CT10" s="501"/>
      <c r="CU10" s="501"/>
      <c r="CV10" s="501"/>
      <c r="CW10" s="501"/>
      <c r="CX10" s="501"/>
      <c r="CY10" s="501"/>
      <c r="CZ10" s="501"/>
      <c r="DA10" s="501"/>
      <c r="DB10" s="501"/>
      <c r="DC10" s="645"/>
      <c r="DD10" s="646"/>
      <c r="DE10" s="646"/>
      <c r="DF10" s="646"/>
      <c r="DG10" s="646"/>
      <c r="DH10" s="646"/>
      <c r="DI10" s="646"/>
      <c r="DJ10" s="646"/>
      <c r="DK10" s="646"/>
      <c r="DL10" s="646"/>
      <c r="DM10" s="501"/>
      <c r="DN10" s="501"/>
      <c r="DO10" s="501"/>
      <c r="DP10" s="501"/>
      <c r="DQ10" s="501"/>
      <c r="DR10" s="501"/>
      <c r="DS10" s="501"/>
      <c r="DT10" s="501"/>
      <c r="DU10" s="501"/>
      <c r="DV10" s="501"/>
      <c r="DW10" s="501"/>
      <c r="DX10" s="645"/>
      <c r="DY10" s="646"/>
      <c r="DZ10" s="646"/>
      <c r="EA10" s="646"/>
      <c r="EB10" s="646"/>
      <c r="EC10" s="646"/>
      <c r="ED10" s="646"/>
      <c r="EE10" s="646"/>
      <c r="EF10" s="646"/>
      <c r="EG10" s="646"/>
      <c r="EH10" s="501"/>
      <c r="EI10" s="501"/>
      <c r="EJ10" s="501"/>
      <c r="EK10" s="501"/>
      <c r="EL10" s="501"/>
      <c r="EM10" s="501"/>
      <c r="EN10" s="501"/>
      <c r="EO10" s="501"/>
      <c r="EP10" s="501"/>
      <c r="EQ10" s="501"/>
      <c r="ER10" s="501"/>
      <c r="ES10" s="645"/>
      <c r="ET10" s="646"/>
      <c r="EU10" s="646"/>
      <c r="EV10" s="646"/>
      <c r="EW10" s="646"/>
      <c r="EX10" s="646"/>
      <c r="EY10" s="646"/>
      <c r="EZ10" s="646"/>
      <c r="FA10" s="646"/>
      <c r="FB10" s="646"/>
      <c r="FC10" s="501"/>
      <c r="FD10" s="501"/>
      <c r="FE10" s="501"/>
      <c r="FF10" s="501"/>
      <c r="FG10" s="501"/>
      <c r="FH10" s="501"/>
      <c r="FI10" s="501"/>
      <c r="FJ10" s="501"/>
      <c r="FK10" s="501"/>
      <c r="FL10" s="501"/>
      <c r="FM10" s="501"/>
      <c r="FN10" s="645"/>
      <c r="FO10" s="646"/>
      <c r="FP10" s="646"/>
      <c r="FQ10" s="646"/>
      <c r="FR10" s="646"/>
      <c r="FS10" s="646"/>
      <c r="FT10" s="646"/>
      <c r="FU10" s="646"/>
      <c r="FV10" s="646"/>
      <c r="FW10" s="646"/>
      <c r="FX10" s="501"/>
      <c r="FY10" s="501"/>
      <c r="FZ10" s="501"/>
      <c r="GA10" s="501"/>
      <c r="GB10" s="501"/>
      <c r="GC10" s="501"/>
      <c r="GD10" s="501"/>
      <c r="GE10" s="501"/>
      <c r="GF10" s="501"/>
      <c r="GG10" s="501"/>
      <c r="GH10" s="501"/>
      <c r="GI10" s="645"/>
      <c r="GJ10" s="646"/>
      <c r="GK10" s="646"/>
      <c r="GL10" s="646"/>
      <c r="GM10" s="646"/>
      <c r="GN10" s="646"/>
      <c r="GO10" s="646"/>
      <c r="GP10" s="646"/>
      <c r="GQ10" s="646"/>
      <c r="GR10" s="646"/>
      <c r="GS10" s="501"/>
      <c r="GT10" s="501"/>
      <c r="GU10" s="501"/>
      <c r="GV10" s="501"/>
      <c r="GW10" s="501"/>
      <c r="GX10" s="501"/>
      <c r="GY10" s="501"/>
      <c r="GZ10" s="501"/>
      <c r="HA10" s="501"/>
      <c r="HB10" s="501"/>
      <c r="HC10" s="501"/>
      <c r="HD10" s="645"/>
      <c r="HE10" s="646"/>
      <c r="HF10" s="646"/>
      <c r="HG10" s="646"/>
      <c r="HH10" s="646"/>
      <c r="HI10" s="646"/>
      <c r="HJ10" s="646"/>
      <c r="HK10" s="646"/>
      <c r="HL10" s="646"/>
      <c r="HM10" s="646"/>
      <c r="HN10" s="501"/>
      <c r="HO10" s="501"/>
      <c r="HP10" s="501"/>
      <c r="HQ10" s="501"/>
      <c r="HR10" s="501"/>
      <c r="HS10" s="501"/>
      <c r="HT10" s="501"/>
      <c r="HU10" s="501"/>
      <c r="HV10" s="501"/>
      <c r="HW10" s="501"/>
      <c r="HX10" s="501"/>
      <c r="HY10" s="645"/>
      <c r="HZ10" s="646"/>
      <c r="IA10" s="646"/>
      <c r="IB10" s="646"/>
      <c r="IC10" s="646"/>
      <c r="ID10" s="646"/>
      <c r="IE10" s="646"/>
      <c r="IF10" s="646"/>
      <c r="IG10" s="646"/>
      <c r="IH10" s="646"/>
      <c r="II10" s="501"/>
      <c r="IJ10" s="501"/>
      <c r="IK10" s="501"/>
      <c r="IL10" s="501"/>
      <c r="IM10" s="501"/>
      <c r="IN10" s="501"/>
      <c r="IO10" s="501"/>
      <c r="IP10" s="501"/>
      <c r="IQ10" s="501"/>
      <c r="IR10" s="501"/>
      <c r="IS10" s="501"/>
      <c r="IT10" s="645"/>
      <c r="IU10" s="646"/>
      <c r="IV10" s="646"/>
      <c r="IW10" s="646"/>
      <c r="IX10" s="646"/>
      <c r="IY10" s="646"/>
      <c r="IZ10" s="646"/>
      <c r="JA10" s="646"/>
      <c r="JB10" s="646"/>
      <c r="JC10" s="646"/>
      <c r="JD10" s="501"/>
      <c r="JE10" s="501"/>
      <c r="JF10" s="501"/>
      <c r="JG10" s="501"/>
      <c r="JH10" s="501"/>
      <c r="JI10" s="501"/>
      <c r="JJ10" s="501"/>
      <c r="JK10" s="501"/>
      <c r="JL10" s="501"/>
      <c r="JM10" s="501"/>
      <c r="JN10" s="501"/>
      <c r="JO10" s="645"/>
      <c r="JP10" s="646"/>
      <c r="JQ10" s="646"/>
      <c r="JR10" s="646"/>
      <c r="JS10" s="646"/>
      <c r="JT10" s="646"/>
      <c r="JU10" s="646"/>
      <c r="JV10" s="646"/>
      <c r="JW10" s="646"/>
      <c r="JX10" s="646"/>
      <c r="JY10" s="501"/>
      <c r="JZ10" s="501"/>
      <c r="KA10" s="501"/>
      <c r="KB10" s="501"/>
      <c r="KC10" s="501"/>
      <c r="KD10" s="501"/>
      <c r="KE10" s="501"/>
      <c r="KF10" s="501"/>
      <c r="KG10" s="501"/>
      <c r="KH10" s="501"/>
      <c r="KI10" s="501"/>
      <c r="KJ10" s="645"/>
      <c r="KK10" s="646"/>
      <c r="KL10" s="646"/>
      <c r="KM10" s="646"/>
      <c r="KN10" s="646"/>
      <c r="KO10" s="646"/>
      <c r="KP10" s="646"/>
      <c r="KQ10" s="646"/>
      <c r="KR10" s="646"/>
      <c r="KS10" s="646"/>
      <c r="KT10" s="501"/>
      <c r="KU10" s="501"/>
      <c r="KV10" s="501"/>
      <c r="KW10" s="501"/>
      <c r="KX10" s="501"/>
      <c r="KY10" s="501"/>
      <c r="KZ10" s="501"/>
      <c r="LA10" s="501"/>
      <c r="LB10" s="501"/>
      <c r="LC10" s="501"/>
      <c r="LD10" s="501"/>
      <c r="LE10" s="645"/>
      <c r="LF10" s="646"/>
      <c r="LG10" s="646"/>
      <c r="LH10" s="646"/>
      <c r="LI10" s="646"/>
      <c r="LJ10" s="646"/>
      <c r="LK10" s="646"/>
      <c r="LL10" s="646"/>
      <c r="LM10" s="646"/>
      <c r="LN10" s="646"/>
      <c r="LO10" s="501"/>
      <c r="LP10" s="501"/>
      <c r="LQ10" s="501"/>
      <c r="LR10" s="501"/>
      <c r="LS10" s="501"/>
      <c r="LT10" s="501"/>
      <c r="LU10" s="501"/>
      <c r="LV10" s="501"/>
      <c r="LW10" s="501"/>
      <c r="LX10" s="501"/>
      <c r="LY10" s="501"/>
      <c r="LZ10" s="645"/>
      <c r="MA10" s="646"/>
      <c r="MB10" s="646"/>
      <c r="MC10" s="646"/>
      <c r="MD10" s="646"/>
      <c r="ME10" s="646"/>
      <c r="MF10" s="646"/>
      <c r="MG10" s="646"/>
      <c r="MH10" s="646"/>
      <c r="MI10" s="646"/>
      <c r="MJ10" s="501"/>
      <c r="MK10" s="501"/>
      <c r="ML10" s="501"/>
      <c r="MM10" s="501"/>
      <c r="MN10" s="501"/>
      <c r="MO10" s="501"/>
      <c r="MP10" s="501"/>
      <c r="MQ10" s="501"/>
      <c r="MR10" s="501"/>
      <c r="MS10" s="501"/>
      <c r="MT10" s="501"/>
      <c r="MU10" s="645"/>
      <c r="MV10" s="646"/>
      <c r="MW10" s="646"/>
      <c r="MX10" s="646"/>
      <c r="MY10" s="646"/>
      <c r="MZ10" s="646"/>
      <c r="NA10" s="646"/>
      <c r="NB10" s="646"/>
      <c r="NC10" s="646"/>
      <c r="ND10" s="646"/>
      <c r="NE10" s="501"/>
      <c r="NF10" s="501"/>
      <c r="NG10" s="501"/>
      <c r="NH10" s="501"/>
      <c r="NI10" s="501"/>
      <c r="NJ10" s="501"/>
      <c r="NK10" s="501"/>
      <c r="NL10" s="501"/>
      <c r="NM10" s="501"/>
      <c r="NN10" s="501"/>
      <c r="NO10" s="501"/>
      <c r="NP10" s="645"/>
      <c r="NQ10" s="646"/>
      <c r="NR10" s="646"/>
      <c r="NS10" s="646"/>
      <c r="NT10" s="646"/>
      <c r="NU10" s="646"/>
      <c r="NV10" s="646"/>
      <c r="NW10" s="646"/>
      <c r="NX10" s="646"/>
      <c r="NY10" s="646"/>
      <c r="NZ10" s="501"/>
      <c r="OA10" s="501"/>
      <c r="OB10" s="501"/>
      <c r="OC10" s="501"/>
      <c r="OD10" s="501"/>
      <c r="OE10" s="501"/>
      <c r="OF10" s="501"/>
      <c r="OG10" s="501"/>
      <c r="OH10" s="501"/>
      <c r="OI10" s="501"/>
      <c r="OJ10" s="501"/>
      <c r="OK10" s="645"/>
      <c r="OL10" s="646"/>
      <c r="OM10" s="646"/>
      <c r="ON10" s="646"/>
      <c r="OO10" s="646"/>
      <c r="OP10" s="646"/>
      <c r="OQ10" s="646"/>
      <c r="OR10" s="646"/>
      <c r="OS10" s="646"/>
      <c r="OT10" s="646"/>
      <c r="OU10" s="501"/>
      <c r="OV10" s="501"/>
      <c r="OW10" s="501"/>
      <c r="OX10" s="501"/>
      <c r="OY10" s="501"/>
      <c r="OZ10" s="501"/>
      <c r="PA10" s="501"/>
      <c r="PB10" s="501"/>
      <c r="PC10" s="501"/>
      <c r="PD10" s="501"/>
      <c r="PE10" s="501"/>
      <c r="PF10" s="645"/>
      <c r="PG10" s="646"/>
      <c r="PH10" s="646"/>
      <c r="PI10" s="646"/>
      <c r="PJ10" s="646"/>
      <c r="PK10" s="646"/>
      <c r="PL10" s="646"/>
      <c r="PM10" s="646"/>
      <c r="PN10" s="646"/>
      <c r="PO10" s="646"/>
      <c r="PP10" s="501"/>
      <c r="PQ10" s="501"/>
      <c r="PR10" s="501"/>
      <c r="PS10" s="501"/>
      <c r="PT10" s="501"/>
      <c r="PU10" s="501"/>
      <c r="PV10" s="501"/>
      <c r="PW10" s="501"/>
      <c r="PX10" s="501"/>
      <c r="PY10" s="501"/>
      <c r="PZ10" s="501"/>
      <c r="QA10" s="645"/>
      <c r="QB10" s="646"/>
      <c r="QC10" s="646"/>
      <c r="QD10" s="646"/>
      <c r="QE10" s="646"/>
      <c r="QF10" s="646"/>
      <c r="QG10" s="646"/>
      <c r="QH10" s="646"/>
      <c r="QI10" s="646"/>
      <c r="QJ10" s="646"/>
      <c r="QK10" s="501"/>
      <c r="QL10" s="501"/>
      <c r="QM10" s="501"/>
      <c r="QN10" s="501"/>
      <c r="QO10" s="501"/>
      <c r="QP10" s="501"/>
      <c r="QQ10" s="501"/>
      <c r="QR10" s="501"/>
      <c r="QS10" s="501"/>
      <c r="QT10" s="501"/>
      <c r="QU10" s="501"/>
      <c r="QV10" s="645"/>
      <c r="QW10" s="646"/>
      <c r="QX10" s="646"/>
      <c r="QY10" s="646"/>
      <c r="QZ10" s="646"/>
      <c r="RA10" s="646"/>
      <c r="RB10" s="646"/>
      <c r="RC10" s="646"/>
      <c r="RD10" s="646"/>
      <c r="RE10" s="646"/>
      <c r="RF10" s="501"/>
      <c r="RG10" s="501"/>
      <c r="RH10" s="501"/>
      <c r="RI10" s="501"/>
      <c r="RJ10" s="501"/>
      <c r="RK10" s="501"/>
      <c r="RL10" s="501"/>
      <c r="RM10" s="501"/>
      <c r="RN10" s="501"/>
      <c r="RO10" s="501"/>
      <c r="RP10" s="501"/>
      <c r="RQ10" s="645"/>
      <c r="RR10" s="646"/>
      <c r="RS10" s="646"/>
      <c r="RT10" s="646"/>
      <c r="RU10" s="646"/>
      <c r="RV10" s="646"/>
      <c r="RW10" s="646"/>
      <c r="RX10" s="646"/>
      <c r="RY10" s="646"/>
      <c r="RZ10" s="646"/>
      <c r="SA10" s="501"/>
      <c r="SB10" s="501"/>
      <c r="SC10" s="501"/>
      <c r="SD10" s="501"/>
      <c r="SE10" s="501"/>
      <c r="SF10" s="501"/>
      <c r="SG10" s="501"/>
      <c r="SH10" s="501"/>
      <c r="SI10" s="501"/>
      <c r="SJ10" s="501"/>
      <c r="SK10" s="501"/>
      <c r="SL10" s="645"/>
      <c r="SM10" s="646"/>
      <c r="SN10" s="646"/>
      <c r="SO10" s="646"/>
      <c r="SP10" s="646"/>
      <c r="SQ10" s="646"/>
      <c r="SR10" s="646"/>
      <c r="SS10" s="646"/>
      <c r="ST10" s="646"/>
      <c r="SU10" s="646"/>
      <c r="SV10" s="501"/>
      <c r="SW10" s="501"/>
      <c r="SX10" s="501"/>
      <c r="SY10" s="501"/>
      <c r="SZ10" s="501"/>
      <c r="TA10" s="501"/>
      <c r="TB10" s="501"/>
      <c r="TC10" s="501"/>
      <c r="TD10" s="501"/>
      <c r="TE10" s="501"/>
      <c r="TF10" s="501"/>
      <c r="TG10" s="645"/>
      <c r="TH10" s="646"/>
      <c r="TI10" s="646"/>
      <c r="TJ10" s="646"/>
      <c r="TK10" s="646"/>
      <c r="TL10" s="646"/>
      <c r="TM10" s="646"/>
      <c r="TN10" s="646"/>
      <c r="TO10" s="646"/>
      <c r="TP10" s="646"/>
      <c r="TQ10" s="501"/>
      <c r="TR10" s="501"/>
      <c r="TS10" s="501"/>
      <c r="TT10" s="501"/>
      <c r="TU10" s="501"/>
      <c r="TV10" s="501"/>
      <c r="TW10" s="501"/>
      <c r="TX10" s="501"/>
      <c r="TY10" s="501"/>
      <c r="TZ10" s="501"/>
      <c r="UA10" s="501"/>
      <c r="UB10" s="645"/>
      <c r="UC10" s="646"/>
      <c r="UD10" s="646"/>
      <c r="UE10" s="646"/>
      <c r="UF10" s="646"/>
      <c r="UG10" s="646"/>
      <c r="UH10" s="646"/>
      <c r="UI10" s="646"/>
      <c r="UJ10" s="646"/>
      <c r="UK10" s="646"/>
      <c r="UL10" s="501"/>
      <c r="UM10" s="501"/>
      <c r="UN10" s="501"/>
      <c r="UO10" s="501"/>
      <c r="UP10" s="501"/>
      <c r="UQ10" s="501"/>
      <c r="UR10" s="501"/>
      <c r="US10" s="501"/>
      <c r="UT10" s="501"/>
      <c r="UU10" s="501"/>
      <c r="UV10" s="501"/>
      <c r="UW10" s="645"/>
      <c r="UX10" s="646"/>
      <c r="UY10" s="646"/>
      <c r="UZ10" s="646"/>
      <c r="VA10" s="646"/>
      <c r="VB10" s="646"/>
      <c r="VC10" s="646"/>
      <c r="VD10" s="646"/>
      <c r="VE10" s="646"/>
      <c r="VF10" s="646"/>
      <c r="VG10" s="501"/>
      <c r="VH10" s="501"/>
      <c r="VI10" s="501"/>
      <c r="VJ10" s="501"/>
      <c r="VK10" s="501"/>
      <c r="VL10" s="501"/>
      <c r="VM10" s="501"/>
      <c r="VN10" s="501"/>
      <c r="VO10" s="501"/>
      <c r="VP10" s="501"/>
      <c r="VQ10" s="501"/>
      <c r="VR10" s="645"/>
      <c r="VS10" s="646"/>
      <c r="VT10" s="646"/>
      <c r="VU10" s="646"/>
      <c r="VV10" s="646"/>
      <c r="VW10" s="646"/>
      <c r="VX10" s="646"/>
      <c r="VY10" s="646"/>
      <c r="VZ10" s="646"/>
      <c r="WA10" s="646"/>
      <c r="WB10" s="501"/>
      <c r="WC10" s="501"/>
      <c r="WD10" s="501"/>
      <c r="WE10" s="501"/>
      <c r="WF10" s="501"/>
      <c r="WG10" s="501"/>
      <c r="WH10" s="501"/>
      <c r="WI10" s="501"/>
      <c r="WJ10" s="501"/>
      <c r="WK10" s="501"/>
      <c r="WL10" s="501"/>
      <c r="WM10" s="645"/>
      <c r="WN10" s="646"/>
      <c r="WO10" s="646"/>
      <c r="WP10" s="646"/>
      <c r="WQ10" s="646"/>
      <c r="WR10" s="646"/>
      <c r="WS10" s="646"/>
      <c r="WT10" s="646"/>
      <c r="WU10" s="646"/>
      <c r="WV10" s="646"/>
      <c r="WW10" s="501"/>
      <c r="WX10" s="501"/>
      <c r="WY10" s="501"/>
      <c r="WZ10" s="501"/>
      <c r="XA10" s="501"/>
      <c r="XB10" s="501"/>
      <c r="XC10" s="501"/>
      <c r="XD10" s="501"/>
      <c r="XE10" s="501"/>
      <c r="XF10" s="501"/>
      <c r="XG10" s="501"/>
      <c r="XH10" s="645"/>
      <c r="XI10" s="646"/>
      <c r="XJ10" s="646"/>
      <c r="XK10" s="646"/>
      <c r="XL10" s="646"/>
      <c r="XM10" s="646"/>
      <c r="XN10" s="646"/>
      <c r="XO10" s="646"/>
      <c r="XP10" s="646"/>
      <c r="XQ10" s="646"/>
      <c r="XR10" s="501"/>
      <c r="XS10" s="501"/>
      <c r="XT10" s="501"/>
      <c r="XU10" s="501"/>
      <c r="XV10" s="501"/>
      <c r="XW10" s="501"/>
      <c r="XX10" s="501"/>
      <c r="XY10" s="501"/>
      <c r="XZ10" s="501"/>
      <c r="YA10" s="501"/>
      <c r="YB10" s="501"/>
      <c r="YC10" s="645"/>
      <c r="YD10" s="646"/>
      <c r="YE10" s="646"/>
      <c r="YF10" s="646"/>
      <c r="YG10" s="646"/>
      <c r="YH10" s="646"/>
      <c r="YI10" s="646"/>
      <c r="YJ10" s="646"/>
      <c r="YK10" s="646"/>
      <c r="YL10" s="646"/>
      <c r="YM10" s="501"/>
      <c r="YN10" s="501"/>
      <c r="YO10" s="501"/>
      <c r="YP10" s="501"/>
      <c r="YQ10" s="501"/>
      <c r="YR10" s="501"/>
      <c r="YS10" s="501"/>
      <c r="YT10" s="501"/>
      <c r="YU10" s="501"/>
      <c r="YV10" s="501"/>
      <c r="YW10" s="501"/>
      <c r="YX10" s="645"/>
      <c r="YY10" s="646"/>
      <c r="YZ10" s="646"/>
      <c r="ZA10" s="646"/>
      <c r="ZB10" s="646"/>
      <c r="ZC10" s="646"/>
      <c r="ZD10" s="646"/>
      <c r="ZE10" s="646"/>
      <c r="ZF10" s="646"/>
      <c r="ZG10" s="646"/>
      <c r="ZH10" s="501"/>
      <c r="ZI10" s="501"/>
      <c r="ZJ10" s="501"/>
      <c r="ZK10" s="501"/>
      <c r="ZL10" s="501"/>
      <c r="ZM10" s="501"/>
      <c r="ZN10" s="501"/>
      <c r="ZO10" s="501"/>
      <c r="ZP10" s="501"/>
      <c r="ZQ10" s="501"/>
      <c r="ZR10" s="501"/>
      <c r="ZS10" s="645"/>
      <c r="ZT10" s="646"/>
      <c r="ZU10" s="646"/>
      <c r="ZV10" s="646"/>
      <c r="ZW10" s="646"/>
      <c r="ZX10" s="646"/>
      <c r="ZY10" s="646"/>
      <c r="ZZ10" s="646"/>
      <c r="AAA10" s="646"/>
      <c r="AAB10" s="646"/>
      <c r="AAC10" s="501"/>
      <c r="AAD10" s="501"/>
      <c r="AAE10" s="501"/>
      <c r="AAF10" s="501"/>
      <c r="AAG10" s="501"/>
      <c r="AAH10" s="501"/>
      <c r="AAI10" s="501"/>
      <c r="AAJ10" s="501"/>
      <c r="AAK10" s="501"/>
      <c r="AAL10" s="501"/>
      <c r="AAM10" s="501"/>
      <c r="AAN10" s="645"/>
      <c r="AAO10" s="646"/>
      <c r="AAP10" s="646"/>
      <c r="AAQ10" s="646"/>
      <c r="AAR10" s="646"/>
      <c r="AAS10" s="646"/>
      <c r="AAT10" s="646"/>
      <c r="AAU10" s="646"/>
      <c r="AAV10" s="646"/>
      <c r="AAW10" s="646"/>
      <c r="AAX10" s="501"/>
      <c r="AAY10" s="501"/>
      <c r="AAZ10" s="501"/>
      <c r="ABA10" s="501"/>
      <c r="ABB10" s="501"/>
      <c r="ABC10" s="501"/>
      <c r="ABD10" s="501"/>
      <c r="ABE10" s="501"/>
      <c r="ABF10" s="501"/>
      <c r="ABG10" s="501"/>
      <c r="ABH10" s="501"/>
      <c r="ABI10" s="645"/>
      <c r="ABJ10" s="646"/>
      <c r="ABK10" s="646"/>
      <c r="ABL10" s="646"/>
      <c r="ABM10" s="646"/>
      <c r="ABN10" s="646"/>
      <c r="ABO10" s="646"/>
      <c r="ABP10" s="646"/>
      <c r="ABQ10" s="646"/>
      <c r="ABR10" s="646"/>
      <c r="ABS10" s="501"/>
      <c r="ABT10" s="501"/>
      <c r="ABU10" s="501"/>
      <c r="ABV10" s="501"/>
      <c r="ABW10" s="501"/>
      <c r="ABX10" s="501"/>
      <c r="ABY10" s="501"/>
      <c r="ABZ10" s="501"/>
      <c r="ACA10" s="501"/>
      <c r="ACB10" s="501"/>
      <c r="ACC10" s="501"/>
      <c r="ACD10" s="645"/>
      <c r="ACE10" s="646"/>
      <c r="ACF10" s="646"/>
      <c r="ACG10" s="646"/>
      <c r="ACH10" s="646"/>
      <c r="ACI10" s="646"/>
      <c r="ACJ10" s="646"/>
      <c r="ACK10" s="646"/>
      <c r="ACL10" s="646"/>
      <c r="ACM10" s="646"/>
      <c r="ACN10" s="501"/>
      <c r="ACO10" s="501"/>
      <c r="ACP10" s="501"/>
      <c r="ACQ10" s="501"/>
      <c r="ACR10" s="501"/>
      <c r="ACS10" s="501"/>
      <c r="ACT10" s="501"/>
      <c r="ACU10" s="501"/>
      <c r="ACV10" s="501"/>
      <c r="ACW10" s="501"/>
      <c r="ACX10" s="501"/>
      <c r="ACY10" s="645"/>
      <c r="ACZ10" s="646"/>
      <c r="ADA10" s="646"/>
      <c r="ADB10" s="646"/>
      <c r="ADC10" s="646"/>
      <c r="ADD10" s="646"/>
      <c r="ADE10" s="646"/>
      <c r="ADF10" s="646"/>
      <c r="ADG10" s="646"/>
      <c r="ADH10" s="646"/>
      <c r="ADI10" s="501"/>
      <c r="ADJ10" s="501"/>
      <c r="ADK10" s="501"/>
      <c r="ADL10" s="501"/>
      <c r="ADM10" s="501"/>
      <c r="ADN10" s="501"/>
      <c r="ADO10" s="501"/>
      <c r="ADP10" s="501"/>
      <c r="ADQ10" s="501"/>
      <c r="ADR10" s="501"/>
      <c r="ADS10" s="501"/>
      <c r="ADT10" s="645"/>
      <c r="ADU10" s="646"/>
      <c r="ADV10" s="646"/>
      <c r="ADW10" s="646"/>
      <c r="ADX10" s="646"/>
      <c r="ADY10" s="646"/>
      <c r="ADZ10" s="646"/>
      <c r="AEA10" s="646"/>
      <c r="AEB10" s="646"/>
      <c r="AEC10" s="646"/>
      <c r="AED10" s="501"/>
      <c r="AEE10" s="501"/>
      <c r="AEF10" s="501"/>
      <c r="AEG10" s="501"/>
      <c r="AEH10" s="501"/>
      <c r="AEI10" s="501"/>
      <c r="AEJ10" s="501"/>
      <c r="AEK10" s="501"/>
      <c r="AEL10" s="501"/>
      <c r="AEM10" s="501"/>
      <c r="AEN10" s="501"/>
      <c r="AEO10" s="645"/>
      <c r="AEP10" s="646"/>
      <c r="AEQ10" s="646"/>
      <c r="AER10" s="646"/>
      <c r="AES10" s="646"/>
      <c r="AET10" s="646"/>
      <c r="AEU10" s="646"/>
      <c r="AEV10" s="646"/>
      <c r="AEW10" s="646"/>
      <c r="AEX10" s="646"/>
      <c r="AEY10" s="501"/>
      <c r="AEZ10" s="501"/>
      <c r="AFA10" s="501"/>
      <c r="AFB10" s="501"/>
      <c r="AFC10" s="501"/>
      <c r="AFD10" s="501"/>
      <c r="AFE10" s="501"/>
      <c r="AFF10" s="501"/>
      <c r="AFG10" s="501"/>
      <c r="AFH10" s="501"/>
      <c r="AFI10" s="501"/>
      <c r="AFJ10" s="645"/>
      <c r="AFK10" s="646"/>
      <c r="AFL10" s="646"/>
      <c r="AFM10" s="646"/>
      <c r="AFN10" s="646"/>
      <c r="AFO10" s="646"/>
      <c r="AFP10" s="646"/>
      <c r="AFQ10" s="646"/>
      <c r="AFR10" s="646"/>
      <c r="AFS10" s="646"/>
      <c r="AFT10" s="501"/>
      <c r="AFU10" s="501"/>
      <c r="AFV10" s="501"/>
      <c r="AFW10" s="501"/>
      <c r="AFX10" s="501"/>
      <c r="AFY10" s="501"/>
      <c r="AFZ10" s="501"/>
      <c r="AGA10" s="501"/>
      <c r="AGB10" s="501"/>
      <c r="AGC10" s="501"/>
      <c r="AGD10" s="501"/>
      <c r="AGE10" s="645"/>
      <c r="AGF10" s="646"/>
      <c r="AGG10" s="646"/>
      <c r="AGH10" s="646"/>
      <c r="AGI10" s="646"/>
      <c r="AGJ10" s="646"/>
      <c r="AGK10" s="646"/>
      <c r="AGL10" s="646"/>
      <c r="AGM10" s="646"/>
      <c r="AGN10" s="646"/>
      <c r="AGO10" s="501"/>
      <c r="AGP10" s="501"/>
      <c r="AGQ10" s="501"/>
      <c r="AGR10" s="501"/>
      <c r="AGS10" s="501"/>
      <c r="AGT10" s="501"/>
      <c r="AGU10" s="501"/>
      <c r="AGV10" s="501"/>
      <c r="AGW10" s="501"/>
      <c r="AGX10" s="501"/>
      <c r="AGY10" s="501"/>
      <c r="AGZ10" s="645"/>
      <c r="AHA10" s="646"/>
      <c r="AHB10" s="646"/>
      <c r="AHC10" s="646"/>
      <c r="AHD10" s="646"/>
      <c r="AHE10" s="646"/>
      <c r="AHF10" s="646"/>
      <c r="AHG10" s="646"/>
      <c r="AHH10" s="646"/>
      <c r="AHI10" s="646"/>
      <c r="AHJ10" s="501"/>
      <c r="AHK10" s="501"/>
      <c r="AHL10" s="501"/>
      <c r="AHM10" s="501"/>
      <c r="AHN10" s="501"/>
      <c r="AHO10" s="501"/>
      <c r="AHP10" s="501"/>
      <c r="AHQ10" s="501"/>
      <c r="AHR10" s="501"/>
      <c r="AHS10" s="501"/>
      <c r="AHT10" s="501"/>
      <c r="AHU10" s="645"/>
      <c r="AHV10" s="646"/>
      <c r="AHW10" s="646"/>
      <c r="AHX10" s="646"/>
      <c r="AHY10" s="646"/>
      <c r="AHZ10" s="646"/>
      <c r="AIA10" s="646"/>
      <c r="AIB10" s="646"/>
      <c r="AIC10" s="646"/>
      <c r="AID10" s="646"/>
      <c r="AIE10" s="501"/>
      <c r="AIF10" s="501"/>
      <c r="AIG10" s="501"/>
      <c r="AIH10" s="501"/>
      <c r="AII10" s="501"/>
      <c r="AIJ10" s="501"/>
      <c r="AIK10" s="501"/>
      <c r="AIL10" s="501"/>
      <c r="AIM10" s="501"/>
      <c r="AIN10" s="501"/>
      <c r="AIO10" s="501"/>
      <c r="AIP10" s="645"/>
      <c r="AIQ10" s="646"/>
      <c r="AIR10" s="646"/>
      <c r="AIS10" s="646"/>
      <c r="AIT10" s="646"/>
      <c r="AIU10" s="646"/>
      <c r="AIV10" s="646"/>
      <c r="AIW10" s="646"/>
      <c r="AIX10" s="646"/>
      <c r="AIY10" s="646"/>
      <c r="AIZ10" s="501"/>
      <c r="AJA10" s="501"/>
      <c r="AJB10" s="501"/>
      <c r="AJC10" s="501"/>
      <c r="AJD10" s="501"/>
      <c r="AJE10" s="501"/>
      <c r="AJF10" s="501"/>
      <c r="AJG10" s="501"/>
      <c r="AJH10" s="501"/>
      <c r="AJI10" s="501"/>
      <c r="AJJ10" s="501"/>
      <c r="AJK10" s="645"/>
      <c r="AJL10" s="646"/>
      <c r="AJM10" s="646"/>
      <c r="AJN10" s="646"/>
      <c r="AJO10" s="646"/>
      <c r="AJP10" s="646"/>
      <c r="AJQ10" s="646"/>
      <c r="AJR10" s="646"/>
      <c r="AJS10" s="646"/>
      <c r="AJT10" s="646"/>
      <c r="AJU10" s="501"/>
      <c r="AJV10" s="501"/>
      <c r="AJW10" s="501"/>
      <c r="AJX10" s="501"/>
      <c r="AJY10" s="501"/>
      <c r="AJZ10" s="501"/>
      <c r="AKA10" s="501"/>
      <c r="AKB10" s="501"/>
      <c r="AKC10" s="501"/>
      <c r="AKD10" s="501"/>
      <c r="AKE10" s="501"/>
      <c r="AKF10" s="645"/>
      <c r="AKG10" s="646"/>
      <c r="AKH10" s="646"/>
      <c r="AKI10" s="646"/>
      <c r="AKJ10" s="646"/>
      <c r="AKK10" s="646"/>
      <c r="AKL10" s="646"/>
      <c r="AKM10" s="646"/>
      <c r="AKN10" s="646"/>
      <c r="AKO10" s="646"/>
      <c r="AKP10" s="501"/>
      <c r="AKQ10" s="501"/>
      <c r="AKR10" s="501"/>
      <c r="AKS10" s="501"/>
      <c r="AKT10" s="501"/>
      <c r="AKU10" s="501"/>
      <c r="AKV10" s="501"/>
      <c r="AKW10" s="501"/>
      <c r="AKX10" s="501"/>
      <c r="AKY10" s="501"/>
      <c r="AKZ10" s="501"/>
      <c r="ALA10" s="645"/>
      <c r="ALB10" s="646"/>
      <c r="ALC10" s="646"/>
      <c r="ALD10" s="646"/>
      <c r="ALE10" s="646"/>
      <c r="ALF10" s="646"/>
      <c r="ALG10" s="646"/>
      <c r="ALH10" s="646"/>
      <c r="ALI10" s="646"/>
      <c r="ALJ10" s="646"/>
      <c r="ALK10" s="501"/>
      <c r="ALL10" s="501"/>
      <c r="ALM10" s="501"/>
      <c r="ALN10" s="501"/>
      <c r="ALO10" s="501"/>
      <c r="ALP10" s="501"/>
      <c r="ALQ10" s="501"/>
      <c r="ALR10" s="501"/>
      <c r="ALS10" s="501"/>
      <c r="ALT10" s="501"/>
      <c r="ALU10" s="501"/>
      <c r="ALV10" s="645"/>
      <c r="ALW10" s="646"/>
      <c r="ALX10" s="646"/>
      <c r="ALY10" s="646"/>
      <c r="ALZ10" s="646"/>
      <c r="AMA10" s="646"/>
      <c r="AMB10" s="646"/>
      <c r="AMC10" s="646"/>
      <c r="AMD10" s="646"/>
      <c r="AME10" s="646"/>
      <c r="AMF10" s="501"/>
      <c r="AMG10" s="501"/>
      <c r="AMH10" s="501"/>
      <c r="AMI10" s="501"/>
      <c r="AMJ10" s="501"/>
      <c r="AMK10" s="501"/>
      <c r="AML10" s="501"/>
      <c r="AMM10" s="501"/>
      <c r="AMN10" s="501"/>
      <c r="AMO10" s="501"/>
      <c r="AMP10" s="501"/>
      <c r="AMQ10" s="645"/>
      <c r="AMR10" s="646"/>
      <c r="AMS10" s="646"/>
      <c r="AMT10" s="646"/>
      <c r="AMU10" s="646"/>
      <c r="AMV10" s="646"/>
      <c r="AMW10" s="646"/>
      <c r="AMX10" s="646"/>
      <c r="AMY10" s="646"/>
      <c r="AMZ10" s="646"/>
      <c r="ANA10" s="501"/>
      <c r="ANB10" s="501"/>
      <c r="ANC10" s="501"/>
      <c r="AND10" s="501"/>
      <c r="ANE10" s="501"/>
      <c r="ANF10" s="501"/>
      <c r="ANG10" s="501"/>
      <c r="ANH10" s="501"/>
      <c r="ANI10" s="501"/>
      <c r="ANJ10" s="501"/>
      <c r="ANK10" s="501"/>
      <c r="ANL10" s="645"/>
      <c r="ANM10" s="646"/>
      <c r="ANN10" s="646"/>
      <c r="ANO10" s="646"/>
      <c r="ANP10" s="646"/>
      <c r="ANQ10" s="646"/>
      <c r="ANR10" s="646"/>
      <c r="ANS10" s="646"/>
      <c r="ANT10" s="646"/>
      <c r="ANU10" s="646"/>
      <c r="ANV10" s="501"/>
      <c r="ANW10" s="501"/>
      <c r="ANX10" s="501"/>
      <c r="ANY10" s="501"/>
      <c r="ANZ10" s="501"/>
      <c r="AOA10" s="501"/>
      <c r="AOB10" s="501"/>
      <c r="AOC10" s="501"/>
      <c r="AOD10" s="501"/>
      <c r="AOE10" s="501"/>
      <c r="AOF10" s="501"/>
      <c r="AOG10" s="645"/>
      <c r="AOH10" s="646"/>
      <c r="AOI10" s="646"/>
      <c r="AOJ10" s="646"/>
      <c r="AOK10" s="646"/>
      <c r="AOL10" s="646"/>
      <c r="AOM10" s="646"/>
      <c r="AON10" s="646"/>
      <c r="AOO10" s="646"/>
      <c r="AOP10" s="646"/>
      <c r="AOQ10" s="501"/>
      <c r="AOR10" s="501"/>
      <c r="AOS10" s="501"/>
      <c r="AOT10" s="501"/>
      <c r="AOU10" s="501"/>
      <c r="AOV10" s="501"/>
      <c r="AOW10" s="501"/>
      <c r="AOX10" s="501"/>
      <c r="AOY10" s="501"/>
      <c r="AOZ10" s="501"/>
      <c r="APA10" s="501"/>
      <c r="APB10" s="645"/>
      <c r="APC10" s="646"/>
      <c r="APD10" s="646"/>
      <c r="APE10" s="646"/>
      <c r="APF10" s="646"/>
      <c r="APG10" s="646"/>
      <c r="APH10" s="646"/>
      <c r="API10" s="646"/>
      <c r="APJ10" s="646"/>
      <c r="APK10" s="646"/>
      <c r="APL10" s="501"/>
      <c r="APM10" s="501"/>
      <c r="APN10" s="501"/>
      <c r="APO10" s="501"/>
      <c r="APP10" s="501"/>
      <c r="APQ10" s="501"/>
      <c r="APR10" s="501"/>
      <c r="APS10" s="501"/>
      <c r="APT10" s="501"/>
      <c r="APU10" s="501"/>
      <c r="APV10" s="501"/>
      <c r="APW10" s="645"/>
      <c r="APX10" s="646"/>
      <c r="APY10" s="646"/>
      <c r="APZ10" s="646"/>
      <c r="AQA10" s="646"/>
      <c r="AQB10" s="646"/>
      <c r="AQC10" s="646"/>
      <c r="AQD10" s="646"/>
      <c r="AQE10" s="646"/>
      <c r="AQF10" s="646"/>
      <c r="AQG10" s="501"/>
      <c r="AQH10" s="501"/>
      <c r="AQI10" s="501"/>
      <c r="AQJ10" s="501"/>
      <c r="AQK10" s="501"/>
      <c r="AQL10" s="501"/>
      <c r="AQM10" s="501"/>
      <c r="AQN10" s="501"/>
      <c r="AQO10" s="501"/>
      <c r="AQP10" s="501"/>
      <c r="AQQ10" s="501"/>
      <c r="AQR10" s="645"/>
      <c r="AQS10" s="646"/>
      <c r="AQT10" s="646"/>
      <c r="AQU10" s="646"/>
      <c r="AQV10" s="646"/>
      <c r="AQW10" s="646"/>
      <c r="AQX10" s="646"/>
      <c r="AQY10" s="646"/>
      <c r="AQZ10" s="646"/>
      <c r="ARA10" s="646"/>
      <c r="ARB10" s="501"/>
      <c r="ARC10" s="501"/>
      <c r="ARD10" s="501"/>
      <c r="ARE10" s="501"/>
      <c r="ARF10" s="501"/>
      <c r="ARG10" s="501"/>
      <c r="ARH10" s="501"/>
      <c r="ARI10" s="501"/>
      <c r="ARJ10" s="501"/>
      <c r="ARK10" s="501"/>
      <c r="ARL10" s="501"/>
      <c r="ARM10" s="645"/>
      <c r="ARN10" s="646"/>
      <c r="ARO10" s="646"/>
      <c r="ARP10" s="646"/>
      <c r="ARQ10" s="646"/>
      <c r="ARR10" s="646"/>
      <c r="ARS10" s="646"/>
      <c r="ART10" s="646"/>
      <c r="ARU10" s="646"/>
      <c r="ARV10" s="646"/>
      <c r="ARW10" s="501"/>
      <c r="ARX10" s="501"/>
      <c r="ARY10" s="501"/>
      <c r="ARZ10" s="501"/>
      <c r="ASA10" s="501"/>
      <c r="ASB10" s="501"/>
      <c r="ASC10" s="501"/>
      <c r="ASD10" s="501"/>
      <c r="ASE10" s="501"/>
      <c r="ASF10" s="501"/>
      <c r="ASG10" s="501"/>
      <c r="ASH10" s="645"/>
      <c r="ASI10" s="646"/>
      <c r="ASJ10" s="646"/>
      <c r="ASK10" s="646"/>
      <c r="ASL10" s="646"/>
      <c r="ASM10" s="646"/>
      <c r="ASN10" s="646"/>
      <c r="ASO10" s="646"/>
      <c r="ASP10" s="646"/>
      <c r="ASQ10" s="646"/>
      <c r="ASR10" s="501"/>
      <c r="ASS10" s="501"/>
      <c r="AST10" s="501"/>
      <c r="ASU10" s="501"/>
      <c r="ASV10" s="501"/>
      <c r="ASW10" s="501"/>
      <c r="ASX10" s="501"/>
      <c r="ASY10" s="501"/>
      <c r="ASZ10" s="501"/>
      <c r="ATA10" s="501"/>
      <c r="ATB10" s="501"/>
      <c r="ATC10" s="645"/>
      <c r="ATD10" s="646"/>
      <c r="ATE10" s="646"/>
      <c r="ATF10" s="646"/>
      <c r="ATG10" s="646"/>
      <c r="ATH10" s="646"/>
      <c r="ATI10" s="646"/>
      <c r="ATJ10" s="646"/>
      <c r="ATK10" s="646"/>
      <c r="ATL10" s="646"/>
      <c r="ATM10" s="501"/>
      <c r="ATN10" s="501"/>
      <c r="ATO10" s="501"/>
      <c r="ATP10" s="501"/>
      <c r="ATQ10" s="501"/>
      <c r="ATR10" s="501"/>
      <c r="ATS10" s="501"/>
      <c r="ATT10" s="501"/>
      <c r="ATU10" s="501"/>
      <c r="ATV10" s="501"/>
      <c r="ATW10" s="501"/>
      <c r="ATX10" s="645"/>
      <c r="ATY10" s="646"/>
      <c r="ATZ10" s="646"/>
      <c r="AUA10" s="646"/>
      <c r="AUB10" s="646"/>
      <c r="AUC10" s="646"/>
      <c r="AUD10" s="646"/>
      <c r="AUE10" s="646"/>
      <c r="AUF10" s="646"/>
      <c r="AUG10" s="646"/>
      <c r="AUH10" s="501"/>
      <c r="AUI10" s="501"/>
      <c r="AUJ10" s="501"/>
      <c r="AUK10" s="501"/>
      <c r="AUL10" s="501"/>
      <c r="AUM10" s="501"/>
      <c r="AUN10" s="501"/>
      <c r="AUO10" s="501"/>
      <c r="AUP10" s="501"/>
      <c r="AUQ10" s="501"/>
      <c r="AUR10" s="501"/>
      <c r="AUS10" s="645"/>
      <c r="AUT10" s="646"/>
      <c r="AUU10" s="646"/>
      <c r="AUV10" s="646"/>
      <c r="AUW10" s="646"/>
      <c r="AUX10" s="646"/>
      <c r="AUY10" s="646"/>
      <c r="AUZ10" s="646"/>
      <c r="AVA10" s="646"/>
      <c r="AVB10" s="646"/>
      <c r="AVC10" s="501"/>
      <c r="AVD10" s="501"/>
      <c r="AVE10" s="501"/>
      <c r="AVF10" s="501"/>
      <c r="AVG10" s="501"/>
      <c r="AVH10" s="501"/>
      <c r="AVI10" s="501"/>
      <c r="AVJ10" s="501"/>
      <c r="AVK10" s="501"/>
      <c r="AVL10" s="501"/>
      <c r="AVM10" s="501"/>
      <c r="AVN10" s="645"/>
      <c r="AVO10" s="646"/>
      <c r="AVP10" s="646"/>
      <c r="AVQ10" s="646"/>
      <c r="AVR10" s="646"/>
      <c r="AVS10" s="646"/>
      <c r="AVT10" s="646"/>
      <c r="AVU10" s="646"/>
      <c r="AVV10" s="646"/>
      <c r="AVW10" s="646"/>
      <c r="AVX10" s="501"/>
      <c r="AVY10" s="501"/>
      <c r="AVZ10" s="501"/>
      <c r="AWA10" s="501"/>
      <c r="AWB10" s="501"/>
      <c r="AWC10" s="501"/>
      <c r="AWD10" s="501"/>
      <c r="AWE10" s="501"/>
      <c r="AWF10" s="501"/>
      <c r="AWG10" s="501"/>
      <c r="AWH10" s="501"/>
      <c r="AWI10" s="645"/>
      <c r="AWJ10" s="646"/>
      <c r="AWK10" s="646"/>
      <c r="AWL10" s="646"/>
      <c r="AWM10" s="646"/>
      <c r="AWN10" s="646"/>
      <c r="AWO10" s="646"/>
      <c r="AWP10" s="646"/>
      <c r="AWQ10" s="646"/>
      <c r="AWR10" s="646"/>
      <c r="AWS10" s="501"/>
      <c r="AWT10" s="501"/>
      <c r="AWU10" s="501"/>
      <c r="AWV10" s="501"/>
      <c r="AWW10" s="501"/>
      <c r="AWX10" s="501"/>
      <c r="AWY10" s="501"/>
      <c r="AWZ10" s="501"/>
      <c r="AXA10" s="501"/>
      <c r="AXB10" s="501"/>
      <c r="AXC10" s="501"/>
      <c r="AXD10" s="645"/>
      <c r="AXE10" s="646"/>
      <c r="AXF10" s="646"/>
      <c r="AXG10" s="646"/>
      <c r="AXH10" s="646"/>
      <c r="AXI10" s="646"/>
      <c r="AXJ10" s="646"/>
      <c r="AXK10" s="646"/>
      <c r="AXL10" s="646"/>
      <c r="AXM10" s="646"/>
      <c r="AXN10" s="501"/>
      <c r="AXO10" s="501"/>
      <c r="AXP10" s="501"/>
      <c r="AXQ10" s="501"/>
      <c r="AXR10" s="501"/>
      <c r="AXS10" s="501"/>
      <c r="AXT10" s="501"/>
      <c r="AXU10" s="501"/>
      <c r="AXV10" s="501"/>
      <c r="AXW10" s="501"/>
      <c r="AXX10" s="501"/>
      <c r="AXY10" s="645"/>
      <c r="AXZ10" s="646"/>
      <c r="AYA10" s="646"/>
      <c r="AYB10" s="646"/>
      <c r="AYC10" s="646"/>
      <c r="AYD10" s="646"/>
      <c r="AYE10" s="646"/>
      <c r="AYF10" s="646"/>
      <c r="AYG10" s="646"/>
      <c r="AYH10" s="646"/>
      <c r="AYI10" s="501"/>
      <c r="AYJ10" s="501"/>
      <c r="AYK10" s="501"/>
      <c r="AYL10" s="501"/>
      <c r="AYM10" s="501"/>
      <c r="AYN10" s="501"/>
      <c r="AYO10" s="501"/>
      <c r="AYP10" s="501"/>
      <c r="AYQ10" s="501"/>
      <c r="AYR10" s="501"/>
      <c r="AYS10" s="501"/>
      <c r="AYT10" s="645"/>
      <c r="AYU10" s="646"/>
      <c r="AYV10" s="646"/>
      <c r="AYW10" s="646"/>
      <c r="AYX10" s="646"/>
      <c r="AYY10" s="646"/>
      <c r="AYZ10" s="646"/>
      <c r="AZA10" s="646"/>
      <c r="AZB10" s="646"/>
      <c r="AZC10" s="646"/>
      <c r="AZD10" s="501"/>
      <c r="AZE10" s="501"/>
      <c r="AZF10" s="501"/>
      <c r="AZG10" s="501"/>
      <c r="AZH10" s="501"/>
      <c r="AZI10" s="501"/>
      <c r="AZJ10" s="501"/>
      <c r="AZK10" s="501"/>
      <c r="AZL10" s="501"/>
      <c r="AZM10" s="501"/>
      <c r="AZN10" s="501"/>
      <c r="AZO10" s="645"/>
      <c r="AZP10" s="646"/>
      <c r="AZQ10" s="646"/>
      <c r="AZR10" s="646"/>
      <c r="AZS10" s="646"/>
      <c r="AZT10" s="646"/>
      <c r="AZU10" s="646"/>
      <c r="AZV10" s="646"/>
      <c r="AZW10" s="646"/>
      <c r="AZX10" s="646"/>
      <c r="AZY10" s="501"/>
      <c r="AZZ10" s="501"/>
      <c r="BAA10" s="501"/>
      <c r="BAB10" s="501"/>
      <c r="BAC10" s="501"/>
      <c r="BAD10" s="501"/>
      <c r="BAE10" s="501"/>
      <c r="BAF10" s="501"/>
      <c r="BAG10" s="501"/>
      <c r="BAH10" s="501"/>
      <c r="BAI10" s="501"/>
      <c r="BAJ10" s="645"/>
      <c r="BAK10" s="646"/>
      <c r="BAL10" s="646"/>
      <c r="BAM10" s="646"/>
      <c r="BAN10" s="646"/>
      <c r="BAO10" s="646"/>
      <c r="BAP10" s="646"/>
      <c r="BAQ10" s="646"/>
      <c r="BAR10" s="646"/>
      <c r="BAS10" s="646"/>
      <c r="BAT10" s="501"/>
      <c r="BAU10" s="501"/>
      <c r="BAV10" s="501"/>
      <c r="BAW10" s="501"/>
      <c r="BAX10" s="501"/>
      <c r="BAY10" s="501"/>
      <c r="BAZ10" s="501"/>
      <c r="BBA10" s="501"/>
      <c r="BBB10" s="501"/>
      <c r="BBC10" s="501"/>
      <c r="BBD10" s="501"/>
      <c r="BBE10" s="645"/>
      <c r="BBF10" s="646"/>
      <c r="BBG10" s="646"/>
      <c r="BBH10" s="646"/>
      <c r="BBI10" s="646"/>
      <c r="BBJ10" s="646"/>
      <c r="BBK10" s="646"/>
      <c r="BBL10" s="646"/>
      <c r="BBM10" s="646"/>
      <c r="BBN10" s="646"/>
      <c r="BBO10" s="501"/>
      <c r="BBP10" s="501"/>
      <c r="BBQ10" s="501"/>
      <c r="BBR10" s="501"/>
      <c r="BBS10" s="501"/>
      <c r="BBT10" s="501"/>
      <c r="BBU10" s="501"/>
      <c r="BBV10" s="501"/>
      <c r="BBW10" s="501"/>
      <c r="BBX10" s="501"/>
      <c r="BBY10" s="501"/>
      <c r="BBZ10" s="645"/>
      <c r="BCA10" s="646"/>
      <c r="BCB10" s="646"/>
      <c r="BCC10" s="646"/>
      <c r="BCD10" s="646"/>
      <c r="BCE10" s="646"/>
      <c r="BCF10" s="646"/>
      <c r="BCG10" s="646"/>
      <c r="BCH10" s="646"/>
      <c r="BCI10" s="646"/>
      <c r="BCJ10" s="501"/>
      <c r="BCK10" s="501"/>
      <c r="BCL10" s="501"/>
      <c r="BCM10" s="501"/>
      <c r="BCN10" s="501"/>
      <c r="BCO10" s="501"/>
      <c r="BCP10" s="501"/>
      <c r="BCQ10" s="501"/>
      <c r="BCR10" s="501"/>
      <c r="BCS10" s="501"/>
      <c r="BCT10" s="501"/>
      <c r="BCU10" s="645"/>
      <c r="BCV10" s="646"/>
      <c r="BCW10" s="646"/>
      <c r="BCX10" s="646"/>
      <c r="BCY10" s="646"/>
      <c r="BCZ10" s="646"/>
      <c r="BDA10" s="646"/>
      <c r="BDB10" s="646"/>
      <c r="BDC10" s="646"/>
      <c r="BDD10" s="646"/>
      <c r="BDE10" s="501"/>
      <c r="BDF10" s="501"/>
      <c r="BDG10" s="501"/>
      <c r="BDH10" s="501"/>
      <c r="BDI10" s="501"/>
      <c r="BDJ10" s="501"/>
      <c r="BDK10" s="501"/>
      <c r="BDL10" s="501"/>
      <c r="BDM10" s="501"/>
      <c r="BDN10" s="501"/>
      <c r="BDO10" s="501"/>
      <c r="BDP10" s="645"/>
      <c r="BDQ10" s="646"/>
      <c r="BDR10" s="646"/>
      <c r="BDS10" s="646"/>
      <c r="BDT10" s="646"/>
      <c r="BDU10" s="646"/>
      <c r="BDV10" s="646"/>
      <c r="BDW10" s="646"/>
      <c r="BDX10" s="646"/>
      <c r="BDY10" s="646"/>
      <c r="BDZ10" s="501"/>
      <c r="BEA10" s="501"/>
      <c r="BEB10" s="501"/>
      <c r="BEC10" s="501"/>
      <c r="BED10" s="501"/>
      <c r="BEE10" s="501"/>
      <c r="BEF10" s="501"/>
      <c r="BEG10" s="501"/>
      <c r="BEH10" s="501"/>
      <c r="BEI10" s="501"/>
      <c r="BEJ10" s="501"/>
      <c r="BEK10" s="645"/>
      <c r="BEL10" s="646"/>
      <c r="BEM10" s="646"/>
      <c r="BEN10" s="646"/>
      <c r="BEO10" s="646"/>
      <c r="BEP10" s="646"/>
      <c r="BEQ10" s="646"/>
      <c r="BER10" s="646"/>
      <c r="BES10" s="646"/>
      <c r="BET10" s="646"/>
      <c r="BEU10" s="501"/>
      <c r="BEV10" s="501"/>
      <c r="BEW10" s="501"/>
      <c r="BEX10" s="501"/>
      <c r="BEY10" s="501"/>
      <c r="BEZ10" s="501"/>
      <c r="BFA10" s="501"/>
      <c r="BFB10" s="501"/>
      <c r="BFC10" s="501"/>
      <c r="BFD10" s="501"/>
      <c r="BFE10" s="501"/>
      <c r="BFF10" s="645"/>
      <c r="BFG10" s="646"/>
      <c r="BFH10" s="646"/>
      <c r="BFI10" s="646"/>
      <c r="BFJ10" s="646"/>
      <c r="BFK10" s="646"/>
      <c r="BFL10" s="646"/>
      <c r="BFM10" s="646"/>
      <c r="BFN10" s="646"/>
      <c r="BFO10" s="646"/>
      <c r="BFP10" s="501"/>
      <c r="BFQ10" s="501"/>
      <c r="BFR10" s="501"/>
      <c r="BFS10" s="501"/>
      <c r="BFT10" s="501"/>
      <c r="BFU10" s="501"/>
      <c r="BFV10" s="501"/>
      <c r="BFW10" s="501"/>
      <c r="BFX10" s="501"/>
      <c r="BFY10" s="501"/>
      <c r="BFZ10" s="501"/>
      <c r="BGA10" s="645"/>
      <c r="BGB10" s="646"/>
      <c r="BGC10" s="646"/>
      <c r="BGD10" s="646"/>
      <c r="BGE10" s="646"/>
      <c r="BGF10" s="646"/>
      <c r="BGG10" s="646"/>
      <c r="BGH10" s="646"/>
      <c r="BGI10" s="646"/>
      <c r="BGJ10" s="646"/>
      <c r="BGK10" s="501"/>
      <c r="BGL10" s="501"/>
      <c r="BGM10" s="501"/>
      <c r="BGN10" s="501"/>
      <c r="BGO10" s="501"/>
      <c r="BGP10" s="501"/>
      <c r="BGQ10" s="501"/>
      <c r="BGR10" s="501"/>
      <c r="BGS10" s="501"/>
      <c r="BGT10" s="501"/>
      <c r="BGU10" s="501"/>
      <c r="BGV10" s="645"/>
      <c r="BGW10" s="646"/>
      <c r="BGX10" s="646"/>
      <c r="BGY10" s="646"/>
      <c r="BGZ10" s="646"/>
      <c r="BHA10" s="646"/>
      <c r="BHB10" s="646"/>
      <c r="BHC10" s="646"/>
      <c r="BHD10" s="646"/>
      <c r="BHE10" s="646"/>
      <c r="BHF10" s="501"/>
      <c r="BHG10" s="501"/>
      <c r="BHH10" s="501"/>
      <c r="BHI10" s="501"/>
      <c r="BHJ10" s="501"/>
      <c r="BHK10" s="501"/>
      <c r="BHL10" s="501"/>
      <c r="BHM10" s="501"/>
      <c r="BHN10" s="501"/>
      <c r="BHO10" s="501"/>
      <c r="BHP10" s="501"/>
      <c r="BHQ10" s="645"/>
      <c r="BHR10" s="646"/>
      <c r="BHS10" s="646"/>
      <c r="BHT10" s="646"/>
      <c r="BHU10" s="646"/>
      <c r="BHV10" s="646"/>
      <c r="BHW10" s="646"/>
      <c r="BHX10" s="646"/>
      <c r="BHY10" s="646"/>
      <c r="BHZ10" s="646"/>
      <c r="BIA10" s="501"/>
      <c r="BIB10" s="501"/>
      <c r="BIC10" s="501"/>
      <c r="BID10" s="501"/>
      <c r="BIE10" s="501"/>
      <c r="BIF10" s="501"/>
      <c r="BIG10" s="501"/>
      <c r="BIH10" s="501"/>
      <c r="BII10" s="501"/>
      <c r="BIJ10" s="501"/>
      <c r="BIK10" s="501"/>
      <c r="BIL10" s="645"/>
      <c r="BIM10" s="646"/>
      <c r="BIN10" s="646"/>
      <c r="BIO10" s="646"/>
      <c r="BIP10" s="646"/>
      <c r="BIQ10" s="646"/>
      <c r="BIR10" s="646"/>
      <c r="BIS10" s="646"/>
      <c r="BIT10" s="646"/>
      <c r="BIU10" s="646"/>
      <c r="BIV10" s="501"/>
      <c r="BIW10" s="501"/>
      <c r="BIX10" s="501"/>
      <c r="BIY10" s="501"/>
      <c r="BIZ10" s="501"/>
      <c r="BJA10" s="501"/>
      <c r="BJB10" s="501"/>
      <c r="BJC10" s="501"/>
      <c r="BJD10" s="501"/>
      <c r="BJE10" s="501"/>
      <c r="BJF10" s="501"/>
      <c r="BJG10" s="645"/>
      <c r="BJH10" s="646"/>
      <c r="BJI10" s="646"/>
      <c r="BJJ10" s="646"/>
      <c r="BJK10" s="646"/>
      <c r="BJL10" s="646"/>
      <c r="BJM10" s="646"/>
      <c r="BJN10" s="646"/>
      <c r="BJO10" s="646"/>
      <c r="BJP10" s="646"/>
      <c r="BJQ10" s="501"/>
      <c r="BJR10" s="501"/>
      <c r="BJS10" s="501"/>
      <c r="BJT10" s="501"/>
      <c r="BJU10" s="501"/>
      <c r="BJV10" s="501"/>
      <c r="BJW10" s="501"/>
      <c r="BJX10" s="501"/>
      <c r="BJY10" s="501"/>
      <c r="BJZ10" s="501"/>
      <c r="BKA10" s="501"/>
      <c r="BKB10" s="645"/>
      <c r="BKC10" s="646"/>
      <c r="BKD10" s="646"/>
      <c r="BKE10" s="646"/>
      <c r="BKF10" s="646"/>
      <c r="BKG10" s="646"/>
      <c r="BKH10" s="646"/>
      <c r="BKI10" s="646"/>
      <c r="BKJ10" s="646"/>
      <c r="BKK10" s="646"/>
      <c r="BKL10" s="501"/>
      <c r="BKM10" s="501"/>
      <c r="BKN10" s="501"/>
      <c r="BKO10" s="501"/>
      <c r="BKP10" s="501"/>
      <c r="BKQ10" s="501"/>
      <c r="BKR10" s="501"/>
      <c r="BKS10" s="501"/>
      <c r="BKT10" s="501"/>
      <c r="BKU10" s="501"/>
      <c r="BKV10" s="501"/>
      <c r="BKW10" s="645"/>
      <c r="BKX10" s="646"/>
      <c r="BKY10" s="646"/>
      <c r="BKZ10" s="646"/>
      <c r="BLA10" s="646"/>
      <c r="BLB10" s="646"/>
      <c r="BLC10" s="646"/>
      <c r="BLD10" s="646"/>
      <c r="BLE10" s="646"/>
      <c r="BLF10" s="646"/>
      <c r="BLG10" s="501"/>
      <c r="BLH10" s="501"/>
      <c r="BLI10" s="501"/>
      <c r="BLJ10" s="501"/>
      <c r="BLK10" s="501"/>
      <c r="BLL10" s="501"/>
      <c r="BLM10" s="501"/>
      <c r="BLN10" s="501"/>
      <c r="BLO10" s="501"/>
      <c r="BLP10" s="501"/>
      <c r="BLQ10" s="501"/>
      <c r="BLR10" s="645"/>
      <c r="BLS10" s="646"/>
      <c r="BLT10" s="646"/>
      <c r="BLU10" s="646"/>
      <c r="BLV10" s="646"/>
      <c r="BLW10" s="646"/>
      <c r="BLX10" s="646"/>
      <c r="BLY10" s="646"/>
      <c r="BLZ10" s="646"/>
      <c r="BMA10" s="646"/>
      <c r="BMB10" s="501"/>
      <c r="BMC10" s="501"/>
      <c r="BMD10" s="501"/>
      <c r="BME10" s="501"/>
      <c r="BMF10" s="501"/>
      <c r="BMG10" s="501"/>
      <c r="BMH10" s="501"/>
      <c r="BMI10" s="501"/>
      <c r="BMJ10" s="501"/>
      <c r="BMK10" s="501"/>
      <c r="BML10" s="501"/>
      <c r="BMM10" s="645"/>
      <c r="BMN10" s="646"/>
      <c r="BMO10" s="646"/>
      <c r="BMP10" s="646"/>
      <c r="BMQ10" s="646"/>
      <c r="BMR10" s="646"/>
      <c r="BMS10" s="646"/>
      <c r="BMT10" s="646"/>
      <c r="BMU10" s="646"/>
      <c r="BMV10" s="646"/>
      <c r="BMW10" s="501"/>
      <c r="BMX10" s="501"/>
      <c r="BMY10" s="501"/>
      <c r="BMZ10" s="501"/>
      <c r="BNA10" s="501"/>
      <c r="BNB10" s="501"/>
      <c r="BNC10" s="501"/>
      <c r="BND10" s="501"/>
      <c r="BNE10" s="501"/>
      <c r="BNF10" s="501"/>
      <c r="BNG10" s="501"/>
      <c r="BNH10" s="645"/>
      <c r="BNI10" s="646"/>
      <c r="BNJ10" s="646"/>
      <c r="BNK10" s="646"/>
      <c r="BNL10" s="646"/>
      <c r="BNM10" s="646"/>
      <c r="BNN10" s="646"/>
      <c r="BNO10" s="646"/>
      <c r="BNP10" s="646"/>
      <c r="BNQ10" s="646"/>
      <c r="BNR10" s="501"/>
      <c r="BNS10" s="501"/>
      <c r="BNT10" s="501"/>
      <c r="BNU10" s="501"/>
      <c r="BNV10" s="501"/>
      <c r="BNW10" s="501"/>
      <c r="BNX10" s="501"/>
      <c r="BNY10" s="501"/>
      <c r="BNZ10" s="501"/>
      <c r="BOA10" s="501"/>
      <c r="BOB10" s="501"/>
      <c r="BOC10" s="645"/>
      <c r="BOD10" s="646"/>
      <c r="BOE10" s="646"/>
      <c r="BOF10" s="646"/>
      <c r="BOG10" s="646"/>
      <c r="BOH10" s="646"/>
      <c r="BOI10" s="646"/>
      <c r="BOJ10" s="646"/>
      <c r="BOK10" s="646"/>
      <c r="BOL10" s="646"/>
      <c r="BOM10" s="501"/>
      <c r="BON10" s="501"/>
      <c r="BOO10" s="501"/>
      <c r="BOP10" s="501"/>
      <c r="BOQ10" s="501"/>
      <c r="BOR10" s="501"/>
      <c r="BOS10" s="501"/>
      <c r="BOT10" s="501"/>
      <c r="BOU10" s="501"/>
      <c r="BOV10" s="501"/>
      <c r="BOW10" s="501"/>
      <c r="BOX10" s="645"/>
      <c r="BOY10" s="646"/>
      <c r="BOZ10" s="646"/>
      <c r="BPA10" s="646"/>
      <c r="BPB10" s="646"/>
      <c r="BPC10" s="646"/>
      <c r="BPD10" s="646"/>
      <c r="BPE10" s="646"/>
      <c r="BPF10" s="646"/>
      <c r="BPG10" s="646"/>
      <c r="BPH10" s="501"/>
      <c r="BPI10" s="501"/>
      <c r="BPJ10" s="501"/>
      <c r="BPK10" s="501"/>
      <c r="BPL10" s="501"/>
      <c r="BPM10" s="501"/>
      <c r="BPN10" s="501"/>
      <c r="BPO10" s="501"/>
      <c r="BPP10" s="501"/>
      <c r="BPQ10" s="501"/>
      <c r="BPR10" s="501"/>
      <c r="BPS10" s="645"/>
      <c r="BPT10" s="646"/>
      <c r="BPU10" s="646"/>
      <c r="BPV10" s="646"/>
      <c r="BPW10" s="646"/>
      <c r="BPX10" s="646"/>
      <c r="BPY10" s="646"/>
      <c r="BPZ10" s="646"/>
      <c r="BQA10" s="646"/>
      <c r="BQB10" s="646"/>
      <c r="BQC10" s="501"/>
      <c r="BQD10" s="501"/>
      <c r="BQE10" s="501"/>
      <c r="BQF10" s="501"/>
      <c r="BQG10" s="501"/>
      <c r="BQH10" s="501"/>
      <c r="BQI10" s="501"/>
      <c r="BQJ10" s="501"/>
      <c r="BQK10" s="501"/>
      <c r="BQL10" s="501"/>
      <c r="BQM10" s="501"/>
      <c r="BQN10" s="645"/>
      <c r="BQO10" s="646"/>
      <c r="BQP10" s="646"/>
      <c r="BQQ10" s="646"/>
      <c r="BQR10" s="646"/>
      <c r="BQS10" s="646"/>
      <c r="BQT10" s="646"/>
      <c r="BQU10" s="646"/>
      <c r="BQV10" s="646"/>
      <c r="BQW10" s="646"/>
      <c r="BQX10" s="501"/>
      <c r="BQY10" s="501"/>
      <c r="BQZ10" s="501"/>
      <c r="BRA10" s="501"/>
      <c r="BRB10" s="501"/>
      <c r="BRC10" s="501"/>
      <c r="BRD10" s="501"/>
      <c r="BRE10" s="501"/>
      <c r="BRF10" s="501"/>
      <c r="BRG10" s="501"/>
      <c r="BRH10" s="501"/>
      <c r="BRI10" s="645"/>
      <c r="BRJ10" s="646"/>
      <c r="BRK10" s="646"/>
      <c r="BRL10" s="646"/>
      <c r="BRM10" s="646"/>
      <c r="BRN10" s="646"/>
      <c r="BRO10" s="646"/>
      <c r="BRP10" s="646"/>
      <c r="BRQ10" s="646"/>
      <c r="BRR10" s="646"/>
      <c r="BRS10" s="501"/>
      <c r="BRT10" s="501"/>
      <c r="BRU10" s="501"/>
      <c r="BRV10" s="501"/>
      <c r="BRW10" s="501"/>
      <c r="BRX10" s="501"/>
      <c r="BRY10" s="501"/>
      <c r="BRZ10" s="501"/>
      <c r="BSA10" s="501"/>
      <c r="BSB10" s="501"/>
      <c r="BSC10" s="501"/>
      <c r="BSD10" s="645"/>
      <c r="BSE10" s="646"/>
      <c r="BSF10" s="646"/>
      <c r="BSG10" s="646"/>
      <c r="BSH10" s="646"/>
      <c r="BSI10" s="646"/>
      <c r="BSJ10" s="646"/>
      <c r="BSK10" s="646"/>
      <c r="BSL10" s="646"/>
      <c r="BSM10" s="646"/>
      <c r="BSN10" s="501"/>
      <c r="BSO10" s="501"/>
      <c r="BSP10" s="501"/>
      <c r="BSQ10" s="501"/>
      <c r="BSR10" s="501"/>
      <c r="BSS10" s="501"/>
      <c r="BST10" s="501"/>
      <c r="BSU10" s="501"/>
      <c r="BSV10" s="501"/>
      <c r="BSW10" s="501"/>
      <c r="BSX10" s="501"/>
      <c r="BSY10" s="645"/>
      <c r="BSZ10" s="646"/>
      <c r="BTA10" s="646"/>
      <c r="BTB10" s="646"/>
      <c r="BTC10" s="646"/>
      <c r="BTD10" s="646"/>
      <c r="BTE10" s="646"/>
      <c r="BTF10" s="646"/>
      <c r="BTG10" s="646"/>
      <c r="BTH10" s="646"/>
      <c r="BTI10" s="501"/>
      <c r="BTJ10" s="501"/>
      <c r="BTK10" s="501"/>
      <c r="BTL10" s="501"/>
      <c r="BTM10" s="501"/>
      <c r="BTN10" s="501"/>
      <c r="BTO10" s="501"/>
      <c r="BTP10" s="501"/>
      <c r="BTQ10" s="501"/>
      <c r="BTR10" s="501"/>
      <c r="BTS10" s="501"/>
      <c r="BTT10" s="645"/>
      <c r="BTU10" s="646"/>
      <c r="BTV10" s="646"/>
      <c r="BTW10" s="646"/>
      <c r="BTX10" s="646"/>
      <c r="BTY10" s="646"/>
      <c r="BTZ10" s="646"/>
      <c r="BUA10" s="646"/>
      <c r="BUB10" s="646"/>
      <c r="BUC10" s="646"/>
      <c r="BUD10" s="501"/>
      <c r="BUE10" s="501"/>
      <c r="BUF10" s="501"/>
      <c r="BUG10" s="501"/>
      <c r="BUH10" s="501"/>
      <c r="BUI10" s="501"/>
      <c r="BUJ10" s="501"/>
      <c r="BUK10" s="501"/>
      <c r="BUL10" s="501"/>
      <c r="BUM10" s="501"/>
      <c r="BUN10" s="501"/>
      <c r="BUO10" s="645"/>
      <c r="BUP10" s="646"/>
      <c r="BUQ10" s="646"/>
      <c r="BUR10" s="646"/>
      <c r="BUS10" s="646"/>
      <c r="BUT10" s="646"/>
      <c r="BUU10" s="646"/>
      <c r="BUV10" s="646"/>
      <c r="BUW10" s="646"/>
      <c r="BUX10" s="646"/>
      <c r="BUY10" s="501"/>
      <c r="BUZ10" s="501"/>
      <c r="BVA10" s="501"/>
      <c r="BVB10" s="501"/>
      <c r="BVC10" s="501"/>
      <c r="BVD10" s="501"/>
      <c r="BVE10" s="501"/>
      <c r="BVF10" s="501"/>
      <c r="BVG10" s="501"/>
      <c r="BVH10" s="501"/>
      <c r="BVI10" s="501"/>
      <c r="BVJ10" s="645"/>
      <c r="BVK10" s="646"/>
      <c r="BVL10" s="646"/>
      <c r="BVM10" s="646"/>
      <c r="BVN10" s="646"/>
      <c r="BVO10" s="646"/>
      <c r="BVP10" s="646"/>
      <c r="BVQ10" s="646"/>
      <c r="BVR10" s="646"/>
      <c r="BVS10" s="646"/>
      <c r="BVT10" s="501"/>
      <c r="BVU10" s="501"/>
      <c r="BVV10" s="501"/>
      <c r="BVW10" s="501"/>
      <c r="BVX10" s="501"/>
      <c r="BVY10" s="501"/>
      <c r="BVZ10" s="501"/>
      <c r="BWA10" s="501"/>
      <c r="BWB10" s="501"/>
      <c r="BWC10" s="501"/>
      <c r="BWD10" s="501"/>
      <c r="BWE10" s="645"/>
      <c r="BWF10" s="646"/>
      <c r="BWG10" s="646"/>
      <c r="BWH10" s="646"/>
      <c r="BWI10" s="646"/>
      <c r="BWJ10" s="646"/>
      <c r="BWK10" s="646"/>
      <c r="BWL10" s="646"/>
      <c r="BWM10" s="646"/>
      <c r="BWN10" s="646"/>
      <c r="BWO10" s="501"/>
      <c r="BWP10" s="501"/>
      <c r="BWQ10" s="501"/>
      <c r="BWR10" s="501"/>
      <c r="BWS10" s="501"/>
      <c r="BWT10" s="501"/>
      <c r="BWU10" s="501"/>
      <c r="BWV10" s="501"/>
      <c r="BWW10" s="501"/>
      <c r="BWX10" s="501"/>
      <c r="BWY10" s="501"/>
      <c r="BWZ10" s="645"/>
      <c r="BXA10" s="646"/>
      <c r="BXB10" s="646"/>
      <c r="BXC10" s="646"/>
      <c r="BXD10" s="646"/>
      <c r="BXE10" s="646"/>
      <c r="BXF10" s="646"/>
      <c r="BXG10" s="646"/>
      <c r="BXH10" s="646"/>
      <c r="BXI10" s="646"/>
      <c r="BXJ10" s="501"/>
      <c r="BXK10" s="501"/>
      <c r="BXL10" s="501"/>
      <c r="BXM10" s="501"/>
      <c r="BXN10" s="501"/>
      <c r="BXO10" s="501"/>
      <c r="BXP10" s="501"/>
      <c r="BXQ10" s="501"/>
      <c r="BXR10" s="501"/>
      <c r="BXS10" s="501"/>
      <c r="BXT10" s="501"/>
      <c r="BXU10" s="645"/>
      <c r="BXV10" s="646"/>
      <c r="BXW10" s="646"/>
      <c r="BXX10" s="646"/>
      <c r="BXY10" s="646"/>
      <c r="BXZ10" s="646"/>
      <c r="BYA10" s="646"/>
      <c r="BYB10" s="646"/>
      <c r="BYC10" s="646"/>
      <c r="BYD10" s="646"/>
      <c r="BYE10" s="501"/>
      <c r="BYF10" s="501"/>
      <c r="BYG10" s="501"/>
      <c r="BYH10" s="501"/>
      <c r="BYI10" s="501"/>
      <c r="BYJ10" s="501"/>
      <c r="BYK10" s="501"/>
      <c r="BYL10" s="501"/>
      <c r="BYM10" s="501"/>
      <c r="BYN10" s="501"/>
      <c r="BYO10" s="501"/>
      <c r="BYP10" s="645"/>
      <c r="BYQ10" s="646"/>
      <c r="BYR10" s="646"/>
      <c r="BYS10" s="646"/>
      <c r="BYT10" s="646"/>
      <c r="BYU10" s="646"/>
      <c r="BYV10" s="646"/>
      <c r="BYW10" s="646"/>
      <c r="BYX10" s="646"/>
      <c r="BYY10" s="646"/>
      <c r="BYZ10" s="501"/>
      <c r="BZA10" s="501"/>
      <c r="BZB10" s="501"/>
      <c r="BZC10" s="501"/>
      <c r="BZD10" s="501"/>
      <c r="BZE10" s="501"/>
      <c r="BZF10" s="501"/>
      <c r="BZG10" s="501"/>
      <c r="BZH10" s="501"/>
      <c r="BZI10" s="501"/>
      <c r="BZJ10" s="501"/>
      <c r="BZK10" s="645"/>
      <c r="BZL10" s="646"/>
      <c r="BZM10" s="646"/>
      <c r="BZN10" s="646"/>
      <c r="BZO10" s="646"/>
      <c r="BZP10" s="646"/>
      <c r="BZQ10" s="646"/>
      <c r="BZR10" s="646"/>
      <c r="BZS10" s="646"/>
      <c r="BZT10" s="646"/>
      <c r="BZU10" s="501"/>
      <c r="BZV10" s="501"/>
      <c r="BZW10" s="501"/>
      <c r="BZX10" s="501"/>
      <c r="BZY10" s="501"/>
      <c r="BZZ10" s="501"/>
      <c r="CAA10" s="501"/>
      <c r="CAB10" s="501"/>
      <c r="CAC10" s="501"/>
      <c r="CAD10" s="501"/>
      <c r="CAE10" s="501"/>
      <c r="CAF10" s="645"/>
      <c r="CAG10" s="646"/>
      <c r="CAH10" s="646"/>
      <c r="CAI10" s="646"/>
      <c r="CAJ10" s="646"/>
      <c r="CAK10" s="646"/>
      <c r="CAL10" s="646"/>
      <c r="CAM10" s="646"/>
      <c r="CAN10" s="646"/>
      <c r="CAO10" s="646"/>
      <c r="CAP10" s="501"/>
      <c r="CAQ10" s="501"/>
      <c r="CAR10" s="501"/>
      <c r="CAS10" s="501"/>
      <c r="CAT10" s="501"/>
      <c r="CAU10" s="501"/>
      <c r="CAV10" s="501"/>
      <c r="CAW10" s="501"/>
      <c r="CAX10" s="501"/>
      <c r="CAY10" s="501"/>
      <c r="CAZ10" s="501"/>
      <c r="CBA10" s="645"/>
      <c r="CBB10" s="646"/>
      <c r="CBC10" s="646"/>
      <c r="CBD10" s="646"/>
      <c r="CBE10" s="646"/>
      <c r="CBF10" s="646"/>
      <c r="CBG10" s="646"/>
      <c r="CBH10" s="646"/>
      <c r="CBI10" s="646"/>
      <c r="CBJ10" s="646"/>
      <c r="CBK10" s="501"/>
      <c r="CBL10" s="501"/>
      <c r="CBM10" s="501"/>
      <c r="CBN10" s="501"/>
      <c r="CBO10" s="501"/>
      <c r="CBP10" s="501"/>
      <c r="CBQ10" s="501"/>
      <c r="CBR10" s="501"/>
      <c r="CBS10" s="501"/>
      <c r="CBT10" s="501"/>
      <c r="CBU10" s="501"/>
      <c r="CBV10" s="645"/>
      <c r="CBW10" s="646"/>
      <c r="CBX10" s="646"/>
      <c r="CBY10" s="646"/>
      <c r="CBZ10" s="646"/>
      <c r="CCA10" s="646"/>
      <c r="CCB10" s="646"/>
      <c r="CCC10" s="646"/>
      <c r="CCD10" s="646"/>
      <c r="CCE10" s="646"/>
      <c r="CCF10" s="501"/>
      <c r="CCG10" s="501"/>
      <c r="CCH10" s="501"/>
      <c r="CCI10" s="501"/>
      <c r="CCJ10" s="501"/>
      <c r="CCK10" s="501"/>
      <c r="CCL10" s="501"/>
      <c r="CCM10" s="501"/>
      <c r="CCN10" s="501"/>
      <c r="CCO10" s="501"/>
      <c r="CCP10" s="501"/>
      <c r="CCQ10" s="645"/>
      <c r="CCR10" s="646"/>
      <c r="CCS10" s="646"/>
      <c r="CCT10" s="646"/>
      <c r="CCU10" s="646"/>
      <c r="CCV10" s="646"/>
      <c r="CCW10" s="646"/>
      <c r="CCX10" s="646"/>
      <c r="CCY10" s="646"/>
      <c r="CCZ10" s="646"/>
      <c r="CDA10" s="501"/>
      <c r="CDB10" s="501"/>
      <c r="CDC10" s="501"/>
      <c r="CDD10" s="501"/>
      <c r="CDE10" s="501"/>
      <c r="CDF10" s="501"/>
      <c r="CDG10" s="501"/>
      <c r="CDH10" s="501"/>
      <c r="CDI10" s="501"/>
      <c r="CDJ10" s="501"/>
      <c r="CDK10" s="501"/>
      <c r="CDL10" s="645"/>
      <c r="CDM10" s="646"/>
      <c r="CDN10" s="646"/>
      <c r="CDO10" s="646"/>
      <c r="CDP10" s="646"/>
      <c r="CDQ10" s="646"/>
      <c r="CDR10" s="646"/>
      <c r="CDS10" s="646"/>
      <c r="CDT10" s="646"/>
      <c r="CDU10" s="646"/>
      <c r="CDV10" s="501"/>
      <c r="CDW10" s="501"/>
      <c r="CDX10" s="501"/>
      <c r="CDY10" s="501"/>
      <c r="CDZ10" s="501"/>
      <c r="CEA10" s="501"/>
      <c r="CEB10" s="501"/>
      <c r="CEC10" s="501"/>
      <c r="CED10" s="501"/>
      <c r="CEE10" s="501"/>
      <c r="CEF10" s="501"/>
      <c r="CEG10" s="645"/>
      <c r="CEH10" s="646"/>
      <c r="CEI10" s="646"/>
      <c r="CEJ10" s="646"/>
      <c r="CEK10" s="646"/>
      <c r="CEL10" s="646"/>
      <c r="CEM10" s="646"/>
      <c r="CEN10" s="646"/>
      <c r="CEO10" s="646"/>
      <c r="CEP10" s="646"/>
      <c r="CEQ10" s="501"/>
      <c r="CER10" s="501"/>
      <c r="CES10" s="501"/>
      <c r="CET10" s="501"/>
      <c r="CEU10" s="501"/>
      <c r="CEV10" s="501"/>
      <c r="CEW10" s="501"/>
      <c r="CEX10" s="501"/>
      <c r="CEY10" s="501"/>
      <c r="CEZ10" s="501"/>
      <c r="CFA10" s="501"/>
      <c r="CFB10" s="645"/>
      <c r="CFC10" s="646"/>
      <c r="CFD10" s="646"/>
      <c r="CFE10" s="646"/>
      <c r="CFF10" s="646"/>
      <c r="CFG10" s="646"/>
      <c r="CFH10" s="646"/>
      <c r="CFI10" s="646"/>
      <c r="CFJ10" s="646"/>
      <c r="CFK10" s="646"/>
      <c r="CFL10" s="501"/>
      <c r="CFM10" s="501"/>
      <c r="CFN10" s="501"/>
      <c r="CFO10" s="501"/>
      <c r="CFP10" s="501"/>
      <c r="CFQ10" s="501"/>
      <c r="CFR10" s="501"/>
      <c r="CFS10" s="501"/>
      <c r="CFT10" s="501"/>
      <c r="CFU10" s="501"/>
      <c r="CFV10" s="501"/>
      <c r="CFW10" s="645"/>
      <c r="CFX10" s="646"/>
      <c r="CFY10" s="646"/>
      <c r="CFZ10" s="646"/>
      <c r="CGA10" s="646"/>
      <c r="CGB10" s="646"/>
      <c r="CGC10" s="646"/>
      <c r="CGD10" s="646"/>
      <c r="CGE10" s="646"/>
      <c r="CGF10" s="646"/>
      <c r="CGG10" s="501"/>
      <c r="CGH10" s="501"/>
      <c r="CGI10" s="501"/>
      <c r="CGJ10" s="501"/>
      <c r="CGK10" s="501"/>
      <c r="CGL10" s="501"/>
      <c r="CGM10" s="501"/>
      <c r="CGN10" s="501"/>
      <c r="CGO10" s="501"/>
      <c r="CGP10" s="501"/>
      <c r="CGQ10" s="501"/>
      <c r="CGR10" s="645"/>
      <c r="CGS10" s="646"/>
      <c r="CGT10" s="646"/>
      <c r="CGU10" s="646"/>
      <c r="CGV10" s="646"/>
      <c r="CGW10" s="646"/>
      <c r="CGX10" s="646"/>
      <c r="CGY10" s="646"/>
      <c r="CGZ10" s="646"/>
      <c r="CHA10" s="646"/>
      <c r="CHB10" s="501"/>
      <c r="CHC10" s="501"/>
      <c r="CHD10" s="501"/>
      <c r="CHE10" s="501"/>
      <c r="CHF10" s="501"/>
      <c r="CHG10" s="501"/>
      <c r="CHH10" s="501"/>
      <c r="CHI10" s="501"/>
      <c r="CHJ10" s="501"/>
      <c r="CHK10" s="501"/>
      <c r="CHL10" s="501"/>
      <c r="CHM10" s="645"/>
      <c r="CHN10" s="646"/>
      <c r="CHO10" s="646"/>
      <c r="CHP10" s="646"/>
      <c r="CHQ10" s="646"/>
      <c r="CHR10" s="646"/>
      <c r="CHS10" s="646"/>
      <c r="CHT10" s="646"/>
      <c r="CHU10" s="646"/>
      <c r="CHV10" s="646"/>
      <c r="CHW10" s="501"/>
      <c r="CHX10" s="501"/>
      <c r="CHY10" s="501"/>
      <c r="CHZ10" s="501"/>
      <c r="CIA10" s="501"/>
      <c r="CIB10" s="501"/>
      <c r="CIC10" s="501"/>
      <c r="CID10" s="501"/>
      <c r="CIE10" s="501"/>
      <c r="CIF10" s="501"/>
      <c r="CIG10" s="501"/>
      <c r="CIH10" s="645"/>
      <c r="CII10" s="646"/>
      <c r="CIJ10" s="646"/>
      <c r="CIK10" s="646"/>
      <c r="CIL10" s="646"/>
      <c r="CIM10" s="646"/>
      <c r="CIN10" s="646"/>
      <c r="CIO10" s="646"/>
      <c r="CIP10" s="646"/>
      <c r="CIQ10" s="646"/>
      <c r="CIR10" s="501"/>
      <c r="CIS10" s="501"/>
      <c r="CIT10" s="501"/>
      <c r="CIU10" s="501"/>
      <c r="CIV10" s="501"/>
      <c r="CIW10" s="501"/>
      <c r="CIX10" s="501"/>
      <c r="CIY10" s="501"/>
      <c r="CIZ10" s="501"/>
      <c r="CJA10" s="501"/>
      <c r="CJB10" s="501"/>
      <c r="CJC10" s="645"/>
      <c r="CJD10" s="646"/>
      <c r="CJE10" s="646"/>
      <c r="CJF10" s="646"/>
      <c r="CJG10" s="646"/>
      <c r="CJH10" s="646"/>
      <c r="CJI10" s="646"/>
      <c r="CJJ10" s="646"/>
      <c r="CJK10" s="646"/>
      <c r="CJL10" s="646"/>
      <c r="CJM10" s="501"/>
      <c r="CJN10" s="501"/>
      <c r="CJO10" s="501"/>
      <c r="CJP10" s="501"/>
      <c r="CJQ10" s="501"/>
      <c r="CJR10" s="501"/>
      <c r="CJS10" s="501"/>
      <c r="CJT10" s="501"/>
      <c r="CJU10" s="501"/>
      <c r="CJV10" s="501"/>
      <c r="CJW10" s="501"/>
      <c r="CJX10" s="645"/>
      <c r="CJY10" s="646"/>
      <c r="CJZ10" s="646"/>
      <c r="CKA10" s="646"/>
      <c r="CKB10" s="646"/>
      <c r="CKC10" s="646"/>
      <c r="CKD10" s="646"/>
      <c r="CKE10" s="646"/>
      <c r="CKF10" s="646"/>
      <c r="CKG10" s="646"/>
      <c r="CKH10" s="501"/>
      <c r="CKI10" s="501"/>
      <c r="CKJ10" s="501"/>
      <c r="CKK10" s="501"/>
      <c r="CKL10" s="501"/>
      <c r="CKM10" s="501"/>
      <c r="CKN10" s="501"/>
      <c r="CKO10" s="501"/>
      <c r="CKP10" s="501"/>
      <c r="CKQ10" s="501"/>
      <c r="CKR10" s="501"/>
      <c r="CKS10" s="645"/>
      <c r="CKT10" s="646"/>
      <c r="CKU10" s="646"/>
      <c r="CKV10" s="646"/>
      <c r="CKW10" s="646"/>
      <c r="CKX10" s="646"/>
      <c r="CKY10" s="646"/>
      <c r="CKZ10" s="646"/>
      <c r="CLA10" s="646"/>
      <c r="CLB10" s="646"/>
      <c r="CLC10" s="501"/>
      <c r="CLD10" s="501"/>
      <c r="CLE10" s="501"/>
      <c r="CLF10" s="501"/>
      <c r="CLG10" s="501"/>
      <c r="CLH10" s="501"/>
      <c r="CLI10" s="501"/>
      <c r="CLJ10" s="501"/>
      <c r="CLK10" s="501"/>
      <c r="CLL10" s="501"/>
      <c r="CLM10" s="501"/>
      <c r="CLN10" s="645"/>
      <c r="CLO10" s="646"/>
      <c r="CLP10" s="646"/>
      <c r="CLQ10" s="646"/>
      <c r="CLR10" s="646"/>
      <c r="CLS10" s="646"/>
      <c r="CLT10" s="646"/>
      <c r="CLU10" s="646"/>
      <c r="CLV10" s="646"/>
      <c r="CLW10" s="646"/>
      <c r="CLX10" s="501"/>
      <c r="CLY10" s="501"/>
      <c r="CLZ10" s="501"/>
      <c r="CMA10" s="501"/>
      <c r="CMB10" s="501"/>
      <c r="CMC10" s="501"/>
      <c r="CMD10" s="501"/>
      <c r="CME10" s="501"/>
      <c r="CMF10" s="501"/>
      <c r="CMG10" s="501"/>
      <c r="CMH10" s="501"/>
      <c r="CMI10" s="645"/>
      <c r="CMJ10" s="646"/>
      <c r="CMK10" s="646"/>
      <c r="CML10" s="646"/>
      <c r="CMM10" s="646"/>
      <c r="CMN10" s="646"/>
      <c r="CMO10" s="646"/>
      <c r="CMP10" s="646"/>
      <c r="CMQ10" s="646"/>
      <c r="CMR10" s="646"/>
      <c r="CMS10" s="501"/>
      <c r="CMT10" s="501"/>
      <c r="CMU10" s="501"/>
      <c r="CMV10" s="501"/>
      <c r="CMW10" s="501"/>
      <c r="CMX10" s="501"/>
      <c r="CMY10" s="501"/>
      <c r="CMZ10" s="501"/>
      <c r="CNA10" s="501"/>
      <c r="CNB10" s="501"/>
      <c r="CNC10" s="501"/>
      <c r="CND10" s="645"/>
      <c r="CNE10" s="646"/>
      <c r="CNF10" s="646"/>
      <c r="CNG10" s="646"/>
      <c r="CNH10" s="646"/>
      <c r="CNI10" s="646"/>
      <c r="CNJ10" s="646"/>
      <c r="CNK10" s="646"/>
      <c r="CNL10" s="646"/>
      <c r="CNM10" s="646"/>
      <c r="CNN10" s="501"/>
      <c r="CNO10" s="501"/>
      <c r="CNP10" s="501"/>
      <c r="CNQ10" s="501"/>
      <c r="CNR10" s="501"/>
      <c r="CNS10" s="501"/>
      <c r="CNT10" s="501"/>
      <c r="CNU10" s="501"/>
      <c r="CNV10" s="501"/>
      <c r="CNW10" s="501"/>
      <c r="CNX10" s="501"/>
      <c r="CNY10" s="645"/>
      <c r="CNZ10" s="646"/>
      <c r="COA10" s="646"/>
      <c r="COB10" s="646"/>
      <c r="COC10" s="646"/>
      <c r="COD10" s="646"/>
      <c r="COE10" s="646"/>
      <c r="COF10" s="646"/>
      <c r="COG10" s="646"/>
      <c r="COH10" s="646"/>
      <c r="COI10" s="501"/>
      <c r="COJ10" s="501"/>
      <c r="COK10" s="501"/>
      <c r="COL10" s="501"/>
      <c r="COM10" s="501"/>
      <c r="CON10" s="501"/>
      <c r="COO10" s="501"/>
      <c r="COP10" s="501"/>
      <c r="COQ10" s="501"/>
      <c r="COR10" s="501"/>
      <c r="COS10" s="501"/>
      <c r="COT10" s="645"/>
      <c r="COU10" s="646"/>
      <c r="COV10" s="646"/>
      <c r="COW10" s="646"/>
      <c r="COX10" s="646"/>
      <c r="COY10" s="646"/>
      <c r="COZ10" s="646"/>
      <c r="CPA10" s="646"/>
      <c r="CPB10" s="646"/>
      <c r="CPC10" s="646"/>
      <c r="CPD10" s="501"/>
      <c r="CPE10" s="501"/>
      <c r="CPF10" s="501"/>
      <c r="CPG10" s="501"/>
      <c r="CPH10" s="501"/>
      <c r="CPI10" s="501"/>
      <c r="CPJ10" s="501"/>
      <c r="CPK10" s="501"/>
      <c r="CPL10" s="501"/>
      <c r="CPM10" s="501"/>
      <c r="CPN10" s="501"/>
      <c r="CPO10" s="645"/>
      <c r="CPP10" s="646"/>
      <c r="CPQ10" s="646"/>
      <c r="CPR10" s="646"/>
      <c r="CPS10" s="646"/>
      <c r="CPT10" s="646"/>
      <c r="CPU10" s="646"/>
      <c r="CPV10" s="646"/>
      <c r="CPW10" s="646"/>
      <c r="CPX10" s="646"/>
      <c r="CPY10" s="501"/>
      <c r="CPZ10" s="501"/>
      <c r="CQA10" s="501"/>
      <c r="CQB10" s="501"/>
      <c r="CQC10" s="501"/>
      <c r="CQD10" s="501"/>
      <c r="CQE10" s="501"/>
      <c r="CQF10" s="501"/>
      <c r="CQG10" s="501"/>
      <c r="CQH10" s="501"/>
      <c r="CQI10" s="501"/>
      <c r="CQJ10" s="645"/>
      <c r="CQK10" s="646"/>
      <c r="CQL10" s="646"/>
      <c r="CQM10" s="646"/>
      <c r="CQN10" s="646"/>
      <c r="CQO10" s="646"/>
      <c r="CQP10" s="646"/>
      <c r="CQQ10" s="646"/>
      <c r="CQR10" s="646"/>
      <c r="CQS10" s="646"/>
      <c r="CQT10" s="501"/>
      <c r="CQU10" s="501"/>
      <c r="CQV10" s="501"/>
      <c r="CQW10" s="501"/>
      <c r="CQX10" s="501"/>
      <c r="CQY10" s="501"/>
      <c r="CQZ10" s="501"/>
      <c r="CRA10" s="501"/>
      <c r="CRB10" s="501"/>
      <c r="CRC10" s="501"/>
      <c r="CRD10" s="501"/>
      <c r="CRE10" s="645"/>
      <c r="CRF10" s="646"/>
      <c r="CRG10" s="646"/>
      <c r="CRH10" s="646"/>
      <c r="CRI10" s="646"/>
      <c r="CRJ10" s="646"/>
      <c r="CRK10" s="646"/>
      <c r="CRL10" s="646"/>
      <c r="CRM10" s="646"/>
      <c r="CRN10" s="646"/>
      <c r="CRO10" s="501"/>
      <c r="CRP10" s="501"/>
      <c r="CRQ10" s="501"/>
      <c r="CRR10" s="501"/>
      <c r="CRS10" s="501"/>
      <c r="CRT10" s="501"/>
      <c r="CRU10" s="501"/>
      <c r="CRV10" s="501"/>
      <c r="CRW10" s="501"/>
      <c r="CRX10" s="501"/>
      <c r="CRY10" s="501"/>
      <c r="CRZ10" s="645"/>
      <c r="CSA10" s="646"/>
      <c r="CSB10" s="646"/>
      <c r="CSC10" s="646"/>
      <c r="CSD10" s="646"/>
      <c r="CSE10" s="646"/>
      <c r="CSF10" s="646"/>
      <c r="CSG10" s="646"/>
      <c r="CSH10" s="646"/>
      <c r="CSI10" s="646"/>
      <c r="CSJ10" s="501"/>
      <c r="CSK10" s="501"/>
      <c r="CSL10" s="501"/>
      <c r="CSM10" s="501"/>
      <c r="CSN10" s="501"/>
      <c r="CSO10" s="501"/>
      <c r="CSP10" s="501"/>
      <c r="CSQ10" s="501"/>
      <c r="CSR10" s="501"/>
      <c r="CSS10" s="501"/>
      <c r="CST10" s="501"/>
      <c r="CSU10" s="645"/>
      <c r="CSV10" s="646"/>
      <c r="CSW10" s="646"/>
      <c r="CSX10" s="646"/>
      <c r="CSY10" s="646"/>
      <c r="CSZ10" s="646"/>
      <c r="CTA10" s="646"/>
      <c r="CTB10" s="646"/>
      <c r="CTC10" s="646"/>
      <c r="CTD10" s="646"/>
      <c r="CTE10" s="501"/>
      <c r="CTF10" s="501"/>
      <c r="CTG10" s="501"/>
      <c r="CTH10" s="501"/>
      <c r="CTI10" s="501"/>
      <c r="CTJ10" s="501"/>
      <c r="CTK10" s="501"/>
      <c r="CTL10" s="501"/>
      <c r="CTM10" s="501"/>
      <c r="CTN10" s="501"/>
      <c r="CTO10" s="501"/>
      <c r="CTP10" s="645"/>
      <c r="CTQ10" s="646"/>
      <c r="CTR10" s="646"/>
      <c r="CTS10" s="646"/>
      <c r="CTT10" s="646"/>
      <c r="CTU10" s="646"/>
      <c r="CTV10" s="646"/>
      <c r="CTW10" s="646"/>
      <c r="CTX10" s="646"/>
      <c r="CTY10" s="646"/>
      <c r="CTZ10" s="501"/>
      <c r="CUA10" s="501"/>
      <c r="CUB10" s="501"/>
      <c r="CUC10" s="501"/>
      <c r="CUD10" s="501"/>
      <c r="CUE10" s="501"/>
      <c r="CUF10" s="501"/>
      <c r="CUG10" s="501"/>
      <c r="CUH10" s="501"/>
      <c r="CUI10" s="501"/>
      <c r="CUJ10" s="501"/>
      <c r="CUK10" s="645"/>
      <c r="CUL10" s="646"/>
      <c r="CUM10" s="646"/>
      <c r="CUN10" s="646"/>
      <c r="CUO10" s="646"/>
      <c r="CUP10" s="646"/>
      <c r="CUQ10" s="646"/>
      <c r="CUR10" s="646"/>
      <c r="CUS10" s="646"/>
      <c r="CUT10" s="646"/>
      <c r="CUU10" s="501"/>
      <c r="CUV10" s="501"/>
      <c r="CUW10" s="501"/>
      <c r="CUX10" s="501"/>
      <c r="CUY10" s="501"/>
      <c r="CUZ10" s="501"/>
      <c r="CVA10" s="501"/>
      <c r="CVB10" s="501"/>
      <c r="CVC10" s="501"/>
      <c r="CVD10" s="501"/>
      <c r="CVE10" s="501"/>
      <c r="CVF10" s="645"/>
      <c r="CVG10" s="646"/>
      <c r="CVH10" s="646"/>
      <c r="CVI10" s="646"/>
      <c r="CVJ10" s="646"/>
      <c r="CVK10" s="646"/>
      <c r="CVL10" s="646"/>
      <c r="CVM10" s="646"/>
      <c r="CVN10" s="646"/>
      <c r="CVO10" s="646"/>
      <c r="CVP10" s="501"/>
      <c r="CVQ10" s="501"/>
      <c r="CVR10" s="501"/>
      <c r="CVS10" s="501"/>
      <c r="CVT10" s="501"/>
      <c r="CVU10" s="501"/>
      <c r="CVV10" s="501"/>
      <c r="CVW10" s="501"/>
      <c r="CVX10" s="501"/>
      <c r="CVY10" s="501"/>
      <c r="CVZ10" s="501"/>
      <c r="CWA10" s="645"/>
      <c r="CWB10" s="646"/>
      <c r="CWC10" s="646"/>
      <c r="CWD10" s="646"/>
      <c r="CWE10" s="646"/>
      <c r="CWF10" s="646"/>
      <c r="CWG10" s="646"/>
      <c r="CWH10" s="646"/>
      <c r="CWI10" s="646"/>
      <c r="CWJ10" s="646"/>
      <c r="CWK10" s="501"/>
      <c r="CWL10" s="501"/>
      <c r="CWM10" s="501"/>
      <c r="CWN10" s="501"/>
      <c r="CWO10" s="501"/>
      <c r="CWP10" s="501"/>
      <c r="CWQ10" s="501"/>
      <c r="CWR10" s="501"/>
      <c r="CWS10" s="501"/>
      <c r="CWT10" s="501"/>
      <c r="CWU10" s="501"/>
      <c r="CWV10" s="645"/>
      <c r="CWW10" s="646"/>
      <c r="CWX10" s="646"/>
      <c r="CWY10" s="646"/>
      <c r="CWZ10" s="646"/>
      <c r="CXA10" s="646"/>
      <c r="CXB10" s="646"/>
      <c r="CXC10" s="646"/>
      <c r="CXD10" s="646"/>
      <c r="CXE10" s="646"/>
      <c r="CXF10" s="501"/>
      <c r="CXG10" s="501"/>
      <c r="CXH10" s="501"/>
      <c r="CXI10" s="501"/>
      <c r="CXJ10" s="501"/>
      <c r="CXK10" s="501"/>
      <c r="CXL10" s="501"/>
      <c r="CXM10" s="501"/>
      <c r="CXN10" s="501"/>
      <c r="CXO10" s="501"/>
      <c r="CXP10" s="501"/>
      <c r="CXQ10" s="645"/>
      <c r="CXR10" s="646"/>
      <c r="CXS10" s="646"/>
      <c r="CXT10" s="646"/>
      <c r="CXU10" s="646"/>
      <c r="CXV10" s="646"/>
      <c r="CXW10" s="646"/>
      <c r="CXX10" s="646"/>
      <c r="CXY10" s="646"/>
      <c r="CXZ10" s="646"/>
      <c r="CYA10" s="501"/>
      <c r="CYB10" s="501"/>
      <c r="CYC10" s="501"/>
      <c r="CYD10" s="501"/>
      <c r="CYE10" s="501"/>
      <c r="CYF10" s="501"/>
      <c r="CYG10" s="501"/>
      <c r="CYH10" s="501"/>
      <c r="CYI10" s="501"/>
      <c r="CYJ10" s="501"/>
      <c r="CYK10" s="501"/>
      <c r="CYL10" s="645"/>
      <c r="CYM10" s="646"/>
      <c r="CYN10" s="646"/>
      <c r="CYO10" s="646"/>
      <c r="CYP10" s="646"/>
      <c r="CYQ10" s="646"/>
      <c r="CYR10" s="646"/>
      <c r="CYS10" s="646"/>
      <c r="CYT10" s="646"/>
      <c r="CYU10" s="646"/>
      <c r="CYV10" s="501"/>
      <c r="CYW10" s="501"/>
      <c r="CYX10" s="501"/>
      <c r="CYY10" s="501"/>
      <c r="CYZ10" s="501"/>
      <c r="CZA10" s="501"/>
      <c r="CZB10" s="501"/>
      <c r="CZC10" s="501"/>
      <c r="CZD10" s="501"/>
      <c r="CZE10" s="501"/>
      <c r="CZF10" s="501"/>
      <c r="CZG10" s="645"/>
      <c r="CZH10" s="646"/>
      <c r="CZI10" s="646"/>
      <c r="CZJ10" s="646"/>
      <c r="CZK10" s="646"/>
      <c r="CZL10" s="646"/>
      <c r="CZM10" s="646"/>
      <c r="CZN10" s="646"/>
      <c r="CZO10" s="646"/>
      <c r="CZP10" s="646"/>
      <c r="CZQ10" s="501"/>
      <c r="CZR10" s="501"/>
      <c r="CZS10" s="501"/>
      <c r="CZT10" s="501"/>
      <c r="CZU10" s="501"/>
      <c r="CZV10" s="501"/>
      <c r="CZW10" s="501"/>
      <c r="CZX10" s="501"/>
      <c r="CZY10" s="501"/>
      <c r="CZZ10" s="501"/>
      <c r="DAA10" s="501"/>
      <c r="DAB10" s="645"/>
      <c r="DAC10" s="646"/>
      <c r="DAD10" s="646"/>
      <c r="DAE10" s="646"/>
      <c r="DAF10" s="646"/>
      <c r="DAG10" s="646"/>
      <c r="DAH10" s="646"/>
      <c r="DAI10" s="646"/>
      <c r="DAJ10" s="646"/>
      <c r="DAK10" s="646"/>
      <c r="DAL10" s="501"/>
      <c r="DAM10" s="501"/>
      <c r="DAN10" s="501"/>
      <c r="DAO10" s="501"/>
      <c r="DAP10" s="501"/>
      <c r="DAQ10" s="501"/>
      <c r="DAR10" s="501"/>
      <c r="DAS10" s="501"/>
      <c r="DAT10" s="501"/>
      <c r="DAU10" s="501"/>
      <c r="DAV10" s="501"/>
      <c r="DAW10" s="645"/>
      <c r="DAX10" s="646"/>
      <c r="DAY10" s="646"/>
      <c r="DAZ10" s="646"/>
      <c r="DBA10" s="646"/>
      <c r="DBB10" s="646"/>
      <c r="DBC10" s="646"/>
      <c r="DBD10" s="646"/>
      <c r="DBE10" s="646"/>
      <c r="DBF10" s="646"/>
      <c r="DBG10" s="501"/>
      <c r="DBH10" s="501"/>
      <c r="DBI10" s="501"/>
      <c r="DBJ10" s="501"/>
      <c r="DBK10" s="501"/>
      <c r="DBL10" s="501"/>
      <c r="DBM10" s="501"/>
      <c r="DBN10" s="501"/>
      <c r="DBO10" s="501"/>
      <c r="DBP10" s="501"/>
      <c r="DBQ10" s="501"/>
      <c r="DBR10" s="645"/>
      <c r="DBS10" s="646"/>
      <c r="DBT10" s="646"/>
      <c r="DBU10" s="646"/>
      <c r="DBV10" s="646"/>
      <c r="DBW10" s="646"/>
      <c r="DBX10" s="646"/>
      <c r="DBY10" s="646"/>
      <c r="DBZ10" s="646"/>
      <c r="DCA10" s="646"/>
      <c r="DCB10" s="501"/>
      <c r="DCC10" s="501"/>
      <c r="DCD10" s="501"/>
      <c r="DCE10" s="501"/>
      <c r="DCF10" s="501"/>
      <c r="DCG10" s="501"/>
      <c r="DCH10" s="501"/>
      <c r="DCI10" s="501"/>
      <c r="DCJ10" s="501"/>
      <c r="DCK10" s="501"/>
      <c r="DCL10" s="501"/>
      <c r="DCM10" s="645"/>
      <c r="DCN10" s="646"/>
      <c r="DCO10" s="646"/>
      <c r="DCP10" s="646"/>
      <c r="DCQ10" s="646"/>
      <c r="DCR10" s="646"/>
      <c r="DCS10" s="646"/>
      <c r="DCT10" s="646"/>
      <c r="DCU10" s="646"/>
      <c r="DCV10" s="646"/>
      <c r="DCW10" s="501"/>
      <c r="DCX10" s="501"/>
      <c r="DCY10" s="501"/>
      <c r="DCZ10" s="501"/>
      <c r="DDA10" s="501"/>
      <c r="DDB10" s="501"/>
      <c r="DDC10" s="501"/>
      <c r="DDD10" s="501"/>
      <c r="DDE10" s="501"/>
      <c r="DDF10" s="501"/>
      <c r="DDG10" s="501"/>
      <c r="DDH10" s="645"/>
      <c r="DDI10" s="646"/>
      <c r="DDJ10" s="646"/>
      <c r="DDK10" s="646"/>
      <c r="DDL10" s="646"/>
      <c r="DDM10" s="646"/>
      <c r="DDN10" s="646"/>
      <c r="DDO10" s="646"/>
      <c r="DDP10" s="646"/>
      <c r="DDQ10" s="646"/>
      <c r="DDR10" s="501"/>
      <c r="DDS10" s="501"/>
      <c r="DDT10" s="501"/>
      <c r="DDU10" s="501"/>
      <c r="DDV10" s="501"/>
      <c r="DDW10" s="501"/>
      <c r="DDX10" s="501"/>
      <c r="DDY10" s="501"/>
      <c r="DDZ10" s="501"/>
      <c r="DEA10" s="501"/>
      <c r="DEB10" s="501"/>
      <c r="DEC10" s="645"/>
      <c r="DED10" s="646"/>
      <c r="DEE10" s="646"/>
      <c r="DEF10" s="646"/>
      <c r="DEG10" s="646"/>
      <c r="DEH10" s="646"/>
      <c r="DEI10" s="646"/>
      <c r="DEJ10" s="646"/>
      <c r="DEK10" s="646"/>
      <c r="DEL10" s="646"/>
      <c r="DEM10" s="501"/>
      <c r="DEN10" s="501"/>
      <c r="DEO10" s="501"/>
      <c r="DEP10" s="501"/>
      <c r="DEQ10" s="501"/>
      <c r="DER10" s="501"/>
      <c r="DES10" s="501"/>
      <c r="DET10" s="501"/>
      <c r="DEU10" s="501"/>
      <c r="DEV10" s="501"/>
      <c r="DEW10" s="501"/>
      <c r="DEX10" s="645"/>
      <c r="DEY10" s="646"/>
      <c r="DEZ10" s="646"/>
      <c r="DFA10" s="646"/>
      <c r="DFB10" s="646"/>
      <c r="DFC10" s="646"/>
      <c r="DFD10" s="646"/>
      <c r="DFE10" s="646"/>
      <c r="DFF10" s="646"/>
      <c r="DFG10" s="646"/>
      <c r="DFH10" s="501"/>
      <c r="DFI10" s="501"/>
      <c r="DFJ10" s="501"/>
      <c r="DFK10" s="501"/>
      <c r="DFL10" s="501"/>
      <c r="DFM10" s="501"/>
      <c r="DFN10" s="501"/>
      <c r="DFO10" s="501"/>
      <c r="DFP10" s="501"/>
      <c r="DFQ10" s="501"/>
      <c r="DFR10" s="501"/>
      <c r="DFS10" s="645"/>
      <c r="DFT10" s="646"/>
      <c r="DFU10" s="646"/>
      <c r="DFV10" s="646"/>
      <c r="DFW10" s="646"/>
      <c r="DFX10" s="646"/>
      <c r="DFY10" s="646"/>
      <c r="DFZ10" s="646"/>
      <c r="DGA10" s="646"/>
      <c r="DGB10" s="646"/>
      <c r="DGC10" s="501"/>
      <c r="DGD10" s="501"/>
      <c r="DGE10" s="501"/>
      <c r="DGF10" s="501"/>
      <c r="DGG10" s="501"/>
      <c r="DGH10" s="501"/>
      <c r="DGI10" s="501"/>
      <c r="DGJ10" s="501"/>
      <c r="DGK10" s="501"/>
      <c r="DGL10" s="501"/>
      <c r="DGM10" s="501"/>
      <c r="DGN10" s="645"/>
      <c r="DGO10" s="646"/>
      <c r="DGP10" s="646"/>
      <c r="DGQ10" s="646"/>
      <c r="DGR10" s="646"/>
      <c r="DGS10" s="646"/>
      <c r="DGT10" s="646"/>
      <c r="DGU10" s="646"/>
      <c r="DGV10" s="646"/>
      <c r="DGW10" s="646"/>
      <c r="DGX10" s="501"/>
      <c r="DGY10" s="501"/>
      <c r="DGZ10" s="501"/>
      <c r="DHA10" s="501"/>
      <c r="DHB10" s="501"/>
      <c r="DHC10" s="501"/>
      <c r="DHD10" s="501"/>
      <c r="DHE10" s="501"/>
      <c r="DHF10" s="501"/>
      <c r="DHG10" s="501"/>
      <c r="DHH10" s="501"/>
      <c r="DHI10" s="645"/>
      <c r="DHJ10" s="646"/>
      <c r="DHK10" s="646"/>
      <c r="DHL10" s="646"/>
      <c r="DHM10" s="646"/>
      <c r="DHN10" s="646"/>
      <c r="DHO10" s="646"/>
      <c r="DHP10" s="646"/>
      <c r="DHQ10" s="646"/>
      <c r="DHR10" s="646"/>
      <c r="DHS10" s="501"/>
      <c r="DHT10" s="501"/>
      <c r="DHU10" s="501"/>
      <c r="DHV10" s="501"/>
      <c r="DHW10" s="501"/>
      <c r="DHX10" s="501"/>
      <c r="DHY10" s="501"/>
      <c r="DHZ10" s="501"/>
      <c r="DIA10" s="501"/>
      <c r="DIB10" s="501"/>
      <c r="DIC10" s="501"/>
      <c r="DID10" s="645"/>
      <c r="DIE10" s="646"/>
      <c r="DIF10" s="646"/>
      <c r="DIG10" s="646"/>
      <c r="DIH10" s="646"/>
      <c r="DII10" s="646"/>
      <c r="DIJ10" s="646"/>
      <c r="DIK10" s="646"/>
      <c r="DIL10" s="646"/>
      <c r="DIM10" s="646"/>
      <c r="DIN10" s="501"/>
      <c r="DIO10" s="501"/>
      <c r="DIP10" s="501"/>
      <c r="DIQ10" s="501"/>
      <c r="DIR10" s="501"/>
      <c r="DIS10" s="501"/>
      <c r="DIT10" s="501"/>
      <c r="DIU10" s="501"/>
      <c r="DIV10" s="501"/>
      <c r="DIW10" s="501"/>
      <c r="DIX10" s="501"/>
      <c r="DIY10" s="645"/>
      <c r="DIZ10" s="646"/>
      <c r="DJA10" s="646"/>
      <c r="DJB10" s="646"/>
      <c r="DJC10" s="646"/>
      <c r="DJD10" s="646"/>
      <c r="DJE10" s="646"/>
      <c r="DJF10" s="646"/>
      <c r="DJG10" s="646"/>
      <c r="DJH10" s="646"/>
      <c r="DJI10" s="501"/>
      <c r="DJJ10" s="501"/>
      <c r="DJK10" s="501"/>
      <c r="DJL10" s="501"/>
      <c r="DJM10" s="501"/>
      <c r="DJN10" s="501"/>
      <c r="DJO10" s="501"/>
      <c r="DJP10" s="501"/>
      <c r="DJQ10" s="501"/>
      <c r="DJR10" s="501"/>
      <c r="DJS10" s="501"/>
      <c r="DJT10" s="645"/>
      <c r="DJU10" s="646"/>
      <c r="DJV10" s="646"/>
      <c r="DJW10" s="646"/>
      <c r="DJX10" s="646"/>
      <c r="DJY10" s="646"/>
      <c r="DJZ10" s="646"/>
      <c r="DKA10" s="646"/>
      <c r="DKB10" s="646"/>
      <c r="DKC10" s="646"/>
      <c r="DKD10" s="501"/>
      <c r="DKE10" s="501"/>
      <c r="DKF10" s="501"/>
      <c r="DKG10" s="501"/>
      <c r="DKH10" s="501"/>
      <c r="DKI10" s="501"/>
      <c r="DKJ10" s="501"/>
      <c r="DKK10" s="501"/>
      <c r="DKL10" s="501"/>
      <c r="DKM10" s="501"/>
      <c r="DKN10" s="501"/>
      <c r="DKO10" s="645"/>
      <c r="DKP10" s="646"/>
      <c r="DKQ10" s="646"/>
      <c r="DKR10" s="646"/>
      <c r="DKS10" s="646"/>
      <c r="DKT10" s="646"/>
      <c r="DKU10" s="646"/>
      <c r="DKV10" s="646"/>
      <c r="DKW10" s="646"/>
      <c r="DKX10" s="646"/>
      <c r="DKY10" s="501"/>
      <c r="DKZ10" s="501"/>
      <c r="DLA10" s="501"/>
      <c r="DLB10" s="501"/>
      <c r="DLC10" s="501"/>
      <c r="DLD10" s="501"/>
      <c r="DLE10" s="501"/>
      <c r="DLF10" s="501"/>
      <c r="DLG10" s="501"/>
      <c r="DLH10" s="501"/>
      <c r="DLI10" s="501"/>
      <c r="DLJ10" s="645"/>
      <c r="DLK10" s="646"/>
      <c r="DLL10" s="646"/>
      <c r="DLM10" s="646"/>
      <c r="DLN10" s="646"/>
      <c r="DLO10" s="646"/>
      <c r="DLP10" s="646"/>
      <c r="DLQ10" s="646"/>
      <c r="DLR10" s="646"/>
      <c r="DLS10" s="646"/>
      <c r="DLT10" s="501"/>
      <c r="DLU10" s="501"/>
      <c r="DLV10" s="501"/>
      <c r="DLW10" s="501"/>
      <c r="DLX10" s="501"/>
      <c r="DLY10" s="501"/>
      <c r="DLZ10" s="501"/>
      <c r="DMA10" s="501"/>
      <c r="DMB10" s="501"/>
      <c r="DMC10" s="501"/>
      <c r="DMD10" s="501"/>
      <c r="DME10" s="645"/>
      <c r="DMF10" s="646"/>
      <c r="DMG10" s="646"/>
      <c r="DMH10" s="646"/>
      <c r="DMI10" s="646"/>
      <c r="DMJ10" s="646"/>
      <c r="DMK10" s="646"/>
      <c r="DML10" s="646"/>
      <c r="DMM10" s="646"/>
      <c r="DMN10" s="646"/>
      <c r="DMO10" s="501"/>
      <c r="DMP10" s="501"/>
      <c r="DMQ10" s="501"/>
      <c r="DMR10" s="501"/>
      <c r="DMS10" s="501"/>
      <c r="DMT10" s="501"/>
      <c r="DMU10" s="501"/>
      <c r="DMV10" s="501"/>
      <c r="DMW10" s="501"/>
      <c r="DMX10" s="501"/>
      <c r="DMY10" s="501"/>
      <c r="DMZ10" s="645"/>
      <c r="DNA10" s="646"/>
      <c r="DNB10" s="646"/>
      <c r="DNC10" s="646"/>
      <c r="DND10" s="646"/>
      <c r="DNE10" s="646"/>
      <c r="DNF10" s="646"/>
      <c r="DNG10" s="646"/>
      <c r="DNH10" s="646"/>
      <c r="DNI10" s="646"/>
      <c r="DNJ10" s="501"/>
      <c r="DNK10" s="501"/>
      <c r="DNL10" s="501"/>
      <c r="DNM10" s="501"/>
      <c r="DNN10" s="501"/>
      <c r="DNO10" s="501"/>
      <c r="DNP10" s="501"/>
      <c r="DNQ10" s="501"/>
      <c r="DNR10" s="501"/>
      <c r="DNS10" s="501"/>
      <c r="DNT10" s="501"/>
      <c r="DNU10" s="645"/>
      <c r="DNV10" s="646"/>
      <c r="DNW10" s="646"/>
      <c r="DNX10" s="646"/>
      <c r="DNY10" s="646"/>
      <c r="DNZ10" s="646"/>
      <c r="DOA10" s="646"/>
      <c r="DOB10" s="646"/>
      <c r="DOC10" s="646"/>
      <c r="DOD10" s="646"/>
      <c r="DOE10" s="501"/>
      <c r="DOF10" s="501"/>
      <c r="DOG10" s="501"/>
      <c r="DOH10" s="501"/>
      <c r="DOI10" s="501"/>
      <c r="DOJ10" s="501"/>
      <c r="DOK10" s="501"/>
      <c r="DOL10" s="501"/>
      <c r="DOM10" s="501"/>
      <c r="DON10" s="501"/>
      <c r="DOO10" s="501"/>
      <c r="DOP10" s="645"/>
      <c r="DOQ10" s="646"/>
      <c r="DOR10" s="646"/>
      <c r="DOS10" s="646"/>
      <c r="DOT10" s="646"/>
      <c r="DOU10" s="646"/>
      <c r="DOV10" s="646"/>
      <c r="DOW10" s="646"/>
      <c r="DOX10" s="646"/>
      <c r="DOY10" s="646"/>
      <c r="DOZ10" s="501"/>
      <c r="DPA10" s="501"/>
      <c r="DPB10" s="501"/>
      <c r="DPC10" s="501"/>
      <c r="DPD10" s="501"/>
      <c r="DPE10" s="501"/>
      <c r="DPF10" s="501"/>
      <c r="DPG10" s="501"/>
      <c r="DPH10" s="501"/>
      <c r="DPI10" s="501"/>
      <c r="DPJ10" s="501"/>
      <c r="DPK10" s="645"/>
      <c r="DPL10" s="646"/>
      <c r="DPM10" s="646"/>
      <c r="DPN10" s="646"/>
      <c r="DPO10" s="646"/>
      <c r="DPP10" s="646"/>
      <c r="DPQ10" s="646"/>
      <c r="DPR10" s="646"/>
      <c r="DPS10" s="646"/>
      <c r="DPT10" s="646"/>
      <c r="DPU10" s="501"/>
      <c r="DPV10" s="501"/>
      <c r="DPW10" s="501"/>
      <c r="DPX10" s="501"/>
      <c r="DPY10" s="501"/>
      <c r="DPZ10" s="501"/>
      <c r="DQA10" s="501"/>
      <c r="DQB10" s="501"/>
      <c r="DQC10" s="501"/>
      <c r="DQD10" s="501"/>
      <c r="DQE10" s="501"/>
      <c r="DQF10" s="645"/>
      <c r="DQG10" s="646"/>
      <c r="DQH10" s="646"/>
      <c r="DQI10" s="646"/>
      <c r="DQJ10" s="646"/>
      <c r="DQK10" s="646"/>
      <c r="DQL10" s="646"/>
      <c r="DQM10" s="646"/>
      <c r="DQN10" s="646"/>
      <c r="DQO10" s="646"/>
      <c r="DQP10" s="501"/>
      <c r="DQQ10" s="501"/>
      <c r="DQR10" s="501"/>
      <c r="DQS10" s="501"/>
      <c r="DQT10" s="501"/>
      <c r="DQU10" s="501"/>
      <c r="DQV10" s="501"/>
      <c r="DQW10" s="501"/>
      <c r="DQX10" s="501"/>
      <c r="DQY10" s="501"/>
      <c r="DQZ10" s="501"/>
      <c r="DRA10" s="645"/>
      <c r="DRB10" s="646"/>
      <c r="DRC10" s="646"/>
      <c r="DRD10" s="646"/>
      <c r="DRE10" s="646"/>
      <c r="DRF10" s="646"/>
      <c r="DRG10" s="646"/>
      <c r="DRH10" s="646"/>
      <c r="DRI10" s="646"/>
      <c r="DRJ10" s="646"/>
      <c r="DRK10" s="501"/>
      <c r="DRL10" s="501"/>
      <c r="DRM10" s="501"/>
      <c r="DRN10" s="501"/>
      <c r="DRO10" s="501"/>
      <c r="DRP10" s="501"/>
      <c r="DRQ10" s="501"/>
      <c r="DRR10" s="501"/>
      <c r="DRS10" s="501"/>
      <c r="DRT10" s="501"/>
      <c r="DRU10" s="501"/>
      <c r="DRV10" s="645"/>
      <c r="DRW10" s="646"/>
      <c r="DRX10" s="646"/>
      <c r="DRY10" s="646"/>
      <c r="DRZ10" s="646"/>
      <c r="DSA10" s="646"/>
      <c r="DSB10" s="646"/>
      <c r="DSC10" s="646"/>
      <c r="DSD10" s="646"/>
      <c r="DSE10" s="646"/>
      <c r="DSF10" s="501"/>
      <c r="DSG10" s="501"/>
      <c r="DSH10" s="501"/>
      <c r="DSI10" s="501"/>
      <c r="DSJ10" s="501"/>
      <c r="DSK10" s="501"/>
      <c r="DSL10" s="501"/>
      <c r="DSM10" s="501"/>
      <c r="DSN10" s="501"/>
      <c r="DSO10" s="501"/>
      <c r="DSP10" s="501"/>
      <c r="DSQ10" s="645"/>
      <c r="DSR10" s="646"/>
      <c r="DSS10" s="646"/>
      <c r="DST10" s="646"/>
      <c r="DSU10" s="646"/>
      <c r="DSV10" s="646"/>
      <c r="DSW10" s="646"/>
      <c r="DSX10" s="646"/>
      <c r="DSY10" s="646"/>
      <c r="DSZ10" s="646"/>
      <c r="DTA10" s="501"/>
      <c r="DTB10" s="501"/>
      <c r="DTC10" s="501"/>
      <c r="DTD10" s="501"/>
      <c r="DTE10" s="501"/>
      <c r="DTF10" s="501"/>
      <c r="DTG10" s="501"/>
      <c r="DTH10" s="501"/>
      <c r="DTI10" s="501"/>
      <c r="DTJ10" s="501"/>
      <c r="DTK10" s="501"/>
      <c r="DTL10" s="645"/>
      <c r="DTM10" s="646"/>
      <c r="DTN10" s="646"/>
      <c r="DTO10" s="646"/>
      <c r="DTP10" s="646"/>
      <c r="DTQ10" s="646"/>
      <c r="DTR10" s="646"/>
      <c r="DTS10" s="646"/>
      <c r="DTT10" s="646"/>
      <c r="DTU10" s="646"/>
      <c r="DTV10" s="501"/>
      <c r="DTW10" s="501"/>
      <c r="DTX10" s="501"/>
      <c r="DTY10" s="501"/>
      <c r="DTZ10" s="501"/>
      <c r="DUA10" s="501"/>
      <c r="DUB10" s="501"/>
      <c r="DUC10" s="501"/>
      <c r="DUD10" s="501"/>
      <c r="DUE10" s="501"/>
      <c r="DUF10" s="501"/>
      <c r="DUG10" s="645"/>
      <c r="DUH10" s="646"/>
      <c r="DUI10" s="646"/>
      <c r="DUJ10" s="646"/>
      <c r="DUK10" s="646"/>
      <c r="DUL10" s="646"/>
      <c r="DUM10" s="646"/>
      <c r="DUN10" s="646"/>
      <c r="DUO10" s="646"/>
      <c r="DUP10" s="646"/>
      <c r="DUQ10" s="501"/>
      <c r="DUR10" s="501"/>
      <c r="DUS10" s="501"/>
      <c r="DUT10" s="501"/>
      <c r="DUU10" s="501"/>
      <c r="DUV10" s="501"/>
      <c r="DUW10" s="501"/>
      <c r="DUX10" s="501"/>
      <c r="DUY10" s="501"/>
      <c r="DUZ10" s="501"/>
      <c r="DVA10" s="501"/>
      <c r="DVB10" s="645"/>
      <c r="DVC10" s="646"/>
      <c r="DVD10" s="646"/>
      <c r="DVE10" s="646"/>
      <c r="DVF10" s="646"/>
      <c r="DVG10" s="646"/>
      <c r="DVH10" s="646"/>
      <c r="DVI10" s="646"/>
      <c r="DVJ10" s="646"/>
      <c r="DVK10" s="646"/>
      <c r="DVL10" s="501"/>
      <c r="DVM10" s="501"/>
      <c r="DVN10" s="501"/>
      <c r="DVO10" s="501"/>
      <c r="DVP10" s="501"/>
      <c r="DVQ10" s="501"/>
      <c r="DVR10" s="501"/>
      <c r="DVS10" s="501"/>
      <c r="DVT10" s="501"/>
      <c r="DVU10" s="501"/>
      <c r="DVV10" s="501"/>
      <c r="DVW10" s="645"/>
      <c r="DVX10" s="646"/>
      <c r="DVY10" s="646"/>
      <c r="DVZ10" s="646"/>
      <c r="DWA10" s="646"/>
      <c r="DWB10" s="646"/>
      <c r="DWC10" s="646"/>
      <c r="DWD10" s="646"/>
      <c r="DWE10" s="646"/>
      <c r="DWF10" s="646"/>
      <c r="DWG10" s="501"/>
      <c r="DWH10" s="501"/>
      <c r="DWI10" s="501"/>
      <c r="DWJ10" s="501"/>
      <c r="DWK10" s="501"/>
      <c r="DWL10" s="501"/>
      <c r="DWM10" s="501"/>
      <c r="DWN10" s="501"/>
      <c r="DWO10" s="501"/>
      <c r="DWP10" s="501"/>
      <c r="DWQ10" s="501"/>
      <c r="DWR10" s="645"/>
      <c r="DWS10" s="646"/>
      <c r="DWT10" s="646"/>
      <c r="DWU10" s="646"/>
      <c r="DWV10" s="646"/>
      <c r="DWW10" s="646"/>
      <c r="DWX10" s="646"/>
      <c r="DWY10" s="646"/>
      <c r="DWZ10" s="646"/>
      <c r="DXA10" s="646"/>
      <c r="DXB10" s="501"/>
      <c r="DXC10" s="501"/>
      <c r="DXD10" s="501"/>
      <c r="DXE10" s="501"/>
      <c r="DXF10" s="501"/>
      <c r="DXG10" s="501"/>
      <c r="DXH10" s="501"/>
      <c r="DXI10" s="501"/>
      <c r="DXJ10" s="501"/>
      <c r="DXK10" s="501"/>
      <c r="DXL10" s="501"/>
      <c r="DXM10" s="645"/>
      <c r="DXN10" s="646"/>
      <c r="DXO10" s="646"/>
      <c r="DXP10" s="646"/>
      <c r="DXQ10" s="646"/>
      <c r="DXR10" s="646"/>
      <c r="DXS10" s="646"/>
      <c r="DXT10" s="646"/>
      <c r="DXU10" s="646"/>
      <c r="DXV10" s="646"/>
      <c r="DXW10" s="501"/>
      <c r="DXX10" s="501"/>
      <c r="DXY10" s="501"/>
      <c r="DXZ10" s="501"/>
      <c r="DYA10" s="501"/>
      <c r="DYB10" s="501"/>
      <c r="DYC10" s="501"/>
      <c r="DYD10" s="501"/>
      <c r="DYE10" s="501"/>
      <c r="DYF10" s="501"/>
      <c r="DYG10" s="501"/>
      <c r="DYH10" s="645"/>
      <c r="DYI10" s="646"/>
      <c r="DYJ10" s="646"/>
      <c r="DYK10" s="646"/>
      <c r="DYL10" s="646"/>
      <c r="DYM10" s="646"/>
      <c r="DYN10" s="646"/>
      <c r="DYO10" s="646"/>
      <c r="DYP10" s="646"/>
      <c r="DYQ10" s="646"/>
      <c r="DYR10" s="501"/>
      <c r="DYS10" s="501"/>
      <c r="DYT10" s="501"/>
      <c r="DYU10" s="501"/>
      <c r="DYV10" s="501"/>
      <c r="DYW10" s="501"/>
      <c r="DYX10" s="501"/>
      <c r="DYY10" s="501"/>
      <c r="DYZ10" s="501"/>
      <c r="DZA10" s="501"/>
      <c r="DZB10" s="501"/>
      <c r="DZC10" s="645"/>
      <c r="DZD10" s="646"/>
      <c r="DZE10" s="646"/>
      <c r="DZF10" s="646"/>
      <c r="DZG10" s="646"/>
      <c r="DZH10" s="646"/>
      <c r="DZI10" s="646"/>
      <c r="DZJ10" s="646"/>
      <c r="DZK10" s="646"/>
      <c r="DZL10" s="646"/>
      <c r="DZM10" s="501"/>
      <c r="DZN10" s="501"/>
      <c r="DZO10" s="501"/>
      <c r="DZP10" s="501"/>
      <c r="DZQ10" s="501"/>
      <c r="DZR10" s="501"/>
      <c r="DZS10" s="501"/>
      <c r="DZT10" s="501"/>
      <c r="DZU10" s="501"/>
      <c r="DZV10" s="501"/>
      <c r="DZW10" s="501"/>
      <c r="DZX10" s="645"/>
      <c r="DZY10" s="646"/>
      <c r="DZZ10" s="646"/>
      <c r="EAA10" s="646"/>
      <c r="EAB10" s="646"/>
      <c r="EAC10" s="646"/>
      <c r="EAD10" s="646"/>
      <c r="EAE10" s="646"/>
      <c r="EAF10" s="646"/>
      <c r="EAG10" s="646"/>
      <c r="EAH10" s="501"/>
      <c r="EAI10" s="501"/>
      <c r="EAJ10" s="501"/>
      <c r="EAK10" s="501"/>
      <c r="EAL10" s="501"/>
      <c r="EAM10" s="501"/>
      <c r="EAN10" s="501"/>
      <c r="EAO10" s="501"/>
      <c r="EAP10" s="501"/>
      <c r="EAQ10" s="501"/>
      <c r="EAR10" s="501"/>
      <c r="EAS10" s="645"/>
      <c r="EAT10" s="646"/>
      <c r="EAU10" s="646"/>
      <c r="EAV10" s="646"/>
      <c r="EAW10" s="646"/>
      <c r="EAX10" s="646"/>
      <c r="EAY10" s="646"/>
      <c r="EAZ10" s="646"/>
      <c r="EBA10" s="646"/>
      <c r="EBB10" s="646"/>
      <c r="EBC10" s="501"/>
      <c r="EBD10" s="501"/>
      <c r="EBE10" s="501"/>
      <c r="EBF10" s="501"/>
      <c r="EBG10" s="501"/>
      <c r="EBH10" s="501"/>
      <c r="EBI10" s="501"/>
      <c r="EBJ10" s="501"/>
      <c r="EBK10" s="501"/>
      <c r="EBL10" s="501"/>
      <c r="EBM10" s="501"/>
      <c r="EBN10" s="645"/>
      <c r="EBO10" s="646"/>
      <c r="EBP10" s="646"/>
      <c r="EBQ10" s="646"/>
      <c r="EBR10" s="646"/>
      <c r="EBS10" s="646"/>
      <c r="EBT10" s="646"/>
      <c r="EBU10" s="646"/>
      <c r="EBV10" s="646"/>
      <c r="EBW10" s="646"/>
      <c r="EBX10" s="501"/>
      <c r="EBY10" s="501"/>
      <c r="EBZ10" s="501"/>
      <c r="ECA10" s="501"/>
      <c r="ECB10" s="501"/>
      <c r="ECC10" s="501"/>
      <c r="ECD10" s="501"/>
      <c r="ECE10" s="501"/>
      <c r="ECF10" s="501"/>
      <c r="ECG10" s="501"/>
      <c r="ECH10" s="501"/>
      <c r="ECI10" s="645"/>
      <c r="ECJ10" s="646"/>
      <c r="ECK10" s="646"/>
      <c r="ECL10" s="646"/>
      <c r="ECM10" s="646"/>
      <c r="ECN10" s="646"/>
      <c r="ECO10" s="646"/>
      <c r="ECP10" s="646"/>
      <c r="ECQ10" s="646"/>
      <c r="ECR10" s="646"/>
      <c r="ECS10" s="501"/>
      <c r="ECT10" s="501"/>
      <c r="ECU10" s="501"/>
      <c r="ECV10" s="501"/>
      <c r="ECW10" s="501"/>
      <c r="ECX10" s="501"/>
      <c r="ECY10" s="501"/>
      <c r="ECZ10" s="501"/>
      <c r="EDA10" s="501"/>
      <c r="EDB10" s="501"/>
      <c r="EDC10" s="501"/>
      <c r="EDD10" s="645"/>
      <c r="EDE10" s="646"/>
      <c r="EDF10" s="646"/>
      <c r="EDG10" s="646"/>
      <c r="EDH10" s="646"/>
      <c r="EDI10" s="646"/>
      <c r="EDJ10" s="646"/>
      <c r="EDK10" s="646"/>
      <c r="EDL10" s="646"/>
      <c r="EDM10" s="646"/>
      <c r="EDN10" s="501"/>
      <c r="EDO10" s="501"/>
      <c r="EDP10" s="501"/>
      <c r="EDQ10" s="501"/>
      <c r="EDR10" s="501"/>
      <c r="EDS10" s="501"/>
      <c r="EDT10" s="501"/>
      <c r="EDU10" s="501"/>
      <c r="EDV10" s="501"/>
      <c r="EDW10" s="501"/>
      <c r="EDX10" s="501"/>
      <c r="EDY10" s="645"/>
      <c r="EDZ10" s="646"/>
      <c r="EEA10" s="646"/>
      <c r="EEB10" s="646"/>
      <c r="EEC10" s="646"/>
      <c r="EED10" s="646"/>
      <c r="EEE10" s="646"/>
      <c r="EEF10" s="646"/>
      <c r="EEG10" s="646"/>
      <c r="EEH10" s="646"/>
      <c r="EEI10" s="501"/>
      <c r="EEJ10" s="501"/>
      <c r="EEK10" s="501"/>
      <c r="EEL10" s="501"/>
      <c r="EEM10" s="501"/>
      <c r="EEN10" s="501"/>
      <c r="EEO10" s="501"/>
      <c r="EEP10" s="501"/>
      <c r="EEQ10" s="501"/>
      <c r="EER10" s="501"/>
      <c r="EES10" s="501"/>
      <c r="EET10" s="645"/>
      <c r="EEU10" s="646"/>
      <c r="EEV10" s="646"/>
      <c r="EEW10" s="646"/>
      <c r="EEX10" s="646"/>
      <c r="EEY10" s="646"/>
      <c r="EEZ10" s="646"/>
      <c r="EFA10" s="646"/>
      <c r="EFB10" s="646"/>
      <c r="EFC10" s="646"/>
      <c r="EFD10" s="501"/>
      <c r="EFE10" s="501"/>
      <c r="EFF10" s="501"/>
      <c r="EFG10" s="501"/>
      <c r="EFH10" s="501"/>
      <c r="EFI10" s="501"/>
      <c r="EFJ10" s="501"/>
      <c r="EFK10" s="501"/>
      <c r="EFL10" s="501"/>
      <c r="EFM10" s="501"/>
      <c r="EFN10" s="501"/>
      <c r="EFO10" s="645"/>
      <c r="EFP10" s="646"/>
      <c r="EFQ10" s="646"/>
      <c r="EFR10" s="646"/>
      <c r="EFS10" s="646"/>
      <c r="EFT10" s="646"/>
      <c r="EFU10" s="646"/>
      <c r="EFV10" s="646"/>
      <c r="EFW10" s="646"/>
      <c r="EFX10" s="646"/>
      <c r="EFY10" s="501"/>
      <c r="EFZ10" s="501"/>
      <c r="EGA10" s="501"/>
      <c r="EGB10" s="501"/>
      <c r="EGC10" s="501"/>
      <c r="EGD10" s="501"/>
      <c r="EGE10" s="501"/>
      <c r="EGF10" s="501"/>
      <c r="EGG10" s="501"/>
      <c r="EGH10" s="501"/>
      <c r="EGI10" s="501"/>
      <c r="EGJ10" s="645"/>
      <c r="EGK10" s="646"/>
      <c r="EGL10" s="646"/>
      <c r="EGM10" s="646"/>
      <c r="EGN10" s="646"/>
      <c r="EGO10" s="646"/>
      <c r="EGP10" s="646"/>
      <c r="EGQ10" s="646"/>
      <c r="EGR10" s="646"/>
      <c r="EGS10" s="646"/>
      <c r="EGT10" s="501"/>
      <c r="EGU10" s="501"/>
      <c r="EGV10" s="501"/>
      <c r="EGW10" s="501"/>
      <c r="EGX10" s="501"/>
      <c r="EGY10" s="501"/>
      <c r="EGZ10" s="501"/>
      <c r="EHA10" s="501"/>
      <c r="EHB10" s="501"/>
      <c r="EHC10" s="501"/>
      <c r="EHD10" s="501"/>
      <c r="EHE10" s="645"/>
      <c r="EHF10" s="646"/>
      <c r="EHG10" s="646"/>
      <c r="EHH10" s="646"/>
      <c r="EHI10" s="646"/>
      <c r="EHJ10" s="646"/>
      <c r="EHK10" s="646"/>
      <c r="EHL10" s="646"/>
      <c r="EHM10" s="646"/>
      <c r="EHN10" s="646"/>
      <c r="EHO10" s="501"/>
      <c r="EHP10" s="501"/>
      <c r="EHQ10" s="501"/>
      <c r="EHR10" s="501"/>
      <c r="EHS10" s="501"/>
      <c r="EHT10" s="501"/>
      <c r="EHU10" s="501"/>
      <c r="EHV10" s="501"/>
      <c r="EHW10" s="501"/>
      <c r="EHX10" s="501"/>
      <c r="EHY10" s="501"/>
      <c r="EHZ10" s="645"/>
      <c r="EIA10" s="646"/>
      <c r="EIB10" s="646"/>
      <c r="EIC10" s="646"/>
      <c r="EID10" s="646"/>
      <c r="EIE10" s="646"/>
      <c r="EIF10" s="646"/>
      <c r="EIG10" s="646"/>
      <c r="EIH10" s="646"/>
      <c r="EII10" s="646"/>
      <c r="EIJ10" s="501"/>
      <c r="EIK10" s="501"/>
      <c r="EIL10" s="501"/>
      <c r="EIM10" s="501"/>
      <c r="EIN10" s="501"/>
      <c r="EIO10" s="501"/>
      <c r="EIP10" s="501"/>
      <c r="EIQ10" s="501"/>
      <c r="EIR10" s="501"/>
      <c r="EIS10" s="501"/>
      <c r="EIT10" s="501"/>
      <c r="EIU10" s="645"/>
      <c r="EIV10" s="646"/>
      <c r="EIW10" s="646"/>
      <c r="EIX10" s="646"/>
      <c r="EIY10" s="646"/>
      <c r="EIZ10" s="646"/>
      <c r="EJA10" s="646"/>
      <c r="EJB10" s="646"/>
      <c r="EJC10" s="646"/>
      <c r="EJD10" s="646"/>
      <c r="EJE10" s="501"/>
      <c r="EJF10" s="501"/>
      <c r="EJG10" s="501"/>
      <c r="EJH10" s="501"/>
      <c r="EJI10" s="501"/>
      <c r="EJJ10" s="501"/>
      <c r="EJK10" s="501"/>
      <c r="EJL10" s="501"/>
      <c r="EJM10" s="501"/>
      <c r="EJN10" s="501"/>
      <c r="EJO10" s="501"/>
      <c r="EJP10" s="645"/>
      <c r="EJQ10" s="646"/>
      <c r="EJR10" s="646"/>
      <c r="EJS10" s="646"/>
      <c r="EJT10" s="646"/>
      <c r="EJU10" s="646"/>
      <c r="EJV10" s="646"/>
      <c r="EJW10" s="646"/>
      <c r="EJX10" s="646"/>
      <c r="EJY10" s="646"/>
      <c r="EJZ10" s="501"/>
      <c r="EKA10" s="501"/>
      <c r="EKB10" s="501"/>
      <c r="EKC10" s="501"/>
      <c r="EKD10" s="501"/>
      <c r="EKE10" s="501"/>
      <c r="EKF10" s="501"/>
      <c r="EKG10" s="501"/>
      <c r="EKH10" s="501"/>
      <c r="EKI10" s="501"/>
      <c r="EKJ10" s="501"/>
      <c r="EKK10" s="645"/>
      <c r="EKL10" s="646"/>
      <c r="EKM10" s="646"/>
      <c r="EKN10" s="646"/>
      <c r="EKO10" s="646"/>
      <c r="EKP10" s="646"/>
      <c r="EKQ10" s="646"/>
      <c r="EKR10" s="646"/>
      <c r="EKS10" s="646"/>
      <c r="EKT10" s="646"/>
      <c r="EKU10" s="501"/>
      <c r="EKV10" s="501"/>
      <c r="EKW10" s="501"/>
      <c r="EKX10" s="501"/>
      <c r="EKY10" s="501"/>
      <c r="EKZ10" s="501"/>
      <c r="ELA10" s="501"/>
      <c r="ELB10" s="501"/>
      <c r="ELC10" s="501"/>
      <c r="ELD10" s="501"/>
      <c r="ELE10" s="501"/>
      <c r="ELF10" s="645"/>
      <c r="ELG10" s="646"/>
      <c r="ELH10" s="646"/>
      <c r="ELI10" s="646"/>
      <c r="ELJ10" s="646"/>
      <c r="ELK10" s="646"/>
      <c r="ELL10" s="646"/>
      <c r="ELM10" s="646"/>
      <c r="ELN10" s="646"/>
      <c r="ELO10" s="646"/>
      <c r="ELP10" s="501"/>
      <c r="ELQ10" s="501"/>
      <c r="ELR10" s="501"/>
      <c r="ELS10" s="501"/>
      <c r="ELT10" s="501"/>
      <c r="ELU10" s="501"/>
      <c r="ELV10" s="501"/>
      <c r="ELW10" s="501"/>
      <c r="ELX10" s="501"/>
      <c r="ELY10" s="501"/>
      <c r="ELZ10" s="501"/>
      <c r="EMA10" s="645"/>
      <c r="EMB10" s="646"/>
      <c r="EMC10" s="646"/>
      <c r="EMD10" s="646"/>
      <c r="EME10" s="646"/>
      <c r="EMF10" s="646"/>
      <c r="EMG10" s="646"/>
      <c r="EMH10" s="646"/>
      <c r="EMI10" s="646"/>
      <c r="EMJ10" s="646"/>
      <c r="EMK10" s="501"/>
      <c r="EML10" s="501"/>
      <c r="EMM10" s="501"/>
      <c r="EMN10" s="501"/>
      <c r="EMO10" s="501"/>
      <c r="EMP10" s="501"/>
      <c r="EMQ10" s="501"/>
      <c r="EMR10" s="501"/>
      <c r="EMS10" s="501"/>
      <c r="EMT10" s="501"/>
      <c r="EMU10" s="501"/>
      <c r="EMV10" s="645"/>
      <c r="EMW10" s="646"/>
      <c r="EMX10" s="646"/>
      <c r="EMY10" s="646"/>
      <c r="EMZ10" s="646"/>
      <c r="ENA10" s="646"/>
      <c r="ENB10" s="646"/>
      <c r="ENC10" s="646"/>
      <c r="END10" s="646"/>
      <c r="ENE10" s="646"/>
      <c r="ENF10" s="501"/>
      <c r="ENG10" s="501"/>
      <c r="ENH10" s="501"/>
      <c r="ENI10" s="501"/>
      <c r="ENJ10" s="501"/>
      <c r="ENK10" s="501"/>
      <c r="ENL10" s="501"/>
      <c r="ENM10" s="501"/>
      <c r="ENN10" s="501"/>
      <c r="ENO10" s="501"/>
      <c r="ENP10" s="501"/>
      <c r="ENQ10" s="645"/>
      <c r="ENR10" s="646"/>
      <c r="ENS10" s="646"/>
      <c r="ENT10" s="646"/>
      <c r="ENU10" s="646"/>
      <c r="ENV10" s="646"/>
      <c r="ENW10" s="646"/>
      <c r="ENX10" s="646"/>
      <c r="ENY10" s="646"/>
      <c r="ENZ10" s="646"/>
      <c r="EOA10" s="501"/>
      <c r="EOB10" s="501"/>
      <c r="EOC10" s="501"/>
      <c r="EOD10" s="501"/>
      <c r="EOE10" s="501"/>
      <c r="EOF10" s="501"/>
      <c r="EOG10" s="501"/>
      <c r="EOH10" s="501"/>
      <c r="EOI10" s="501"/>
      <c r="EOJ10" s="501"/>
      <c r="EOK10" s="501"/>
      <c r="EOL10" s="645"/>
      <c r="EOM10" s="646"/>
      <c r="EON10" s="646"/>
      <c r="EOO10" s="646"/>
      <c r="EOP10" s="646"/>
      <c r="EOQ10" s="646"/>
      <c r="EOR10" s="646"/>
      <c r="EOS10" s="646"/>
      <c r="EOT10" s="646"/>
      <c r="EOU10" s="646"/>
      <c r="EOV10" s="501"/>
      <c r="EOW10" s="501"/>
      <c r="EOX10" s="501"/>
      <c r="EOY10" s="501"/>
      <c r="EOZ10" s="501"/>
      <c r="EPA10" s="501"/>
      <c r="EPB10" s="501"/>
      <c r="EPC10" s="501"/>
      <c r="EPD10" s="501"/>
      <c r="EPE10" s="501"/>
      <c r="EPF10" s="501"/>
      <c r="EPG10" s="645"/>
      <c r="EPH10" s="646"/>
      <c r="EPI10" s="646"/>
      <c r="EPJ10" s="646"/>
      <c r="EPK10" s="646"/>
      <c r="EPL10" s="646"/>
      <c r="EPM10" s="646"/>
      <c r="EPN10" s="646"/>
      <c r="EPO10" s="646"/>
      <c r="EPP10" s="646"/>
      <c r="EPQ10" s="501"/>
      <c r="EPR10" s="501"/>
      <c r="EPS10" s="501"/>
      <c r="EPT10" s="501"/>
      <c r="EPU10" s="501"/>
      <c r="EPV10" s="501"/>
      <c r="EPW10" s="501"/>
      <c r="EPX10" s="501"/>
      <c r="EPY10" s="501"/>
      <c r="EPZ10" s="501"/>
      <c r="EQA10" s="501"/>
      <c r="EQB10" s="645"/>
      <c r="EQC10" s="646"/>
      <c r="EQD10" s="646"/>
      <c r="EQE10" s="646"/>
      <c r="EQF10" s="646"/>
      <c r="EQG10" s="646"/>
      <c r="EQH10" s="646"/>
      <c r="EQI10" s="646"/>
      <c r="EQJ10" s="646"/>
      <c r="EQK10" s="646"/>
      <c r="EQL10" s="501"/>
      <c r="EQM10" s="501"/>
      <c r="EQN10" s="501"/>
      <c r="EQO10" s="501"/>
      <c r="EQP10" s="501"/>
      <c r="EQQ10" s="501"/>
      <c r="EQR10" s="501"/>
      <c r="EQS10" s="501"/>
      <c r="EQT10" s="501"/>
      <c r="EQU10" s="501"/>
      <c r="EQV10" s="501"/>
      <c r="EQW10" s="645"/>
      <c r="EQX10" s="646"/>
      <c r="EQY10" s="646"/>
      <c r="EQZ10" s="646"/>
      <c r="ERA10" s="646"/>
      <c r="ERB10" s="646"/>
      <c r="ERC10" s="646"/>
      <c r="ERD10" s="646"/>
      <c r="ERE10" s="646"/>
      <c r="ERF10" s="646"/>
      <c r="ERG10" s="501"/>
      <c r="ERH10" s="501"/>
      <c r="ERI10" s="501"/>
      <c r="ERJ10" s="501"/>
      <c r="ERK10" s="501"/>
      <c r="ERL10" s="501"/>
      <c r="ERM10" s="501"/>
      <c r="ERN10" s="501"/>
      <c r="ERO10" s="501"/>
      <c r="ERP10" s="501"/>
      <c r="ERQ10" s="501"/>
      <c r="ERR10" s="645"/>
      <c r="ERS10" s="646"/>
      <c r="ERT10" s="646"/>
      <c r="ERU10" s="646"/>
      <c r="ERV10" s="646"/>
      <c r="ERW10" s="646"/>
      <c r="ERX10" s="646"/>
      <c r="ERY10" s="646"/>
      <c r="ERZ10" s="646"/>
      <c r="ESA10" s="646"/>
      <c r="ESB10" s="501"/>
      <c r="ESC10" s="501"/>
      <c r="ESD10" s="501"/>
      <c r="ESE10" s="501"/>
      <c r="ESF10" s="501"/>
      <c r="ESG10" s="501"/>
      <c r="ESH10" s="501"/>
      <c r="ESI10" s="501"/>
      <c r="ESJ10" s="501"/>
      <c r="ESK10" s="501"/>
      <c r="ESL10" s="501"/>
      <c r="ESM10" s="645"/>
      <c r="ESN10" s="646"/>
      <c r="ESO10" s="646"/>
      <c r="ESP10" s="646"/>
      <c r="ESQ10" s="646"/>
      <c r="ESR10" s="646"/>
      <c r="ESS10" s="646"/>
      <c r="EST10" s="646"/>
      <c r="ESU10" s="646"/>
      <c r="ESV10" s="646"/>
      <c r="ESW10" s="501"/>
      <c r="ESX10" s="501"/>
      <c r="ESY10" s="501"/>
      <c r="ESZ10" s="501"/>
      <c r="ETA10" s="501"/>
      <c r="ETB10" s="501"/>
      <c r="ETC10" s="501"/>
      <c r="ETD10" s="501"/>
      <c r="ETE10" s="501"/>
      <c r="ETF10" s="501"/>
      <c r="ETG10" s="501"/>
      <c r="ETH10" s="645"/>
      <c r="ETI10" s="646"/>
      <c r="ETJ10" s="646"/>
      <c r="ETK10" s="646"/>
      <c r="ETL10" s="646"/>
      <c r="ETM10" s="646"/>
      <c r="ETN10" s="646"/>
      <c r="ETO10" s="646"/>
      <c r="ETP10" s="646"/>
      <c r="ETQ10" s="646"/>
      <c r="ETR10" s="501"/>
      <c r="ETS10" s="501"/>
      <c r="ETT10" s="501"/>
      <c r="ETU10" s="501"/>
      <c r="ETV10" s="501"/>
      <c r="ETW10" s="501"/>
      <c r="ETX10" s="501"/>
      <c r="ETY10" s="501"/>
      <c r="ETZ10" s="501"/>
      <c r="EUA10" s="501"/>
      <c r="EUB10" s="501"/>
      <c r="EUC10" s="645"/>
      <c r="EUD10" s="646"/>
      <c r="EUE10" s="646"/>
      <c r="EUF10" s="646"/>
      <c r="EUG10" s="646"/>
      <c r="EUH10" s="646"/>
      <c r="EUI10" s="646"/>
      <c r="EUJ10" s="646"/>
      <c r="EUK10" s="646"/>
      <c r="EUL10" s="646"/>
      <c r="EUM10" s="501"/>
      <c r="EUN10" s="501"/>
      <c r="EUO10" s="501"/>
      <c r="EUP10" s="501"/>
      <c r="EUQ10" s="501"/>
      <c r="EUR10" s="501"/>
      <c r="EUS10" s="501"/>
      <c r="EUT10" s="501"/>
      <c r="EUU10" s="501"/>
      <c r="EUV10" s="501"/>
      <c r="EUW10" s="501"/>
      <c r="EUX10" s="645"/>
      <c r="EUY10" s="646"/>
      <c r="EUZ10" s="646"/>
      <c r="EVA10" s="646"/>
      <c r="EVB10" s="646"/>
      <c r="EVC10" s="646"/>
      <c r="EVD10" s="646"/>
      <c r="EVE10" s="646"/>
      <c r="EVF10" s="646"/>
      <c r="EVG10" s="646"/>
      <c r="EVH10" s="501"/>
      <c r="EVI10" s="501"/>
      <c r="EVJ10" s="501"/>
      <c r="EVK10" s="501"/>
      <c r="EVL10" s="501"/>
      <c r="EVM10" s="501"/>
      <c r="EVN10" s="501"/>
      <c r="EVO10" s="501"/>
      <c r="EVP10" s="501"/>
      <c r="EVQ10" s="501"/>
      <c r="EVR10" s="501"/>
      <c r="EVS10" s="645"/>
      <c r="EVT10" s="646"/>
      <c r="EVU10" s="646"/>
      <c r="EVV10" s="646"/>
      <c r="EVW10" s="646"/>
      <c r="EVX10" s="646"/>
      <c r="EVY10" s="646"/>
      <c r="EVZ10" s="646"/>
      <c r="EWA10" s="646"/>
      <c r="EWB10" s="646"/>
      <c r="EWC10" s="501"/>
      <c r="EWD10" s="501"/>
      <c r="EWE10" s="501"/>
      <c r="EWF10" s="501"/>
      <c r="EWG10" s="501"/>
      <c r="EWH10" s="501"/>
      <c r="EWI10" s="501"/>
      <c r="EWJ10" s="501"/>
      <c r="EWK10" s="501"/>
      <c r="EWL10" s="501"/>
      <c r="EWM10" s="501"/>
      <c r="EWN10" s="645"/>
      <c r="EWO10" s="646"/>
      <c r="EWP10" s="646"/>
      <c r="EWQ10" s="646"/>
      <c r="EWR10" s="646"/>
      <c r="EWS10" s="646"/>
      <c r="EWT10" s="646"/>
      <c r="EWU10" s="646"/>
      <c r="EWV10" s="646"/>
      <c r="EWW10" s="646"/>
      <c r="EWX10" s="501"/>
      <c r="EWY10" s="501"/>
      <c r="EWZ10" s="501"/>
      <c r="EXA10" s="501"/>
      <c r="EXB10" s="501"/>
      <c r="EXC10" s="501"/>
      <c r="EXD10" s="501"/>
      <c r="EXE10" s="501"/>
      <c r="EXF10" s="501"/>
      <c r="EXG10" s="501"/>
      <c r="EXH10" s="501"/>
      <c r="EXI10" s="645"/>
      <c r="EXJ10" s="646"/>
      <c r="EXK10" s="646"/>
      <c r="EXL10" s="646"/>
      <c r="EXM10" s="646"/>
      <c r="EXN10" s="646"/>
      <c r="EXO10" s="646"/>
      <c r="EXP10" s="646"/>
      <c r="EXQ10" s="646"/>
      <c r="EXR10" s="646"/>
      <c r="EXS10" s="501"/>
      <c r="EXT10" s="501"/>
      <c r="EXU10" s="501"/>
      <c r="EXV10" s="501"/>
      <c r="EXW10" s="501"/>
      <c r="EXX10" s="501"/>
      <c r="EXY10" s="501"/>
      <c r="EXZ10" s="501"/>
      <c r="EYA10" s="501"/>
      <c r="EYB10" s="501"/>
      <c r="EYC10" s="501"/>
      <c r="EYD10" s="645"/>
      <c r="EYE10" s="646"/>
      <c r="EYF10" s="646"/>
      <c r="EYG10" s="646"/>
      <c r="EYH10" s="646"/>
      <c r="EYI10" s="646"/>
      <c r="EYJ10" s="646"/>
      <c r="EYK10" s="646"/>
      <c r="EYL10" s="646"/>
      <c r="EYM10" s="646"/>
      <c r="EYN10" s="501"/>
      <c r="EYO10" s="501"/>
      <c r="EYP10" s="501"/>
      <c r="EYQ10" s="501"/>
      <c r="EYR10" s="501"/>
      <c r="EYS10" s="501"/>
      <c r="EYT10" s="501"/>
      <c r="EYU10" s="501"/>
      <c r="EYV10" s="501"/>
      <c r="EYW10" s="501"/>
      <c r="EYX10" s="501"/>
      <c r="EYY10" s="645"/>
      <c r="EYZ10" s="646"/>
      <c r="EZA10" s="646"/>
      <c r="EZB10" s="646"/>
      <c r="EZC10" s="646"/>
      <c r="EZD10" s="646"/>
      <c r="EZE10" s="646"/>
      <c r="EZF10" s="646"/>
      <c r="EZG10" s="646"/>
      <c r="EZH10" s="646"/>
      <c r="EZI10" s="501"/>
      <c r="EZJ10" s="501"/>
      <c r="EZK10" s="501"/>
      <c r="EZL10" s="501"/>
      <c r="EZM10" s="501"/>
      <c r="EZN10" s="501"/>
      <c r="EZO10" s="501"/>
      <c r="EZP10" s="501"/>
      <c r="EZQ10" s="501"/>
      <c r="EZR10" s="501"/>
      <c r="EZS10" s="501"/>
      <c r="EZT10" s="645"/>
      <c r="EZU10" s="646"/>
      <c r="EZV10" s="646"/>
      <c r="EZW10" s="646"/>
      <c r="EZX10" s="646"/>
      <c r="EZY10" s="646"/>
      <c r="EZZ10" s="646"/>
      <c r="FAA10" s="646"/>
      <c r="FAB10" s="646"/>
      <c r="FAC10" s="646"/>
      <c r="FAD10" s="501"/>
      <c r="FAE10" s="501"/>
      <c r="FAF10" s="501"/>
      <c r="FAG10" s="501"/>
      <c r="FAH10" s="501"/>
      <c r="FAI10" s="501"/>
      <c r="FAJ10" s="501"/>
      <c r="FAK10" s="501"/>
      <c r="FAL10" s="501"/>
      <c r="FAM10" s="501"/>
      <c r="FAN10" s="501"/>
      <c r="FAO10" s="645"/>
      <c r="FAP10" s="646"/>
      <c r="FAQ10" s="646"/>
      <c r="FAR10" s="646"/>
      <c r="FAS10" s="646"/>
      <c r="FAT10" s="646"/>
      <c r="FAU10" s="646"/>
      <c r="FAV10" s="646"/>
      <c r="FAW10" s="646"/>
      <c r="FAX10" s="646"/>
      <c r="FAY10" s="501"/>
      <c r="FAZ10" s="501"/>
      <c r="FBA10" s="501"/>
      <c r="FBB10" s="501"/>
      <c r="FBC10" s="501"/>
      <c r="FBD10" s="501"/>
      <c r="FBE10" s="501"/>
      <c r="FBF10" s="501"/>
      <c r="FBG10" s="501"/>
      <c r="FBH10" s="501"/>
      <c r="FBI10" s="501"/>
      <c r="FBJ10" s="645"/>
      <c r="FBK10" s="646"/>
      <c r="FBL10" s="646"/>
      <c r="FBM10" s="646"/>
      <c r="FBN10" s="646"/>
      <c r="FBO10" s="646"/>
      <c r="FBP10" s="646"/>
      <c r="FBQ10" s="646"/>
      <c r="FBR10" s="646"/>
      <c r="FBS10" s="646"/>
      <c r="FBT10" s="501"/>
      <c r="FBU10" s="501"/>
      <c r="FBV10" s="501"/>
      <c r="FBW10" s="501"/>
      <c r="FBX10" s="501"/>
      <c r="FBY10" s="501"/>
      <c r="FBZ10" s="501"/>
      <c r="FCA10" s="501"/>
      <c r="FCB10" s="501"/>
      <c r="FCC10" s="501"/>
      <c r="FCD10" s="501"/>
      <c r="FCE10" s="645"/>
      <c r="FCF10" s="646"/>
      <c r="FCG10" s="646"/>
      <c r="FCH10" s="646"/>
      <c r="FCI10" s="646"/>
      <c r="FCJ10" s="646"/>
      <c r="FCK10" s="646"/>
      <c r="FCL10" s="646"/>
      <c r="FCM10" s="646"/>
      <c r="FCN10" s="646"/>
      <c r="FCO10" s="501"/>
      <c r="FCP10" s="501"/>
      <c r="FCQ10" s="501"/>
      <c r="FCR10" s="501"/>
      <c r="FCS10" s="501"/>
      <c r="FCT10" s="501"/>
      <c r="FCU10" s="501"/>
      <c r="FCV10" s="501"/>
      <c r="FCW10" s="501"/>
      <c r="FCX10" s="501"/>
      <c r="FCY10" s="501"/>
      <c r="FCZ10" s="645"/>
      <c r="FDA10" s="646"/>
      <c r="FDB10" s="646"/>
      <c r="FDC10" s="646"/>
      <c r="FDD10" s="646"/>
      <c r="FDE10" s="646"/>
      <c r="FDF10" s="646"/>
      <c r="FDG10" s="646"/>
      <c r="FDH10" s="646"/>
      <c r="FDI10" s="646"/>
      <c r="FDJ10" s="501"/>
      <c r="FDK10" s="501"/>
      <c r="FDL10" s="501"/>
      <c r="FDM10" s="501"/>
      <c r="FDN10" s="501"/>
      <c r="FDO10" s="501"/>
      <c r="FDP10" s="501"/>
      <c r="FDQ10" s="501"/>
      <c r="FDR10" s="501"/>
      <c r="FDS10" s="501"/>
      <c r="FDT10" s="501"/>
      <c r="FDU10" s="645"/>
      <c r="FDV10" s="646"/>
      <c r="FDW10" s="646"/>
      <c r="FDX10" s="646"/>
      <c r="FDY10" s="646"/>
      <c r="FDZ10" s="646"/>
      <c r="FEA10" s="646"/>
      <c r="FEB10" s="646"/>
      <c r="FEC10" s="646"/>
      <c r="FED10" s="646"/>
      <c r="FEE10" s="501"/>
      <c r="FEF10" s="501"/>
      <c r="FEG10" s="501"/>
      <c r="FEH10" s="501"/>
      <c r="FEI10" s="501"/>
      <c r="FEJ10" s="501"/>
      <c r="FEK10" s="501"/>
      <c r="FEL10" s="501"/>
      <c r="FEM10" s="501"/>
      <c r="FEN10" s="501"/>
      <c r="FEO10" s="501"/>
      <c r="FEP10" s="645"/>
      <c r="FEQ10" s="646"/>
      <c r="FER10" s="646"/>
      <c r="FES10" s="646"/>
      <c r="FET10" s="646"/>
      <c r="FEU10" s="646"/>
      <c r="FEV10" s="646"/>
      <c r="FEW10" s="646"/>
      <c r="FEX10" s="646"/>
      <c r="FEY10" s="646"/>
      <c r="FEZ10" s="501"/>
      <c r="FFA10" s="501"/>
      <c r="FFB10" s="501"/>
      <c r="FFC10" s="501"/>
      <c r="FFD10" s="501"/>
      <c r="FFE10" s="501"/>
      <c r="FFF10" s="501"/>
      <c r="FFG10" s="501"/>
      <c r="FFH10" s="501"/>
      <c r="FFI10" s="501"/>
      <c r="FFJ10" s="501"/>
      <c r="FFK10" s="645"/>
      <c r="FFL10" s="646"/>
      <c r="FFM10" s="646"/>
      <c r="FFN10" s="646"/>
      <c r="FFO10" s="646"/>
      <c r="FFP10" s="646"/>
      <c r="FFQ10" s="646"/>
      <c r="FFR10" s="646"/>
      <c r="FFS10" s="646"/>
      <c r="FFT10" s="646"/>
      <c r="FFU10" s="501"/>
      <c r="FFV10" s="501"/>
      <c r="FFW10" s="501"/>
      <c r="FFX10" s="501"/>
      <c r="FFY10" s="501"/>
      <c r="FFZ10" s="501"/>
      <c r="FGA10" s="501"/>
      <c r="FGB10" s="501"/>
      <c r="FGC10" s="501"/>
      <c r="FGD10" s="501"/>
      <c r="FGE10" s="501"/>
      <c r="FGF10" s="645"/>
      <c r="FGG10" s="646"/>
      <c r="FGH10" s="646"/>
      <c r="FGI10" s="646"/>
      <c r="FGJ10" s="646"/>
      <c r="FGK10" s="646"/>
      <c r="FGL10" s="646"/>
      <c r="FGM10" s="646"/>
      <c r="FGN10" s="646"/>
      <c r="FGO10" s="646"/>
      <c r="FGP10" s="501"/>
      <c r="FGQ10" s="501"/>
      <c r="FGR10" s="501"/>
      <c r="FGS10" s="501"/>
      <c r="FGT10" s="501"/>
      <c r="FGU10" s="501"/>
      <c r="FGV10" s="501"/>
      <c r="FGW10" s="501"/>
      <c r="FGX10" s="501"/>
      <c r="FGY10" s="501"/>
      <c r="FGZ10" s="501"/>
      <c r="FHA10" s="645"/>
      <c r="FHB10" s="646"/>
      <c r="FHC10" s="646"/>
      <c r="FHD10" s="646"/>
      <c r="FHE10" s="646"/>
      <c r="FHF10" s="646"/>
      <c r="FHG10" s="646"/>
      <c r="FHH10" s="646"/>
      <c r="FHI10" s="646"/>
      <c r="FHJ10" s="646"/>
      <c r="FHK10" s="501"/>
      <c r="FHL10" s="501"/>
      <c r="FHM10" s="501"/>
      <c r="FHN10" s="501"/>
      <c r="FHO10" s="501"/>
      <c r="FHP10" s="501"/>
      <c r="FHQ10" s="501"/>
      <c r="FHR10" s="501"/>
      <c r="FHS10" s="501"/>
      <c r="FHT10" s="501"/>
      <c r="FHU10" s="501"/>
      <c r="FHV10" s="645"/>
      <c r="FHW10" s="646"/>
      <c r="FHX10" s="646"/>
      <c r="FHY10" s="646"/>
      <c r="FHZ10" s="646"/>
      <c r="FIA10" s="646"/>
      <c r="FIB10" s="646"/>
      <c r="FIC10" s="646"/>
      <c r="FID10" s="646"/>
      <c r="FIE10" s="646"/>
      <c r="FIF10" s="501"/>
      <c r="FIG10" s="501"/>
      <c r="FIH10" s="501"/>
      <c r="FII10" s="501"/>
      <c r="FIJ10" s="501"/>
      <c r="FIK10" s="501"/>
      <c r="FIL10" s="501"/>
      <c r="FIM10" s="501"/>
      <c r="FIN10" s="501"/>
      <c r="FIO10" s="501"/>
      <c r="FIP10" s="501"/>
      <c r="FIQ10" s="645"/>
      <c r="FIR10" s="646"/>
      <c r="FIS10" s="646"/>
      <c r="FIT10" s="646"/>
      <c r="FIU10" s="646"/>
      <c r="FIV10" s="646"/>
      <c r="FIW10" s="646"/>
      <c r="FIX10" s="646"/>
      <c r="FIY10" s="646"/>
      <c r="FIZ10" s="646"/>
      <c r="FJA10" s="501"/>
      <c r="FJB10" s="501"/>
      <c r="FJC10" s="501"/>
      <c r="FJD10" s="501"/>
      <c r="FJE10" s="501"/>
      <c r="FJF10" s="501"/>
      <c r="FJG10" s="501"/>
      <c r="FJH10" s="501"/>
      <c r="FJI10" s="501"/>
      <c r="FJJ10" s="501"/>
      <c r="FJK10" s="501"/>
      <c r="FJL10" s="645"/>
      <c r="FJM10" s="646"/>
      <c r="FJN10" s="646"/>
      <c r="FJO10" s="646"/>
      <c r="FJP10" s="646"/>
      <c r="FJQ10" s="646"/>
      <c r="FJR10" s="646"/>
      <c r="FJS10" s="646"/>
      <c r="FJT10" s="646"/>
      <c r="FJU10" s="646"/>
      <c r="FJV10" s="501"/>
      <c r="FJW10" s="501"/>
      <c r="FJX10" s="501"/>
      <c r="FJY10" s="501"/>
      <c r="FJZ10" s="501"/>
      <c r="FKA10" s="501"/>
      <c r="FKB10" s="501"/>
      <c r="FKC10" s="501"/>
      <c r="FKD10" s="501"/>
      <c r="FKE10" s="501"/>
      <c r="FKF10" s="501"/>
      <c r="FKG10" s="645"/>
      <c r="FKH10" s="646"/>
      <c r="FKI10" s="646"/>
      <c r="FKJ10" s="646"/>
      <c r="FKK10" s="646"/>
      <c r="FKL10" s="646"/>
      <c r="FKM10" s="646"/>
      <c r="FKN10" s="646"/>
      <c r="FKO10" s="646"/>
      <c r="FKP10" s="646"/>
      <c r="FKQ10" s="501"/>
      <c r="FKR10" s="501"/>
      <c r="FKS10" s="501"/>
      <c r="FKT10" s="501"/>
      <c r="FKU10" s="501"/>
      <c r="FKV10" s="501"/>
      <c r="FKW10" s="501"/>
      <c r="FKX10" s="501"/>
      <c r="FKY10" s="501"/>
      <c r="FKZ10" s="501"/>
      <c r="FLA10" s="501"/>
      <c r="FLB10" s="645"/>
      <c r="FLC10" s="646"/>
      <c r="FLD10" s="646"/>
      <c r="FLE10" s="646"/>
      <c r="FLF10" s="646"/>
      <c r="FLG10" s="646"/>
      <c r="FLH10" s="646"/>
      <c r="FLI10" s="646"/>
      <c r="FLJ10" s="646"/>
      <c r="FLK10" s="646"/>
      <c r="FLL10" s="501"/>
      <c r="FLM10" s="501"/>
      <c r="FLN10" s="501"/>
      <c r="FLO10" s="501"/>
      <c r="FLP10" s="501"/>
      <c r="FLQ10" s="501"/>
      <c r="FLR10" s="501"/>
      <c r="FLS10" s="501"/>
      <c r="FLT10" s="501"/>
      <c r="FLU10" s="501"/>
      <c r="FLV10" s="501"/>
      <c r="FLW10" s="645"/>
      <c r="FLX10" s="646"/>
      <c r="FLY10" s="646"/>
      <c r="FLZ10" s="646"/>
      <c r="FMA10" s="646"/>
      <c r="FMB10" s="646"/>
      <c r="FMC10" s="646"/>
      <c r="FMD10" s="646"/>
      <c r="FME10" s="646"/>
      <c r="FMF10" s="646"/>
      <c r="FMG10" s="501"/>
      <c r="FMH10" s="501"/>
      <c r="FMI10" s="501"/>
      <c r="FMJ10" s="501"/>
      <c r="FMK10" s="501"/>
      <c r="FML10" s="501"/>
      <c r="FMM10" s="501"/>
      <c r="FMN10" s="501"/>
      <c r="FMO10" s="501"/>
      <c r="FMP10" s="501"/>
      <c r="FMQ10" s="501"/>
      <c r="FMR10" s="645"/>
      <c r="FMS10" s="646"/>
      <c r="FMT10" s="646"/>
      <c r="FMU10" s="646"/>
      <c r="FMV10" s="646"/>
      <c r="FMW10" s="646"/>
      <c r="FMX10" s="646"/>
      <c r="FMY10" s="646"/>
      <c r="FMZ10" s="646"/>
      <c r="FNA10" s="646"/>
      <c r="FNB10" s="501"/>
      <c r="FNC10" s="501"/>
      <c r="FND10" s="501"/>
      <c r="FNE10" s="501"/>
      <c r="FNF10" s="501"/>
      <c r="FNG10" s="501"/>
      <c r="FNH10" s="501"/>
      <c r="FNI10" s="501"/>
      <c r="FNJ10" s="501"/>
      <c r="FNK10" s="501"/>
      <c r="FNL10" s="501"/>
      <c r="FNM10" s="645"/>
      <c r="FNN10" s="646"/>
      <c r="FNO10" s="646"/>
      <c r="FNP10" s="646"/>
      <c r="FNQ10" s="646"/>
      <c r="FNR10" s="646"/>
      <c r="FNS10" s="646"/>
      <c r="FNT10" s="646"/>
      <c r="FNU10" s="646"/>
      <c r="FNV10" s="646"/>
      <c r="FNW10" s="501"/>
      <c r="FNX10" s="501"/>
      <c r="FNY10" s="501"/>
      <c r="FNZ10" s="501"/>
      <c r="FOA10" s="501"/>
      <c r="FOB10" s="501"/>
      <c r="FOC10" s="501"/>
      <c r="FOD10" s="501"/>
      <c r="FOE10" s="501"/>
      <c r="FOF10" s="501"/>
      <c r="FOG10" s="501"/>
      <c r="FOH10" s="645"/>
      <c r="FOI10" s="646"/>
      <c r="FOJ10" s="646"/>
      <c r="FOK10" s="646"/>
      <c r="FOL10" s="646"/>
      <c r="FOM10" s="646"/>
      <c r="FON10" s="646"/>
      <c r="FOO10" s="646"/>
      <c r="FOP10" s="646"/>
      <c r="FOQ10" s="646"/>
      <c r="FOR10" s="501"/>
      <c r="FOS10" s="501"/>
      <c r="FOT10" s="501"/>
      <c r="FOU10" s="501"/>
      <c r="FOV10" s="501"/>
      <c r="FOW10" s="501"/>
      <c r="FOX10" s="501"/>
      <c r="FOY10" s="501"/>
      <c r="FOZ10" s="501"/>
      <c r="FPA10" s="501"/>
      <c r="FPB10" s="501"/>
      <c r="FPC10" s="645"/>
      <c r="FPD10" s="646"/>
      <c r="FPE10" s="646"/>
      <c r="FPF10" s="646"/>
      <c r="FPG10" s="646"/>
      <c r="FPH10" s="646"/>
      <c r="FPI10" s="646"/>
      <c r="FPJ10" s="646"/>
      <c r="FPK10" s="646"/>
      <c r="FPL10" s="646"/>
      <c r="FPM10" s="501"/>
      <c r="FPN10" s="501"/>
      <c r="FPO10" s="501"/>
      <c r="FPP10" s="501"/>
      <c r="FPQ10" s="501"/>
      <c r="FPR10" s="501"/>
      <c r="FPS10" s="501"/>
      <c r="FPT10" s="501"/>
      <c r="FPU10" s="501"/>
      <c r="FPV10" s="501"/>
      <c r="FPW10" s="501"/>
      <c r="FPX10" s="645"/>
      <c r="FPY10" s="646"/>
      <c r="FPZ10" s="646"/>
      <c r="FQA10" s="646"/>
      <c r="FQB10" s="646"/>
      <c r="FQC10" s="646"/>
      <c r="FQD10" s="646"/>
      <c r="FQE10" s="646"/>
      <c r="FQF10" s="646"/>
      <c r="FQG10" s="646"/>
      <c r="FQH10" s="501"/>
      <c r="FQI10" s="501"/>
      <c r="FQJ10" s="501"/>
      <c r="FQK10" s="501"/>
      <c r="FQL10" s="501"/>
      <c r="FQM10" s="501"/>
      <c r="FQN10" s="501"/>
      <c r="FQO10" s="501"/>
      <c r="FQP10" s="501"/>
      <c r="FQQ10" s="501"/>
      <c r="FQR10" s="501"/>
      <c r="FQS10" s="645"/>
      <c r="FQT10" s="646"/>
      <c r="FQU10" s="646"/>
      <c r="FQV10" s="646"/>
      <c r="FQW10" s="646"/>
      <c r="FQX10" s="646"/>
      <c r="FQY10" s="646"/>
      <c r="FQZ10" s="646"/>
      <c r="FRA10" s="646"/>
      <c r="FRB10" s="646"/>
      <c r="FRC10" s="501"/>
      <c r="FRD10" s="501"/>
      <c r="FRE10" s="501"/>
      <c r="FRF10" s="501"/>
      <c r="FRG10" s="501"/>
      <c r="FRH10" s="501"/>
      <c r="FRI10" s="501"/>
      <c r="FRJ10" s="501"/>
      <c r="FRK10" s="501"/>
      <c r="FRL10" s="501"/>
      <c r="FRM10" s="501"/>
      <c r="FRN10" s="645"/>
      <c r="FRO10" s="646"/>
      <c r="FRP10" s="646"/>
      <c r="FRQ10" s="646"/>
      <c r="FRR10" s="646"/>
      <c r="FRS10" s="646"/>
      <c r="FRT10" s="646"/>
      <c r="FRU10" s="646"/>
      <c r="FRV10" s="646"/>
      <c r="FRW10" s="646"/>
      <c r="FRX10" s="501"/>
      <c r="FRY10" s="501"/>
      <c r="FRZ10" s="501"/>
      <c r="FSA10" s="501"/>
      <c r="FSB10" s="501"/>
      <c r="FSC10" s="501"/>
      <c r="FSD10" s="501"/>
      <c r="FSE10" s="501"/>
      <c r="FSF10" s="501"/>
      <c r="FSG10" s="501"/>
      <c r="FSH10" s="501"/>
      <c r="FSI10" s="645"/>
      <c r="FSJ10" s="646"/>
      <c r="FSK10" s="646"/>
      <c r="FSL10" s="646"/>
      <c r="FSM10" s="646"/>
      <c r="FSN10" s="646"/>
      <c r="FSO10" s="646"/>
      <c r="FSP10" s="646"/>
      <c r="FSQ10" s="646"/>
      <c r="FSR10" s="646"/>
      <c r="FSS10" s="501"/>
      <c r="FST10" s="501"/>
      <c r="FSU10" s="501"/>
      <c r="FSV10" s="501"/>
      <c r="FSW10" s="501"/>
      <c r="FSX10" s="501"/>
      <c r="FSY10" s="501"/>
      <c r="FSZ10" s="501"/>
      <c r="FTA10" s="501"/>
      <c r="FTB10" s="501"/>
      <c r="FTC10" s="501"/>
      <c r="FTD10" s="645"/>
      <c r="FTE10" s="646"/>
      <c r="FTF10" s="646"/>
      <c r="FTG10" s="646"/>
      <c r="FTH10" s="646"/>
      <c r="FTI10" s="646"/>
      <c r="FTJ10" s="646"/>
      <c r="FTK10" s="646"/>
      <c r="FTL10" s="646"/>
      <c r="FTM10" s="646"/>
      <c r="FTN10" s="501"/>
      <c r="FTO10" s="501"/>
      <c r="FTP10" s="501"/>
      <c r="FTQ10" s="501"/>
      <c r="FTR10" s="501"/>
      <c r="FTS10" s="501"/>
      <c r="FTT10" s="501"/>
      <c r="FTU10" s="501"/>
      <c r="FTV10" s="501"/>
      <c r="FTW10" s="501"/>
      <c r="FTX10" s="501"/>
      <c r="FTY10" s="645"/>
      <c r="FTZ10" s="646"/>
      <c r="FUA10" s="646"/>
      <c r="FUB10" s="646"/>
      <c r="FUC10" s="646"/>
      <c r="FUD10" s="646"/>
      <c r="FUE10" s="646"/>
      <c r="FUF10" s="646"/>
      <c r="FUG10" s="646"/>
      <c r="FUH10" s="646"/>
      <c r="FUI10" s="501"/>
      <c r="FUJ10" s="501"/>
      <c r="FUK10" s="501"/>
      <c r="FUL10" s="501"/>
      <c r="FUM10" s="501"/>
      <c r="FUN10" s="501"/>
      <c r="FUO10" s="501"/>
      <c r="FUP10" s="501"/>
      <c r="FUQ10" s="501"/>
      <c r="FUR10" s="501"/>
      <c r="FUS10" s="501"/>
      <c r="FUT10" s="645"/>
      <c r="FUU10" s="646"/>
      <c r="FUV10" s="646"/>
      <c r="FUW10" s="646"/>
      <c r="FUX10" s="646"/>
      <c r="FUY10" s="646"/>
      <c r="FUZ10" s="646"/>
      <c r="FVA10" s="646"/>
      <c r="FVB10" s="646"/>
      <c r="FVC10" s="646"/>
      <c r="FVD10" s="501"/>
      <c r="FVE10" s="501"/>
      <c r="FVF10" s="501"/>
      <c r="FVG10" s="501"/>
      <c r="FVH10" s="501"/>
      <c r="FVI10" s="501"/>
      <c r="FVJ10" s="501"/>
      <c r="FVK10" s="501"/>
      <c r="FVL10" s="501"/>
      <c r="FVM10" s="501"/>
      <c r="FVN10" s="501"/>
      <c r="FVO10" s="645"/>
      <c r="FVP10" s="646"/>
      <c r="FVQ10" s="646"/>
      <c r="FVR10" s="646"/>
      <c r="FVS10" s="646"/>
      <c r="FVT10" s="646"/>
      <c r="FVU10" s="646"/>
      <c r="FVV10" s="646"/>
      <c r="FVW10" s="646"/>
      <c r="FVX10" s="646"/>
      <c r="FVY10" s="501"/>
      <c r="FVZ10" s="501"/>
      <c r="FWA10" s="501"/>
      <c r="FWB10" s="501"/>
      <c r="FWC10" s="501"/>
      <c r="FWD10" s="501"/>
      <c r="FWE10" s="501"/>
      <c r="FWF10" s="501"/>
      <c r="FWG10" s="501"/>
      <c r="FWH10" s="501"/>
      <c r="FWI10" s="501"/>
      <c r="FWJ10" s="645"/>
      <c r="FWK10" s="646"/>
      <c r="FWL10" s="646"/>
      <c r="FWM10" s="646"/>
      <c r="FWN10" s="646"/>
      <c r="FWO10" s="646"/>
      <c r="FWP10" s="646"/>
      <c r="FWQ10" s="646"/>
      <c r="FWR10" s="646"/>
      <c r="FWS10" s="646"/>
      <c r="FWT10" s="501"/>
      <c r="FWU10" s="501"/>
      <c r="FWV10" s="501"/>
      <c r="FWW10" s="501"/>
      <c r="FWX10" s="501"/>
      <c r="FWY10" s="501"/>
      <c r="FWZ10" s="501"/>
      <c r="FXA10" s="501"/>
      <c r="FXB10" s="501"/>
      <c r="FXC10" s="501"/>
      <c r="FXD10" s="501"/>
      <c r="FXE10" s="645"/>
      <c r="FXF10" s="646"/>
      <c r="FXG10" s="646"/>
      <c r="FXH10" s="646"/>
      <c r="FXI10" s="646"/>
      <c r="FXJ10" s="646"/>
      <c r="FXK10" s="646"/>
      <c r="FXL10" s="646"/>
      <c r="FXM10" s="646"/>
      <c r="FXN10" s="646"/>
      <c r="FXO10" s="501"/>
      <c r="FXP10" s="501"/>
      <c r="FXQ10" s="501"/>
      <c r="FXR10" s="501"/>
      <c r="FXS10" s="501"/>
      <c r="FXT10" s="501"/>
      <c r="FXU10" s="501"/>
      <c r="FXV10" s="501"/>
      <c r="FXW10" s="501"/>
      <c r="FXX10" s="501"/>
      <c r="FXY10" s="501"/>
      <c r="FXZ10" s="645"/>
      <c r="FYA10" s="646"/>
      <c r="FYB10" s="646"/>
      <c r="FYC10" s="646"/>
      <c r="FYD10" s="646"/>
      <c r="FYE10" s="646"/>
      <c r="FYF10" s="646"/>
      <c r="FYG10" s="646"/>
      <c r="FYH10" s="646"/>
      <c r="FYI10" s="646"/>
      <c r="FYJ10" s="501"/>
      <c r="FYK10" s="501"/>
      <c r="FYL10" s="501"/>
      <c r="FYM10" s="501"/>
      <c r="FYN10" s="501"/>
      <c r="FYO10" s="501"/>
      <c r="FYP10" s="501"/>
      <c r="FYQ10" s="501"/>
      <c r="FYR10" s="501"/>
      <c r="FYS10" s="501"/>
      <c r="FYT10" s="501"/>
      <c r="FYU10" s="645"/>
      <c r="FYV10" s="646"/>
      <c r="FYW10" s="646"/>
      <c r="FYX10" s="646"/>
      <c r="FYY10" s="646"/>
      <c r="FYZ10" s="646"/>
      <c r="FZA10" s="646"/>
      <c r="FZB10" s="646"/>
      <c r="FZC10" s="646"/>
      <c r="FZD10" s="646"/>
      <c r="FZE10" s="501"/>
      <c r="FZF10" s="501"/>
      <c r="FZG10" s="501"/>
      <c r="FZH10" s="501"/>
      <c r="FZI10" s="501"/>
      <c r="FZJ10" s="501"/>
      <c r="FZK10" s="501"/>
      <c r="FZL10" s="501"/>
      <c r="FZM10" s="501"/>
      <c r="FZN10" s="501"/>
      <c r="FZO10" s="501"/>
      <c r="FZP10" s="645"/>
      <c r="FZQ10" s="646"/>
      <c r="FZR10" s="646"/>
      <c r="FZS10" s="646"/>
      <c r="FZT10" s="646"/>
      <c r="FZU10" s="646"/>
      <c r="FZV10" s="646"/>
      <c r="FZW10" s="646"/>
      <c r="FZX10" s="646"/>
      <c r="FZY10" s="646"/>
      <c r="FZZ10" s="501"/>
      <c r="GAA10" s="501"/>
      <c r="GAB10" s="501"/>
      <c r="GAC10" s="501"/>
      <c r="GAD10" s="501"/>
      <c r="GAE10" s="501"/>
      <c r="GAF10" s="501"/>
      <c r="GAG10" s="501"/>
      <c r="GAH10" s="501"/>
      <c r="GAI10" s="501"/>
      <c r="GAJ10" s="501"/>
      <c r="GAK10" s="645"/>
      <c r="GAL10" s="646"/>
      <c r="GAM10" s="646"/>
      <c r="GAN10" s="646"/>
      <c r="GAO10" s="646"/>
      <c r="GAP10" s="646"/>
      <c r="GAQ10" s="646"/>
      <c r="GAR10" s="646"/>
      <c r="GAS10" s="646"/>
      <c r="GAT10" s="646"/>
      <c r="GAU10" s="501"/>
      <c r="GAV10" s="501"/>
      <c r="GAW10" s="501"/>
      <c r="GAX10" s="501"/>
      <c r="GAY10" s="501"/>
      <c r="GAZ10" s="501"/>
      <c r="GBA10" s="501"/>
      <c r="GBB10" s="501"/>
      <c r="GBC10" s="501"/>
      <c r="GBD10" s="501"/>
      <c r="GBE10" s="501"/>
      <c r="GBF10" s="645"/>
      <c r="GBG10" s="646"/>
      <c r="GBH10" s="646"/>
      <c r="GBI10" s="646"/>
      <c r="GBJ10" s="646"/>
      <c r="GBK10" s="646"/>
      <c r="GBL10" s="646"/>
      <c r="GBM10" s="646"/>
      <c r="GBN10" s="646"/>
      <c r="GBO10" s="646"/>
      <c r="GBP10" s="501"/>
      <c r="GBQ10" s="501"/>
      <c r="GBR10" s="501"/>
      <c r="GBS10" s="501"/>
      <c r="GBT10" s="501"/>
      <c r="GBU10" s="501"/>
      <c r="GBV10" s="501"/>
      <c r="GBW10" s="501"/>
      <c r="GBX10" s="501"/>
      <c r="GBY10" s="501"/>
      <c r="GBZ10" s="501"/>
      <c r="GCA10" s="645"/>
      <c r="GCB10" s="646"/>
      <c r="GCC10" s="646"/>
      <c r="GCD10" s="646"/>
      <c r="GCE10" s="646"/>
      <c r="GCF10" s="646"/>
      <c r="GCG10" s="646"/>
      <c r="GCH10" s="646"/>
      <c r="GCI10" s="646"/>
      <c r="GCJ10" s="646"/>
      <c r="GCK10" s="501"/>
      <c r="GCL10" s="501"/>
      <c r="GCM10" s="501"/>
      <c r="GCN10" s="501"/>
      <c r="GCO10" s="501"/>
      <c r="GCP10" s="501"/>
      <c r="GCQ10" s="501"/>
      <c r="GCR10" s="501"/>
      <c r="GCS10" s="501"/>
      <c r="GCT10" s="501"/>
      <c r="GCU10" s="501"/>
      <c r="GCV10" s="645"/>
      <c r="GCW10" s="646"/>
      <c r="GCX10" s="646"/>
      <c r="GCY10" s="646"/>
      <c r="GCZ10" s="646"/>
      <c r="GDA10" s="646"/>
      <c r="GDB10" s="646"/>
      <c r="GDC10" s="646"/>
      <c r="GDD10" s="646"/>
      <c r="GDE10" s="646"/>
      <c r="GDF10" s="501"/>
      <c r="GDG10" s="501"/>
      <c r="GDH10" s="501"/>
      <c r="GDI10" s="501"/>
      <c r="GDJ10" s="501"/>
      <c r="GDK10" s="501"/>
      <c r="GDL10" s="501"/>
      <c r="GDM10" s="501"/>
      <c r="GDN10" s="501"/>
      <c r="GDO10" s="501"/>
      <c r="GDP10" s="501"/>
      <c r="GDQ10" s="645"/>
      <c r="GDR10" s="646"/>
      <c r="GDS10" s="646"/>
      <c r="GDT10" s="646"/>
      <c r="GDU10" s="646"/>
      <c r="GDV10" s="646"/>
      <c r="GDW10" s="646"/>
      <c r="GDX10" s="646"/>
      <c r="GDY10" s="646"/>
      <c r="GDZ10" s="646"/>
      <c r="GEA10" s="501"/>
      <c r="GEB10" s="501"/>
      <c r="GEC10" s="501"/>
      <c r="GED10" s="501"/>
      <c r="GEE10" s="501"/>
      <c r="GEF10" s="501"/>
      <c r="GEG10" s="501"/>
      <c r="GEH10" s="501"/>
      <c r="GEI10" s="501"/>
      <c r="GEJ10" s="501"/>
      <c r="GEK10" s="501"/>
      <c r="GEL10" s="645"/>
      <c r="GEM10" s="646"/>
      <c r="GEN10" s="646"/>
      <c r="GEO10" s="646"/>
      <c r="GEP10" s="646"/>
      <c r="GEQ10" s="646"/>
      <c r="GER10" s="646"/>
      <c r="GES10" s="646"/>
      <c r="GET10" s="646"/>
      <c r="GEU10" s="646"/>
      <c r="GEV10" s="501"/>
      <c r="GEW10" s="501"/>
      <c r="GEX10" s="501"/>
      <c r="GEY10" s="501"/>
      <c r="GEZ10" s="501"/>
      <c r="GFA10" s="501"/>
      <c r="GFB10" s="501"/>
      <c r="GFC10" s="501"/>
      <c r="GFD10" s="501"/>
      <c r="GFE10" s="501"/>
      <c r="GFF10" s="501"/>
      <c r="GFG10" s="645"/>
      <c r="GFH10" s="646"/>
      <c r="GFI10" s="646"/>
      <c r="GFJ10" s="646"/>
      <c r="GFK10" s="646"/>
      <c r="GFL10" s="646"/>
      <c r="GFM10" s="646"/>
      <c r="GFN10" s="646"/>
      <c r="GFO10" s="646"/>
      <c r="GFP10" s="646"/>
      <c r="GFQ10" s="501"/>
      <c r="GFR10" s="501"/>
      <c r="GFS10" s="501"/>
      <c r="GFT10" s="501"/>
      <c r="GFU10" s="501"/>
      <c r="GFV10" s="501"/>
      <c r="GFW10" s="501"/>
      <c r="GFX10" s="501"/>
      <c r="GFY10" s="501"/>
      <c r="GFZ10" s="501"/>
      <c r="GGA10" s="501"/>
      <c r="GGB10" s="645"/>
      <c r="GGC10" s="646"/>
      <c r="GGD10" s="646"/>
      <c r="GGE10" s="646"/>
      <c r="GGF10" s="646"/>
      <c r="GGG10" s="646"/>
      <c r="GGH10" s="646"/>
      <c r="GGI10" s="646"/>
      <c r="GGJ10" s="646"/>
      <c r="GGK10" s="646"/>
      <c r="GGL10" s="501"/>
      <c r="GGM10" s="501"/>
      <c r="GGN10" s="501"/>
      <c r="GGO10" s="501"/>
      <c r="GGP10" s="501"/>
      <c r="GGQ10" s="501"/>
      <c r="GGR10" s="501"/>
      <c r="GGS10" s="501"/>
      <c r="GGT10" s="501"/>
      <c r="GGU10" s="501"/>
      <c r="GGV10" s="501"/>
      <c r="GGW10" s="645"/>
      <c r="GGX10" s="646"/>
      <c r="GGY10" s="646"/>
      <c r="GGZ10" s="646"/>
      <c r="GHA10" s="646"/>
      <c r="GHB10" s="646"/>
      <c r="GHC10" s="646"/>
      <c r="GHD10" s="646"/>
      <c r="GHE10" s="646"/>
      <c r="GHF10" s="646"/>
      <c r="GHG10" s="501"/>
      <c r="GHH10" s="501"/>
      <c r="GHI10" s="501"/>
      <c r="GHJ10" s="501"/>
      <c r="GHK10" s="501"/>
      <c r="GHL10" s="501"/>
      <c r="GHM10" s="501"/>
      <c r="GHN10" s="501"/>
      <c r="GHO10" s="501"/>
      <c r="GHP10" s="501"/>
      <c r="GHQ10" s="501"/>
      <c r="GHR10" s="645"/>
      <c r="GHS10" s="646"/>
      <c r="GHT10" s="646"/>
      <c r="GHU10" s="646"/>
      <c r="GHV10" s="646"/>
      <c r="GHW10" s="646"/>
      <c r="GHX10" s="646"/>
      <c r="GHY10" s="646"/>
      <c r="GHZ10" s="646"/>
      <c r="GIA10" s="646"/>
      <c r="GIB10" s="501"/>
      <c r="GIC10" s="501"/>
      <c r="GID10" s="501"/>
      <c r="GIE10" s="501"/>
      <c r="GIF10" s="501"/>
      <c r="GIG10" s="501"/>
      <c r="GIH10" s="501"/>
      <c r="GII10" s="501"/>
      <c r="GIJ10" s="501"/>
      <c r="GIK10" s="501"/>
      <c r="GIL10" s="501"/>
      <c r="GIM10" s="645"/>
      <c r="GIN10" s="646"/>
      <c r="GIO10" s="646"/>
      <c r="GIP10" s="646"/>
      <c r="GIQ10" s="646"/>
      <c r="GIR10" s="646"/>
      <c r="GIS10" s="646"/>
      <c r="GIT10" s="646"/>
      <c r="GIU10" s="646"/>
      <c r="GIV10" s="646"/>
      <c r="GIW10" s="501"/>
      <c r="GIX10" s="501"/>
      <c r="GIY10" s="501"/>
      <c r="GIZ10" s="501"/>
      <c r="GJA10" s="501"/>
      <c r="GJB10" s="501"/>
      <c r="GJC10" s="501"/>
      <c r="GJD10" s="501"/>
      <c r="GJE10" s="501"/>
      <c r="GJF10" s="501"/>
      <c r="GJG10" s="501"/>
      <c r="GJH10" s="645"/>
      <c r="GJI10" s="646"/>
      <c r="GJJ10" s="646"/>
      <c r="GJK10" s="646"/>
      <c r="GJL10" s="646"/>
      <c r="GJM10" s="646"/>
      <c r="GJN10" s="646"/>
      <c r="GJO10" s="646"/>
      <c r="GJP10" s="646"/>
      <c r="GJQ10" s="646"/>
      <c r="GJR10" s="501"/>
      <c r="GJS10" s="501"/>
      <c r="GJT10" s="501"/>
      <c r="GJU10" s="501"/>
      <c r="GJV10" s="501"/>
      <c r="GJW10" s="501"/>
      <c r="GJX10" s="501"/>
      <c r="GJY10" s="501"/>
      <c r="GJZ10" s="501"/>
      <c r="GKA10" s="501"/>
      <c r="GKB10" s="501"/>
      <c r="GKC10" s="645"/>
      <c r="GKD10" s="646"/>
      <c r="GKE10" s="646"/>
      <c r="GKF10" s="646"/>
      <c r="GKG10" s="646"/>
      <c r="GKH10" s="646"/>
      <c r="GKI10" s="646"/>
      <c r="GKJ10" s="646"/>
      <c r="GKK10" s="646"/>
      <c r="GKL10" s="646"/>
      <c r="GKM10" s="501"/>
      <c r="GKN10" s="501"/>
      <c r="GKO10" s="501"/>
      <c r="GKP10" s="501"/>
      <c r="GKQ10" s="501"/>
      <c r="GKR10" s="501"/>
      <c r="GKS10" s="501"/>
      <c r="GKT10" s="501"/>
      <c r="GKU10" s="501"/>
      <c r="GKV10" s="501"/>
      <c r="GKW10" s="501"/>
      <c r="GKX10" s="645"/>
      <c r="GKY10" s="646"/>
      <c r="GKZ10" s="646"/>
      <c r="GLA10" s="646"/>
      <c r="GLB10" s="646"/>
      <c r="GLC10" s="646"/>
      <c r="GLD10" s="646"/>
      <c r="GLE10" s="646"/>
      <c r="GLF10" s="646"/>
      <c r="GLG10" s="646"/>
      <c r="GLH10" s="501"/>
      <c r="GLI10" s="501"/>
      <c r="GLJ10" s="501"/>
      <c r="GLK10" s="501"/>
      <c r="GLL10" s="501"/>
      <c r="GLM10" s="501"/>
      <c r="GLN10" s="501"/>
      <c r="GLO10" s="501"/>
      <c r="GLP10" s="501"/>
      <c r="GLQ10" s="501"/>
      <c r="GLR10" s="501"/>
      <c r="GLS10" s="645"/>
      <c r="GLT10" s="646"/>
      <c r="GLU10" s="646"/>
      <c r="GLV10" s="646"/>
      <c r="GLW10" s="646"/>
      <c r="GLX10" s="646"/>
      <c r="GLY10" s="646"/>
      <c r="GLZ10" s="646"/>
      <c r="GMA10" s="646"/>
      <c r="GMB10" s="646"/>
      <c r="GMC10" s="501"/>
      <c r="GMD10" s="501"/>
      <c r="GME10" s="501"/>
      <c r="GMF10" s="501"/>
      <c r="GMG10" s="501"/>
      <c r="GMH10" s="501"/>
      <c r="GMI10" s="501"/>
      <c r="GMJ10" s="501"/>
      <c r="GMK10" s="501"/>
      <c r="GML10" s="501"/>
      <c r="GMM10" s="501"/>
      <c r="GMN10" s="645"/>
      <c r="GMO10" s="646"/>
      <c r="GMP10" s="646"/>
      <c r="GMQ10" s="646"/>
      <c r="GMR10" s="646"/>
      <c r="GMS10" s="646"/>
      <c r="GMT10" s="646"/>
      <c r="GMU10" s="646"/>
      <c r="GMV10" s="646"/>
      <c r="GMW10" s="646"/>
      <c r="GMX10" s="501"/>
      <c r="GMY10" s="501"/>
      <c r="GMZ10" s="501"/>
      <c r="GNA10" s="501"/>
      <c r="GNB10" s="501"/>
      <c r="GNC10" s="501"/>
      <c r="GND10" s="501"/>
      <c r="GNE10" s="501"/>
      <c r="GNF10" s="501"/>
      <c r="GNG10" s="501"/>
      <c r="GNH10" s="501"/>
      <c r="GNI10" s="645"/>
      <c r="GNJ10" s="646"/>
      <c r="GNK10" s="646"/>
      <c r="GNL10" s="646"/>
      <c r="GNM10" s="646"/>
      <c r="GNN10" s="646"/>
      <c r="GNO10" s="646"/>
      <c r="GNP10" s="646"/>
      <c r="GNQ10" s="646"/>
      <c r="GNR10" s="646"/>
      <c r="GNS10" s="501"/>
      <c r="GNT10" s="501"/>
      <c r="GNU10" s="501"/>
      <c r="GNV10" s="501"/>
      <c r="GNW10" s="501"/>
      <c r="GNX10" s="501"/>
      <c r="GNY10" s="501"/>
      <c r="GNZ10" s="501"/>
      <c r="GOA10" s="501"/>
      <c r="GOB10" s="501"/>
      <c r="GOC10" s="501"/>
      <c r="GOD10" s="645"/>
      <c r="GOE10" s="646"/>
      <c r="GOF10" s="646"/>
      <c r="GOG10" s="646"/>
      <c r="GOH10" s="646"/>
      <c r="GOI10" s="646"/>
      <c r="GOJ10" s="646"/>
      <c r="GOK10" s="646"/>
      <c r="GOL10" s="646"/>
      <c r="GOM10" s="646"/>
      <c r="GON10" s="501"/>
      <c r="GOO10" s="501"/>
      <c r="GOP10" s="501"/>
      <c r="GOQ10" s="501"/>
      <c r="GOR10" s="501"/>
      <c r="GOS10" s="501"/>
      <c r="GOT10" s="501"/>
      <c r="GOU10" s="501"/>
      <c r="GOV10" s="501"/>
      <c r="GOW10" s="501"/>
      <c r="GOX10" s="501"/>
      <c r="GOY10" s="645"/>
      <c r="GOZ10" s="646"/>
      <c r="GPA10" s="646"/>
      <c r="GPB10" s="646"/>
      <c r="GPC10" s="646"/>
      <c r="GPD10" s="646"/>
      <c r="GPE10" s="646"/>
      <c r="GPF10" s="646"/>
      <c r="GPG10" s="646"/>
      <c r="GPH10" s="646"/>
      <c r="GPI10" s="501"/>
      <c r="GPJ10" s="501"/>
      <c r="GPK10" s="501"/>
      <c r="GPL10" s="501"/>
      <c r="GPM10" s="501"/>
      <c r="GPN10" s="501"/>
      <c r="GPO10" s="501"/>
      <c r="GPP10" s="501"/>
      <c r="GPQ10" s="501"/>
      <c r="GPR10" s="501"/>
      <c r="GPS10" s="501"/>
      <c r="GPT10" s="645"/>
      <c r="GPU10" s="646"/>
      <c r="GPV10" s="646"/>
      <c r="GPW10" s="646"/>
      <c r="GPX10" s="646"/>
      <c r="GPY10" s="646"/>
      <c r="GPZ10" s="646"/>
      <c r="GQA10" s="646"/>
      <c r="GQB10" s="646"/>
      <c r="GQC10" s="646"/>
      <c r="GQD10" s="501"/>
      <c r="GQE10" s="501"/>
      <c r="GQF10" s="501"/>
      <c r="GQG10" s="501"/>
      <c r="GQH10" s="501"/>
      <c r="GQI10" s="501"/>
      <c r="GQJ10" s="501"/>
      <c r="GQK10" s="501"/>
      <c r="GQL10" s="501"/>
      <c r="GQM10" s="501"/>
      <c r="GQN10" s="501"/>
      <c r="GQO10" s="645"/>
      <c r="GQP10" s="646"/>
      <c r="GQQ10" s="646"/>
      <c r="GQR10" s="646"/>
      <c r="GQS10" s="646"/>
      <c r="GQT10" s="646"/>
      <c r="GQU10" s="646"/>
      <c r="GQV10" s="646"/>
      <c r="GQW10" s="646"/>
      <c r="GQX10" s="646"/>
      <c r="GQY10" s="501"/>
      <c r="GQZ10" s="501"/>
      <c r="GRA10" s="501"/>
      <c r="GRB10" s="501"/>
      <c r="GRC10" s="501"/>
      <c r="GRD10" s="501"/>
      <c r="GRE10" s="501"/>
      <c r="GRF10" s="501"/>
      <c r="GRG10" s="501"/>
      <c r="GRH10" s="501"/>
      <c r="GRI10" s="501"/>
      <c r="GRJ10" s="645"/>
      <c r="GRK10" s="646"/>
      <c r="GRL10" s="646"/>
      <c r="GRM10" s="646"/>
      <c r="GRN10" s="646"/>
      <c r="GRO10" s="646"/>
      <c r="GRP10" s="646"/>
      <c r="GRQ10" s="646"/>
      <c r="GRR10" s="646"/>
      <c r="GRS10" s="646"/>
      <c r="GRT10" s="501"/>
      <c r="GRU10" s="501"/>
      <c r="GRV10" s="501"/>
      <c r="GRW10" s="501"/>
      <c r="GRX10" s="501"/>
      <c r="GRY10" s="501"/>
      <c r="GRZ10" s="501"/>
      <c r="GSA10" s="501"/>
      <c r="GSB10" s="501"/>
      <c r="GSC10" s="501"/>
      <c r="GSD10" s="501"/>
      <c r="GSE10" s="645"/>
      <c r="GSF10" s="646"/>
      <c r="GSG10" s="646"/>
      <c r="GSH10" s="646"/>
      <c r="GSI10" s="646"/>
      <c r="GSJ10" s="646"/>
      <c r="GSK10" s="646"/>
      <c r="GSL10" s="646"/>
      <c r="GSM10" s="646"/>
      <c r="GSN10" s="646"/>
      <c r="GSO10" s="501"/>
      <c r="GSP10" s="501"/>
      <c r="GSQ10" s="501"/>
      <c r="GSR10" s="501"/>
      <c r="GSS10" s="501"/>
      <c r="GST10" s="501"/>
      <c r="GSU10" s="501"/>
      <c r="GSV10" s="501"/>
      <c r="GSW10" s="501"/>
      <c r="GSX10" s="501"/>
      <c r="GSY10" s="501"/>
      <c r="GSZ10" s="645"/>
      <c r="GTA10" s="646"/>
      <c r="GTB10" s="646"/>
      <c r="GTC10" s="646"/>
      <c r="GTD10" s="646"/>
      <c r="GTE10" s="646"/>
      <c r="GTF10" s="646"/>
      <c r="GTG10" s="646"/>
      <c r="GTH10" s="646"/>
      <c r="GTI10" s="646"/>
      <c r="GTJ10" s="501"/>
      <c r="GTK10" s="501"/>
      <c r="GTL10" s="501"/>
      <c r="GTM10" s="501"/>
      <c r="GTN10" s="501"/>
      <c r="GTO10" s="501"/>
      <c r="GTP10" s="501"/>
      <c r="GTQ10" s="501"/>
      <c r="GTR10" s="501"/>
      <c r="GTS10" s="501"/>
      <c r="GTT10" s="501"/>
      <c r="GTU10" s="645"/>
      <c r="GTV10" s="646"/>
      <c r="GTW10" s="646"/>
      <c r="GTX10" s="646"/>
      <c r="GTY10" s="646"/>
      <c r="GTZ10" s="646"/>
      <c r="GUA10" s="646"/>
      <c r="GUB10" s="646"/>
      <c r="GUC10" s="646"/>
      <c r="GUD10" s="646"/>
      <c r="GUE10" s="501"/>
      <c r="GUF10" s="501"/>
      <c r="GUG10" s="501"/>
      <c r="GUH10" s="501"/>
      <c r="GUI10" s="501"/>
      <c r="GUJ10" s="501"/>
      <c r="GUK10" s="501"/>
      <c r="GUL10" s="501"/>
      <c r="GUM10" s="501"/>
      <c r="GUN10" s="501"/>
      <c r="GUO10" s="501"/>
      <c r="GUP10" s="645"/>
      <c r="GUQ10" s="646"/>
      <c r="GUR10" s="646"/>
      <c r="GUS10" s="646"/>
      <c r="GUT10" s="646"/>
      <c r="GUU10" s="646"/>
      <c r="GUV10" s="646"/>
      <c r="GUW10" s="646"/>
      <c r="GUX10" s="646"/>
      <c r="GUY10" s="646"/>
      <c r="GUZ10" s="501"/>
      <c r="GVA10" s="501"/>
      <c r="GVB10" s="501"/>
      <c r="GVC10" s="501"/>
      <c r="GVD10" s="501"/>
      <c r="GVE10" s="501"/>
      <c r="GVF10" s="501"/>
      <c r="GVG10" s="501"/>
      <c r="GVH10" s="501"/>
      <c r="GVI10" s="501"/>
      <c r="GVJ10" s="501"/>
      <c r="GVK10" s="645"/>
      <c r="GVL10" s="646"/>
      <c r="GVM10" s="646"/>
      <c r="GVN10" s="646"/>
      <c r="GVO10" s="646"/>
      <c r="GVP10" s="646"/>
      <c r="GVQ10" s="646"/>
      <c r="GVR10" s="646"/>
      <c r="GVS10" s="646"/>
      <c r="GVT10" s="646"/>
      <c r="GVU10" s="501"/>
      <c r="GVV10" s="501"/>
      <c r="GVW10" s="501"/>
      <c r="GVX10" s="501"/>
      <c r="GVY10" s="501"/>
      <c r="GVZ10" s="501"/>
      <c r="GWA10" s="501"/>
      <c r="GWB10" s="501"/>
      <c r="GWC10" s="501"/>
      <c r="GWD10" s="501"/>
      <c r="GWE10" s="501"/>
      <c r="GWF10" s="645"/>
      <c r="GWG10" s="646"/>
      <c r="GWH10" s="646"/>
      <c r="GWI10" s="646"/>
      <c r="GWJ10" s="646"/>
      <c r="GWK10" s="646"/>
      <c r="GWL10" s="646"/>
      <c r="GWM10" s="646"/>
      <c r="GWN10" s="646"/>
      <c r="GWO10" s="646"/>
      <c r="GWP10" s="501"/>
      <c r="GWQ10" s="501"/>
      <c r="GWR10" s="501"/>
      <c r="GWS10" s="501"/>
      <c r="GWT10" s="501"/>
      <c r="GWU10" s="501"/>
      <c r="GWV10" s="501"/>
      <c r="GWW10" s="501"/>
      <c r="GWX10" s="501"/>
      <c r="GWY10" s="501"/>
      <c r="GWZ10" s="501"/>
      <c r="GXA10" s="645"/>
      <c r="GXB10" s="646"/>
      <c r="GXC10" s="646"/>
      <c r="GXD10" s="646"/>
      <c r="GXE10" s="646"/>
      <c r="GXF10" s="646"/>
      <c r="GXG10" s="646"/>
      <c r="GXH10" s="646"/>
      <c r="GXI10" s="646"/>
      <c r="GXJ10" s="646"/>
      <c r="GXK10" s="501"/>
      <c r="GXL10" s="501"/>
      <c r="GXM10" s="501"/>
      <c r="GXN10" s="501"/>
      <c r="GXO10" s="501"/>
      <c r="GXP10" s="501"/>
      <c r="GXQ10" s="501"/>
      <c r="GXR10" s="501"/>
      <c r="GXS10" s="501"/>
      <c r="GXT10" s="501"/>
      <c r="GXU10" s="501"/>
      <c r="GXV10" s="645"/>
      <c r="GXW10" s="646"/>
      <c r="GXX10" s="646"/>
      <c r="GXY10" s="646"/>
      <c r="GXZ10" s="646"/>
      <c r="GYA10" s="646"/>
      <c r="GYB10" s="646"/>
      <c r="GYC10" s="646"/>
      <c r="GYD10" s="646"/>
      <c r="GYE10" s="646"/>
      <c r="GYF10" s="501"/>
      <c r="GYG10" s="501"/>
      <c r="GYH10" s="501"/>
      <c r="GYI10" s="501"/>
      <c r="GYJ10" s="501"/>
      <c r="GYK10" s="501"/>
      <c r="GYL10" s="501"/>
      <c r="GYM10" s="501"/>
      <c r="GYN10" s="501"/>
      <c r="GYO10" s="501"/>
      <c r="GYP10" s="501"/>
      <c r="GYQ10" s="645"/>
      <c r="GYR10" s="646"/>
      <c r="GYS10" s="646"/>
      <c r="GYT10" s="646"/>
      <c r="GYU10" s="646"/>
      <c r="GYV10" s="646"/>
      <c r="GYW10" s="646"/>
      <c r="GYX10" s="646"/>
      <c r="GYY10" s="646"/>
      <c r="GYZ10" s="646"/>
      <c r="GZA10" s="501"/>
      <c r="GZB10" s="501"/>
      <c r="GZC10" s="501"/>
      <c r="GZD10" s="501"/>
      <c r="GZE10" s="501"/>
      <c r="GZF10" s="501"/>
      <c r="GZG10" s="501"/>
      <c r="GZH10" s="501"/>
      <c r="GZI10" s="501"/>
      <c r="GZJ10" s="501"/>
      <c r="GZK10" s="501"/>
      <c r="GZL10" s="645"/>
      <c r="GZM10" s="646"/>
      <c r="GZN10" s="646"/>
      <c r="GZO10" s="646"/>
      <c r="GZP10" s="646"/>
      <c r="GZQ10" s="646"/>
      <c r="GZR10" s="646"/>
      <c r="GZS10" s="646"/>
      <c r="GZT10" s="646"/>
      <c r="GZU10" s="646"/>
      <c r="GZV10" s="501"/>
      <c r="GZW10" s="501"/>
      <c r="GZX10" s="501"/>
      <c r="GZY10" s="501"/>
      <c r="GZZ10" s="501"/>
      <c r="HAA10" s="501"/>
      <c r="HAB10" s="501"/>
      <c r="HAC10" s="501"/>
      <c r="HAD10" s="501"/>
      <c r="HAE10" s="501"/>
      <c r="HAF10" s="501"/>
      <c r="HAG10" s="645"/>
      <c r="HAH10" s="646"/>
      <c r="HAI10" s="646"/>
      <c r="HAJ10" s="646"/>
      <c r="HAK10" s="646"/>
      <c r="HAL10" s="646"/>
      <c r="HAM10" s="646"/>
      <c r="HAN10" s="646"/>
      <c r="HAO10" s="646"/>
      <c r="HAP10" s="646"/>
      <c r="HAQ10" s="501"/>
      <c r="HAR10" s="501"/>
      <c r="HAS10" s="501"/>
      <c r="HAT10" s="501"/>
      <c r="HAU10" s="501"/>
      <c r="HAV10" s="501"/>
      <c r="HAW10" s="501"/>
      <c r="HAX10" s="501"/>
      <c r="HAY10" s="501"/>
      <c r="HAZ10" s="501"/>
      <c r="HBA10" s="501"/>
      <c r="HBB10" s="645"/>
      <c r="HBC10" s="646"/>
      <c r="HBD10" s="646"/>
      <c r="HBE10" s="646"/>
      <c r="HBF10" s="646"/>
      <c r="HBG10" s="646"/>
      <c r="HBH10" s="646"/>
      <c r="HBI10" s="646"/>
      <c r="HBJ10" s="646"/>
      <c r="HBK10" s="646"/>
      <c r="HBL10" s="501"/>
      <c r="HBM10" s="501"/>
      <c r="HBN10" s="501"/>
      <c r="HBO10" s="501"/>
      <c r="HBP10" s="501"/>
      <c r="HBQ10" s="501"/>
      <c r="HBR10" s="501"/>
      <c r="HBS10" s="501"/>
      <c r="HBT10" s="501"/>
      <c r="HBU10" s="501"/>
      <c r="HBV10" s="501"/>
      <c r="HBW10" s="645"/>
      <c r="HBX10" s="646"/>
      <c r="HBY10" s="646"/>
      <c r="HBZ10" s="646"/>
      <c r="HCA10" s="646"/>
      <c r="HCB10" s="646"/>
      <c r="HCC10" s="646"/>
      <c r="HCD10" s="646"/>
      <c r="HCE10" s="646"/>
      <c r="HCF10" s="646"/>
      <c r="HCG10" s="501"/>
      <c r="HCH10" s="501"/>
      <c r="HCI10" s="501"/>
      <c r="HCJ10" s="501"/>
      <c r="HCK10" s="501"/>
      <c r="HCL10" s="501"/>
      <c r="HCM10" s="501"/>
      <c r="HCN10" s="501"/>
      <c r="HCO10" s="501"/>
      <c r="HCP10" s="501"/>
      <c r="HCQ10" s="501"/>
      <c r="HCR10" s="645"/>
      <c r="HCS10" s="646"/>
      <c r="HCT10" s="646"/>
      <c r="HCU10" s="646"/>
      <c r="HCV10" s="646"/>
      <c r="HCW10" s="646"/>
      <c r="HCX10" s="646"/>
      <c r="HCY10" s="646"/>
      <c r="HCZ10" s="646"/>
      <c r="HDA10" s="646"/>
      <c r="HDB10" s="501"/>
      <c r="HDC10" s="501"/>
      <c r="HDD10" s="501"/>
      <c r="HDE10" s="501"/>
      <c r="HDF10" s="501"/>
      <c r="HDG10" s="501"/>
      <c r="HDH10" s="501"/>
      <c r="HDI10" s="501"/>
      <c r="HDJ10" s="501"/>
      <c r="HDK10" s="501"/>
      <c r="HDL10" s="501"/>
      <c r="HDM10" s="645"/>
      <c r="HDN10" s="646"/>
      <c r="HDO10" s="646"/>
      <c r="HDP10" s="646"/>
      <c r="HDQ10" s="646"/>
      <c r="HDR10" s="646"/>
      <c r="HDS10" s="646"/>
      <c r="HDT10" s="646"/>
      <c r="HDU10" s="646"/>
      <c r="HDV10" s="646"/>
      <c r="HDW10" s="501"/>
      <c r="HDX10" s="501"/>
      <c r="HDY10" s="501"/>
      <c r="HDZ10" s="501"/>
      <c r="HEA10" s="501"/>
      <c r="HEB10" s="501"/>
      <c r="HEC10" s="501"/>
      <c r="HED10" s="501"/>
      <c r="HEE10" s="501"/>
      <c r="HEF10" s="501"/>
      <c r="HEG10" s="501"/>
      <c r="HEH10" s="645"/>
      <c r="HEI10" s="646"/>
      <c r="HEJ10" s="646"/>
      <c r="HEK10" s="646"/>
      <c r="HEL10" s="646"/>
      <c r="HEM10" s="646"/>
      <c r="HEN10" s="646"/>
      <c r="HEO10" s="646"/>
      <c r="HEP10" s="646"/>
      <c r="HEQ10" s="646"/>
      <c r="HER10" s="501"/>
      <c r="HES10" s="501"/>
      <c r="HET10" s="501"/>
      <c r="HEU10" s="501"/>
      <c r="HEV10" s="501"/>
      <c r="HEW10" s="501"/>
      <c r="HEX10" s="501"/>
      <c r="HEY10" s="501"/>
      <c r="HEZ10" s="501"/>
      <c r="HFA10" s="501"/>
      <c r="HFB10" s="501"/>
      <c r="HFC10" s="645"/>
      <c r="HFD10" s="646"/>
      <c r="HFE10" s="646"/>
      <c r="HFF10" s="646"/>
      <c r="HFG10" s="646"/>
      <c r="HFH10" s="646"/>
      <c r="HFI10" s="646"/>
      <c r="HFJ10" s="646"/>
      <c r="HFK10" s="646"/>
      <c r="HFL10" s="646"/>
      <c r="HFM10" s="501"/>
      <c r="HFN10" s="501"/>
      <c r="HFO10" s="501"/>
      <c r="HFP10" s="501"/>
      <c r="HFQ10" s="501"/>
      <c r="HFR10" s="501"/>
      <c r="HFS10" s="501"/>
      <c r="HFT10" s="501"/>
      <c r="HFU10" s="501"/>
      <c r="HFV10" s="501"/>
      <c r="HFW10" s="501"/>
      <c r="HFX10" s="645"/>
      <c r="HFY10" s="646"/>
      <c r="HFZ10" s="646"/>
      <c r="HGA10" s="646"/>
      <c r="HGB10" s="646"/>
      <c r="HGC10" s="646"/>
      <c r="HGD10" s="646"/>
      <c r="HGE10" s="646"/>
      <c r="HGF10" s="646"/>
      <c r="HGG10" s="646"/>
      <c r="HGH10" s="501"/>
      <c r="HGI10" s="501"/>
      <c r="HGJ10" s="501"/>
      <c r="HGK10" s="501"/>
      <c r="HGL10" s="501"/>
      <c r="HGM10" s="501"/>
      <c r="HGN10" s="501"/>
      <c r="HGO10" s="501"/>
      <c r="HGP10" s="501"/>
      <c r="HGQ10" s="501"/>
      <c r="HGR10" s="501"/>
      <c r="HGS10" s="645"/>
      <c r="HGT10" s="646"/>
      <c r="HGU10" s="646"/>
      <c r="HGV10" s="646"/>
      <c r="HGW10" s="646"/>
      <c r="HGX10" s="646"/>
      <c r="HGY10" s="646"/>
      <c r="HGZ10" s="646"/>
      <c r="HHA10" s="646"/>
      <c r="HHB10" s="646"/>
      <c r="HHC10" s="501"/>
      <c r="HHD10" s="501"/>
      <c r="HHE10" s="501"/>
      <c r="HHF10" s="501"/>
      <c r="HHG10" s="501"/>
      <c r="HHH10" s="501"/>
      <c r="HHI10" s="501"/>
      <c r="HHJ10" s="501"/>
      <c r="HHK10" s="501"/>
      <c r="HHL10" s="501"/>
      <c r="HHM10" s="501"/>
      <c r="HHN10" s="645"/>
      <c r="HHO10" s="646"/>
      <c r="HHP10" s="646"/>
      <c r="HHQ10" s="646"/>
      <c r="HHR10" s="646"/>
      <c r="HHS10" s="646"/>
      <c r="HHT10" s="646"/>
      <c r="HHU10" s="646"/>
      <c r="HHV10" s="646"/>
      <c r="HHW10" s="646"/>
      <c r="HHX10" s="501"/>
      <c r="HHY10" s="501"/>
      <c r="HHZ10" s="501"/>
      <c r="HIA10" s="501"/>
      <c r="HIB10" s="501"/>
      <c r="HIC10" s="501"/>
      <c r="HID10" s="501"/>
      <c r="HIE10" s="501"/>
      <c r="HIF10" s="501"/>
      <c r="HIG10" s="501"/>
      <c r="HIH10" s="501"/>
      <c r="HII10" s="645"/>
      <c r="HIJ10" s="646"/>
      <c r="HIK10" s="646"/>
      <c r="HIL10" s="646"/>
      <c r="HIM10" s="646"/>
      <c r="HIN10" s="646"/>
      <c r="HIO10" s="646"/>
      <c r="HIP10" s="646"/>
      <c r="HIQ10" s="646"/>
      <c r="HIR10" s="646"/>
      <c r="HIS10" s="501"/>
      <c r="HIT10" s="501"/>
      <c r="HIU10" s="501"/>
      <c r="HIV10" s="501"/>
      <c r="HIW10" s="501"/>
      <c r="HIX10" s="501"/>
      <c r="HIY10" s="501"/>
      <c r="HIZ10" s="501"/>
      <c r="HJA10" s="501"/>
      <c r="HJB10" s="501"/>
      <c r="HJC10" s="501"/>
      <c r="HJD10" s="645"/>
      <c r="HJE10" s="646"/>
      <c r="HJF10" s="646"/>
      <c r="HJG10" s="646"/>
      <c r="HJH10" s="646"/>
      <c r="HJI10" s="646"/>
      <c r="HJJ10" s="646"/>
      <c r="HJK10" s="646"/>
      <c r="HJL10" s="646"/>
      <c r="HJM10" s="646"/>
      <c r="HJN10" s="501"/>
      <c r="HJO10" s="501"/>
      <c r="HJP10" s="501"/>
      <c r="HJQ10" s="501"/>
      <c r="HJR10" s="501"/>
      <c r="HJS10" s="501"/>
      <c r="HJT10" s="501"/>
      <c r="HJU10" s="501"/>
      <c r="HJV10" s="501"/>
      <c r="HJW10" s="501"/>
      <c r="HJX10" s="501"/>
      <c r="HJY10" s="645"/>
      <c r="HJZ10" s="646"/>
      <c r="HKA10" s="646"/>
      <c r="HKB10" s="646"/>
      <c r="HKC10" s="646"/>
      <c r="HKD10" s="646"/>
      <c r="HKE10" s="646"/>
      <c r="HKF10" s="646"/>
      <c r="HKG10" s="646"/>
      <c r="HKH10" s="646"/>
      <c r="HKI10" s="501"/>
      <c r="HKJ10" s="501"/>
      <c r="HKK10" s="501"/>
      <c r="HKL10" s="501"/>
      <c r="HKM10" s="501"/>
      <c r="HKN10" s="501"/>
      <c r="HKO10" s="501"/>
      <c r="HKP10" s="501"/>
      <c r="HKQ10" s="501"/>
      <c r="HKR10" s="501"/>
      <c r="HKS10" s="501"/>
      <c r="HKT10" s="645"/>
      <c r="HKU10" s="646"/>
      <c r="HKV10" s="646"/>
      <c r="HKW10" s="646"/>
      <c r="HKX10" s="646"/>
      <c r="HKY10" s="646"/>
      <c r="HKZ10" s="646"/>
      <c r="HLA10" s="646"/>
      <c r="HLB10" s="646"/>
      <c r="HLC10" s="646"/>
      <c r="HLD10" s="501"/>
      <c r="HLE10" s="501"/>
      <c r="HLF10" s="501"/>
      <c r="HLG10" s="501"/>
      <c r="HLH10" s="501"/>
      <c r="HLI10" s="501"/>
      <c r="HLJ10" s="501"/>
      <c r="HLK10" s="501"/>
      <c r="HLL10" s="501"/>
      <c r="HLM10" s="501"/>
      <c r="HLN10" s="501"/>
      <c r="HLO10" s="645"/>
      <c r="HLP10" s="646"/>
      <c r="HLQ10" s="646"/>
      <c r="HLR10" s="646"/>
      <c r="HLS10" s="646"/>
      <c r="HLT10" s="646"/>
      <c r="HLU10" s="646"/>
      <c r="HLV10" s="646"/>
      <c r="HLW10" s="646"/>
      <c r="HLX10" s="646"/>
      <c r="HLY10" s="501"/>
      <c r="HLZ10" s="501"/>
      <c r="HMA10" s="501"/>
      <c r="HMB10" s="501"/>
      <c r="HMC10" s="501"/>
      <c r="HMD10" s="501"/>
      <c r="HME10" s="501"/>
      <c r="HMF10" s="501"/>
      <c r="HMG10" s="501"/>
      <c r="HMH10" s="501"/>
      <c r="HMI10" s="501"/>
      <c r="HMJ10" s="645"/>
      <c r="HMK10" s="646"/>
      <c r="HML10" s="646"/>
      <c r="HMM10" s="646"/>
      <c r="HMN10" s="646"/>
      <c r="HMO10" s="646"/>
      <c r="HMP10" s="646"/>
      <c r="HMQ10" s="646"/>
      <c r="HMR10" s="646"/>
      <c r="HMS10" s="646"/>
      <c r="HMT10" s="501"/>
      <c r="HMU10" s="501"/>
      <c r="HMV10" s="501"/>
      <c r="HMW10" s="501"/>
      <c r="HMX10" s="501"/>
      <c r="HMY10" s="501"/>
      <c r="HMZ10" s="501"/>
      <c r="HNA10" s="501"/>
      <c r="HNB10" s="501"/>
      <c r="HNC10" s="501"/>
      <c r="HND10" s="501"/>
      <c r="HNE10" s="645"/>
      <c r="HNF10" s="646"/>
      <c r="HNG10" s="646"/>
      <c r="HNH10" s="646"/>
      <c r="HNI10" s="646"/>
      <c r="HNJ10" s="646"/>
      <c r="HNK10" s="646"/>
      <c r="HNL10" s="646"/>
      <c r="HNM10" s="646"/>
      <c r="HNN10" s="646"/>
      <c r="HNO10" s="501"/>
      <c r="HNP10" s="501"/>
      <c r="HNQ10" s="501"/>
      <c r="HNR10" s="501"/>
      <c r="HNS10" s="501"/>
      <c r="HNT10" s="501"/>
      <c r="HNU10" s="501"/>
      <c r="HNV10" s="501"/>
      <c r="HNW10" s="501"/>
      <c r="HNX10" s="501"/>
      <c r="HNY10" s="501"/>
      <c r="HNZ10" s="645"/>
      <c r="HOA10" s="646"/>
      <c r="HOB10" s="646"/>
      <c r="HOC10" s="646"/>
      <c r="HOD10" s="646"/>
      <c r="HOE10" s="646"/>
      <c r="HOF10" s="646"/>
      <c r="HOG10" s="646"/>
      <c r="HOH10" s="646"/>
      <c r="HOI10" s="646"/>
      <c r="HOJ10" s="501"/>
      <c r="HOK10" s="501"/>
      <c r="HOL10" s="501"/>
      <c r="HOM10" s="501"/>
      <c r="HON10" s="501"/>
      <c r="HOO10" s="501"/>
      <c r="HOP10" s="501"/>
      <c r="HOQ10" s="501"/>
      <c r="HOR10" s="501"/>
      <c r="HOS10" s="501"/>
      <c r="HOT10" s="501"/>
      <c r="HOU10" s="645"/>
      <c r="HOV10" s="646"/>
      <c r="HOW10" s="646"/>
      <c r="HOX10" s="646"/>
      <c r="HOY10" s="646"/>
      <c r="HOZ10" s="646"/>
      <c r="HPA10" s="646"/>
      <c r="HPB10" s="646"/>
      <c r="HPC10" s="646"/>
      <c r="HPD10" s="646"/>
      <c r="HPE10" s="501"/>
      <c r="HPF10" s="501"/>
      <c r="HPG10" s="501"/>
      <c r="HPH10" s="501"/>
      <c r="HPI10" s="501"/>
      <c r="HPJ10" s="501"/>
      <c r="HPK10" s="501"/>
      <c r="HPL10" s="501"/>
      <c r="HPM10" s="501"/>
      <c r="HPN10" s="501"/>
      <c r="HPO10" s="501"/>
      <c r="HPP10" s="645"/>
      <c r="HPQ10" s="646"/>
      <c r="HPR10" s="646"/>
      <c r="HPS10" s="646"/>
      <c r="HPT10" s="646"/>
      <c r="HPU10" s="646"/>
      <c r="HPV10" s="646"/>
      <c r="HPW10" s="646"/>
      <c r="HPX10" s="646"/>
      <c r="HPY10" s="646"/>
      <c r="HPZ10" s="501"/>
      <c r="HQA10" s="501"/>
      <c r="HQB10" s="501"/>
      <c r="HQC10" s="501"/>
      <c r="HQD10" s="501"/>
      <c r="HQE10" s="501"/>
      <c r="HQF10" s="501"/>
      <c r="HQG10" s="501"/>
      <c r="HQH10" s="501"/>
      <c r="HQI10" s="501"/>
      <c r="HQJ10" s="501"/>
      <c r="HQK10" s="645"/>
      <c r="HQL10" s="646"/>
      <c r="HQM10" s="646"/>
      <c r="HQN10" s="646"/>
      <c r="HQO10" s="646"/>
      <c r="HQP10" s="646"/>
      <c r="HQQ10" s="646"/>
      <c r="HQR10" s="646"/>
      <c r="HQS10" s="646"/>
      <c r="HQT10" s="646"/>
      <c r="HQU10" s="501"/>
      <c r="HQV10" s="501"/>
      <c r="HQW10" s="501"/>
      <c r="HQX10" s="501"/>
      <c r="HQY10" s="501"/>
      <c r="HQZ10" s="501"/>
      <c r="HRA10" s="501"/>
      <c r="HRB10" s="501"/>
      <c r="HRC10" s="501"/>
      <c r="HRD10" s="501"/>
      <c r="HRE10" s="501"/>
      <c r="HRF10" s="645"/>
      <c r="HRG10" s="646"/>
      <c r="HRH10" s="646"/>
      <c r="HRI10" s="646"/>
      <c r="HRJ10" s="646"/>
      <c r="HRK10" s="646"/>
      <c r="HRL10" s="646"/>
      <c r="HRM10" s="646"/>
      <c r="HRN10" s="646"/>
      <c r="HRO10" s="646"/>
      <c r="HRP10" s="501"/>
      <c r="HRQ10" s="501"/>
      <c r="HRR10" s="501"/>
      <c r="HRS10" s="501"/>
      <c r="HRT10" s="501"/>
      <c r="HRU10" s="501"/>
      <c r="HRV10" s="501"/>
      <c r="HRW10" s="501"/>
      <c r="HRX10" s="501"/>
      <c r="HRY10" s="501"/>
      <c r="HRZ10" s="501"/>
      <c r="HSA10" s="645"/>
      <c r="HSB10" s="646"/>
      <c r="HSC10" s="646"/>
      <c r="HSD10" s="646"/>
      <c r="HSE10" s="646"/>
      <c r="HSF10" s="646"/>
      <c r="HSG10" s="646"/>
      <c r="HSH10" s="646"/>
      <c r="HSI10" s="646"/>
      <c r="HSJ10" s="646"/>
      <c r="HSK10" s="501"/>
      <c r="HSL10" s="501"/>
      <c r="HSM10" s="501"/>
      <c r="HSN10" s="501"/>
      <c r="HSO10" s="501"/>
      <c r="HSP10" s="501"/>
      <c r="HSQ10" s="501"/>
      <c r="HSR10" s="501"/>
      <c r="HSS10" s="501"/>
      <c r="HST10" s="501"/>
      <c r="HSU10" s="501"/>
      <c r="HSV10" s="645"/>
      <c r="HSW10" s="646"/>
      <c r="HSX10" s="646"/>
      <c r="HSY10" s="646"/>
      <c r="HSZ10" s="646"/>
      <c r="HTA10" s="646"/>
      <c r="HTB10" s="646"/>
      <c r="HTC10" s="646"/>
      <c r="HTD10" s="646"/>
      <c r="HTE10" s="646"/>
      <c r="HTF10" s="501"/>
      <c r="HTG10" s="501"/>
      <c r="HTH10" s="501"/>
      <c r="HTI10" s="501"/>
      <c r="HTJ10" s="501"/>
      <c r="HTK10" s="501"/>
      <c r="HTL10" s="501"/>
      <c r="HTM10" s="501"/>
      <c r="HTN10" s="501"/>
      <c r="HTO10" s="501"/>
      <c r="HTP10" s="501"/>
      <c r="HTQ10" s="645"/>
      <c r="HTR10" s="646"/>
      <c r="HTS10" s="646"/>
      <c r="HTT10" s="646"/>
      <c r="HTU10" s="646"/>
      <c r="HTV10" s="646"/>
      <c r="HTW10" s="646"/>
      <c r="HTX10" s="646"/>
      <c r="HTY10" s="646"/>
      <c r="HTZ10" s="646"/>
      <c r="HUA10" s="501"/>
      <c r="HUB10" s="501"/>
      <c r="HUC10" s="501"/>
      <c r="HUD10" s="501"/>
      <c r="HUE10" s="501"/>
      <c r="HUF10" s="501"/>
      <c r="HUG10" s="501"/>
      <c r="HUH10" s="501"/>
      <c r="HUI10" s="501"/>
      <c r="HUJ10" s="501"/>
      <c r="HUK10" s="501"/>
      <c r="HUL10" s="645"/>
      <c r="HUM10" s="646"/>
      <c r="HUN10" s="646"/>
      <c r="HUO10" s="646"/>
      <c r="HUP10" s="646"/>
      <c r="HUQ10" s="646"/>
      <c r="HUR10" s="646"/>
      <c r="HUS10" s="646"/>
      <c r="HUT10" s="646"/>
      <c r="HUU10" s="646"/>
      <c r="HUV10" s="501"/>
      <c r="HUW10" s="501"/>
      <c r="HUX10" s="501"/>
      <c r="HUY10" s="501"/>
      <c r="HUZ10" s="501"/>
      <c r="HVA10" s="501"/>
      <c r="HVB10" s="501"/>
      <c r="HVC10" s="501"/>
      <c r="HVD10" s="501"/>
      <c r="HVE10" s="501"/>
      <c r="HVF10" s="501"/>
      <c r="HVG10" s="645"/>
      <c r="HVH10" s="646"/>
      <c r="HVI10" s="646"/>
      <c r="HVJ10" s="646"/>
      <c r="HVK10" s="646"/>
      <c r="HVL10" s="646"/>
      <c r="HVM10" s="646"/>
      <c r="HVN10" s="646"/>
      <c r="HVO10" s="646"/>
      <c r="HVP10" s="646"/>
      <c r="HVQ10" s="501"/>
      <c r="HVR10" s="501"/>
      <c r="HVS10" s="501"/>
      <c r="HVT10" s="501"/>
      <c r="HVU10" s="501"/>
      <c r="HVV10" s="501"/>
      <c r="HVW10" s="501"/>
      <c r="HVX10" s="501"/>
      <c r="HVY10" s="501"/>
      <c r="HVZ10" s="501"/>
      <c r="HWA10" s="501"/>
      <c r="HWB10" s="645"/>
      <c r="HWC10" s="646"/>
      <c r="HWD10" s="646"/>
      <c r="HWE10" s="646"/>
      <c r="HWF10" s="646"/>
      <c r="HWG10" s="646"/>
      <c r="HWH10" s="646"/>
      <c r="HWI10" s="646"/>
      <c r="HWJ10" s="646"/>
      <c r="HWK10" s="646"/>
      <c r="HWL10" s="501"/>
      <c r="HWM10" s="501"/>
      <c r="HWN10" s="501"/>
      <c r="HWO10" s="501"/>
      <c r="HWP10" s="501"/>
      <c r="HWQ10" s="501"/>
      <c r="HWR10" s="501"/>
      <c r="HWS10" s="501"/>
      <c r="HWT10" s="501"/>
      <c r="HWU10" s="501"/>
      <c r="HWV10" s="501"/>
      <c r="HWW10" s="645"/>
      <c r="HWX10" s="646"/>
      <c r="HWY10" s="646"/>
      <c r="HWZ10" s="646"/>
      <c r="HXA10" s="646"/>
      <c r="HXB10" s="646"/>
      <c r="HXC10" s="646"/>
      <c r="HXD10" s="646"/>
      <c r="HXE10" s="646"/>
      <c r="HXF10" s="646"/>
      <c r="HXG10" s="501"/>
      <c r="HXH10" s="501"/>
      <c r="HXI10" s="501"/>
      <c r="HXJ10" s="501"/>
      <c r="HXK10" s="501"/>
      <c r="HXL10" s="501"/>
      <c r="HXM10" s="501"/>
      <c r="HXN10" s="501"/>
      <c r="HXO10" s="501"/>
      <c r="HXP10" s="501"/>
      <c r="HXQ10" s="501"/>
      <c r="HXR10" s="645"/>
      <c r="HXS10" s="646"/>
      <c r="HXT10" s="646"/>
      <c r="HXU10" s="646"/>
      <c r="HXV10" s="646"/>
      <c r="HXW10" s="646"/>
      <c r="HXX10" s="646"/>
      <c r="HXY10" s="646"/>
      <c r="HXZ10" s="646"/>
      <c r="HYA10" s="646"/>
      <c r="HYB10" s="501"/>
      <c r="HYC10" s="501"/>
      <c r="HYD10" s="501"/>
      <c r="HYE10" s="501"/>
      <c r="HYF10" s="501"/>
      <c r="HYG10" s="501"/>
      <c r="HYH10" s="501"/>
      <c r="HYI10" s="501"/>
      <c r="HYJ10" s="501"/>
      <c r="HYK10" s="501"/>
      <c r="HYL10" s="501"/>
      <c r="HYM10" s="645"/>
      <c r="HYN10" s="646"/>
      <c r="HYO10" s="646"/>
      <c r="HYP10" s="646"/>
      <c r="HYQ10" s="646"/>
      <c r="HYR10" s="646"/>
      <c r="HYS10" s="646"/>
      <c r="HYT10" s="646"/>
      <c r="HYU10" s="646"/>
      <c r="HYV10" s="646"/>
      <c r="HYW10" s="501"/>
      <c r="HYX10" s="501"/>
      <c r="HYY10" s="501"/>
      <c r="HYZ10" s="501"/>
      <c r="HZA10" s="501"/>
      <c r="HZB10" s="501"/>
      <c r="HZC10" s="501"/>
      <c r="HZD10" s="501"/>
      <c r="HZE10" s="501"/>
      <c r="HZF10" s="501"/>
      <c r="HZG10" s="501"/>
      <c r="HZH10" s="645"/>
      <c r="HZI10" s="646"/>
      <c r="HZJ10" s="646"/>
      <c r="HZK10" s="646"/>
      <c r="HZL10" s="646"/>
      <c r="HZM10" s="646"/>
      <c r="HZN10" s="646"/>
      <c r="HZO10" s="646"/>
      <c r="HZP10" s="646"/>
      <c r="HZQ10" s="646"/>
      <c r="HZR10" s="501"/>
      <c r="HZS10" s="501"/>
      <c r="HZT10" s="501"/>
      <c r="HZU10" s="501"/>
      <c r="HZV10" s="501"/>
      <c r="HZW10" s="501"/>
      <c r="HZX10" s="501"/>
      <c r="HZY10" s="501"/>
      <c r="HZZ10" s="501"/>
      <c r="IAA10" s="501"/>
      <c r="IAB10" s="501"/>
      <c r="IAC10" s="645"/>
      <c r="IAD10" s="646"/>
      <c r="IAE10" s="646"/>
      <c r="IAF10" s="646"/>
      <c r="IAG10" s="646"/>
      <c r="IAH10" s="646"/>
      <c r="IAI10" s="646"/>
      <c r="IAJ10" s="646"/>
      <c r="IAK10" s="646"/>
      <c r="IAL10" s="646"/>
      <c r="IAM10" s="501"/>
      <c r="IAN10" s="501"/>
      <c r="IAO10" s="501"/>
      <c r="IAP10" s="501"/>
      <c r="IAQ10" s="501"/>
      <c r="IAR10" s="501"/>
      <c r="IAS10" s="501"/>
      <c r="IAT10" s="501"/>
      <c r="IAU10" s="501"/>
      <c r="IAV10" s="501"/>
      <c r="IAW10" s="501"/>
      <c r="IAX10" s="645"/>
      <c r="IAY10" s="646"/>
      <c r="IAZ10" s="646"/>
      <c r="IBA10" s="646"/>
      <c r="IBB10" s="646"/>
      <c r="IBC10" s="646"/>
      <c r="IBD10" s="646"/>
      <c r="IBE10" s="646"/>
      <c r="IBF10" s="646"/>
      <c r="IBG10" s="646"/>
      <c r="IBH10" s="501"/>
      <c r="IBI10" s="501"/>
      <c r="IBJ10" s="501"/>
      <c r="IBK10" s="501"/>
      <c r="IBL10" s="501"/>
      <c r="IBM10" s="501"/>
      <c r="IBN10" s="501"/>
      <c r="IBO10" s="501"/>
      <c r="IBP10" s="501"/>
      <c r="IBQ10" s="501"/>
      <c r="IBR10" s="501"/>
      <c r="IBS10" s="645"/>
      <c r="IBT10" s="646"/>
      <c r="IBU10" s="646"/>
      <c r="IBV10" s="646"/>
      <c r="IBW10" s="646"/>
      <c r="IBX10" s="646"/>
      <c r="IBY10" s="646"/>
      <c r="IBZ10" s="646"/>
      <c r="ICA10" s="646"/>
      <c r="ICB10" s="646"/>
      <c r="ICC10" s="501"/>
      <c r="ICD10" s="501"/>
      <c r="ICE10" s="501"/>
      <c r="ICF10" s="501"/>
      <c r="ICG10" s="501"/>
      <c r="ICH10" s="501"/>
      <c r="ICI10" s="501"/>
      <c r="ICJ10" s="501"/>
      <c r="ICK10" s="501"/>
      <c r="ICL10" s="501"/>
      <c r="ICM10" s="501"/>
      <c r="ICN10" s="645"/>
      <c r="ICO10" s="646"/>
      <c r="ICP10" s="646"/>
      <c r="ICQ10" s="646"/>
      <c r="ICR10" s="646"/>
      <c r="ICS10" s="646"/>
      <c r="ICT10" s="646"/>
      <c r="ICU10" s="646"/>
      <c r="ICV10" s="646"/>
      <c r="ICW10" s="646"/>
      <c r="ICX10" s="501"/>
      <c r="ICY10" s="501"/>
      <c r="ICZ10" s="501"/>
      <c r="IDA10" s="501"/>
      <c r="IDB10" s="501"/>
      <c r="IDC10" s="501"/>
      <c r="IDD10" s="501"/>
      <c r="IDE10" s="501"/>
      <c r="IDF10" s="501"/>
      <c r="IDG10" s="501"/>
      <c r="IDH10" s="501"/>
      <c r="IDI10" s="645"/>
      <c r="IDJ10" s="646"/>
      <c r="IDK10" s="646"/>
      <c r="IDL10" s="646"/>
      <c r="IDM10" s="646"/>
      <c r="IDN10" s="646"/>
      <c r="IDO10" s="646"/>
      <c r="IDP10" s="646"/>
      <c r="IDQ10" s="646"/>
      <c r="IDR10" s="646"/>
      <c r="IDS10" s="501"/>
      <c r="IDT10" s="501"/>
      <c r="IDU10" s="501"/>
      <c r="IDV10" s="501"/>
      <c r="IDW10" s="501"/>
      <c r="IDX10" s="501"/>
      <c r="IDY10" s="501"/>
      <c r="IDZ10" s="501"/>
      <c r="IEA10" s="501"/>
      <c r="IEB10" s="501"/>
      <c r="IEC10" s="501"/>
      <c r="IED10" s="645"/>
      <c r="IEE10" s="646"/>
      <c r="IEF10" s="646"/>
      <c r="IEG10" s="646"/>
      <c r="IEH10" s="646"/>
      <c r="IEI10" s="646"/>
      <c r="IEJ10" s="646"/>
      <c r="IEK10" s="646"/>
      <c r="IEL10" s="646"/>
      <c r="IEM10" s="646"/>
      <c r="IEN10" s="501"/>
      <c r="IEO10" s="501"/>
      <c r="IEP10" s="501"/>
      <c r="IEQ10" s="501"/>
      <c r="IER10" s="501"/>
      <c r="IES10" s="501"/>
      <c r="IET10" s="501"/>
      <c r="IEU10" s="501"/>
      <c r="IEV10" s="501"/>
      <c r="IEW10" s="501"/>
      <c r="IEX10" s="501"/>
      <c r="IEY10" s="645"/>
      <c r="IEZ10" s="646"/>
      <c r="IFA10" s="646"/>
      <c r="IFB10" s="646"/>
      <c r="IFC10" s="646"/>
      <c r="IFD10" s="646"/>
      <c r="IFE10" s="646"/>
      <c r="IFF10" s="646"/>
      <c r="IFG10" s="646"/>
      <c r="IFH10" s="646"/>
      <c r="IFI10" s="501"/>
      <c r="IFJ10" s="501"/>
      <c r="IFK10" s="501"/>
      <c r="IFL10" s="501"/>
      <c r="IFM10" s="501"/>
      <c r="IFN10" s="501"/>
      <c r="IFO10" s="501"/>
      <c r="IFP10" s="501"/>
      <c r="IFQ10" s="501"/>
      <c r="IFR10" s="501"/>
      <c r="IFS10" s="501"/>
      <c r="IFT10" s="645"/>
      <c r="IFU10" s="646"/>
      <c r="IFV10" s="646"/>
      <c r="IFW10" s="646"/>
      <c r="IFX10" s="646"/>
      <c r="IFY10" s="646"/>
      <c r="IFZ10" s="646"/>
      <c r="IGA10" s="646"/>
      <c r="IGB10" s="646"/>
      <c r="IGC10" s="646"/>
      <c r="IGD10" s="501"/>
      <c r="IGE10" s="501"/>
      <c r="IGF10" s="501"/>
      <c r="IGG10" s="501"/>
      <c r="IGH10" s="501"/>
      <c r="IGI10" s="501"/>
      <c r="IGJ10" s="501"/>
      <c r="IGK10" s="501"/>
      <c r="IGL10" s="501"/>
      <c r="IGM10" s="501"/>
      <c r="IGN10" s="501"/>
      <c r="IGO10" s="645"/>
      <c r="IGP10" s="646"/>
      <c r="IGQ10" s="646"/>
      <c r="IGR10" s="646"/>
      <c r="IGS10" s="646"/>
      <c r="IGT10" s="646"/>
      <c r="IGU10" s="646"/>
      <c r="IGV10" s="646"/>
      <c r="IGW10" s="646"/>
      <c r="IGX10" s="646"/>
      <c r="IGY10" s="501"/>
      <c r="IGZ10" s="501"/>
      <c r="IHA10" s="501"/>
      <c r="IHB10" s="501"/>
      <c r="IHC10" s="501"/>
      <c r="IHD10" s="501"/>
      <c r="IHE10" s="501"/>
      <c r="IHF10" s="501"/>
      <c r="IHG10" s="501"/>
      <c r="IHH10" s="501"/>
      <c r="IHI10" s="501"/>
      <c r="IHJ10" s="645"/>
      <c r="IHK10" s="646"/>
      <c r="IHL10" s="646"/>
      <c r="IHM10" s="646"/>
      <c r="IHN10" s="646"/>
      <c r="IHO10" s="646"/>
      <c r="IHP10" s="646"/>
      <c r="IHQ10" s="646"/>
      <c r="IHR10" s="646"/>
      <c r="IHS10" s="646"/>
      <c r="IHT10" s="501"/>
      <c r="IHU10" s="501"/>
      <c r="IHV10" s="501"/>
      <c r="IHW10" s="501"/>
      <c r="IHX10" s="501"/>
      <c r="IHY10" s="501"/>
      <c r="IHZ10" s="501"/>
      <c r="IIA10" s="501"/>
      <c r="IIB10" s="501"/>
      <c r="IIC10" s="501"/>
      <c r="IID10" s="501"/>
      <c r="IIE10" s="645"/>
      <c r="IIF10" s="646"/>
      <c r="IIG10" s="646"/>
      <c r="IIH10" s="646"/>
      <c r="III10" s="646"/>
      <c r="IIJ10" s="646"/>
      <c r="IIK10" s="646"/>
      <c r="IIL10" s="646"/>
      <c r="IIM10" s="646"/>
      <c r="IIN10" s="646"/>
      <c r="IIO10" s="501"/>
      <c r="IIP10" s="501"/>
      <c r="IIQ10" s="501"/>
      <c r="IIR10" s="501"/>
      <c r="IIS10" s="501"/>
      <c r="IIT10" s="501"/>
      <c r="IIU10" s="501"/>
      <c r="IIV10" s="501"/>
      <c r="IIW10" s="501"/>
      <c r="IIX10" s="501"/>
      <c r="IIY10" s="501"/>
      <c r="IIZ10" s="645"/>
      <c r="IJA10" s="646"/>
      <c r="IJB10" s="646"/>
      <c r="IJC10" s="646"/>
      <c r="IJD10" s="646"/>
      <c r="IJE10" s="646"/>
      <c r="IJF10" s="646"/>
      <c r="IJG10" s="646"/>
      <c r="IJH10" s="646"/>
      <c r="IJI10" s="646"/>
      <c r="IJJ10" s="501"/>
      <c r="IJK10" s="501"/>
      <c r="IJL10" s="501"/>
      <c r="IJM10" s="501"/>
      <c r="IJN10" s="501"/>
      <c r="IJO10" s="501"/>
      <c r="IJP10" s="501"/>
      <c r="IJQ10" s="501"/>
      <c r="IJR10" s="501"/>
      <c r="IJS10" s="501"/>
      <c r="IJT10" s="501"/>
      <c r="IJU10" s="645"/>
      <c r="IJV10" s="646"/>
      <c r="IJW10" s="646"/>
      <c r="IJX10" s="646"/>
      <c r="IJY10" s="646"/>
      <c r="IJZ10" s="646"/>
      <c r="IKA10" s="646"/>
      <c r="IKB10" s="646"/>
      <c r="IKC10" s="646"/>
      <c r="IKD10" s="646"/>
      <c r="IKE10" s="501"/>
      <c r="IKF10" s="501"/>
      <c r="IKG10" s="501"/>
      <c r="IKH10" s="501"/>
      <c r="IKI10" s="501"/>
      <c r="IKJ10" s="501"/>
      <c r="IKK10" s="501"/>
      <c r="IKL10" s="501"/>
      <c r="IKM10" s="501"/>
      <c r="IKN10" s="501"/>
      <c r="IKO10" s="501"/>
      <c r="IKP10" s="645"/>
      <c r="IKQ10" s="646"/>
      <c r="IKR10" s="646"/>
      <c r="IKS10" s="646"/>
      <c r="IKT10" s="646"/>
      <c r="IKU10" s="646"/>
      <c r="IKV10" s="646"/>
      <c r="IKW10" s="646"/>
      <c r="IKX10" s="646"/>
      <c r="IKY10" s="646"/>
      <c r="IKZ10" s="501"/>
      <c r="ILA10" s="501"/>
      <c r="ILB10" s="501"/>
      <c r="ILC10" s="501"/>
      <c r="ILD10" s="501"/>
      <c r="ILE10" s="501"/>
      <c r="ILF10" s="501"/>
      <c r="ILG10" s="501"/>
      <c r="ILH10" s="501"/>
      <c r="ILI10" s="501"/>
      <c r="ILJ10" s="501"/>
      <c r="ILK10" s="645"/>
      <c r="ILL10" s="646"/>
      <c r="ILM10" s="646"/>
      <c r="ILN10" s="646"/>
      <c r="ILO10" s="646"/>
      <c r="ILP10" s="646"/>
      <c r="ILQ10" s="646"/>
      <c r="ILR10" s="646"/>
      <c r="ILS10" s="646"/>
      <c r="ILT10" s="646"/>
      <c r="ILU10" s="501"/>
      <c r="ILV10" s="501"/>
      <c r="ILW10" s="501"/>
      <c r="ILX10" s="501"/>
      <c r="ILY10" s="501"/>
      <c r="ILZ10" s="501"/>
      <c r="IMA10" s="501"/>
      <c r="IMB10" s="501"/>
      <c r="IMC10" s="501"/>
      <c r="IMD10" s="501"/>
      <c r="IME10" s="501"/>
      <c r="IMF10" s="645"/>
      <c r="IMG10" s="646"/>
      <c r="IMH10" s="646"/>
      <c r="IMI10" s="646"/>
      <c r="IMJ10" s="646"/>
      <c r="IMK10" s="646"/>
      <c r="IML10" s="646"/>
      <c r="IMM10" s="646"/>
      <c r="IMN10" s="646"/>
      <c r="IMO10" s="646"/>
      <c r="IMP10" s="501"/>
      <c r="IMQ10" s="501"/>
      <c r="IMR10" s="501"/>
      <c r="IMS10" s="501"/>
      <c r="IMT10" s="501"/>
      <c r="IMU10" s="501"/>
      <c r="IMV10" s="501"/>
      <c r="IMW10" s="501"/>
      <c r="IMX10" s="501"/>
      <c r="IMY10" s="501"/>
      <c r="IMZ10" s="501"/>
      <c r="INA10" s="645"/>
      <c r="INB10" s="646"/>
      <c r="INC10" s="646"/>
      <c r="IND10" s="646"/>
      <c r="INE10" s="646"/>
      <c r="INF10" s="646"/>
      <c r="ING10" s="646"/>
      <c r="INH10" s="646"/>
      <c r="INI10" s="646"/>
      <c r="INJ10" s="646"/>
      <c r="INK10" s="501"/>
      <c r="INL10" s="501"/>
      <c r="INM10" s="501"/>
      <c r="INN10" s="501"/>
      <c r="INO10" s="501"/>
      <c r="INP10" s="501"/>
      <c r="INQ10" s="501"/>
      <c r="INR10" s="501"/>
      <c r="INS10" s="501"/>
      <c r="INT10" s="501"/>
      <c r="INU10" s="501"/>
      <c r="INV10" s="645"/>
      <c r="INW10" s="646"/>
      <c r="INX10" s="646"/>
      <c r="INY10" s="646"/>
      <c r="INZ10" s="646"/>
      <c r="IOA10" s="646"/>
      <c r="IOB10" s="646"/>
      <c r="IOC10" s="646"/>
      <c r="IOD10" s="646"/>
      <c r="IOE10" s="646"/>
      <c r="IOF10" s="501"/>
      <c r="IOG10" s="501"/>
      <c r="IOH10" s="501"/>
      <c r="IOI10" s="501"/>
      <c r="IOJ10" s="501"/>
      <c r="IOK10" s="501"/>
      <c r="IOL10" s="501"/>
      <c r="IOM10" s="501"/>
      <c r="ION10" s="501"/>
      <c r="IOO10" s="501"/>
      <c r="IOP10" s="501"/>
      <c r="IOQ10" s="645"/>
      <c r="IOR10" s="646"/>
      <c r="IOS10" s="646"/>
      <c r="IOT10" s="646"/>
      <c r="IOU10" s="646"/>
      <c r="IOV10" s="646"/>
      <c r="IOW10" s="646"/>
      <c r="IOX10" s="646"/>
      <c r="IOY10" s="646"/>
      <c r="IOZ10" s="646"/>
      <c r="IPA10" s="501"/>
      <c r="IPB10" s="501"/>
      <c r="IPC10" s="501"/>
      <c r="IPD10" s="501"/>
      <c r="IPE10" s="501"/>
      <c r="IPF10" s="501"/>
      <c r="IPG10" s="501"/>
      <c r="IPH10" s="501"/>
      <c r="IPI10" s="501"/>
      <c r="IPJ10" s="501"/>
      <c r="IPK10" s="501"/>
      <c r="IPL10" s="645"/>
      <c r="IPM10" s="646"/>
      <c r="IPN10" s="646"/>
      <c r="IPO10" s="646"/>
      <c r="IPP10" s="646"/>
      <c r="IPQ10" s="646"/>
      <c r="IPR10" s="646"/>
      <c r="IPS10" s="646"/>
      <c r="IPT10" s="646"/>
      <c r="IPU10" s="646"/>
      <c r="IPV10" s="501"/>
      <c r="IPW10" s="501"/>
      <c r="IPX10" s="501"/>
      <c r="IPY10" s="501"/>
      <c r="IPZ10" s="501"/>
      <c r="IQA10" s="501"/>
      <c r="IQB10" s="501"/>
      <c r="IQC10" s="501"/>
      <c r="IQD10" s="501"/>
      <c r="IQE10" s="501"/>
      <c r="IQF10" s="501"/>
      <c r="IQG10" s="645"/>
      <c r="IQH10" s="646"/>
      <c r="IQI10" s="646"/>
      <c r="IQJ10" s="646"/>
      <c r="IQK10" s="646"/>
      <c r="IQL10" s="646"/>
      <c r="IQM10" s="646"/>
      <c r="IQN10" s="646"/>
      <c r="IQO10" s="646"/>
      <c r="IQP10" s="646"/>
      <c r="IQQ10" s="501"/>
      <c r="IQR10" s="501"/>
      <c r="IQS10" s="501"/>
      <c r="IQT10" s="501"/>
      <c r="IQU10" s="501"/>
      <c r="IQV10" s="501"/>
      <c r="IQW10" s="501"/>
      <c r="IQX10" s="501"/>
      <c r="IQY10" s="501"/>
      <c r="IQZ10" s="501"/>
      <c r="IRA10" s="501"/>
      <c r="IRB10" s="645"/>
      <c r="IRC10" s="646"/>
      <c r="IRD10" s="646"/>
      <c r="IRE10" s="646"/>
      <c r="IRF10" s="646"/>
      <c r="IRG10" s="646"/>
      <c r="IRH10" s="646"/>
      <c r="IRI10" s="646"/>
      <c r="IRJ10" s="646"/>
      <c r="IRK10" s="646"/>
      <c r="IRL10" s="501"/>
      <c r="IRM10" s="501"/>
      <c r="IRN10" s="501"/>
      <c r="IRO10" s="501"/>
      <c r="IRP10" s="501"/>
      <c r="IRQ10" s="501"/>
      <c r="IRR10" s="501"/>
      <c r="IRS10" s="501"/>
      <c r="IRT10" s="501"/>
      <c r="IRU10" s="501"/>
      <c r="IRV10" s="501"/>
      <c r="IRW10" s="645"/>
      <c r="IRX10" s="646"/>
      <c r="IRY10" s="646"/>
      <c r="IRZ10" s="646"/>
      <c r="ISA10" s="646"/>
      <c r="ISB10" s="646"/>
      <c r="ISC10" s="646"/>
      <c r="ISD10" s="646"/>
      <c r="ISE10" s="646"/>
      <c r="ISF10" s="646"/>
      <c r="ISG10" s="501"/>
      <c r="ISH10" s="501"/>
      <c r="ISI10" s="501"/>
      <c r="ISJ10" s="501"/>
      <c r="ISK10" s="501"/>
      <c r="ISL10" s="501"/>
      <c r="ISM10" s="501"/>
      <c r="ISN10" s="501"/>
      <c r="ISO10" s="501"/>
      <c r="ISP10" s="501"/>
      <c r="ISQ10" s="501"/>
      <c r="ISR10" s="645"/>
      <c r="ISS10" s="646"/>
      <c r="IST10" s="646"/>
      <c r="ISU10" s="646"/>
      <c r="ISV10" s="646"/>
      <c r="ISW10" s="646"/>
      <c r="ISX10" s="646"/>
      <c r="ISY10" s="646"/>
      <c r="ISZ10" s="646"/>
      <c r="ITA10" s="646"/>
      <c r="ITB10" s="501"/>
      <c r="ITC10" s="501"/>
      <c r="ITD10" s="501"/>
      <c r="ITE10" s="501"/>
      <c r="ITF10" s="501"/>
      <c r="ITG10" s="501"/>
      <c r="ITH10" s="501"/>
      <c r="ITI10" s="501"/>
      <c r="ITJ10" s="501"/>
      <c r="ITK10" s="501"/>
      <c r="ITL10" s="501"/>
      <c r="ITM10" s="645"/>
      <c r="ITN10" s="646"/>
      <c r="ITO10" s="646"/>
      <c r="ITP10" s="646"/>
      <c r="ITQ10" s="646"/>
      <c r="ITR10" s="646"/>
      <c r="ITS10" s="646"/>
      <c r="ITT10" s="646"/>
      <c r="ITU10" s="646"/>
      <c r="ITV10" s="646"/>
      <c r="ITW10" s="501"/>
      <c r="ITX10" s="501"/>
      <c r="ITY10" s="501"/>
      <c r="ITZ10" s="501"/>
      <c r="IUA10" s="501"/>
      <c r="IUB10" s="501"/>
      <c r="IUC10" s="501"/>
      <c r="IUD10" s="501"/>
      <c r="IUE10" s="501"/>
      <c r="IUF10" s="501"/>
      <c r="IUG10" s="501"/>
      <c r="IUH10" s="645"/>
      <c r="IUI10" s="646"/>
      <c r="IUJ10" s="646"/>
      <c r="IUK10" s="646"/>
      <c r="IUL10" s="646"/>
      <c r="IUM10" s="646"/>
      <c r="IUN10" s="646"/>
      <c r="IUO10" s="646"/>
      <c r="IUP10" s="646"/>
      <c r="IUQ10" s="646"/>
      <c r="IUR10" s="501"/>
      <c r="IUS10" s="501"/>
      <c r="IUT10" s="501"/>
      <c r="IUU10" s="501"/>
      <c r="IUV10" s="501"/>
      <c r="IUW10" s="501"/>
      <c r="IUX10" s="501"/>
      <c r="IUY10" s="501"/>
      <c r="IUZ10" s="501"/>
      <c r="IVA10" s="501"/>
      <c r="IVB10" s="501"/>
      <c r="IVC10" s="645"/>
      <c r="IVD10" s="646"/>
      <c r="IVE10" s="646"/>
      <c r="IVF10" s="646"/>
      <c r="IVG10" s="646"/>
      <c r="IVH10" s="646"/>
      <c r="IVI10" s="646"/>
      <c r="IVJ10" s="646"/>
      <c r="IVK10" s="646"/>
      <c r="IVL10" s="646"/>
      <c r="IVM10" s="501"/>
      <c r="IVN10" s="501"/>
      <c r="IVO10" s="501"/>
      <c r="IVP10" s="501"/>
      <c r="IVQ10" s="501"/>
      <c r="IVR10" s="501"/>
      <c r="IVS10" s="501"/>
      <c r="IVT10" s="501"/>
      <c r="IVU10" s="501"/>
      <c r="IVV10" s="501"/>
      <c r="IVW10" s="501"/>
      <c r="IVX10" s="645"/>
      <c r="IVY10" s="646"/>
      <c r="IVZ10" s="646"/>
      <c r="IWA10" s="646"/>
      <c r="IWB10" s="646"/>
      <c r="IWC10" s="646"/>
      <c r="IWD10" s="646"/>
      <c r="IWE10" s="646"/>
      <c r="IWF10" s="646"/>
      <c r="IWG10" s="646"/>
      <c r="IWH10" s="501"/>
      <c r="IWI10" s="501"/>
      <c r="IWJ10" s="501"/>
      <c r="IWK10" s="501"/>
      <c r="IWL10" s="501"/>
      <c r="IWM10" s="501"/>
      <c r="IWN10" s="501"/>
      <c r="IWO10" s="501"/>
      <c r="IWP10" s="501"/>
      <c r="IWQ10" s="501"/>
      <c r="IWR10" s="501"/>
      <c r="IWS10" s="645"/>
      <c r="IWT10" s="646"/>
      <c r="IWU10" s="646"/>
      <c r="IWV10" s="646"/>
      <c r="IWW10" s="646"/>
      <c r="IWX10" s="646"/>
      <c r="IWY10" s="646"/>
      <c r="IWZ10" s="646"/>
      <c r="IXA10" s="646"/>
      <c r="IXB10" s="646"/>
      <c r="IXC10" s="501"/>
      <c r="IXD10" s="501"/>
      <c r="IXE10" s="501"/>
      <c r="IXF10" s="501"/>
      <c r="IXG10" s="501"/>
      <c r="IXH10" s="501"/>
      <c r="IXI10" s="501"/>
      <c r="IXJ10" s="501"/>
      <c r="IXK10" s="501"/>
      <c r="IXL10" s="501"/>
      <c r="IXM10" s="501"/>
      <c r="IXN10" s="645"/>
      <c r="IXO10" s="646"/>
      <c r="IXP10" s="646"/>
      <c r="IXQ10" s="646"/>
      <c r="IXR10" s="646"/>
      <c r="IXS10" s="646"/>
      <c r="IXT10" s="646"/>
      <c r="IXU10" s="646"/>
      <c r="IXV10" s="646"/>
      <c r="IXW10" s="646"/>
      <c r="IXX10" s="501"/>
      <c r="IXY10" s="501"/>
      <c r="IXZ10" s="501"/>
      <c r="IYA10" s="501"/>
      <c r="IYB10" s="501"/>
      <c r="IYC10" s="501"/>
      <c r="IYD10" s="501"/>
      <c r="IYE10" s="501"/>
      <c r="IYF10" s="501"/>
      <c r="IYG10" s="501"/>
      <c r="IYH10" s="501"/>
      <c r="IYI10" s="645"/>
      <c r="IYJ10" s="646"/>
      <c r="IYK10" s="646"/>
      <c r="IYL10" s="646"/>
      <c r="IYM10" s="646"/>
      <c r="IYN10" s="646"/>
      <c r="IYO10" s="646"/>
      <c r="IYP10" s="646"/>
      <c r="IYQ10" s="646"/>
      <c r="IYR10" s="646"/>
      <c r="IYS10" s="501"/>
      <c r="IYT10" s="501"/>
      <c r="IYU10" s="501"/>
      <c r="IYV10" s="501"/>
      <c r="IYW10" s="501"/>
      <c r="IYX10" s="501"/>
      <c r="IYY10" s="501"/>
      <c r="IYZ10" s="501"/>
      <c r="IZA10" s="501"/>
      <c r="IZB10" s="501"/>
      <c r="IZC10" s="501"/>
      <c r="IZD10" s="645"/>
      <c r="IZE10" s="646"/>
      <c r="IZF10" s="646"/>
      <c r="IZG10" s="646"/>
      <c r="IZH10" s="646"/>
      <c r="IZI10" s="646"/>
      <c r="IZJ10" s="646"/>
      <c r="IZK10" s="646"/>
      <c r="IZL10" s="646"/>
      <c r="IZM10" s="646"/>
      <c r="IZN10" s="501"/>
      <c r="IZO10" s="501"/>
      <c r="IZP10" s="501"/>
      <c r="IZQ10" s="501"/>
      <c r="IZR10" s="501"/>
      <c r="IZS10" s="501"/>
      <c r="IZT10" s="501"/>
      <c r="IZU10" s="501"/>
      <c r="IZV10" s="501"/>
      <c r="IZW10" s="501"/>
      <c r="IZX10" s="501"/>
      <c r="IZY10" s="645"/>
      <c r="IZZ10" s="646"/>
      <c r="JAA10" s="646"/>
      <c r="JAB10" s="646"/>
      <c r="JAC10" s="646"/>
      <c r="JAD10" s="646"/>
      <c r="JAE10" s="646"/>
      <c r="JAF10" s="646"/>
      <c r="JAG10" s="646"/>
      <c r="JAH10" s="646"/>
      <c r="JAI10" s="501"/>
      <c r="JAJ10" s="501"/>
      <c r="JAK10" s="501"/>
      <c r="JAL10" s="501"/>
      <c r="JAM10" s="501"/>
      <c r="JAN10" s="501"/>
      <c r="JAO10" s="501"/>
      <c r="JAP10" s="501"/>
      <c r="JAQ10" s="501"/>
      <c r="JAR10" s="501"/>
      <c r="JAS10" s="501"/>
      <c r="JAT10" s="645"/>
      <c r="JAU10" s="646"/>
      <c r="JAV10" s="646"/>
      <c r="JAW10" s="646"/>
      <c r="JAX10" s="646"/>
      <c r="JAY10" s="646"/>
      <c r="JAZ10" s="646"/>
      <c r="JBA10" s="646"/>
      <c r="JBB10" s="646"/>
      <c r="JBC10" s="646"/>
      <c r="JBD10" s="501"/>
      <c r="JBE10" s="501"/>
      <c r="JBF10" s="501"/>
      <c r="JBG10" s="501"/>
      <c r="JBH10" s="501"/>
      <c r="JBI10" s="501"/>
      <c r="JBJ10" s="501"/>
      <c r="JBK10" s="501"/>
      <c r="JBL10" s="501"/>
      <c r="JBM10" s="501"/>
      <c r="JBN10" s="501"/>
      <c r="JBO10" s="645"/>
      <c r="JBP10" s="646"/>
      <c r="JBQ10" s="646"/>
      <c r="JBR10" s="646"/>
      <c r="JBS10" s="646"/>
      <c r="JBT10" s="646"/>
      <c r="JBU10" s="646"/>
      <c r="JBV10" s="646"/>
      <c r="JBW10" s="646"/>
      <c r="JBX10" s="646"/>
      <c r="JBY10" s="501"/>
      <c r="JBZ10" s="501"/>
      <c r="JCA10" s="501"/>
      <c r="JCB10" s="501"/>
      <c r="JCC10" s="501"/>
      <c r="JCD10" s="501"/>
      <c r="JCE10" s="501"/>
      <c r="JCF10" s="501"/>
      <c r="JCG10" s="501"/>
      <c r="JCH10" s="501"/>
      <c r="JCI10" s="501"/>
      <c r="JCJ10" s="645"/>
      <c r="JCK10" s="646"/>
      <c r="JCL10" s="646"/>
      <c r="JCM10" s="646"/>
      <c r="JCN10" s="646"/>
      <c r="JCO10" s="646"/>
      <c r="JCP10" s="646"/>
      <c r="JCQ10" s="646"/>
      <c r="JCR10" s="646"/>
      <c r="JCS10" s="646"/>
      <c r="JCT10" s="501"/>
      <c r="JCU10" s="501"/>
      <c r="JCV10" s="501"/>
      <c r="JCW10" s="501"/>
      <c r="JCX10" s="501"/>
      <c r="JCY10" s="501"/>
      <c r="JCZ10" s="501"/>
      <c r="JDA10" s="501"/>
      <c r="JDB10" s="501"/>
      <c r="JDC10" s="501"/>
      <c r="JDD10" s="501"/>
      <c r="JDE10" s="645"/>
      <c r="JDF10" s="646"/>
      <c r="JDG10" s="646"/>
      <c r="JDH10" s="646"/>
      <c r="JDI10" s="646"/>
      <c r="JDJ10" s="646"/>
      <c r="JDK10" s="646"/>
      <c r="JDL10" s="646"/>
      <c r="JDM10" s="646"/>
      <c r="JDN10" s="646"/>
      <c r="JDO10" s="501"/>
      <c r="JDP10" s="501"/>
      <c r="JDQ10" s="501"/>
      <c r="JDR10" s="501"/>
      <c r="JDS10" s="501"/>
      <c r="JDT10" s="501"/>
      <c r="JDU10" s="501"/>
      <c r="JDV10" s="501"/>
      <c r="JDW10" s="501"/>
      <c r="JDX10" s="501"/>
      <c r="JDY10" s="501"/>
      <c r="JDZ10" s="645"/>
      <c r="JEA10" s="646"/>
      <c r="JEB10" s="646"/>
      <c r="JEC10" s="646"/>
      <c r="JED10" s="646"/>
      <c r="JEE10" s="646"/>
      <c r="JEF10" s="646"/>
      <c r="JEG10" s="646"/>
      <c r="JEH10" s="646"/>
      <c r="JEI10" s="646"/>
      <c r="JEJ10" s="501"/>
      <c r="JEK10" s="501"/>
      <c r="JEL10" s="501"/>
      <c r="JEM10" s="501"/>
      <c r="JEN10" s="501"/>
      <c r="JEO10" s="501"/>
      <c r="JEP10" s="501"/>
      <c r="JEQ10" s="501"/>
      <c r="JER10" s="501"/>
      <c r="JES10" s="501"/>
      <c r="JET10" s="501"/>
      <c r="JEU10" s="645"/>
      <c r="JEV10" s="646"/>
      <c r="JEW10" s="646"/>
      <c r="JEX10" s="646"/>
      <c r="JEY10" s="646"/>
      <c r="JEZ10" s="646"/>
      <c r="JFA10" s="646"/>
      <c r="JFB10" s="646"/>
      <c r="JFC10" s="646"/>
      <c r="JFD10" s="646"/>
      <c r="JFE10" s="501"/>
      <c r="JFF10" s="501"/>
      <c r="JFG10" s="501"/>
      <c r="JFH10" s="501"/>
      <c r="JFI10" s="501"/>
      <c r="JFJ10" s="501"/>
      <c r="JFK10" s="501"/>
      <c r="JFL10" s="501"/>
      <c r="JFM10" s="501"/>
      <c r="JFN10" s="501"/>
      <c r="JFO10" s="501"/>
      <c r="JFP10" s="645"/>
      <c r="JFQ10" s="646"/>
      <c r="JFR10" s="646"/>
      <c r="JFS10" s="646"/>
      <c r="JFT10" s="646"/>
      <c r="JFU10" s="646"/>
      <c r="JFV10" s="646"/>
      <c r="JFW10" s="646"/>
      <c r="JFX10" s="646"/>
      <c r="JFY10" s="646"/>
      <c r="JFZ10" s="501"/>
      <c r="JGA10" s="501"/>
      <c r="JGB10" s="501"/>
      <c r="JGC10" s="501"/>
      <c r="JGD10" s="501"/>
      <c r="JGE10" s="501"/>
      <c r="JGF10" s="501"/>
      <c r="JGG10" s="501"/>
      <c r="JGH10" s="501"/>
      <c r="JGI10" s="501"/>
      <c r="JGJ10" s="501"/>
      <c r="JGK10" s="645"/>
      <c r="JGL10" s="646"/>
      <c r="JGM10" s="646"/>
      <c r="JGN10" s="646"/>
      <c r="JGO10" s="646"/>
      <c r="JGP10" s="646"/>
      <c r="JGQ10" s="646"/>
      <c r="JGR10" s="646"/>
      <c r="JGS10" s="646"/>
      <c r="JGT10" s="646"/>
      <c r="JGU10" s="501"/>
      <c r="JGV10" s="501"/>
      <c r="JGW10" s="501"/>
      <c r="JGX10" s="501"/>
      <c r="JGY10" s="501"/>
      <c r="JGZ10" s="501"/>
      <c r="JHA10" s="501"/>
      <c r="JHB10" s="501"/>
      <c r="JHC10" s="501"/>
      <c r="JHD10" s="501"/>
      <c r="JHE10" s="501"/>
      <c r="JHF10" s="645"/>
      <c r="JHG10" s="646"/>
      <c r="JHH10" s="646"/>
      <c r="JHI10" s="646"/>
      <c r="JHJ10" s="646"/>
      <c r="JHK10" s="646"/>
      <c r="JHL10" s="646"/>
      <c r="JHM10" s="646"/>
      <c r="JHN10" s="646"/>
      <c r="JHO10" s="646"/>
      <c r="JHP10" s="501"/>
      <c r="JHQ10" s="501"/>
      <c r="JHR10" s="501"/>
      <c r="JHS10" s="501"/>
      <c r="JHT10" s="501"/>
      <c r="JHU10" s="501"/>
      <c r="JHV10" s="501"/>
      <c r="JHW10" s="501"/>
      <c r="JHX10" s="501"/>
      <c r="JHY10" s="501"/>
      <c r="JHZ10" s="501"/>
      <c r="JIA10" s="645"/>
      <c r="JIB10" s="646"/>
      <c r="JIC10" s="646"/>
      <c r="JID10" s="646"/>
      <c r="JIE10" s="646"/>
      <c r="JIF10" s="646"/>
      <c r="JIG10" s="646"/>
      <c r="JIH10" s="646"/>
      <c r="JII10" s="646"/>
      <c r="JIJ10" s="646"/>
      <c r="JIK10" s="501"/>
      <c r="JIL10" s="501"/>
      <c r="JIM10" s="501"/>
      <c r="JIN10" s="501"/>
      <c r="JIO10" s="501"/>
      <c r="JIP10" s="501"/>
      <c r="JIQ10" s="501"/>
      <c r="JIR10" s="501"/>
      <c r="JIS10" s="501"/>
      <c r="JIT10" s="501"/>
      <c r="JIU10" s="501"/>
      <c r="JIV10" s="645"/>
      <c r="JIW10" s="646"/>
      <c r="JIX10" s="646"/>
      <c r="JIY10" s="646"/>
      <c r="JIZ10" s="646"/>
      <c r="JJA10" s="646"/>
      <c r="JJB10" s="646"/>
      <c r="JJC10" s="646"/>
      <c r="JJD10" s="646"/>
      <c r="JJE10" s="646"/>
      <c r="JJF10" s="501"/>
      <c r="JJG10" s="501"/>
      <c r="JJH10" s="501"/>
      <c r="JJI10" s="501"/>
      <c r="JJJ10" s="501"/>
      <c r="JJK10" s="501"/>
      <c r="JJL10" s="501"/>
      <c r="JJM10" s="501"/>
      <c r="JJN10" s="501"/>
      <c r="JJO10" s="501"/>
      <c r="JJP10" s="501"/>
      <c r="JJQ10" s="645"/>
      <c r="JJR10" s="646"/>
      <c r="JJS10" s="646"/>
      <c r="JJT10" s="646"/>
      <c r="JJU10" s="646"/>
      <c r="JJV10" s="646"/>
      <c r="JJW10" s="646"/>
      <c r="JJX10" s="646"/>
      <c r="JJY10" s="646"/>
      <c r="JJZ10" s="646"/>
      <c r="JKA10" s="501"/>
      <c r="JKB10" s="501"/>
      <c r="JKC10" s="501"/>
      <c r="JKD10" s="501"/>
      <c r="JKE10" s="501"/>
      <c r="JKF10" s="501"/>
      <c r="JKG10" s="501"/>
      <c r="JKH10" s="501"/>
      <c r="JKI10" s="501"/>
      <c r="JKJ10" s="501"/>
      <c r="JKK10" s="501"/>
      <c r="JKL10" s="645"/>
      <c r="JKM10" s="646"/>
      <c r="JKN10" s="646"/>
      <c r="JKO10" s="646"/>
      <c r="JKP10" s="646"/>
      <c r="JKQ10" s="646"/>
      <c r="JKR10" s="646"/>
      <c r="JKS10" s="646"/>
      <c r="JKT10" s="646"/>
      <c r="JKU10" s="646"/>
      <c r="JKV10" s="501"/>
      <c r="JKW10" s="501"/>
      <c r="JKX10" s="501"/>
      <c r="JKY10" s="501"/>
      <c r="JKZ10" s="501"/>
      <c r="JLA10" s="501"/>
      <c r="JLB10" s="501"/>
      <c r="JLC10" s="501"/>
      <c r="JLD10" s="501"/>
      <c r="JLE10" s="501"/>
      <c r="JLF10" s="501"/>
      <c r="JLG10" s="645"/>
      <c r="JLH10" s="646"/>
      <c r="JLI10" s="646"/>
      <c r="JLJ10" s="646"/>
      <c r="JLK10" s="646"/>
      <c r="JLL10" s="646"/>
      <c r="JLM10" s="646"/>
      <c r="JLN10" s="646"/>
      <c r="JLO10" s="646"/>
      <c r="JLP10" s="646"/>
      <c r="JLQ10" s="501"/>
      <c r="JLR10" s="501"/>
      <c r="JLS10" s="501"/>
      <c r="JLT10" s="501"/>
      <c r="JLU10" s="501"/>
      <c r="JLV10" s="501"/>
      <c r="JLW10" s="501"/>
      <c r="JLX10" s="501"/>
      <c r="JLY10" s="501"/>
      <c r="JLZ10" s="501"/>
      <c r="JMA10" s="501"/>
      <c r="JMB10" s="645"/>
      <c r="JMC10" s="646"/>
      <c r="JMD10" s="646"/>
      <c r="JME10" s="646"/>
      <c r="JMF10" s="646"/>
      <c r="JMG10" s="646"/>
      <c r="JMH10" s="646"/>
      <c r="JMI10" s="646"/>
      <c r="JMJ10" s="646"/>
      <c r="JMK10" s="646"/>
      <c r="JML10" s="501"/>
      <c r="JMM10" s="501"/>
      <c r="JMN10" s="501"/>
      <c r="JMO10" s="501"/>
      <c r="JMP10" s="501"/>
      <c r="JMQ10" s="501"/>
      <c r="JMR10" s="501"/>
      <c r="JMS10" s="501"/>
      <c r="JMT10" s="501"/>
      <c r="JMU10" s="501"/>
      <c r="JMV10" s="501"/>
      <c r="JMW10" s="645"/>
      <c r="JMX10" s="646"/>
      <c r="JMY10" s="646"/>
      <c r="JMZ10" s="646"/>
      <c r="JNA10" s="646"/>
      <c r="JNB10" s="646"/>
      <c r="JNC10" s="646"/>
      <c r="JND10" s="646"/>
      <c r="JNE10" s="646"/>
      <c r="JNF10" s="646"/>
      <c r="JNG10" s="501"/>
      <c r="JNH10" s="501"/>
      <c r="JNI10" s="501"/>
      <c r="JNJ10" s="501"/>
      <c r="JNK10" s="501"/>
      <c r="JNL10" s="501"/>
      <c r="JNM10" s="501"/>
      <c r="JNN10" s="501"/>
      <c r="JNO10" s="501"/>
      <c r="JNP10" s="501"/>
      <c r="JNQ10" s="501"/>
      <c r="JNR10" s="645"/>
      <c r="JNS10" s="646"/>
      <c r="JNT10" s="646"/>
      <c r="JNU10" s="646"/>
      <c r="JNV10" s="646"/>
      <c r="JNW10" s="646"/>
      <c r="JNX10" s="646"/>
      <c r="JNY10" s="646"/>
      <c r="JNZ10" s="646"/>
      <c r="JOA10" s="646"/>
      <c r="JOB10" s="501"/>
      <c r="JOC10" s="501"/>
      <c r="JOD10" s="501"/>
      <c r="JOE10" s="501"/>
      <c r="JOF10" s="501"/>
      <c r="JOG10" s="501"/>
      <c r="JOH10" s="501"/>
      <c r="JOI10" s="501"/>
      <c r="JOJ10" s="501"/>
      <c r="JOK10" s="501"/>
      <c r="JOL10" s="501"/>
      <c r="JOM10" s="645"/>
      <c r="JON10" s="646"/>
      <c r="JOO10" s="646"/>
      <c r="JOP10" s="646"/>
      <c r="JOQ10" s="646"/>
      <c r="JOR10" s="646"/>
      <c r="JOS10" s="646"/>
      <c r="JOT10" s="646"/>
      <c r="JOU10" s="646"/>
      <c r="JOV10" s="646"/>
      <c r="JOW10" s="501"/>
      <c r="JOX10" s="501"/>
      <c r="JOY10" s="501"/>
      <c r="JOZ10" s="501"/>
      <c r="JPA10" s="501"/>
      <c r="JPB10" s="501"/>
      <c r="JPC10" s="501"/>
      <c r="JPD10" s="501"/>
      <c r="JPE10" s="501"/>
      <c r="JPF10" s="501"/>
      <c r="JPG10" s="501"/>
      <c r="JPH10" s="645"/>
      <c r="JPI10" s="646"/>
      <c r="JPJ10" s="646"/>
      <c r="JPK10" s="646"/>
      <c r="JPL10" s="646"/>
      <c r="JPM10" s="646"/>
      <c r="JPN10" s="646"/>
      <c r="JPO10" s="646"/>
      <c r="JPP10" s="646"/>
      <c r="JPQ10" s="646"/>
      <c r="JPR10" s="501"/>
      <c r="JPS10" s="501"/>
      <c r="JPT10" s="501"/>
      <c r="JPU10" s="501"/>
      <c r="JPV10" s="501"/>
      <c r="JPW10" s="501"/>
      <c r="JPX10" s="501"/>
      <c r="JPY10" s="501"/>
      <c r="JPZ10" s="501"/>
      <c r="JQA10" s="501"/>
      <c r="JQB10" s="501"/>
      <c r="JQC10" s="645"/>
      <c r="JQD10" s="646"/>
      <c r="JQE10" s="646"/>
      <c r="JQF10" s="646"/>
      <c r="JQG10" s="646"/>
      <c r="JQH10" s="646"/>
      <c r="JQI10" s="646"/>
      <c r="JQJ10" s="646"/>
      <c r="JQK10" s="646"/>
      <c r="JQL10" s="646"/>
      <c r="JQM10" s="501"/>
      <c r="JQN10" s="501"/>
      <c r="JQO10" s="501"/>
      <c r="JQP10" s="501"/>
      <c r="JQQ10" s="501"/>
      <c r="JQR10" s="501"/>
      <c r="JQS10" s="501"/>
      <c r="JQT10" s="501"/>
      <c r="JQU10" s="501"/>
      <c r="JQV10" s="501"/>
      <c r="JQW10" s="501"/>
      <c r="JQX10" s="645"/>
      <c r="JQY10" s="646"/>
      <c r="JQZ10" s="646"/>
      <c r="JRA10" s="646"/>
      <c r="JRB10" s="646"/>
      <c r="JRC10" s="646"/>
      <c r="JRD10" s="646"/>
      <c r="JRE10" s="646"/>
      <c r="JRF10" s="646"/>
      <c r="JRG10" s="646"/>
      <c r="JRH10" s="501"/>
      <c r="JRI10" s="501"/>
      <c r="JRJ10" s="501"/>
      <c r="JRK10" s="501"/>
      <c r="JRL10" s="501"/>
      <c r="JRM10" s="501"/>
      <c r="JRN10" s="501"/>
      <c r="JRO10" s="501"/>
      <c r="JRP10" s="501"/>
      <c r="JRQ10" s="501"/>
      <c r="JRR10" s="501"/>
      <c r="JRS10" s="645"/>
      <c r="JRT10" s="646"/>
      <c r="JRU10" s="646"/>
      <c r="JRV10" s="646"/>
      <c r="JRW10" s="646"/>
      <c r="JRX10" s="646"/>
      <c r="JRY10" s="646"/>
      <c r="JRZ10" s="646"/>
      <c r="JSA10" s="646"/>
      <c r="JSB10" s="646"/>
      <c r="JSC10" s="501"/>
      <c r="JSD10" s="501"/>
      <c r="JSE10" s="501"/>
      <c r="JSF10" s="501"/>
      <c r="JSG10" s="501"/>
      <c r="JSH10" s="501"/>
      <c r="JSI10" s="501"/>
      <c r="JSJ10" s="501"/>
      <c r="JSK10" s="501"/>
      <c r="JSL10" s="501"/>
      <c r="JSM10" s="501"/>
      <c r="JSN10" s="645"/>
      <c r="JSO10" s="646"/>
      <c r="JSP10" s="646"/>
      <c r="JSQ10" s="646"/>
      <c r="JSR10" s="646"/>
      <c r="JSS10" s="646"/>
      <c r="JST10" s="646"/>
      <c r="JSU10" s="646"/>
      <c r="JSV10" s="646"/>
      <c r="JSW10" s="646"/>
      <c r="JSX10" s="501"/>
      <c r="JSY10" s="501"/>
      <c r="JSZ10" s="501"/>
      <c r="JTA10" s="501"/>
      <c r="JTB10" s="501"/>
      <c r="JTC10" s="501"/>
      <c r="JTD10" s="501"/>
      <c r="JTE10" s="501"/>
      <c r="JTF10" s="501"/>
      <c r="JTG10" s="501"/>
      <c r="JTH10" s="501"/>
      <c r="JTI10" s="645"/>
      <c r="JTJ10" s="646"/>
      <c r="JTK10" s="646"/>
      <c r="JTL10" s="646"/>
      <c r="JTM10" s="646"/>
      <c r="JTN10" s="646"/>
      <c r="JTO10" s="646"/>
      <c r="JTP10" s="646"/>
      <c r="JTQ10" s="646"/>
      <c r="JTR10" s="646"/>
      <c r="JTS10" s="501"/>
      <c r="JTT10" s="501"/>
      <c r="JTU10" s="501"/>
      <c r="JTV10" s="501"/>
      <c r="JTW10" s="501"/>
      <c r="JTX10" s="501"/>
      <c r="JTY10" s="501"/>
      <c r="JTZ10" s="501"/>
      <c r="JUA10" s="501"/>
      <c r="JUB10" s="501"/>
      <c r="JUC10" s="501"/>
      <c r="JUD10" s="645"/>
      <c r="JUE10" s="646"/>
      <c r="JUF10" s="646"/>
      <c r="JUG10" s="646"/>
      <c r="JUH10" s="646"/>
      <c r="JUI10" s="646"/>
      <c r="JUJ10" s="646"/>
      <c r="JUK10" s="646"/>
      <c r="JUL10" s="646"/>
      <c r="JUM10" s="646"/>
      <c r="JUN10" s="501"/>
      <c r="JUO10" s="501"/>
      <c r="JUP10" s="501"/>
      <c r="JUQ10" s="501"/>
      <c r="JUR10" s="501"/>
      <c r="JUS10" s="501"/>
      <c r="JUT10" s="501"/>
      <c r="JUU10" s="501"/>
      <c r="JUV10" s="501"/>
      <c r="JUW10" s="501"/>
      <c r="JUX10" s="501"/>
      <c r="JUY10" s="645"/>
      <c r="JUZ10" s="646"/>
      <c r="JVA10" s="646"/>
      <c r="JVB10" s="646"/>
      <c r="JVC10" s="646"/>
      <c r="JVD10" s="646"/>
      <c r="JVE10" s="646"/>
      <c r="JVF10" s="646"/>
      <c r="JVG10" s="646"/>
      <c r="JVH10" s="646"/>
      <c r="JVI10" s="501"/>
      <c r="JVJ10" s="501"/>
      <c r="JVK10" s="501"/>
      <c r="JVL10" s="501"/>
      <c r="JVM10" s="501"/>
      <c r="JVN10" s="501"/>
      <c r="JVO10" s="501"/>
      <c r="JVP10" s="501"/>
      <c r="JVQ10" s="501"/>
      <c r="JVR10" s="501"/>
      <c r="JVS10" s="501"/>
      <c r="JVT10" s="645"/>
      <c r="JVU10" s="646"/>
      <c r="JVV10" s="646"/>
      <c r="JVW10" s="646"/>
      <c r="JVX10" s="646"/>
      <c r="JVY10" s="646"/>
      <c r="JVZ10" s="646"/>
      <c r="JWA10" s="646"/>
      <c r="JWB10" s="646"/>
      <c r="JWC10" s="646"/>
      <c r="JWD10" s="501"/>
      <c r="JWE10" s="501"/>
      <c r="JWF10" s="501"/>
      <c r="JWG10" s="501"/>
      <c r="JWH10" s="501"/>
      <c r="JWI10" s="501"/>
      <c r="JWJ10" s="501"/>
      <c r="JWK10" s="501"/>
      <c r="JWL10" s="501"/>
      <c r="JWM10" s="501"/>
      <c r="JWN10" s="501"/>
      <c r="JWO10" s="645"/>
      <c r="JWP10" s="646"/>
      <c r="JWQ10" s="646"/>
      <c r="JWR10" s="646"/>
      <c r="JWS10" s="646"/>
      <c r="JWT10" s="646"/>
      <c r="JWU10" s="646"/>
      <c r="JWV10" s="646"/>
      <c r="JWW10" s="646"/>
      <c r="JWX10" s="646"/>
      <c r="JWY10" s="501"/>
      <c r="JWZ10" s="501"/>
      <c r="JXA10" s="501"/>
      <c r="JXB10" s="501"/>
      <c r="JXC10" s="501"/>
      <c r="JXD10" s="501"/>
      <c r="JXE10" s="501"/>
      <c r="JXF10" s="501"/>
      <c r="JXG10" s="501"/>
      <c r="JXH10" s="501"/>
      <c r="JXI10" s="501"/>
      <c r="JXJ10" s="645"/>
      <c r="JXK10" s="646"/>
      <c r="JXL10" s="646"/>
      <c r="JXM10" s="646"/>
      <c r="JXN10" s="646"/>
      <c r="JXO10" s="646"/>
      <c r="JXP10" s="646"/>
      <c r="JXQ10" s="646"/>
      <c r="JXR10" s="646"/>
      <c r="JXS10" s="646"/>
      <c r="JXT10" s="501"/>
      <c r="JXU10" s="501"/>
      <c r="JXV10" s="501"/>
      <c r="JXW10" s="501"/>
      <c r="JXX10" s="501"/>
      <c r="JXY10" s="501"/>
      <c r="JXZ10" s="501"/>
      <c r="JYA10" s="501"/>
      <c r="JYB10" s="501"/>
      <c r="JYC10" s="501"/>
      <c r="JYD10" s="501"/>
      <c r="JYE10" s="645"/>
      <c r="JYF10" s="646"/>
      <c r="JYG10" s="646"/>
      <c r="JYH10" s="646"/>
      <c r="JYI10" s="646"/>
      <c r="JYJ10" s="646"/>
      <c r="JYK10" s="646"/>
      <c r="JYL10" s="646"/>
      <c r="JYM10" s="646"/>
      <c r="JYN10" s="646"/>
      <c r="JYO10" s="501"/>
      <c r="JYP10" s="501"/>
      <c r="JYQ10" s="501"/>
      <c r="JYR10" s="501"/>
      <c r="JYS10" s="501"/>
      <c r="JYT10" s="501"/>
      <c r="JYU10" s="501"/>
      <c r="JYV10" s="501"/>
      <c r="JYW10" s="501"/>
      <c r="JYX10" s="501"/>
      <c r="JYY10" s="501"/>
      <c r="JYZ10" s="645"/>
      <c r="JZA10" s="646"/>
      <c r="JZB10" s="646"/>
      <c r="JZC10" s="646"/>
      <c r="JZD10" s="646"/>
      <c r="JZE10" s="646"/>
      <c r="JZF10" s="646"/>
      <c r="JZG10" s="646"/>
      <c r="JZH10" s="646"/>
      <c r="JZI10" s="646"/>
      <c r="JZJ10" s="501"/>
      <c r="JZK10" s="501"/>
      <c r="JZL10" s="501"/>
      <c r="JZM10" s="501"/>
      <c r="JZN10" s="501"/>
      <c r="JZO10" s="501"/>
      <c r="JZP10" s="501"/>
      <c r="JZQ10" s="501"/>
      <c r="JZR10" s="501"/>
      <c r="JZS10" s="501"/>
      <c r="JZT10" s="501"/>
      <c r="JZU10" s="645"/>
      <c r="JZV10" s="646"/>
      <c r="JZW10" s="646"/>
      <c r="JZX10" s="646"/>
      <c r="JZY10" s="646"/>
      <c r="JZZ10" s="646"/>
      <c r="KAA10" s="646"/>
      <c r="KAB10" s="646"/>
      <c r="KAC10" s="646"/>
      <c r="KAD10" s="646"/>
      <c r="KAE10" s="501"/>
      <c r="KAF10" s="501"/>
      <c r="KAG10" s="501"/>
      <c r="KAH10" s="501"/>
      <c r="KAI10" s="501"/>
      <c r="KAJ10" s="501"/>
      <c r="KAK10" s="501"/>
      <c r="KAL10" s="501"/>
      <c r="KAM10" s="501"/>
      <c r="KAN10" s="501"/>
      <c r="KAO10" s="501"/>
      <c r="KAP10" s="645"/>
      <c r="KAQ10" s="646"/>
      <c r="KAR10" s="646"/>
      <c r="KAS10" s="646"/>
      <c r="KAT10" s="646"/>
      <c r="KAU10" s="646"/>
      <c r="KAV10" s="646"/>
      <c r="KAW10" s="646"/>
      <c r="KAX10" s="646"/>
      <c r="KAY10" s="646"/>
      <c r="KAZ10" s="501"/>
      <c r="KBA10" s="501"/>
      <c r="KBB10" s="501"/>
      <c r="KBC10" s="501"/>
      <c r="KBD10" s="501"/>
      <c r="KBE10" s="501"/>
      <c r="KBF10" s="501"/>
      <c r="KBG10" s="501"/>
      <c r="KBH10" s="501"/>
      <c r="KBI10" s="501"/>
      <c r="KBJ10" s="501"/>
      <c r="KBK10" s="645"/>
      <c r="KBL10" s="646"/>
      <c r="KBM10" s="646"/>
      <c r="KBN10" s="646"/>
      <c r="KBO10" s="646"/>
      <c r="KBP10" s="646"/>
      <c r="KBQ10" s="646"/>
      <c r="KBR10" s="646"/>
      <c r="KBS10" s="646"/>
      <c r="KBT10" s="646"/>
      <c r="KBU10" s="501"/>
      <c r="KBV10" s="501"/>
      <c r="KBW10" s="501"/>
      <c r="KBX10" s="501"/>
      <c r="KBY10" s="501"/>
      <c r="KBZ10" s="501"/>
      <c r="KCA10" s="501"/>
      <c r="KCB10" s="501"/>
      <c r="KCC10" s="501"/>
      <c r="KCD10" s="501"/>
      <c r="KCE10" s="501"/>
      <c r="KCF10" s="645"/>
      <c r="KCG10" s="646"/>
      <c r="KCH10" s="646"/>
      <c r="KCI10" s="646"/>
      <c r="KCJ10" s="646"/>
      <c r="KCK10" s="646"/>
      <c r="KCL10" s="646"/>
      <c r="KCM10" s="646"/>
      <c r="KCN10" s="646"/>
      <c r="KCO10" s="646"/>
      <c r="KCP10" s="501"/>
      <c r="KCQ10" s="501"/>
      <c r="KCR10" s="501"/>
      <c r="KCS10" s="501"/>
      <c r="KCT10" s="501"/>
      <c r="KCU10" s="501"/>
      <c r="KCV10" s="501"/>
      <c r="KCW10" s="501"/>
      <c r="KCX10" s="501"/>
      <c r="KCY10" s="501"/>
      <c r="KCZ10" s="501"/>
      <c r="KDA10" s="645"/>
      <c r="KDB10" s="646"/>
      <c r="KDC10" s="646"/>
      <c r="KDD10" s="646"/>
      <c r="KDE10" s="646"/>
      <c r="KDF10" s="646"/>
      <c r="KDG10" s="646"/>
      <c r="KDH10" s="646"/>
      <c r="KDI10" s="646"/>
      <c r="KDJ10" s="646"/>
      <c r="KDK10" s="501"/>
      <c r="KDL10" s="501"/>
      <c r="KDM10" s="501"/>
      <c r="KDN10" s="501"/>
      <c r="KDO10" s="501"/>
      <c r="KDP10" s="501"/>
      <c r="KDQ10" s="501"/>
      <c r="KDR10" s="501"/>
      <c r="KDS10" s="501"/>
      <c r="KDT10" s="501"/>
      <c r="KDU10" s="501"/>
      <c r="KDV10" s="645"/>
      <c r="KDW10" s="646"/>
      <c r="KDX10" s="646"/>
      <c r="KDY10" s="646"/>
      <c r="KDZ10" s="646"/>
      <c r="KEA10" s="646"/>
      <c r="KEB10" s="646"/>
      <c r="KEC10" s="646"/>
      <c r="KED10" s="646"/>
      <c r="KEE10" s="646"/>
      <c r="KEF10" s="501"/>
      <c r="KEG10" s="501"/>
      <c r="KEH10" s="501"/>
      <c r="KEI10" s="501"/>
      <c r="KEJ10" s="501"/>
      <c r="KEK10" s="501"/>
      <c r="KEL10" s="501"/>
      <c r="KEM10" s="501"/>
      <c r="KEN10" s="501"/>
      <c r="KEO10" s="501"/>
      <c r="KEP10" s="501"/>
      <c r="KEQ10" s="645"/>
      <c r="KER10" s="646"/>
      <c r="KES10" s="646"/>
      <c r="KET10" s="646"/>
      <c r="KEU10" s="646"/>
      <c r="KEV10" s="646"/>
      <c r="KEW10" s="646"/>
      <c r="KEX10" s="646"/>
      <c r="KEY10" s="646"/>
      <c r="KEZ10" s="646"/>
      <c r="KFA10" s="501"/>
      <c r="KFB10" s="501"/>
      <c r="KFC10" s="501"/>
      <c r="KFD10" s="501"/>
      <c r="KFE10" s="501"/>
      <c r="KFF10" s="501"/>
      <c r="KFG10" s="501"/>
      <c r="KFH10" s="501"/>
      <c r="KFI10" s="501"/>
      <c r="KFJ10" s="501"/>
      <c r="KFK10" s="501"/>
      <c r="KFL10" s="645"/>
      <c r="KFM10" s="646"/>
      <c r="KFN10" s="646"/>
      <c r="KFO10" s="646"/>
      <c r="KFP10" s="646"/>
      <c r="KFQ10" s="646"/>
      <c r="KFR10" s="646"/>
      <c r="KFS10" s="646"/>
      <c r="KFT10" s="646"/>
      <c r="KFU10" s="646"/>
      <c r="KFV10" s="501"/>
      <c r="KFW10" s="501"/>
      <c r="KFX10" s="501"/>
      <c r="KFY10" s="501"/>
      <c r="KFZ10" s="501"/>
      <c r="KGA10" s="501"/>
      <c r="KGB10" s="501"/>
      <c r="KGC10" s="501"/>
      <c r="KGD10" s="501"/>
      <c r="KGE10" s="501"/>
      <c r="KGF10" s="501"/>
      <c r="KGG10" s="645"/>
      <c r="KGH10" s="646"/>
      <c r="KGI10" s="646"/>
      <c r="KGJ10" s="646"/>
      <c r="KGK10" s="646"/>
      <c r="KGL10" s="646"/>
      <c r="KGM10" s="646"/>
      <c r="KGN10" s="646"/>
      <c r="KGO10" s="646"/>
      <c r="KGP10" s="646"/>
      <c r="KGQ10" s="501"/>
      <c r="KGR10" s="501"/>
      <c r="KGS10" s="501"/>
      <c r="KGT10" s="501"/>
      <c r="KGU10" s="501"/>
      <c r="KGV10" s="501"/>
      <c r="KGW10" s="501"/>
      <c r="KGX10" s="501"/>
      <c r="KGY10" s="501"/>
      <c r="KGZ10" s="501"/>
      <c r="KHA10" s="501"/>
      <c r="KHB10" s="645"/>
      <c r="KHC10" s="646"/>
      <c r="KHD10" s="646"/>
      <c r="KHE10" s="646"/>
      <c r="KHF10" s="646"/>
      <c r="KHG10" s="646"/>
      <c r="KHH10" s="646"/>
      <c r="KHI10" s="646"/>
      <c r="KHJ10" s="646"/>
      <c r="KHK10" s="646"/>
      <c r="KHL10" s="501"/>
      <c r="KHM10" s="501"/>
      <c r="KHN10" s="501"/>
      <c r="KHO10" s="501"/>
      <c r="KHP10" s="501"/>
      <c r="KHQ10" s="501"/>
      <c r="KHR10" s="501"/>
      <c r="KHS10" s="501"/>
      <c r="KHT10" s="501"/>
      <c r="KHU10" s="501"/>
      <c r="KHV10" s="501"/>
      <c r="KHW10" s="645"/>
      <c r="KHX10" s="646"/>
      <c r="KHY10" s="646"/>
      <c r="KHZ10" s="646"/>
      <c r="KIA10" s="646"/>
      <c r="KIB10" s="646"/>
      <c r="KIC10" s="646"/>
      <c r="KID10" s="646"/>
      <c r="KIE10" s="646"/>
      <c r="KIF10" s="646"/>
      <c r="KIG10" s="501"/>
      <c r="KIH10" s="501"/>
      <c r="KII10" s="501"/>
      <c r="KIJ10" s="501"/>
      <c r="KIK10" s="501"/>
      <c r="KIL10" s="501"/>
      <c r="KIM10" s="501"/>
      <c r="KIN10" s="501"/>
      <c r="KIO10" s="501"/>
      <c r="KIP10" s="501"/>
      <c r="KIQ10" s="501"/>
      <c r="KIR10" s="645"/>
      <c r="KIS10" s="646"/>
      <c r="KIT10" s="646"/>
      <c r="KIU10" s="646"/>
      <c r="KIV10" s="646"/>
      <c r="KIW10" s="646"/>
      <c r="KIX10" s="646"/>
      <c r="KIY10" s="646"/>
      <c r="KIZ10" s="646"/>
      <c r="KJA10" s="646"/>
      <c r="KJB10" s="501"/>
      <c r="KJC10" s="501"/>
      <c r="KJD10" s="501"/>
      <c r="KJE10" s="501"/>
      <c r="KJF10" s="501"/>
      <c r="KJG10" s="501"/>
      <c r="KJH10" s="501"/>
      <c r="KJI10" s="501"/>
      <c r="KJJ10" s="501"/>
      <c r="KJK10" s="501"/>
      <c r="KJL10" s="501"/>
      <c r="KJM10" s="645"/>
      <c r="KJN10" s="646"/>
      <c r="KJO10" s="646"/>
      <c r="KJP10" s="646"/>
      <c r="KJQ10" s="646"/>
      <c r="KJR10" s="646"/>
      <c r="KJS10" s="646"/>
      <c r="KJT10" s="646"/>
      <c r="KJU10" s="646"/>
      <c r="KJV10" s="646"/>
      <c r="KJW10" s="501"/>
      <c r="KJX10" s="501"/>
      <c r="KJY10" s="501"/>
      <c r="KJZ10" s="501"/>
      <c r="KKA10" s="501"/>
      <c r="KKB10" s="501"/>
      <c r="KKC10" s="501"/>
      <c r="KKD10" s="501"/>
      <c r="KKE10" s="501"/>
      <c r="KKF10" s="501"/>
      <c r="KKG10" s="501"/>
      <c r="KKH10" s="645"/>
      <c r="KKI10" s="646"/>
      <c r="KKJ10" s="646"/>
      <c r="KKK10" s="646"/>
      <c r="KKL10" s="646"/>
      <c r="KKM10" s="646"/>
      <c r="KKN10" s="646"/>
      <c r="KKO10" s="646"/>
      <c r="KKP10" s="646"/>
      <c r="KKQ10" s="646"/>
      <c r="KKR10" s="501"/>
      <c r="KKS10" s="501"/>
      <c r="KKT10" s="501"/>
      <c r="KKU10" s="501"/>
      <c r="KKV10" s="501"/>
      <c r="KKW10" s="501"/>
      <c r="KKX10" s="501"/>
      <c r="KKY10" s="501"/>
      <c r="KKZ10" s="501"/>
      <c r="KLA10" s="501"/>
      <c r="KLB10" s="501"/>
      <c r="KLC10" s="645"/>
      <c r="KLD10" s="646"/>
      <c r="KLE10" s="646"/>
      <c r="KLF10" s="646"/>
      <c r="KLG10" s="646"/>
      <c r="KLH10" s="646"/>
      <c r="KLI10" s="646"/>
      <c r="KLJ10" s="646"/>
      <c r="KLK10" s="646"/>
      <c r="KLL10" s="646"/>
      <c r="KLM10" s="501"/>
      <c r="KLN10" s="501"/>
      <c r="KLO10" s="501"/>
      <c r="KLP10" s="501"/>
      <c r="KLQ10" s="501"/>
      <c r="KLR10" s="501"/>
      <c r="KLS10" s="501"/>
      <c r="KLT10" s="501"/>
      <c r="KLU10" s="501"/>
      <c r="KLV10" s="501"/>
      <c r="KLW10" s="501"/>
      <c r="KLX10" s="645"/>
      <c r="KLY10" s="646"/>
      <c r="KLZ10" s="646"/>
      <c r="KMA10" s="646"/>
      <c r="KMB10" s="646"/>
      <c r="KMC10" s="646"/>
      <c r="KMD10" s="646"/>
      <c r="KME10" s="646"/>
      <c r="KMF10" s="646"/>
      <c r="KMG10" s="646"/>
      <c r="KMH10" s="501"/>
      <c r="KMI10" s="501"/>
      <c r="KMJ10" s="501"/>
      <c r="KMK10" s="501"/>
      <c r="KML10" s="501"/>
      <c r="KMM10" s="501"/>
      <c r="KMN10" s="501"/>
      <c r="KMO10" s="501"/>
      <c r="KMP10" s="501"/>
      <c r="KMQ10" s="501"/>
      <c r="KMR10" s="501"/>
      <c r="KMS10" s="645"/>
      <c r="KMT10" s="646"/>
      <c r="KMU10" s="646"/>
      <c r="KMV10" s="646"/>
      <c r="KMW10" s="646"/>
      <c r="KMX10" s="646"/>
      <c r="KMY10" s="646"/>
      <c r="KMZ10" s="646"/>
      <c r="KNA10" s="646"/>
      <c r="KNB10" s="646"/>
      <c r="KNC10" s="501"/>
      <c r="KND10" s="501"/>
      <c r="KNE10" s="501"/>
      <c r="KNF10" s="501"/>
      <c r="KNG10" s="501"/>
      <c r="KNH10" s="501"/>
      <c r="KNI10" s="501"/>
      <c r="KNJ10" s="501"/>
      <c r="KNK10" s="501"/>
      <c r="KNL10" s="501"/>
      <c r="KNM10" s="501"/>
      <c r="KNN10" s="645"/>
      <c r="KNO10" s="646"/>
      <c r="KNP10" s="646"/>
      <c r="KNQ10" s="646"/>
      <c r="KNR10" s="646"/>
      <c r="KNS10" s="646"/>
      <c r="KNT10" s="646"/>
      <c r="KNU10" s="646"/>
      <c r="KNV10" s="646"/>
      <c r="KNW10" s="646"/>
      <c r="KNX10" s="501"/>
      <c r="KNY10" s="501"/>
      <c r="KNZ10" s="501"/>
      <c r="KOA10" s="501"/>
      <c r="KOB10" s="501"/>
      <c r="KOC10" s="501"/>
      <c r="KOD10" s="501"/>
      <c r="KOE10" s="501"/>
      <c r="KOF10" s="501"/>
      <c r="KOG10" s="501"/>
      <c r="KOH10" s="501"/>
      <c r="KOI10" s="645"/>
      <c r="KOJ10" s="646"/>
      <c r="KOK10" s="646"/>
      <c r="KOL10" s="646"/>
      <c r="KOM10" s="646"/>
      <c r="KON10" s="646"/>
      <c r="KOO10" s="646"/>
      <c r="KOP10" s="646"/>
      <c r="KOQ10" s="646"/>
      <c r="KOR10" s="646"/>
      <c r="KOS10" s="501"/>
      <c r="KOT10" s="501"/>
      <c r="KOU10" s="501"/>
      <c r="KOV10" s="501"/>
      <c r="KOW10" s="501"/>
      <c r="KOX10" s="501"/>
      <c r="KOY10" s="501"/>
      <c r="KOZ10" s="501"/>
      <c r="KPA10" s="501"/>
      <c r="KPB10" s="501"/>
      <c r="KPC10" s="501"/>
      <c r="KPD10" s="645"/>
      <c r="KPE10" s="646"/>
      <c r="KPF10" s="646"/>
      <c r="KPG10" s="646"/>
      <c r="KPH10" s="646"/>
      <c r="KPI10" s="646"/>
      <c r="KPJ10" s="646"/>
      <c r="KPK10" s="646"/>
      <c r="KPL10" s="646"/>
      <c r="KPM10" s="646"/>
      <c r="KPN10" s="501"/>
      <c r="KPO10" s="501"/>
      <c r="KPP10" s="501"/>
      <c r="KPQ10" s="501"/>
      <c r="KPR10" s="501"/>
      <c r="KPS10" s="501"/>
      <c r="KPT10" s="501"/>
      <c r="KPU10" s="501"/>
      <c r="KPV10" s="501"/>
      <c r="KPW10" s="501"/>
      <c r="KPX10" s="501"/>
      <c r="KPY10" s="645"/>
      <c r="KPZ10" s="646"/>
      <c r="KQA10" s="646"/>
      <c r="KQB10" s="646"/>
      <c r="KQC10" s="646"/>
      <c r="KQD10" s="646"/>
      <c r="KQE10" s="646"/>
      <c r="KQF10" s="646"/>
      <c r="KQG10" s="646"/>
      <c r="KQH10" s="646"/>
      <c r="KQI10" s="501"/>
      <c r="KQJ10" s="501"/>
      <c r="KQK10" s="501"/>
      <c r="KQL10" s="501"/>
      <c r="KQM10" s="501"/>
      <c r="KQN10" s="501"/>
      <c r="KQO10" s="501"/>
      <c r="KQP10" s="501"/>
      <c r="KQQ10" s="501"/>
      <c r="KQR10" s="501"/>
      <c r="KQS10" s="501"/>
      <c r="KQT10" s="645"/>
      <c r="KQU10" s="646"/>
      <c r="KQV10" s="646"/>
      <c r="KQW10" s="646"/>
      <c r="KQX10" s="646"/>
      <c r="KQY10" s="646"/>
      <c r="KQZ10" s="646"/>
      <c r="KRA10" s="646"/>
      <c r="KRB10" s="646"/>
      <c r="KRC10" s="646"/>
      <c r="KRD10" s="501"/>
      <c r="KRE10" s="501"/>
      <c r="KRF10" s="501"/>
      <c r="KRG10" s="501"/>
      <c r="KRH10" s="501"/>
      <c r="KRI10" s="501"/>
      <c r="KRJ10" s="501"/>
      <c r="KRK10" s="501"/>
      <c r="KRL10" s="501"/>
      <c r="KRM10" s="501"/>
      <c r="KRN10" s="501"/>
      <c r="KRO10" s="645"/>
      <c r="KRP10" s="646"/>
      <c r="KRQ10" s="646"/>
      <c r="KRR10" s="646"/>
      <c r="KRS10" s="646"/>
      <c r="KRT10" s="646"/>
      <c r="KRU10" s="646"/>
      <c r="KRV10" s="646"/>
      <c r="KRW10" s="646"/>
      <c r="KRX10" s="646"/>
      <c r="KRY10" s="501"/>
      <c r="KRZ10" s="501"/>
      <c r="KSA10" s="501"/>
      <c r="KSB10" s="501"/>
      <c r="KSC10" s="501"/>
      <c r="KSD10" s="501"/>
      <c r="KSE10" s="501"/>
      <c r="KSF10" s="501"/>
      <c r="KSG10" s="501"/>
      <c r="KSH10" s="501"/>
      <c r="KSI10" s="501"/>
      <c r="KSJ10" s="645"/>
      <c r="KSK10" s="646"/>
      <c r="KSL10" s="646"/>
      <c r="KSM10" s="646"/>
      <c r="KSN10" s="646"/>
      <c r="KSO10" s="646"/>
      <c r="KSP10" s="646"/>
      <c r="KSQ10" s="646"/>
      <c r="KSR10" s="646"/>
      <c r="KSS10" s="646"/>
      <c r="KST10" s="501"/>
      <c r="KSU10" s="501"/>
      <c r="KSV10" s="501"/>
      <c r="KSW10" s="501"/>
      <c r="KSX10" s="501"/>
      <c r="KSY10" s="501"/>
      <c r="KSZ10" s="501"/>
      <c r="KTA10" s="501"/>
      <c r="KTB10" s="501"/>
      <c r="KTC10" s="501"/>
      <c r="KTD10" s="501"/>
      <c r="KTE10" s="645"/>
      <c r="KTF10" s="646"/>
      <c r="KTG10" s="646"/>
      <c r="KTH10" s="646"/>
      <c r="KTI10" s="646"/>
      <c r="KTJ10" s="646"/>
      <c r="KTK10" s="646"/>
      <c r="KTL10" s="646"/>
      <c r="KTM10" s="646"/>
      <c r="KTN10" s="646"/>
      <c r="KTO10" s="501"/>
      <c r="KTP10" s="501"/>
      <c r="KTQ10" s="501"/>
      <c r="KTR10" s="501"/>
      <c r="KTS10" s="501"/>
      <c r="KTT10" s="501"/>
      <c r="KTU10" s="501"/>
      <c r="KTV10" s="501"/>
      <c r="KTW10" s="501"/>
      <c r="KTX10" s="501"/>
      <c r="KTY10" s="501"/>
      <c r="KTZ10" s="645"/>
      <c r="KUA10" s="646"/>
      <c r="KUB10" s="646"/>
      <c r="KUC10" s="646"/>
      <c r="KUD10" s="646"/>
      <c r="KUE10" s="646"/>
      <c r="KUF10" s="646"/>
      <c r="KUG10" s="646"/>
      <c r="KUH10" s="646"/>
      <c r="KUI10" s="646"/>
      <c r="KUJ10" s="501"/>
      <c r="KUK10" s="501"/>
      <c r="KUL10" s="501"/>
      <c r="KUM10" s="501"/>
      <c r="KUN10" s="501"/>
      <c r="KUO10" s="501"/>
      <c r="KUP10" s="501"/>
      <c r="KUQ10" s="501"/>
      <c r="KUR10" s="501"/>
      <c r="KUS10" s="501"/>
      <c r="KUT10" s="501"/>
      <c r="KUU10" s="645"/>
      <c r="KUV10" s="646"/>
      <c r="KUW10" s="646"/>
      <c r="KUX10" s="646"/>
      <c r="KUY10" s="646"/>
      <c r="KUZ10" s="646"/>
      <c r="KVA10" s="646"/>
      <c r="KVB10" s="646"/>
      <c r="KVC10" s="646"/>
      <c r="KVD10" s="646"/>
      <c r="KVE10" s="501"/>
      <c r="KVF10" s="501"/>
      <c r="KVG10" s="501"/>
      <c r="KVH10" s="501"/>
      <c r="KVI10" s="501"/>
      <c r="KVJ10" s="501"/>
      <c r="KVK10" s="501"/>
      <c r="KVL10" s="501"/>
      <c r="KVM10" s="501"/>
      <c r="KVN10" s="501"/>
      <c r="KVO10" s="501"/>
      <c r="KVP10" s="645"/>
      <c r="KVQ10" s="646"/>
      <c r="KVR10" s="646"/>
      <c r="KVS10" s="646"/>
      <c r="KVT10" s="646"/>
      <c r="KVU10" s="646"/>
      <c r="KVV10" s="646"/>
      <c r="KVW10" s="646"/>
      <c r="KVX10" s="646"/>
      <c r="KVY10" s="646"/>
      <c r="KVZ10" s="501"/>
      <c r="KWA10" s="501"/>
      <c r="KWB10" s="501"/>
      <c r="KWC10" s="501"/>
      <c r="KWD10" s="501"/>
      <c r="KWE10" s="501"/>
      <c r="KWF10" s="501"/>
      <c r="KWG10" s="501"/>
      <c r="KWH10" s="501"/>
      <c r="KWI10" s="501"/>
      <c r="KWJ10" s="501"/>
      <c r="KWK10" s="645"/>
      <c r="KWL10" s="646"/>
      <c r="KWM10" s="646"/>
      <c r="KWN10" s="646"/>
      <c r="KWO10" s="646"/>
      <c r="KWP10" s="646"/>
      <c r="KWQ10" s="646"/>
      <c r="KWR10" s="646"/>
      <c r="KWS10" s="646"/>
      <c r="KWT10" s="646"/>
      <c r="KWU10" s="501"/>
      <c r="KWV10" s="501"/>
      <c r="KWW10" s="501"/>
      <c r="KWX10" s="501"/>
      <c r="KWY10" s="501"/>
      <c r="KWZ10" s="501"/>
      <c r="KXA10" s="501"/>
      <c r="KXB10" s="501"/>
      <c r="KXC10" s="501"/>
      <c r="KXD10" s="501"/>
      <c r="KXE10" s="501"/>
      <c r="KXF10" s="645"/>
      <c r="KXG10" s="646"/>
      <c r="KXH10" s="646"/>
      <c r="KXI10" s="646"/>
      <c r="KXJ10" s="646"/>
      <c r="KXK10" s="646"/>
      <c r="KXL10" s="646"/>
      <c r="KXM10" s="646"/>
      <c r="KXN10" s="646"/>
      <c r="KXO10" s="646"/>
      <c r="KXP10" s="501"/>
      <c r="KXQ10" s="501"/>
      <c r="KXR10" s="501"/>
      <c r="KXS10" s="501"/>
      <c r="KXT10" s="501"/>
      <c r="KXU10" s="501"/>
      <c r="KXV10" s="501"/>
      <c r="KXW10" s="501"/>
      <c r="KXX10" s="501"/>
      <c r="KXY10" s="501"/>
      <c r="KXZ10" s="501"/>
      <c r="KYA10" s="645"/>
      <c r="KYB10" s="646"/>
      <c r="KYC10" s="646"/>
      <c r="KYD10" s="646"/>
      <c r="KYE10" s="646"/>
      <c r="KYF10" s="646"/>
      <c r="KYG10" s="646"/>
      <c r="KYH10" s="646"/>
      <c r="KYI10" s="646"/>
      <c r="KYJ10" s="646"/>
      <c r="KYK10" s="501"/>
      <c r="KYL10" s="501"/>
      <c r="KYM10" s="501"/>
      <c r="KYN10" s="501"/>
      <c r="KYO10" s="501"/>
      <c r="KYP10" s="501"/>
      <c r="KYQ10" s="501"/>
      <c r="KYR10" s="501"/>
      <c r="KYS10" s="501"/>
      <c r="KYT10" s="501"/>
      <c r="KYU10" s="501"/>
      <c r="KYV10" s="645"/>
      <c r="KYW10" s="646"/>
      <c r="KYX10" s="646"/>
      <c r="KYY10" s="646"/>
      <c r="KYZ10" s="646"/>
      <c r="KZA10" s="646"/>
      <c r="KZB10" s="646"/>
      <c r="KZC10" s="646"/>
      <c r="KZD10" s="646"/>
      <c r="KZE10" s="646"/>
      <c r="KZF10" s="501"/>
      <c r="KZG10" s="501"/>
      <c r="KZH10" s="501"/>
      <c r="KZI10" s="501"/>
      <c r="KZJ10" s="501"/>
      <c r="KZK10" s="501"/>
      <c r="KZL10" s="501"/>
      <c r="KZM10" s="501"/>
      <c r="KZN10" s="501"/>
      <c r="KZO10" s="501"/>
      <c r="KZP10" s="501"/>
      <c r="KZQ10" s="645"/>
      <c r="KZR10" s="646"/>
      <c r="KZS10" s="646"/>
      <c r="KZT10" s="646"/>
      <c r="KZU10" s="646"/>
      <c r="KZV10" s="646"/>
      <c r="KZW10" s="646"/>
      <c r="KZX10" s="646"/>
      <c r="KZY10" s="646"/>
      <c r="KZZ10" s="646"/>
      <c r="LAA10" s="501"/>
      <c r="LAB10" s="501"/>
      <c r="LAC10" s="501"/>
      <c r="LAD10" s="501"/>
      <c r="LAE10" s="501"/>
      <c r="LAF10" s="501"/>
      <c r="LAG10" s="501"/>
      <c r="LAH10" s="501"/>
      <c r="LAI10" s="501"/>
      <c r="LAJ10" s="501"/>
      <c r="LAK10" s="501"/>
      <c r="LAL10" s="645"/>
      <c r="LAM10" s="646"/>
      <c r="LAN10" s="646"/>
      <c r="LAO10" s="646"/>
      <c r="LAP10" s="646"/>
      <c r="LAQ10" s="646"/>
      <c r="LAR10" s="646"/>
      <c r="LAS10" s="646"/>
      <c r="LAT10" s="646"/>
      <c r="LAU10" s="646"/>
      <c r="LAV10" s="501"/>
      <c r="LAW10" s="501"/>
      <c r="LAX10" s="501"/>
      <c r="LAY10" s="501"/>
      <c r="LAZ10" s="501"/>
      <c r="LBA10" s="501"/>
      <c r="LBB10" s="501"/>
      <c r="LBC10" s="501"/>
      <c r="LBD10" s="501"/>
      <c r="LBE10" s="501"/>
      <c r="LBF10" s="501"/>
      <c r="LBG10" s="645"/>
      <c r="LBH10" s="646"/>
      <c r="LBI10" s="646"/>
      <c r="LBJ10" s="646"/>
      <c r="LBK10" s="646"/>
      <c r="LBL10" s="646"/>
      <c r="LBM10" s="646"/>
      <c r="LBN10" s="646"/>
      <c r="LBO10" s="646"/>
      <c r="LBP10" s="646"/>
      <c r="LBQ10" s="501"/>
      <c r="LBR10" s="501"/>
      <c r="LBS10" s="501"/>
      <c r="LBT10" s="501"/>
      <c r="LBU10" s="501"/>
      <c r="LBV10" s="501"/>
      <c r="LBW10" s="501"/>
      <c r="LBX10" s="501"/>
      <c r="LBY10" s="501"/>
      <c r="LBZ10" s="501"/>
      <c r="LCA10" s="501"/>
      <c r="LCB10" s="645"/>
      <c r="LCC10" s="646"/>
      <c r="LCD10" s="646"/>
      <c r="LCE10" s="646"/>
      <c r="LCF10" s="646"/>
      <c r="LCG10" s="646"/>
      <c r="LCH10" s="646"/>
      <c r="LCI10" s="646"/>
      <c r="LCJ10" s="646"/>
      <c r="LCK10" s="646"/>
      <c r="LCL10" s="501"/>
      <c r="LCM10" s="501"/>
      <c r="LCN10" s="501"/>
      <c r="LCO10" s="501"/>
      <c r="LCP10" s="501"/>
      <c r="LCQ10" s="501"/>
      <c r="LCR10" s="501"/>
      <c r="LCS10" s="501"/>
      <c r="LCT10" s="501"/>
      <c r="LCU10" s="501"/>
      <c r="LCV10" s="501"/>
      <c r="LCW10" s="645"/>
      <c r="LCX10" s="646"/>
      <c r="LCY10" s="646"/>
      <c r="LCZ10" s="646"/>
      <c r="LDA10" s="646"/>
      <c r="LDB10" s="646"/>
      <c r="LDC10" s="646"/>
      <c r="LDD10" s="646"/>
      <c r="LDE10" s="646"/>
      <c r="LDF10" s="646"/>
      <c r="LDG10" s="501"/>
      <c r="LDH10" s="501"/>
      <c r="LDI10" s="501"/>
      <c r="LDJ10" s="501"/>
      <c r="LDK10" s="501"/>
      <c r="LDL10" s="501"/>
      <c r="LDM10" s="501"/>
      <c r="LDN10" s="501"/>
      <c r="LDO10" s="501"/>
      <c r="LDP10" s="501"/>
      <c r="LDQ10" s="501"/>
      <c r="LDR10" s="645"/>
      <c r="LDS10" s="646"/>
      <c r="LDT10" s="646"/>
      <c r="LDU10" s="646"/>
      <c r="LDV10" s="646"/>
      <c r="LDW10" s="646"/>
      <c r="LDX10" s="646"/>
      <c r="LDY10" s="646"/>
      <c r="LDZ10" s="646"/>
      <c r="LEA10" s="646"/>
      <c r="LEB10" s="501"/>
      <c r="LEC10" s="501"/>
      <c r="LED10" s="501"/>
      <c r="LEE10" s="501"/>
      <c r="LEF10" s="501"/>
      <c r="LEG10" s="501"/>
      <c r="LEH10" s="501"/>
      <c r="LEI10" s="501"/>
      <c r="LEJ10" s="501"/>
      <c r="LEK10" s="501"/>
      <c r="LEL10" s="501"/>
      <c r="LEM10" s="645"/>
      <c r="LEN10" s="646"/>
      <c r="LEO10" s="646"/>
      <c r="LEP10" s="646"/>
      <c r="LEQ10" s="646"/>
      <c r="LER10" s="646"/>
      <c r="LES10" s="646"/>
      <c r="LET10" s="646"/>
      <c r="LEU10" s="646"/>
      <c r="LEV10" s="646"/>
      <c r="LEW10" s="501"/>
      <c r="LEX10" s="501"/>
      <c r="LEY10" s="501"/>
      <c r="LEZ10" s="501"/>
      <c r="LFA10" s="501"/>
      <c r="LFB10" s="501"/>
      <c r="LFC10" s="501"/>
      <c r="LFD10" s="501"/>
      <c r="LFE10" s="501"/>
      <c r="LFF10" s="501"/>
      <c r="LFG10" s="501"/>
      <c r="LFH10" s="645"/>
      <c r="LFI10" s="646"/>
      <c r="LFJ10" s="646"/>
      <c r="LFK10" s="646"/>
      <c r="LFL10" s="646"/>
      <c r="LFM10" s="646"/>
      <c r="LFN10" s="646"/>
      <c r="LFO10" s="646"/>
      <c r="LFP10" s="646"/>
      <c r="LFQ10" s="646"/>
      <c r="LFR10" s="501"/>
      <c r="LFS10" s="501"/>
      <c r="LFT10" s="501"/>
      <c r="LFU10" s="501"/>
      <c r="LFV10" s="501"/>
      <c r="LFW10" s="501"/>
      <c r="LFX10" s="501"/>
      <c r="LFY10" s="501"/>
      <c r="LFZ10" s="501"/>
      <c r="LGA10" s="501"/>
      <c r="LGB10" s="501"/>
      <c r="LGC10" s="645"/>
      <c r="LGD10" s="646"/>
      <c r="LGE10" s="646"/>
      <c r="LGF10" s="646"/>
      <c r="LGG10" s="646"/>
      <c r="LGH10" s="646"/>
      <c r="LGI10" s="646"/>
      <c r="LGJ10" s="646"/>
      <c r="LGK10" s="646"/>
      <c r="LGL10" s="646"/>
      <c r="LGM10" s="501"/>
      <c r="LGN10" s="501"/>
      <c r="LGO10" s="501"/>
      <c r="LGP10" s="501"/>
      <c r="LGQ10" s="501"/>
      <c r="LGR10" s="501"/>
      <c r="LGS10" s="501"/>
      <c r="LGT10" s="501"/>
      <c r="LGU10" s="501"/>
      <c r="LGV10" s="501"/>
      <c r="LGW10" s="501"/>
      <c r="LGX10" s="645"/>
      <c r="LGY10" s="646"/>
      <c r="LGZ10" s="646"/>
      <c r="LHA10" s="646"/>
      <c r="LHB10" s="646"/>
      <c r="LHC10" s="646"/>
      <c r="LHD10" s="646"/>
      <c r="LHE10" s="646"/>
      <c r="LHF10" s="646"/>
      <c r="LHG10" s="646"/>
      <c r="LHH10" s="501"/>
      <c r="LHI10" s="501"/>
      <c r="LHJ10" s="501"/>
      <c r="LHK10" s="501"/>
      <c r="LHL10" s="501"/>
      <c r="LHM10" s="501"/>
      <c r="LHN10" s="501"/>
      <c r="LHO10" s="501"/>
      <c r="LHP10" s="501"/>
      <c r="LHQ10" s="501"/>
      <c r="LHR10" s="501"/>
      <c r="LHS10" s="645"/>
      <c r="LHT10" s="646"/>
      <c r="LHU10" s="646"/>
      <c r="LHV10" s="646"/>
      <c r="LHW10" s="646"/>
      <c r="LHX10" s="646"/>
      <c r="LHY10" s="646"/>
      <c r="LHZ10" s="646"/>
      <c r="LIA10" s="646"/>
      <c r="LIB10" s="646"/>
      <c r="LIC10" s="501"/>
      <c r="LID10" s="501"/>
      <c r="LIE10" s="501"/>
      <c r="LIF10" s="501"/>
      <c r="LIG10" s="501"/>
      <c r="LIH10" s="501"/>
      <c r="LII10" s="501"/>
      <c r="LIJ10" s="501"/>
      <c r="LIK10" s="501"/>
      <c r="LIL10" s="501"/>
      <c r="LIM10" s="501"/>
      <c r="LIN10" s="645"/>
      <c r="LIO10" s="646"/>
      <c r="LIP10" s="646"/>
      <c r="LIQ10" s="646"/>
      <c r="LIR10" s="646"/>
      <c r="LIS10" s="646"/>
      <c r="LIT10" s="646"/>
      <c r="LIU10" s="646"/>
      <c r="LIV10" s="646"/>
      <c r="LIW10" s="646"/>
      <c r="LIX10" s="501"/>
      <c r="LIY10" s="501"/>
      <c r="LIZ10" s="501"/>
      <c r="LJA10" s="501"/>
      <c r="LJB10" s="501"/>
      <c r="LJC10" s="501"/>
      <c r="LJD10" s="501"/>
      <c r="LJE10" s="501"/>
      <c r="LJF10" s="501"/>
      <c r="LJG10" s="501"/>
      <c r="LJH10" s="501"/>
      <c r="LJI10" s="645"/>
      <c r="LJJ10" s="646"/>
      <c r="LJK10" s="646"/>
      <c r="LJL10" s="646"/>
      <c r="LJM10" s="646"/>
      <c r="LJN10" s="646"/>
      <c r="LJO10" s="646"/>
      <c r="LJP10" s="646"/>
      <c r="LJQ10" s="646"/>
      <c r="LJR10" s="646"/>
      <c r="LJS10" s="501"/>
      <c r="LJT10" s="501"/>
      <c r="LJU10" s="501"/>
      <c r="LJV10" s="501"/>
      <c r="LJW10" s="501"/>
      <c r="LJX10" s="501"/>
      <c r="LJY10" s="501"/>
      <c r="LJZ10" s="501"/>
      <c r="LKA10" s="501"/>
      <c r="LKB10" s="501"/>
      <c r="LKC10" s="501"/>
      <c r="LKD10" s="645"/>
      <c r="LKE10" s="646"/>
      <c r="LKF10" s="646"/>
      <c r="LKG10" s="646"/>
      <c r="LKH10" s="646"/>
      <c r="LKI10" s="646"/>
      <c r="LKJ10" s="646"/>
      <c r="LKK10" s="646"/>
      <c r="LKL10" s="646"/>
      <c r="LKM10" s="646"/>
      <c r="LKN10" s="501"/>
      <c r="LKO10" s="501"/>
      <c r="LKP10" s="501"/>
      <c r="LKQ10" s="501"/>
      <c r="LKR10" s="501"/>
      <c r="LKS10" s="501"/>
      <c r="LKT10" s="501"/>
      <c r="LKU10" s="501"/>
      <c r="LKV10" s="501"/>
      <c r="LKW10" s="501"/>
      <c r="LKX10" s="501"/>
      <c r="LKY10" s="645"/>
      <c r="LKZ10" s="646"/>
      <c r="LLA10" s="646"/>
      <c r="LLB10" s="646"/>
      <c r="LLC10" s="646"/>
      <c r="LLD10" s="646"/>
      <c r="LLE10" s="646"/>
      <c r="LLF10" s="646"/>
      <c r="LLG10" s="646"/>
      <c r="LLH10" s="646"/>
      <c r="LLI10" s="501"/>
      <c r="LLJ10" s="501"/>
      <c r="LLK10" s="501"/>
      <c r="LLL10" s="501"/>
      <c r="LLM10" s="501"/>
      <c r="LLN10" s="501"/>
      <c r="LLO10" s="501"/>
      <c r="LLP10" s="501"/>
      <c r="LLQ10" s="501"/>
      <c r="LLR10" s="501"/>
      <c r="LLS10" s="501"/>
      <c r="LLT10" s="645"/>
      <c r="LLU10" s="646"/>
      <c r="LLV10" s="646"/>
      <c r="LLW10" s="646"/>
      <c r="LLX10" s="646"/>
      <c r="LLY10" s="646"/>
      <c r="LLZ10" s="646"/>
      <c r="LMA10" s="646"/>
      <c r="LMB10" s="646"/>
      <c r="LMC10" s="646"/>
      <c r="LMD10" s="501"/>
      <c r="LME10" s="501"/>
      <c r="LMF10" s="501"/>
      <c r="LMG10" s="501"/>
      <c r="LMH10" s="501"/>
      <c r="LMI10" s="501"/>
      <c r="LMJ10" s="501"/>
      <c r="LMK10" s="501"/>
      <c r="LML10" s="501"/>
      <c r="LMM10" s="501"/>
      <c r="LMN10" s="501"/>
      <c r="LMO10" s="645"/>
      <c r="LMP10" s="646"/>
      <c r="LMQ10" s="646"/>
      <c r="LMR10" s="646"/>
      <c r="LMS10" s="646"/>
      <c r="LMT10" s="646"/>
      <c r="LMU10" s="646"/>
      <c r="LMV10" s="646"/>
      <c r="LMW10" s="646"/>
      <c r="LMX10" s="646"/>
      <c r="LMY10" s="501"/>
      <c r="LMZ10" s="501"/>
      <c r="LNA10" s="501"/>
      <c r="LNB10" s="501"/>
      <c r="LNC10" s="501"/>
      <c r="LND10" s="501"/>
      <c r="LNE10" s="501"/>
      <c r="LNF10" s="501"/>
      <c r="LNG10" s="501"/>
      <c r="LNH10" s="501"/>
      <c r="LNI10" s="501"/>
      <c r="LNJ10" s="645"/>
      <c r="LNK10" s="646"/>
      <c r="LNL10" s="646"/>
      <c r="LNM10" s="646"/>
      <c r="LNN10" s="646"/>
      <c r="LNO10" s="646"/>
      <c r="LNP10" s="646"/>
      <c r="LNQ10" s="646"/>
      <c r="LNR10" s="646"/>
      <c r="LNS10" s="646"/>
      <c r="LNT10" s="501"/>
      <c r="LNU10" s="501"/>
      <c r="LNV10" s="501"/>
      <c r="LNW10" s="501"/>
      <c r="LNX10" s="501"/>
      <c r="LNY10" s="501"/>
      <c r="LNZ10" s="501"/>
      <c r="LOA10" s="501"/>
      <c r="LOB10" s="501"/>
      <c r="LOC10" s="501"/>
      <c r="LOD10" s="501"/>
      <c r="LOE10" s="645"/>
      <c r="LOF10" s="646"/>
      <c r="LOG10" s="646"/>
      <c r="LOH10" s="646"/>
      <c r="LOI10" s="646"/>
      <c r="LOJ10" s="646"/>
      <c r="LOK10" s="646"/>
      <c r="LOL10" s="646"/>
      <c r="LOM10" s="646"/>
      <c r="LON10" s="646"/>
      <c r="LOO10" s="501"/>
      <c r="LOP10" s="501"/>
      <c r="LOQ10" s="501"/>
      <c r="LOR10" s="501"/>
      <c r="LOS10" s="501"/>
      <c r="LOT10" s="501"/>
      <c r="LOU10" s="501"/>
      <c r="LOV10" s="501"/>
      <c r="LOW10" s="501"/>
      <c r="LOX10" s="501"/>
      <c r="LOY10" s="501"/>
      <c r="LOZ10" s="645"/>
      <c r="LPA10" s="646"/>
      <c r="LPB10" s="646"/>
      <c r="LPC10" s="646"/>
      <c r="LPD10" s="646"/>
      <c r="LPE10" s="646"/>
      <c r="LPF10" s="646"/>
      <c r="LPG10" s="646"/>
      <c r="LPH10" s="646"/>
      <c r="LPI10" s="646"/>
      <c r="LPJ10" s="501"/>
      <c r="LPK10" s="501"/>
      <c r="LPL10" s="501"/>
      <c r="LPM10" s="501"/>
      <c r="LPN10" s="501"/>
      <c r="LPO10" s="501"/>
      <c r="LPP10" s="501"/>
      <c r="LPQ10" s="501"/>
      <c r="LPR10" s="501"/>
      <c r="LPS10" s="501"/>
      <c r="LPT10" s="501"/>
      <c r="LPU10" s="645"/>
      <c r="LPV10" s="646"/>
      <c r="LPW10" s="646"/>
      <c r="LPX10" s="646"/>
      <c r="LPY10" s="646"/>
      <c r="LPZ10" s="646"/>
      <c r="LQA10" s="646"/>
      <c r="LQB10" s="646"/>
      <c r="LQC10" s="646"/>
      <c r="LQD10" s="646"/>
      <c r="LQE10" s="501"/>
      <c r="LQF10" s="501"/>
      <c r="LQG10" s="501"/>
      <c r="LQH10" s="501"/>
      <c r="LQI10" s="501"/>
      <c r="LQJ10" s="501"/>
      <c r="LQK10" s="501"/>
      <c r="LQL10" s="501"/>
      <c r="LQM10" s="501"/>
      <c r="LQN10" s="501"/>
      <c r="LQO10" s="501"/>
      <c r="LQP10" s="645"/>
      <c r="LQQ10" s="646"/>
      <c r="LQR10" s="646"/>
      <c r="LQS10" s="646"/>
      <c r="LQT10" s="646"/>
      <c r="LQU10" s="646"/>
      <c r="LQV10" s="646"/>
      <c r="LQW10" s="646"/>
      <c r="LQX10" s="646"/>
      <c r="LQY10" s="646"/>
      <c r="LQZ10" s="501"/>
      <c r="LRA10" s="501"/>
      <c r="LRB10" s="501"/>
      <c r="LRC10" s="501"/>
      <c r="LRD10" s="501"/>
      <c r="LRE10" s="501"/>
      <c r="LRF10" s="501"/>
      <c r="LRG10" s="501"/>
      <c r="LRH10" s="501"/>
      <c r="LRI10" s="501"/>
      <c r="LRJ10" s="501"/>
      <c r="LRK10" s="645"/>
      <c r="LRL10" s="646"/>
      <c r="LRM10" s="646"/>
      <c r="LRN10" s="646"/>
      <c r="LRO10" s="646"/>
      <c r="LRP10" s="646"/>
      <c r="LRQ10" s="646"/>
      <c r="LRR10" s="646"/>
      <c r="LRS10" s="646"/>
      <c r="LRT10" s="646"/>
      <c r="LRU10" s="501"/>
      <c r="LRV10" s="501"/>
      <c r="LRW10" s="501"/>
      <c r="LRX10" s="501"/>
      <c r="LRY10" s="501"/>
      <c r="LRZ10" s="501"/>
      <c r="LSA10" s="501"/>
      <c r="LSB10" s="501"/>
      <c r="LSC10" s="501"/>
      <c r="LSD10" s="501"/>
      <c r="LSE10" s="501"/>
      <c r="LSF10" s="645"/>
      <c r="LSG10" s="646"/>
      <c r="LSH10" s="646"/>
      <c r="LSI10" s="646"/>
      <c r="LSJ10" s="646"/>
      <c r="LSK10" s="646"/>
      <c r="LSL10" s="646"/>
      <c r="LSM10" s="646"/>
      <c r="LSN10" s="646"/>
      <c r="LSO10" s="646"/>
      <c r="LSP10" s="501"/>
      <c r="LSQ10" s="501"/>
      <c r="LSR10" s="501"/>
      <c r="LSS10" s="501"/>
      <c r="LST10" s="501"/>
      <c r="LSU10" s="501"/>
      <c r="LSV10" s="501"/>
      <c r="LSW10" s="501"/>
      <c r="LSX10" s="501"/>
      <c r="LSY10" s="501"/>
      <c r="LSZ10" s="501"/>
      <c r="LTA10" s="645"/>
      <c r="LTB10" s="646"/>
      <c r="LTC10" s="646"/>
      <c r="LTD10" s="646"/>
      <c r="LTE10" s="646"/>
      <c r="LTF10" s="646"/>
      <c r="LTG10" s="646"/>
      <c r="LTH10" s="646"/>
      <c r="LTI10" s="646"/>
      <c r="LTJ10" s="646"/>
      <c r="LTK10" s="501"/>
      <c r="LTL10" s="501"/>
      <c r="LTM10" s="501"/>
      <c r="LTN10" s="501"/>
      <c r="LTO10" s="501"/>
      <c r="LTP10" s="501"/>
      <c r="LTQ10" s="501"/>
      <c r="LTR10" s="501"/>
      <c r="LTS10" s="501"/>
      <c r="LTT10" s="501"/>
      <c r="LTU10" s="501"/>
      <c r="LTV10" s="645"/>
      <c r="LTW10" s="646"/>
      <c r="LTX10" s="646"/>
      <c r="LTY10" s="646"/>
      <c r="LTZ10" s="646"/>
      <c r="LUA10" s="646"/>
      <c r="LUB10" s="646"/>
      <c r="LUC10" s="646"/>
      <c r="LUD10" s="646"/>
      <c r="LUE10" s="646"/>
      <c r="LUF10" s="501"/>
      <c r="LUG10" s="501"/>
      <c r="LUH10" s="501"/>
      <c r="LUI10" s="501"/>
      <c r="LUJ10" s="501"/>
      <c r="LUK10" s="501"/>
      <c r="LUL10" s="501"/>
      <c r="LUM10" s="501"/>
      <c r="LUN10" s="501"/>
      <c r="LUO10" s="501"/>
      <c r="LUP10" s="501"/>
      <c r="LUQ10" s="645"/>
      <c r="LUR10" s="646"/>
      <c r="LUS10" s="646"/>
      <c r="LUT10" s="646"/>
      <c r="LUU10" s="646"/>
      <c r="LUV10" s="646"/>
      <c r="LUW10" s="646"/>
      <c r="LUX10" s="646"/>
      <c r="LUY10" s="646"/>
      <c r="LUZ10" s="646"/>
      <c r="LVA10" s="501"/>
      <c r="LVB10" s="501"/>
      <c r="LVC10" s="501"/>
      <c r="LVD10" s="501"/>
      <c r="LVE10" s="501"/>
      <c r="LVF10" s="501"/>
      <c r="LVG10" s="501"/>
      <c r="LVH10" s="501"/>
      <c r="LVI10" s="501"/>
      <c r="LVJ10" s="501"/>
      <c r="LVK10" s="501"/>
      <c r="LVL10" s="645"/>
      <c r="LVM10" s="646"/>
      <c r="LVN10" s="646"/>
      <c r="LVO10" s="646"/>
      <c r="LVP10" s="646"/>
      <c r="LVQ10" s="646"/>
      <c r="LVR10" s="646"/>
      <c r="LVS10" s="646"/>
      <c r="LVT10" s="646"/>
      <c r="LVU10" s="646"/>
      <c r="LVV10" s="501"/>
      <c r="LVW10" s="501"/>
      <c r="LVX10" s="501"/>
      <c r="LVY10" s="501"/>
      <c r="LVZ10" s="501"/>
      <c r="LWA10" s="501"/>
      <c r="LWB10" s="501"/>
      <c r="LWC10" s="501"/>
      <c r="LWD10" s="501"/>
      <c r="LWE10" s="501"/>
      <c r="LWF10" s="501"/>
      <c r="LWG10" s="645"/>
      <c r="LWH10" s="646"/>
      <c r="LWI10" s="646"/>
      <c r="LWJ10" s="646"/>
      <c r="LWK10" s="646"/>
      <c r="LWL10" s="646"/>
      <c r="LWM10" s="646"/>
      <c r="LWN10" s="646"/>
      <c r="LWO10" s="646"/>
      <c r="LWP10" s="646"/>
      <c r="LWQ10" s="501"/>
      <c r="LWR10" s="501"/>
      <c r="LWS10" s="501"/>
      <c r="LWT10" s="501"/>
      <c r="LWU10" s="501"/>
      <c r="LWV10" s="501"/>
      <c r="LWW10" s="501"/>
      <c r="LWX10" s="501"/>
      <c r="LWY10" s="501"/>
      <c r="LWZ10" s="501"/>
      <c r="LXA10" s="501"/>
      <c r="LXB10" s="645"/>
      <c r="LXC10" s="646"/>
      <c r="LXD10" s="646"/>
      <c r="LXE10" s="646"/>
      <c r="LXF10" s="646"/>
      <c r="LXG10" s="646"/>
      <c r="LXH10" s="646"/>
      <c r="LXI10" s="646"/>
      <c r="LXJ10" s="646"/>
      <c r="LXK10" s="646"/>
      <c r="LXL10" s="501"/>
      <c r="LXM10" s="501"/>
      <c r="LXN10" s="501"/>
      <c r="LXO10" s="501"/>
      <c r="LXP10" s="501"/>
      <c r="LXQ10" s="501"/>
      <c r="LXR10" s="501"/>
      <c r="LXS10" s="501"/>
      <c r="LXT10" s="501"/>
      <c r="LXU10" s="501"/>
      <c r="LXV10" s="501"/>
      <c r="LXW10" s="645"/>
      <c r="LXX10" s="646"/>
      <c r="LXY10" s="646"/>
      <c r="LXZ10" s="646"/>
      <c r="LYA10" s="646"/>
      <c r="LYB10" s="646"/>
      <c r="LYC10" s="646"/>
      <c r="LYD10" s="646"/>
      <c r="LYE10" s="646"/>
      <c r="LYF10" s="646"/>
      <c r="LYG10" s="501"/>
      <c r="LYH10" s="501"/>
      <c r="LYI10" s="501"/>
      <c r="LYJ10" s="501"/>
      <c r="LYK10" s="501"/>
      <c r="LYL10" s="501"/>
      <c r="LYM10" s="501"/>
      <c r="LYN10" s="501"/>
      <c r="LYO10" s="501"/>
      <c r="LYP10" s="501"/>
      <c r="LYQ10" s="501"/>
      <c r="LYR10" s="645"/>
      <c r="LYS10" s="646"/>
      <c r="LYT10" s="646"/>
      <c r="LYU10" s="646"/>
      <c r="LYV10" s="646"/>
      <c r="LYW10" s="646"/>
      <c r="LYX10" s="646"/>
      <c r="LYY10" s="646"/>
      <c r="LYZ10" s="646"/>
      <c r="LZA10" s="646"/>
      <c r="LZB10" s="501"/>
      <c r="LZC10" s="501"/>
      <c r="LZD10" s="501"/>
      <c r="LZE10" s="501"/>
      <c r="LZF10" s="501"/>
      <c r="LZG10" s="501"/>
      <c r="LZH10" s="501"/>
      <c r="LZI10" s="501"/>
      <c r="LZJ10" s="501"/>
      <c r="LZK10" s="501"/>
      <c r="LZL10" s="501"/>
      <c r="LZM10" s="645"/>
      <c r="LZN10" s="646"/>
      <c r="LZO10" s="646"/>
      <c r="LZP10" s="646"/>
      <c r="LZQ10" s="646"/>
      <c r="LZR10" s="646"/>
      <c r="LZS10" s="646"/>
      <c r="LZT10" s="646"/>
      <c r="LZU10" s="646"/>
      <c r="LZV10" s="646"/>
      <c r="LZW10" s="501"/>
      <c r="LZX10" s="501"/>
      <c r="LZY10" s="501"/>
      <c r="LZZ10" s="501"/>
      <c r="MAA10" s="501"/>
      <c r="MAB10" s="501"/>
      <c r="MAC10" s="501"/>
      <c r="MAD10" s="501"/>
      <c r="MAE10" s="501"/>
      <c r="MAF10" s="501"/>
      <c r="MAG10" s="501"/>
      <c r="MAH10" s="645"/>
      <c r="MAI10" s="646"/>
      <c r="MAJ10" s="646"/>
      <c r="MAK10" s="646"/>
      <c r="MAL10" s="646"/>
      <c r="MAM10" s="646"/>
      <c r="MAN10" s="646"/>
      <c r="MAO10" s="646"/>
      <c r="MAP10" s="646"/>
      <c r="MAQ10" s="646"/>
      <c r="MAR10" s="501"/>
      <c r="MAS10" s="501"/>
      <c r="MAT10" s="501"/>
      <c r="MAU10" s="501"/>
      <c r="MAV10" s="501"/>
      <c r="MAW10" s="501"/>
      <c r="MAX10" s="501"/>
      <c r="MAY10" s="501"/>
      <c r="MAZ10" s="501"/>
      <c r="MBA10" s="501"/>
      <c r="MBB10" s="501"/>
      <c r="MBC10" s="645"/>
      <c r="MBD10" s="646"/>
      <c r="MBE10" s="646"/>
      <c r="MBF10" s="646"/>
      <c r="MBG10" s="646"/>
      <c r="MBH10" s="646"/>
      <c r="MBI10" s="646"/>
      <c r="MBJ10" s="646"/>
      <c r="MBK10" s="646"/>
      <c r="MBL10" s="646"/>
      <c r="MBM10" s="501"/>
      <c r="MBN10" s="501"/>
      <c r="MBO10" s="501"/>
      <c r="MBP10" s="501"/>
      <c r="MBQ10" s="501"/>
      <c r="MBR10" s="501"/>
      <c r="MBS10" s="501"/>
      <c r="MBT10" s="501"/>
      <c r="MBU10" s="501"/>
      <c r="MBV10" s="501"/>
      <c r="MBW10" s="501"/>
      <c r="MBX10" s="645"/>
      <c r="MBY10" s="646"/>
      <c r="MBZ10" s="646"/>
      <c r="MCA10" s="646"/>
      <c r="MCB10" s="646"/>
      <c r="MCC10" s="646"/>
      <c r="MCD10" s="646"/>
      <c r="MCE10" s="646"/>
      <c r="MCF10" s="646"/>
      <c r="MCG10" s="646"/>
      <c r="MCH10" s="501"/>
      <c r="MCI10" s="501"/>
      <c r="MCJ10" s="501"/>
      <c r="MCK10" s="501"/>
      <c r="MCL10" s="501"/>
      <c r="MCM10" s="501"/>
      <c r="MCN10" s="501"/>
      <c r="MCO10" s="501"/>
      <c r="MCP10" s="501"/>
      <c r="MCQ10" s="501"/>
      <c r="MCR10" s="501"/>
      <c r="MCS10" s="645"/>
      <c r="MCT10" s="646"/>
      <c r="MCU10" s="646"/>
      <c r="MCV10" s="646"/>
      <c r="MCW10" s="646"/>
      <c r="MCX10" s="646"/>
      <c r="MCY10" s="646"/>
      <c r="MCZ10" s="646"/>
      <c r="MDA10" s="646"/>
      <c r="MDB10" s="646"/>
      <c r="MDC10" s="501"/>
      <c r="MDD10" s="501"/>
      <c r="MDE10" s="501"/>
      <c r="MDF10" s="501"/>
      <c r="MDG10" s="501"/>
      <c r="MDH10" s="501"/>
      <c r="MDI10" s="501"/>
      <c r="MDJ10" s="501"/>
      <c r="MDK10" s="501"/>
      <c r="MDL10" s="501"/>
      <c r="MDM10" s="501"/>
      <c r="MDN10" s="645"/>
      <c r="MDO10" s="646"/>
      <c r="MDP10" s="646"/>
      <c r="MDQ10" s="646"/>
      <c r="MDR10" s="646"/>
      <c r="MDS10" s="646"/>
      <c r="MDT10" s="646"/>
      <c r="MDU10" s="646"/>
      <c r="MDV10" s="646"/>
      <c r="MDW10" s="646"/>
      <c r="MDX10" s="501"/>
      <c r="MDY10" s="501"/>
      <c r="MDZ10" s="501"/>
      <c r="MEA10" s="501"/>
      <c r="MEB10" s="501"/>
      <c r="MEC10" s="501"/>
      <c r="MED10" s="501"/>
      <c r="MEE10" s="501"/>
      <c r="MEF10" s="501"/>
      <c r="MEG10" s="501"/>
      <c r="MEH10" s="501"/>
      <c r="MEI10" s="645"/>
      <c r="MEJ10" s="646"/>
      <c r="MEK10" s="646"/>
      <c r="MEL10" s="646"/>
      <c r="MEM10" s="646"/>
      <c r="MEN10" s="646"/>
      <c r="MEO10" s="646"/>
      <c r="MEP10" s="646"/>
      <c r="MEQ10" s="646"/>
      <c r="MER10" s="646"/>
      <c r="MES10" s="501"/>
      <c r="MET10" s="501"/>
      <c r="MEU10" s="501"/>
      <c r="MEV10" s="501"/>
      <c r="MEW10" s="501"/>
      <c r="MEX10" s="501"/>
      <c r="MEY10" s="501"/>
      <c r="MEZ10" s="501"/>
      <c r="MFA10" s="501"/>
      <c r="MFB10" s="501"/>
      <c r="MFC10" s="501"/>
      <c r="MFD10" s="645"/>
      <c r="MFE10" s="646"/>
      <c r="MFF10" s="646"/>
      <c r="MFG10" s="646"/>
      <c r="MFH10" s="646"/>
      <c r="MFI10" s="646"/>
      <c r="MFJ10" s="646"/>
      <c r="MFK10" s="646"/>
      <c r="MFL10" s="646"/>
      <c r="MFM10" s="646"/>
      <c r="MFN10" s="501"/>
      <c r="MFO10" s="501"/>
      <c r="MFP10" s="501"/>
      <c r="MFQ10" s="501"/>
      <c r="MFR10" s="501"/>
      <c r="MFS10" s="501"/>
      <c r="MFT10" s="501"/>
      <c r="MFU10" s="501"/>
      <c r="MFV10" s="501"/>
      <c r="MFW10" s="501"/>
      <c r="MFX10" s="501"/>
      <c r="MFY10" s="645"/>
      <c r="MFZ10" s="646"/>
      <c r="MGA10" s="646"/>
      <c r="MGB10" s="646"/>
      <c r="MGC10" s="646"/>
      <c r="MGD10" s="646"/>
      <c r="MGE10" s="646"/>
      <c r="MGF10" s="646"/>
      <c r="MGG10" s="646"/>
      <c r="MGH10" s="646"/>
      <c r="MGI10" s="501"/>
      <c r="MGJ10" s="501"/>
      <c r="MGK10" s="501"/>
      <c r="MGL10" s="501"/>
      <c r="MGM10" s="501"/>
      <c r="MGN10" s="501"/>
      <c r="MGO10" s="501"/>
      <c r="MGP10" s="501"/>
      <c r="MGQ10" s="501"/>
      <c r="MGR10" s="501"/>
      <c r="MGS10" s="501"/>
      <c r="MGT10" s="645"/>
      <c r="MGU10" s="646"/>
      <c r="MGV10" s="646"/>
      <c r="MGW10" s="646"/>
      <c r="MGX10" s="646"/>
      <c r="MGY10" s="646"/>
      <c r="MGZ10" s="646"/>
      <c r="MHA10" s="646"/>
      <c r="MHB10" s="646"/>
      <c r="MHC10" s="646"/>
      <c r="MHD10" s="501"/>
      <c r="MHE10" s="501"/>
      <c r="MHF10" s="501"/>
      <c r="MHG10" s="501"/>
      <c r="MHH10" s="501"/>
      <c r="MHI10" s="501"/>
      <c r="MHJ10" s="501"/>
      <c r="MHK10" s="501"/>
      <c r="MHL10" s="501"/>
      <c r="MHM10" s="501"/>
      <c r="MHN10" s="501"/>
      <c r="MHO10" s="645"/>
      <c r="MHP10" s="646"/>
      <c r="MHQ10" s="646"/>
      <c r="MHR10" s="646"/>
      <c r="MHS10" s="646"/>
      <c r="MHT10" s="646"/>
      <c r="MHU10" s="646"/>
      <c r="MHV10" s="646"/>
      <c r="MHW10" s="646"/>
      <c r="MHX10" s="646"/>
      <c r="MHY10" s="501"/>
      <c r="MHZ10" s="501"/>
      <c r="MIA10" s="501"/>
      <c r="MIB10" s="501"/>
      <c r="MIC10" s="501"/>
      <c r="MID10" s="501"/>
      <c r="MIE10" s="501"/>
      <c r="MIF10" s="501"/>
      <c r="MIG10" s="501"/>
      <c r="MIH10" s="501"/>
      <c r="MII10" s="501"/>
      <c r="MIJ10" s="645"/>
      <c r="MIK10" s="646"/>
      <c r="MIL10" s="646"/>
      <c r="MIM10" s="646"/>
      <c r="MIN10" s="646"/>
      <c r="MIO10" s="646"/>
      <c r="MIP10" s="646"/>
      <c r="MIQ10" s="646"/>
      <c r="MIR10" s="646"/>
      <c r="MIS10" s="646"/>
      <c r="MIT10" s="501"/>
      <c r="MIU10" s="501"/>
      <c r="MIV10" s="501"/>
      <c r="MIW10" s="501"/>
      <c r="MIX10" s="501"/>
      <c r="MIY10" s="501"/>
      <c r="MIZ10" s="501"/>
      <c r="MJA10" s="501"/>
      <c r="MJB10" s="501"/>
      <c r="MJC10" s="501"/>
      <c r="MJD10" s="501"/>
      <c r="MJE10" s="645"/>
      <c r="MJF10" s="646"/>
      <c r="MJG10" s="646"/>
      <c r="MJH10" s="646"/>
      <c r="MJI10" s="646"/>
      <c r="MJJ10" s="646"/>
      <c r="MJK10" s="646"/>
      <c r="MJL10" s="646"/>
      <c r="MJM10" s="646"/>
      <c r="MJN10" s="646"/>
      <c r="MJO10" s="501"/>
      <c r="MJP10" s="501"/>
      <c r="MJQ10" s="501"/>
      <c r="MJR10" s="501"/>
      <c r="MJS10" s="501"/>
      <c r="MJT10" s="501"/>
      <c r="MJU10" s="501"/>
      <c r="MJV10" s="501"/>
      <c r="MJW10" s="501"/>
      <c r="MJX10" s="501"/>
      <c r="MJY10" s="501"/>
      <c r="MJZ10" s="645"/>
      <c r="MKA10" s="646"/>
      <c r="MKB10" s="646"/>
      <c r="MKC10" s="646"/>
      <c r="MKD10" s="646"/>
      <c r="MKE10" s="646"/>
      <c r="MKF10" s="646"/>
      <c r="MKG10" s="646"/>
      <c r="MKH10" s="646"/>
      <c r="MKI10" s="646"/>
      <c r="MKJ10" s="501"/>
      <c r="MKK10" s="501"/>
      <c r="MKL10" s="501"/>
      <c r="MKM10" s="501"/>
      <c r="MKN10" s="501"/>
      <c r="MKO10" s="501"/>
      <c r="MKP10" s="501"/>
      <c r="MKQ10" s="501"/>
      <c r="MKR10" s="501"/>
      <c r="MKS10" s="501"/>
      <c r="MKT10" s="501"/>
      <c r="MKU10" s="645"/>
      <c r="MKV10" s="646"/>
      <c r="MKW10" s="646"/>
      <c r="MKX10" s="646"/>
      <c r="MKY10" s="646"/>
      <c r="MKZ10" s="646"/>
      <c r="MLA10" s="646"/>
      <c r="MLB10" s="646"/>
      <c r="MLC10" s="646"/>
      <c r="MLD10" s="646"/>
      <c r="MLE10" s="501"/>
      <c r="MLF10" s="501"/>
      <c r="MLG10" s="501"/>
      <c r="MLH10" s="501"/>
      <c r="MLI10" s="501"/>
      <c r="MLJ10" s="501"/>
      <c r="MLK10" s="501"/>
      <c r="MLL10" s="501"/>
      <c r="MLM10" s="501"/>
      <c r="MLN10" s="501"/>
      <c r="MLO10" s="501"/>
      <c r="MLP10" s="645"/>
      <c r="MLQ10" s="646"/>
      <c r="MLR10" s="646"/>
      <c r="MLS10" s="646"/>
      <c r="MLT10" s="646"/>
      <c r="MLU10" s="646"/>
      <c r="MLV10" s="646"/>
      <c r="MLW10" s="646"/>
      <c r="MLX10" s="646"/>
      <c r="MLY10" s="646"/>
      <c r="MLZ10" s="501"/>
      <c r="MMA10" s="501"/>
      <c r="MMB10" s="501"/>
      <c r="MMC10" s="501"/>
      <c r="MMD10" s="501"/>
      <c r="MME10" s="501"/>
      <c r="MMF10" s="501"/>
      <c r="MMG10" s="501"/>
      <c r="MMH10" s="501"/>
      <c r="MMI10" s="501"/>
      <c r="MMJ10" s="501"/>
      <c r="MMK10" s="645"/>
      <c r="MML10" s="646"/>
      <c r="MMM10" s="646"/>
      <c r="MMN10" s="646"/>
      <c r="MMO10" s="646"/>
      <c r="MMP10" s="646"/>
      <c r="MMQ10" s="646"/>
      <c r="MMR10" s="646"/>
      <c r="MMS10" s="646"/>
      <c r="MMT10" s="646"/>
      <c r="MMU10" s="501"/>
      <c r="MMV10" s="501"/>
      <c r="MMW10" s="501"/>
      <c r="MMX10" s="501"/>
      <c r="MMY10" s="501"/>
      <c r="MMZ10" s="501"/>
      <c r="MNA10" s="501"/>
      <c r="MNB10" s="501"/>
      <c r="MNC10" s="501"/>
      <c r="MND10" s="501"/>
      <c r="MNE10" s="501"/>
      <c r="MNF10" s="645"/>
      <c r="MNG10" s="646"/>
      <c r="MNH10" s="646"/>
      <c r="MNI10" s="646"/>
      <c r="MNJ10" s="646"/>
      <c r="MNK10" s="646"/>
      <c r="MNL10" s="646"/>
      <c r="MNM10" s="646"/>
      <c r="MNN10" s="646"/>
      <c r="MNO10" s="646"/>
      <c r="MNP10" s="501"/>
      <c r="MNQ10" s="501"/>
      <c r="MNR10" s="501"/>
      <c r="MNS10" s="501"/>
      <c r="MNT10" s="501"/>
      <c r="MNU10" s="501"/>
      <c r="MNV10" s="501"/>
      <c r="MNW10" s="501"/>
      <c r="MNX10" s="501"/>
      <c r="MNY10" s="501"/>
      <c r="MNZ10" s="501"/>
      <c r="MOA10" s="645"/>
      <c r="MOB10" s="646"/>
      <c r="MOC10" s="646"/>
      <c r="MOD10" s="646"/>
      <c r="MOE10" s="646"/>
      <c r="MOF10" s="646"/>
      <c r="MOG10" s="646"/>
      <c r="MOH10" s="646"/>
      <c r="MOI10" s="646"/>
      <c r="MOJ10" s="646"/>
      <c r="MOK10" s="501"/>
      <c r="MOL10" s="501"/>
      <c r="MOM10" s="501"/>
      <c r="MON10" s="501"/>
      <c r="MOO10" s="501"/>
      <c r="MOP10" s="501"/>
      <c r="MOQ10" s="501"/>
      <c r="MOR10" s="501"/>
      <c r="MOS10" s="501"/>
      <c r="MOT10" s="501"/>
      <c r="MOU10" s="501"/>
      <c r="MOV10" s="645"/>
      <c r="MOW10" s="646"/>
      <c r="MOX10" s="646"/>
      <c r="MOY10" s="646"/>
      <c r="MOZ10" s="646"/>
      <c r="MPA10" s="646"/>
      <c r="MPB10" s="646"/>
      <c r="MPC10" s="646"/>
      <c r="MPD10" s="646"/>
      <c r="MPE10" s="646"/>
      <c r="MPF10" s="501"/>
      <c r="MPG10" s="501"/>
      <c r="MPH10" s="501"/>
      <c r="MPI10" s="501"/>
      <c r="MPJ10" s="501"/>
      <c r="MPK10" s="501"/>
      <c r="MPL10" s="501"/>
      <c r="MPM10" s="501"/>
      <c r="MPN10" s="501"/>
      <c r="MPO10" s="501"/>
      <c r="MPP10" s="501"/>
      <c r="MPQ10" s="645"/>
      <c r="MPR10" s="646"/>
      <c r="MPS10" s="646"/>
      <c r="MPT10" s="646"/>
      <c r="MPU10" s="646"/>
      <c r="MPV10" s="646"/>
      <c r="MPW10" s="646"/>
      <c r="MPX10" s="646"/>
      <c r="MPY10" s="646"/>
      <c r="MPZ10" s="646"/>
      <c r="MQA10" s="501"/>
      <c r="MQB10" s="501"/>
      <c r="MQC10" s="501"/>
      <c r="MQD10" s="501"/>
      <c r="MQE10" s="501"/>
      <c r="MQF10" s="501"/>
      <c r="MQG10" s="501"/>
      <c r="MQH10" s="501"/>
      <c r="MQI10" s="501"/>
      <c r="MQJ10" s="501"/>
      <c r="MQK10" s="501"/>
      <c r="MQL10" s="645"/>
      <c r="MQM10" s="646"/>
      <c r="MQN10" s="646"/>
      <c r="MQO10" s="646"/>
      <c r="MQP10" s="646"/>
      <c r="MQQ10" s="646"/>
      <c r="MQR10" s="646"/>
      <c r="MQS10" s="646"/>
      <c r="MQT10" s="646"/>
      <c r="MQU10" s="646"/>
      <c r="MQV10" s="501"/>
      <c r="MQW10" s="501"/>
      <c r="MQX10" s="501"/>
      <c r="MQY10" s="501"/>
      <c r="MQZ10" s="501"/>
      <c r="MRA10" s="501"/>
      <c r="MRB10" s="501"/>
      <c r="MRC10" s="501"/>
      <c r="MRD10" s="501"/>
      <c r="MRE10" s="501"/>
      <c r="MRF10" s="501"/>
      <c r="MRG10" s="645"/>
      <c r="MRH10" s="646"/>
      <c r="MRI10" s="646"/>
      <c r="MRJ10" s="646"/>
      <c r="MRK10" s="646"/>
      <c r="MRL10" s="646"/>
      <c r="MRM10" s="646"/>
      <c r="MRN10" s="646"/>
      <c r="MRO10" s="646"/>
      <c r="MRP10" s="646"/>
      <c r="MRQ10" s="501"/>
      <c r="MRR10" s="501"/>
      <c r="MRS10" s="501"/>
      <c r="MRT10" s="501"/>
      <c r="MRU10" s="501"/>
      <c r="MRV10" s="501"/>
      <c r="MRW10" s="501"/>
      <c r="MRX10" s="501"/>
      <c r="MRY10" s="501"/>
      <c r="MRZ10" s="501"/>
      <c r="MSA10" s="501"/>
      <c r="MSB10" s="645"/>
      <c r="MSC10" s="646"/>
      <c r="MSD10" s="646"/>
      <c r="MSE10" s="646"/>
      <c r="MSF10" s="646"/>
      <c r="MSG10" s="646"/>
      <c r="MSH10" s="646"/>
      <c r="MSI10" s="646"/>
      <c r="MSJ10" s="646"/>
      <c r="MSK10" s="646"/>
      <c r="MSL10" s="501"/>
      <c r="MSM10" s="501"/>
      <c r="MSN10" s="501"/>
      <c r="MSO10" s="501"/>
      <c r="MSP10" s="501"/>
      <c r="MSQ10" s="501"/>
      <c r="MSR10" s="501"/>
      <c r="MSS10" s="501"/>
      <c r="MST10" s="501"/>
      <c r="MSU10" s="501"/>
      <c r="MSV10" s="501"/>
      <c r="MSW10" s="645"/>
      <c r="MSX10" s="646"/>
      <c r="MSY10" s="646"/>
      <c r="MSZ10" s="646"/>
      <c r="MTA10" s="646"/>
      <c r="MTB10" s="646"/>
      <c r="MTC10" s="646"/>
      <c r="MTD10" s="646"/>
      <c r="MTE10" s="646"/>
      <c r="MTF10" s="646"/>
      <c r="MTG10" s="501"/>
      <c r="MTH10" s="501"/>
      <c r="MTI10" s="501"/>
      <c r="MTJ10" s="501"/>
      <c r="MTK10" s="501"/>
      <c r="MTL10" s="501"/>
      <c r="MTM10" s="501"/>
      <c r="MTN10" s="501"/>
      <c r="MTO10" s="501"/>
      <c r="MTP10" s="501"/>
      <c r="MTQ10" s="501"/>
      <c r="MTR10" s="645"/>
      <c r="MTS10" s="646"/>
      <c r="MTT10" s="646"/>
      <c r="MTU10" s="646"/>
      <c r="MTV10" s="646"/>
      <c r="MTW10" s="646"/>
      <c r="MTX10" s="646"/>
      <c r="MTY10" s="646"/>
      <c r="MTZ10" s="646"/>
      <c r="MUA10" s="646"/>
      <c r="MUB10" s="501"/>
      <c r="MUC10" s="501"/>
      <c r="MUD10" s="501"/>
      <c r="MUE10" s="501"/>
      <c r="MUF10" s="501"/>
      <c r="MUG10" s="501"/>
      <c r="MUH10" s="501"/>
      <c r="MUI10" s="501"/>
      <c r="MUJ10" s="501"/>
      <c r="MUK10" s="501"/>
      <c r="MUL10" s="501"/>
      <c r="MUM10" s="645"/>
      <c r="MUN10" s="646"/>
      <c r="MUO10" s="646"/>
      <c r="MUP10" s="646"/>
      <c r="MUQ10" s="646"/>
      <c r="MUR10" s="646"/>
      <c r="MUS10" s="646"/>
      <c r="MUT10" s="646"/>
      <c r="MUU10" s="646"/>
      <c r="MUV10" s="646"/>
      <c r="MUW10" s="501"/>
      <c r="MUX10" s="501"/>
      <c r="MUY10" s="501"/>
      <c r="MUZ10" s="501"/>
      <c r="MVA10" s="501"/>
      <c r="MVB10" s="501"/>
      <c r="MVC10" s="501"/>
      <c r="MVD10" s="501"/>
      <c r="MVE10" s="501"/>
      <c r="MVF10" s="501"/>
      <c r="MVG10" s="501"/>
      <c r="MVH10" s="645"/>
      <c r="MVI10" s="646"/>
      <c r="MVJ10" s="646"/>
      <c r="MVK10" s="646"/>
      <c r="MVL10" s="646"/>
      <c r="MVM10" s="646"/>
      <c r="MVN10" s="646"/>
      <c r="MVO10" s="646"/>
      <c r="MVP10" s="646"/>
      <c r="MVQ10" s="646"/>
      <c r="MVR10" s="501"/>
      <c r="MVS10" s="501"/>
      <c r="MVT10" s="501"/>
      <c r="MVU10" s="501"/>
      <c r="MVV10" s="501"/>
      <c r="MVW10" s="501"/>
      <c r="MVX10" s="501"/>
      <c r="MVY10" s="501"/>
      <c r="MVZ10" s="501"/>
      <c r="MWA10" s="501"/>
      <c r="MWB10" s="501"/>
      <c r="MWC10" s="645"/>
      <c r="MWD10" s="646"/>
      <c r="MWE10" s="646"/>
      <c r="MWF10" s="646"/>
      <c r="MWG10" s="646"/>
      <c r="MWH10" s="646"/>
      <c r="MWI10" s="646"/>
      <c r="MWJ10" s="646"/>
      <c r="MWK10" s="646"/>
      <c r="MWL10" s="646"/>
      <c r="MWM10" s="501"/>
      <c r="MWN10" s="501"/>
      <c r="MWO10" s="501"/>
      <c r="MWP10" s="501"/>
      <c r="MWQ10" s="501"/>
      <c r="MWR10" s="501"/>
      <c r="MWS10" s="501"/>
      <c r="MWT10" s="501"/>
      <c r="MWU10" s="501"/>
      <c r="MWV10" s="501"/>
      <c r="MWW10" s="501"/>
      <c r="MWX10" s="645"/>
      <c r="MWY10" s="646"/>
      <c r="MWZ10" s="646"/>
      <c r="MXA10" s="646"/>
      <c r="MXB10" s="646"/>
      <c r="MXC10" s="646"/>
      <c r="MXD10" s="646"/>
      <c r="MXE10" s="646"/>
      <c r="MXF10" s="646"/>
      <c r="MXG10" s="646"/>
      <c r="MXH10" s="501"/>
      <c r="MXI10" s="501"/>
      <c r="MXJ10" s="501"/>
      <c r="MXK10" s="501"/>
      <c r="MXL10" s="501"/>
      <c r="MXM10" s="501"/>
      <c r="MXN10" s="501"/>
      <c r="MXO10" s="501"/>
      <c r="MXP10" s="501"/>
      <c r="MXQ10" s="501"/>
      <c r="MXR10" s="501"/>
      <c r="MXS10" s="645"/>
      <c r="MXT10" s="646"/>
      <c r="MXU10" s="646"/>
      <c r="MXV10" s="646"/>
      <c r="MXW10" s="646"/>
      <c r="MXX10" s="646"/>
      <c r="MXY10" s="646"/>
      <c r="MXZ10" s="646"/>
      <c r="MYA10" s="646"/>
      <c r="MYB10" s="646"/>
      <c r="MYC10" s="501"/>
      <c r="MYD10" s="501"/>
      <c r="MYE10" s="501"/>
      <c r="MYF10" s="501"/>
      <c r="MYG10" s="501"/>
      <c r="MYH10" s="501"/>
      <c r="MYI10" s="501"/>
      <c r="MYJ10" s="501"/>
      <c r="MYK10" s="501"/>
      <c r="MYL10" s="501"/>
      <c r="MYM10" s="501"/>
      <c r="MYN10" s="645"/>
      <c r="MYO10" s="646"/>
      <c r="MYP10" s="646"/>
      <c r="MYQ10" s="646"/>
      <c r="MYR10" s="646"/>
      <c r="MYS10" s="646"/>
      <c r="MYT10" s="646"/>
      <c r="MYU10" s="646"/>
      <c r="MYV10" s="646"/>
      <c r="MYW10" s="646"/>
      <c r="MYX10" s="501"/>
      <c r="MYY10" s="501"/>
      <c r="MYZ10" s="501"/>
      <c r="MZA10" s="501"/>
      <c r="MZB10" s="501"/>
      <c r="MZC10" s="501"/>
      <c r="MZD10" s="501"/>
      <c r="MZE10" s="501"/>
      <c r="MZF10" s="501"/>
      <c r="MZG10" s="501"/>
      <c r="MZH10" s="501"/>
      <c r="MZI10" s="645"/>
      <c r="MZJ10" s="646"/>
      <c r="MZK10" s="646"/>
      <c r="MZL10" s="646"/>
      <c r="MZM10" s="646"/>
      <c r="MZN10" s="646"/>
      <c r="MZO10" s="646"/>
      <c r="MZP10" s="646"/>
      <c r="MZQ10" s="646"/>
      <c r="MZR10" s="646"/>
      <c r="MZS10" s="501"/>
      <c r="MZT10" s="501"/>
      <c r="MZU10" s="501"/>
      <c r="MZV10" s="501"/>
      <c r="MZW10" s="501"/>
      <c r="MZX10" s="501"/>
      <c r="MZY10" s="501"/>
      <c r="MZZ10" s="501"/>
      <c r="NAA10" s="501"/>
      <c r="NAB10" s="501"/>
      <c r="NAC10" s="501"/>
      <c r="NAD10" s="645"/>
      <c r="NAE10" s="646"/>
      <c r="NAF10" s="646"/>
      <c r="NAG10" s="646"/>
      <c r="NAH10" s="646"/>
      <c r="NAI10" s="646"/>
      <c r="NAJ10" s="646"/>
      <c r="NAK10" s="646"/>
      <c r="NAL10" s="646"/>
      <c r="NAM10" s="646"/>
      <c r="NAN10" s="501"/>
      <c r="NAO10" s="501"/>
      <c r="NAP10" s="501"/>
      <c r="NAQ10" s="501"/>
      <c r="NAR10" s="501"/>
      <c r="NAS10" s="501"/>
      <c r="NAT10" s="501"/>
      <c r="NAU10" s="501"/>
      <c r="NAV10" s="501"/>
      <c r="NAW10" s="501"/>
      <c r="NAX10" s="501"/>
      <c r="NAY10" s="645"/>
      <c r="NAZ10" s="646"/>
      <c r="NBA10" s="646"/>
      <c r="NBB10" s="646"/>
      <c r="NBC10" s="646"/>
      <c r="NBD10" s="646"/>
      <c r="NBE10" s="646"/>
      <c r="NBF10" s="646"/>
      <c r="NBG10" s="646"/>
      <c r="NBH10" s="646"/>
      <c r="NBI10" s="501"/>
      <c r="NBJ10" s="501"/>
      <c r="NBK10" s="501"/>
      <c r="NBL10" s="501"/>
      <c r="NBM10" s="501"/>
      <c r="NBN10" s="501"/>
      <c r="NBO10" s="501"/>
      <c r="NBP10" s="501"/>
      <c r="NBQ10" s="501"/>
      <c r="NBR10" s="501"/>
      <c r="NBS10" s="501"/>
      <c r="NBT10" s="645"/>
      <c r="NBU10" s="646"/>
      <c r="NBV10" s="646"/>
      <c r="NBW10" s="646"/>
      <c r="NBX10" s="646"/>
      <c r="NBY10" s="646"/>
      <c r="NBZ10" s="646"/>
      <c r="NCA10" s="646"/>
      <c r="NCB10" s="646"/>
      <c r="NCC10" s="646"/>
      <c r="NCD10" s="501"/>
      <c r="NCE10" s="501"/>
      <c r="NCF10" s="501"/>
      <c r="NCG10" s="501"/>
      <c r="NCH10" s="501"/>
      <c r="NCI10" s="501"/>
      <c r="NCJ10" s="501"/>
      <c r="NCK10" s="501"/>
      <c r="NCL10" s="501"/>
      <c r="NCM10" s="501"/>
      <c r="NCN10" s="501"/>
      <c r="NCO10" s="645"/>
      <c r="NCP10" s="646"/>
      <c r="NCQ10" s="646"/>
      <c r="NCR10" s="646"/>
      <c r="NCS10" s="646"/>
      <c r="NCT10" s="646"/>
      <c r="NCU10" s="646"/>
      <c r="NCV10" s="646"/>
      <c r="NCW10" s="646"/>
      <c r="NCX10" s="646"/>
      <c r="NCY10" s="501"/>
      <c r="NCZ10" s="501"/>
      <c r="NDA10" s="501"/>
      <c r="NDB10" s="501"/>
      <c r="NDC10" s="501"/>
      <c r="NDD10" s="501"/>
      <c r="NDE10" s="501"/>
      <c r="NDF10" s="501"/>
      <c r="NDG10" s="501"/>
      <c r="NDH10" s="501"/>
      <c r="NDI10" s="501"/>
      <c r="NDJ10" s="645"/>
      <c r="NDK10" s="646"/>
      <c r="NDL10" s="646"/>
      <c r="NDM10" s="646"/>
      <c r="NDN10" s="646"/>
      <c r="NDO10" s="646"/>
      <c r="NDP10" s="646"/>
      <c r="NDQ10" s="646"/>
      <c r="NDR10" s="646"/>
      <c r="NDS10" s="646"/>
      <c r="NDT10" s="501"/>
      <c r="NDU10" s="501"/>
      <c r="NDV10" s="501"/>
      <c r="NDW10" s="501"/>
      <c r="NDX10" s="501"/>
      <c r="NDY10" s="501"/>
      <c r="NDZ10" s="501"/>
      <c r="NEA10" s="501"/>
      <c r="NEB10" s="501"/>
      <c r="NEC10" s="501"/>
      <c r="NED10" s="501"/>
      <c r="NEE10" s="645"/>
      <c r="NEF10" s="646"/>
      <c r="NEG10" s="646"/>
      <c r="NEH10" s="646"/>
      <c r="NEI10" s="646"/>
      <c r="NEJ10" s="646"/>
      <c r="NEK10" s="646"/>
      <c r="NEL10" s="646"/>
      <c r="NEM10" s="646"/>
      <c r="NEN10" s="646"/>
      <c r="NEO10" s="501"/>
      <c r="NEP10" s="501"/>
      <c r="NEQ10" s="501"/>
      <c r="NER10" s="501"/>
      <c r="NES10" s="501"/>
      <c r="NET10" s="501"/>
      <c r="NEU10" s="501"/>
      <c r="NEV10" s="501"/>
      <c r="NEW10" s="501"/>
      <c r="NEX10" s="501"/>
      <c r="NEY10" s="501"/>
      <c r="NEZ10" s="645"/>
      <c r="NFA10" s="646"/>
      <c r="NFB10" s="646"/>
      <c r="NFC10" s="646"/>
      <c r="NFD10" s="646"/>
      <c r="NFE10" s="646"/>
      <c r="NFF10" s="646"/>
      <c r="NFG10" s="646"/>
      <c r="NFH10" s="646"/>
      <c r="NFI10" s="646"/>
      <c r="NFJ10" s="501"/>
      <c r="NFK10" s="501"/>
      <c r="NFL10" s="501"/>
      <c r="NFM10" s="501"/>
      <c r="NFN10" s="501"/>
      <c r="NFO10" s="501"/>
      <c r="NFP10" s="501"/>
      <c r="NFQ10" s="501"/>
      <c r="NFR10" s="501"/>
      <c r="NFS10" s="501"/>
      <c r="NFT10" s="501"/>
      <c r="NFU10" s="645"/>
      <c r="NFV10" s="646"/>
      <c r="NFW10" s="646"/>
      <c r="NFX10" s="646"/>
      <c r="NFY10" s="646"/>
      <c r="NFZ10" s="646"/>
      <c r="NGA10" s="646"/>
      <c r="NGB10" s="646"/>
      <c r="NGC10" s="646"/>
      <c r="NGD10" s="646"/>
      <c r="NGE10" s="501"/>
      <c r="NGF10" s="501"/>
      <c r="NGG10" s="501"/>
      <c r="NGH10" s="501"/>
      <c r="NGI10" s="501"/>
      <c r="NGJ10" s="501"/>
      <c r="NGK10" s="501"/>
      <c r="NGL10" s="501"/>
      <c r="NGM10" s="501"/>
      <c r="NGN10" s="501"/>
      <c r="NGO10" s="501"/>
      <c r="NGP10" s="645"/>
      <c r="NGQ10" s="646"/>
      <c r="NGR10" s="646"/>
      <c r="NGS10" s="646"/>
      <c r="NGT10" s="646"/>
      <c r="NGU10" s="646"/>
      <c r="NGV10" s="646"/>
      <c r="NGW10" s="646"/>
      <c r="NGX10" s="646"/>
      <c r="NGY10" s="646"/>
      <c r="NGZ10" s="501"/>
      <c r="NHA10" s="501"/>
      <c r="NHB10" s="501"/>
      <c r="NHC10" s="501"/>
      <c r="NHD10" s="501"/>
      <c r="NHE10" s="501"/>
      <c r="NHF10" s="501"/>
      <c r="NHG10" s="501"/>
      <c r="NHH10" s="501"/>
      <c r="NHI10" s="501"/>
      <c r="NHJ10" s="501"/>
      <c r="NHK10" s="645"/>
      <c r="NHL10" s="646"/>
      <c r="NHM10" s="646"/>
      <c r="NHN10" s="646"/>
      <c r="NHO10" s="646"/>
      <c r="NHP10" s="646"/>
      <c r="NHQ10" s="646"/>
      <c r="NHR10" s="646"/>
      <c r="NHS10" s="646"/>
      <c r="NHT10" s="646"/>
      <c r="NHU10" s="501"/>
      <c r="NHV10" s="501"/>
      <c r="NHW10" s="501"/>
      <c r="NHX10" s="501"/>
      <c r="NHY10" s="501"/>
      <c r="NHZ10" s="501"/>
      <c r="NIA10" s="501"/>
      <c r="NIB10" s="501"/>
      <c r="NIC10" s="501"/>
      <c r="NID10" s="501"/>
      <c r="NIE10" s="501"/>
      <c r="NIF10" s="645"/>
      <c r="NIG10" s="646"/>
      <c r="NIH10" s="646"/>
      <c r="NII10" s="646"/>
      <c r="NIJ10" s="646"/>
      <c r="NIK10" s="646"/>
      <c r="NIL10" s="646"/>
      <c r="NIM10" s="646"/>
      <c r="NIN10" s="646"/>
      <c r="NIO10" s="646"/>
      <c r="NIP10" s="501"/>
      <c r="NIQ10" s="501"/>
      <c r="NIR10" s="501"/>
      <c r="NIS10" s="501"/>
      <c r="NIT10" s="501"/>
      <c r="NIU10" s="501"/>
      <c r="NIV10" s="501"/>
      <c r="NIW10" s="501"/>
      <c r="NIX10" s="501"/>
      <c r="NIY10" s="501"/>
      <c r="NIZ10" s="501"/>
      <c r="NJA10" s="645"/>
      <c r="NJB10" s="646"/>
      <c r="NJC10" s="646"/>
      <c r="NJD10" s="646"/>
      <c r="NJE10" s="646"/>
      <c r="NJF10" s="646"/>
      <c r="NJG10" s="646"/>
      <c r="NJH10" s="646"/>
      <c r="NJI10" s="646"/>
      <c r="NJJ10" s="646"/>
      <c r="NJK10" s="501"/>
      <c r="NJL10" s="501"/>
      <c r="NJM10" s="501"/>
      <c r="NJN10" s="501"/>
      <c r="NJO10" s="501"/>
      <c r="NJP10" s="501"/>
      <c r="NJQ10" s="501"/>
      <c r="NJR10" s="501"/>
      <c r="NJS10" s="501"/>
      <c r="NJT10" s="501"/>
      <c r="NJU10" s="501"/>
      <c r="NJV10" s="645"/>
      <c r="NJW10" s="646"/>
      <c r="NJX10" s="646"/>
      <c r="NJY10" s="646"/>
      <c r="NJZ10" s="646"/>
      <c r="NKA10" s="646"/>
      <c r="NKB10" s="646"/>
      <c r="NKC10" s="646"/>
      <c r="NKD10" s="646"/>
      <c r="NKE10" s="646"/>
      <c r="NKF10" s="501"/>
      <c r="NKG10" s="501"/>
      <c r="NKH10" s="501"/>
      <c r="NKI10" s="501"/>
      <c r="NKJ10" s="501"/>
      <c r="NKK10" s="501"/>
      <c r="NKL10" s="501"/>
      <c r="NKM10" s="501"/>
      <c r="NKN10" s="501"/>
      <c r="NKO10" s="501"/>
      <c r="NKP10" s="501"/>
      <c r="NKQ10" s="645"/>
      <c r="NKR10" s="646"/>
      <c r="NKS10" s="646"/>
      <c r="NKT10" s="646"/>
      <c r="NKU10" s="646"/>
      <c r="NKV10" s="646"/>
      <c r="NKW10" s="646"/>
      <c r="NKX10" s="646"/>
      <c r="NKY10" s="646"/>
      <c r="NKZ10" s="646"/>
      <c r="NLA10" s="501"/>
      <c r="NLB10" s="501"/>
      <c r="NLC10" s="501"/>
      <c r="NLD10" s="501"/>
      <c r="NLE10" s="501"/>
      <c r="NLF10" s="501"/>
      <c r="NLG10" s="501"/>
      <c r="NLH10" s="501"/>
      <c r="NLI10" s="501"/>
      <c r="NLJ10" s="501"/>
      <c r="NLK10" s="501"/>
      <c r="NLL10" s="645"/>
      <c r="NLM10" s="646"/>
      <c r="NLN10" s="646"/>
      <c r="NLO10" s="646"/>
      <c r="NLP10" s="646"/>
      <c r="NLQ10" s="646"/>
      <c r="NLR10" s="646"/>
      <c r="NLS10" s="646"/>
      <c r="NLT10" s="646"/>
      <c r="NLU10" s="646"/>
      <c r="NLV10" s="501"/>
      <c r="NLW10" s="501"/>
      <c r="NLX10" s="501"/>
      <c r="NLY10" s="501"/>
      <c r="NLZ10" s="501"/>
      <c r="NMA10" s="501"/>
      <c r="NMB10" s="501"/>
      <c r="NMC10" s="501"/>
      <c r="NMD10" s="501"/>
      <c r="NME10" s="501"/>
      <c r="NMF10" s="501"/>
      <c r="NMG10" s="645"/>
      <c r="NMH10" s="646"/>
      <c r="NMI10" s="646"/>
      <c r="NMJ10" s="646"/>
      <c r="NMK10" s="646"/>
      <c r="NML10" s="646"/>
      <c r="NMM10" s="646"/>
      <c r="NMN10" s="646"/>
      <c r="NMO10" s="646"/>
      <c r="NMP10" s="646"/>
      <c r="NMQ10" s="501"/>
      <c r="NMR10" s="501"/>
      <c r="NMS10" s="501"/>
      <c r="NMT10" s="501"/>
      <c r="NMU10" s="501"/>
      <c r="NMV10" s="501"/>
      <c r="NMW10" s="501"/>
      <c r="NMX10" s="501"/>
      <c r="NMY10" s="501"/>
      <c r="NMZ10" s="501"/>
      <c r="NNA10" s="501"/>
      <c r="NNB10" s="645"/>
      <c r="NNC10" s="646"/>
      <c r="NND10" s="646"/>
      <c r="NNE10" s="646"/>
      <c r="NNF10" s="646"/>
      <c r="NNG10" s="646"/>
      <c r="NNH10" s="646"/>
      <c r="NNI10" s="646"/>
      <c r="NNJ10" s="646"/>
      <c r="NNK10" s="646"/>
      <c r="NNL10" s="501"/>
      <c r="NNM10" s="501"/>
      <c r="NNN10" s="501"/>
      <c r="NNO10" s="501"/>
      <c r="NNP10" s="501"/>
      <c r="NNQ10" s="501"/>
      <c r="NNR10" s="501"/>
      <c r="NNS10" s="501"/>
      <c r="NNT10" s="501"/>
      <c r="NNU10" s="501"/>
      <c r="NNV10" s="501"/>
      <c r="NNW10" s="645"/>
      <c r="NNX10" s="646"/>
      <c r="NNY10" s="646"/>
      <c r="NNZ10" s="646"/>
      <c r="NOA10" s="646"/>
      <c r="NOB10" s="646"/>
      <c r="NOC10" s="646"/>
      <c r="NOD10" s="646"/>
      <c r="NOE10" s="646"/>
      <c r="NOF10" s="646"/>
      <c r="NOG10" s="501"/>
      <c r="NOH10" s="501"/>
      <c r="NOI10" s="501"/>
      <c r="NOJ10" s="501"/>
      <c r="NOK10" s="501"/>
      <c r="NOL10" s="501"/>
      <c r="NOM10" s="501"/>
      <c r="NON10" s="501"/>
      <c r="NOO10" s="501"/>
      <c r="NOP10" s="501"/>
      <c r="NOQ10" s="501"/>
      <c r="NOR10" s="645"/>
      <c r="NOS10" s="646"/>
      <c r="NOT10" s="646"/>
      <c r="NOU10" s="646"/>
      <c r="NOV10" s="646"/>
      <c r="NOW10" s="646"/>
      <c r="NOX10" s="646"/>
      <c r="NOY10" s="646"/>
      <c r="NOZ10" s="646"/>
      <c r="NPA10" s="646"/>
      <c r="NPB10" s="501"/>
      <c r="NPC10" s="501"/>
      <c r="NPD10" s="501"/>
      <c r="NPE10" s="501"/>
      <c r="NPF10" s="501"/>
      <c r="NPG10" s="501"/>
      <c r="NPH10" s="501"/>
      <c r="NPI10" s="501"/>
      <c r="NPJ10" s="501"/>
      <c r="NPK10" s="501"/>
      <c r="NPL10" s="501"/>
      <c r="NPM10" s="645"/>
      <c r="NPN10" s="646"/>
      <c r="NPO10" s="646"/>
      <c r="NPP10" s="646"/>
      <c r="NPQ10" s="646"/>
      <c r="NPR10" s="646"/>
      <c r="NPS10" s="646"/>
      <c r="NPT10" s="646"/>
      <c r="NPU10" s="646"/>
      <c r="NPV10" s="646"/>
      <c r="NPW10" s="501"/>
      <c r="NPX10" s="501"/>
      <c r="NPY10" s="501"/>
      <c r="NPZ10" s="501"/>
      <c r="NQA10" s="501"/>
      <c r="NQB10" s="501"/>
      <c r="NQC10" s="501"/>
      <c r="NQD10" s="501"/>
      <c r="NQE10" s="501"/>
      <c r="NQF10" s="501"/>
      <c r="NQG10" s="501"/>
      <c r="NQH10" s="645"/>
      <c r="NQI10" s="646"/>
      <c r="NQJ10" s="646"/>
      <c r="NQK10" s="646"/>
      <c r="NQL10" s="646"/>
      <c r="NQM10" s="646"/>
      <c r="NQN10" s="646"/>
      <c r="NQO10" s="646"/>
      <c r="NQP10" s="646"/>
      <c r="NQQ10" s="646"/>
      <c r="NQR10" s="501"/>
      <c r="NQS10" s="501"/>
      <c r="NQT10" s="501"/>
      <c r="NQU10" s="501"/>
      <c r="NQV10" s="501"/>
      <c r="NQW10" s="501"/>
      <c r="NQX10" s="501"/>
      <c r="NQY10" s="501"/>
      <c r="NQZ10" s="501"/>
      <c r="NRA10" s="501"/>
      <c r="NRB10" s="501"/>
      <c r="NRC10" s="645"/>
      <c r="NRD10" s="646"/>
      <c r="NRE10" s="646"/>
      <c r="NRF10" s="646"/>
      <c r="NRG10" s="646"/>
      <c r="NRH10" s="646"/>
      <c r="NRI10" s="646"/>
      <c r="NRJ10" s="646"/>
      <c r="NRK10" s="646"/>
      <c r="NRL10" s="646"/>
      <c r="NRM10" s="501"/>
      <c r="NRN10" s="501"/>
      <c r="NRO10" s="501"/>
      <c r="NRP10" s="501"/>
      <c r="NRQ10" s="501"/>
      <c r="NRR10" s="501"/>
      <c r="NRS10" s="501"/>
      <c r="NRT10" s="501"/>
      <c r="NRU10" s="501"/>
      <c r="NRV10" s="501"/>
      <c r="NRW10" s="501"/>
      <c r="NRX10" s="645"/>
      <c r="NRY10" s="646"/>
      <c r="NRZ10" s="646"/>
      <c r="NSA10" s="646"/>
      <c r="NSB10" s="646"/>
      <c r="NSC10" s="646"/>
      <c r="NSD10" s="646"/>
      <c r="NSE10" s="646"/>
      <c r="NSF10" s="646"/>
      <c r="NSG10" s="646"/>
      <c r="NSH10" s="501"/>
      <c r="NSI10" s="501"/>
      <c r="NSJ10" s="501"/>
      <c r="NSK10" s="501"/>
      <c r="NSL10" s="501"/>
      <c r="NSM10" s="501"/>
      <c r="NSN10" s="501"/>
      <c r="NSO10" s="501"/>
      <c r="NSP10" s="501"/>
      <c r="NSQ10" s="501"/>
      <c r="NSR10" s="501"/>
      <c r="NSS10" s="645"/>
      <c r="NST10" s="646"/>
      <c r="NSU10" s="646"/>
      <c r="NSV10" s="646"/>
      <c r="NSW10" s="646"/>
      <c r="NSX10" s="646"/>
      <c r="NSY10" s="646"/>
      <c r="NSZ10" s="646"/>
      <c r="NTA10" s="646"/>
      <c r="NTB10" s="646"/>
      <c r="NTC10" s="501"/>
      <c r="NTD10" s="501"/>
      <c r="NTE10" s="501"/>
      <c r="NTF10" s="501"/>
      <c r="NTG10" s="501"/>
      <c r="NTH10" s="501"/>
      <c r="NTI10" s="501"/>
      <c r="NTJ10" s="501"/>
      <c r="NTK10" s="501"/>
      <c r="NTL10" s="501"/>
      <c r="NTM10" s="501"/>
      <c r="NTN10" s="645"/>
      <c r="NTO10" s="646"/>
      <c r="NTP10" s="646"/>
      <c r="NTQ10" s="646"/>
      <c r="NTR10" s="646"/>
      <c r="NTS10" s="646"/>
      <c r="NTT10" s="646"/>
      <c r="NTU10" s="646"/>
      <c r="NTV10" s="646"/>
      <c r="NTW10" s="646"/>
      <c r="NTX10" s="501"/>
      <c r="NTY10" s="501"/>
      <c r="NTZ10" s="501"/>
      <c r="NUA10" s="501"/>
      <c r="NUB10" s="501"/>
      <c r="NUC10" s="501"/>
      <c r="NUD10" s="501"/>
      <c r="NUE10" s="501"/>
      <c r="NUF10" s="501"/>
      <c r="NUG10" s="501"/>
      <c r="NUH10" s="501"/>
      <c r="NUI10" s="645"/>
      <c r="NUJ10" s="646"/>
      <c r="NUK10" s="646"/>
      <c r="NUL10" s="646"/>
      <c r="NUM10" s="646"/>
      <c r="NUN10" s="646"/>
      <c r="NUO10" s="646"/>
      <c r="NUP10" s="646"/>
      <c r="NUQ10" s="646"/>
      <c r="NUR10" s="646"/>
      <c r="NUS10" s="501"/>
      <c r="NUT10" s="501"/>
      <c r="NUU10" s="501"/>
      <c r="NUV10" s="501"/>
      <c r="NUW10" s="501"/>
      <c r="NUX10" s="501"/>
      <c r="NUY10" s="501"/>
      <c r="NUZ10" s="501"/>
      <c r="NVA10" s="501"/>
      <c r="NVB10" s="501"/>
      <c r="NVC10" s="501"/>
      <c r="NVD10" s="645"/>
      <c r="NVE10" s="646"/>
      <c r="NVF10" s="646"/>
      <c r="NVG10" s="646"/>
      <c r="NVH10" s="646"/>
      <c r="NVI10" s="646"/>
      <c r="NVJ10" s="646"/>
      <c r="NVK10" s="646"/>
      <c r="NVL10" s="646"/>
      <c r="NVM10" s="646"/>
      <c r="NVN10" s="501"/>
      <c r="NVO10" s="501"/>
      <c r="NVP10" s="501"/>
      <c r="NVQ10" s="501"/>
      <c r="NVR10" s="501"/>
      <c r="NVS10" s="501"/>
      <c r="NVT10" s="501"/>
      <c r="NVU10" s="501"/>
      <c r="NVV10" s="501"/>
      <c r="NVW10" s="501"/>
      <c r="NVX10" s="501"/>
      <c r="NVY10" s="645"/>
      <c r="NVZ10" s="646"/>
      <c r="NWA10" s="646"/>
      <c r="NWB10" s="646"/>
      <c r="NWC10" s="646"/>
      <c r="NWD10" s="646"/>
      <c r="NWE10" s="646"/>
      <c r="NWF10" s="646"/>
      <c r="NWG10" s="646"/>
      <c r="NWH10" s="646"/>
      <c r="NWI10" s="501"/>
      <c r="NWJ10" s="501"/>
      <c r="NWK10" s="501"/>
      <c r="NWL10" s="501"/>
      <c r="NWM10" s="501"/>
      <c r="NWN10" s="501"/>
      <c r="NWO10" s="501"/>
      <c r="NWP10" s="501"/>
      <c r="NWQ10" s="501"/>
      <c r="NWR10" s="501"/>
      <c r="NWS10" s="501"/>
      <c r="NWT10" s="645"/>
      <c r="NWU10" s="646"/>
      <c r="NWV10" s="646"/>
      <c r="NWW10" s="646"/>
      <c r="NWX10" s="646"/>
      <c r="NWY10" s="646"/>
      <c r="NWZ10" s="646"/>
      <c r="NXA10" s="646"/>
      <c r="NXB10" s="646"/>
      <c r="NXC10" s="646"/>
      <c r="NXD10" s="501"/>
      <c r="NXE10" s="501"/>
      <c r="NXF10" s="501"/>
      <c r="NXG10" s="501"/>
      <c r="NXH10" s="501"/>
      <c r="NXI10" s="501"/>
      <c r="NXJ10" s="501"/>
      <c r="NXK10" s="501"/>
      <c r="NXL10" s="501"/>
      <c r="NXM10" s="501"/>
      <c r="NXN10" s="501"/>
      <c r="NXO10" s="645"/>
      <c r="NXP10" s="646"/>
      <c r="NXQ10" s="646"/>
      <c r="NXR10" s="646"/>
      <c r="NXS10" s="646"/>
      <c r="NXT10" s="646"/>
      <c r="NXU10" s="646"/>
      <c r="NXV10" s="646"/>
      <c r="NXW10" s="646"/>
      <c r="NXX10" s="646"/>
      <c r="NXY10" s="501"/>
      <c r="NXZ10" s="501"/>
      <c r="NYA10" s="501"/>
      <c r="NYB10" s="501"/>
      <c r="NYC10" s="501"/>
      <c r="NYD10" s="501"/>
      <c r="NYE10" s="501"/>
      <c r="NYF10" s="501"/>
      <c r="NYG10" s="501"/>
      <c r="NYH10" s="501"/>
      <c r="NYI10" s="501"/>
      <c r="NYJ10" s="645"/>
      <c r="NYK10" s="646"/>
      <c r="NYL10" s="646"/>
      <c r="NYM10" s="646"/>
      <c r="NYN10" s="646"/>
      <c r="NYO10" s="646"/>
      <c r="NYP10" s="646"/>
      <c r="NYQ10" s="646"/>
      <c r="NYR10" s="646"/>
      <c r="NYS10" s="646"/>
      <c r="NYT10" s="501"/>
      <c r="NYU10" s="501"/>
      <c r="NYV10" s="501"/>
      <c r="NYW10" s="501"/>
      <c r="NYX10" s="501"/>
      <c r="NYY10" s="501"/>
      <c r="NYZ10" s="501"/>
      <c r="NZA10" s="501"/>
      <c r="NZB10" s="501"/>
      <c r="NZC10" s="501"/>
      <c r="NZD10" s="501"/>
      <c r="NZE10" s="645"/>
      <c r="NZF10" s="646"/>
      <c r="NZG10" s="646"/>
      <c r="NZH10" s="646"/>
      <c r="NZI10" s="646"/>
      <c r="NZJ10" s="646"/>
      <c r="NZK10" s="646"/>
      <c r="NZL10" s="646"/>
      <c r="NZM10" s="646"/>
      <c r="NZN10" s="646"/>
      <c r="NZO10" s="501"/>
      <c r="NZP10" s="501"/>
      <c r="NZQ10" s="501"/>
      <c r="NZR10" s="501"/>
      <c r="NZS10" s="501"/>
      <c r="NZT10" s="501"/>
      <c r="NZU10" s="501"/>
      <c r="NZV10" s="501"/>
      <c r="NZW10" s="501"/>
      <c r="NZX10" s="501"/>
      <c r="NZY10" s="501"/>
      <c r="NZZ10" s="645"/>
      <c r="OAA10" s="646"/>
      <c r="OAB10" s="646"/>
      <c r="OAC10" s="646"/>
      <c r="OAD10" s="646"/>
      <c r="OAE10" s="646"/>
      <c r="OAF10" s="646"/>
      <c r="OAG10" s="646"/>
      <c r="OAH10" s="646"/>
      <c r="OAI10" s="646"/>
      <c r="OAJ10" s="501"/>
      <c r="OAK10" s="501"/>
      <c r="OAL10" s="501"/>
      <c r="OAM10" s="501"/>
      <c r="OAN10" s="501"/>
      <c r="OAO10" s="501"/>
      <c r="OAP10" s="501"/>
      <c r="OAQ10" s="501"/>
      <c r="OAR10" s="501"/>
      <c r="OAS10" s="501"/>
      <c r="OAT10" s="501"/>
      <c r="OAU10" s="645"/>
      <c r="OAV10" s="646"/>
      <c r="OAW10" s="646"/>
      <c r="OAX10" s="646"/>
      <c r="OAY10" s="646"/>
      <c r="OAZ10" s="646"/>
      <c r="OBA10" s="646"/>
      <c r="OBB10" s="646"/>
      <c r="OBC10" s="646"/>
      <c r="OBD10" s="646"/>
      <c r="OBE10" s="501"/>
      <c r="OBF10" s="501"/>
      <c r="OBG10" s="501"/>
      <c r="OBH10" s="501"/>
      <c r="OBI10" s="501"/>
      <c r="OBJ10" s="501"/>
      <c r="OBK10" s="501"/>
      <c r="OBL10" s="501"/>
      <c r="OBM10" s="501"/>
      <c r="OBN10" s="501"/>
      <c r="OBO10" s="501"/>
      <c r="OBP10" s="645"/>
      <c r="OBQ10" s="646"/>
      <c r="OBR10" s="646"/>
      <c r="OBS10" s="646"/>
      <c r="OBT10" s="646"/>
      <c r="OBU10" s="646"/>
      <c r="OBV10" s="646"/>
      <c r="OBW10" s="646"/>
      <c r="OBX10" s="646"/>
      <c r="OBY10" s="646"/>
      <c r="OBZ10" s="501"/>
      <c r="OCA10" s="501"/>
      <c r="OCB10" s="501"/>
      <c r="OCC10" s="501"/>
      <c r="OCD10" s="501"/>
      <c r="OCE10" s="501"/>
      <c r="OCF10" s="501"/>
      <c r="OCG10" s="501"/>
      <c r="OCH10" s="501"/>
      <c r="OCI10" s="501"/>
      <c r="OCJ10" s="501"/>
      <c r="OCK10" s="645"/>
      <c r="OCL10" s="646"/>
      <c r="OCM10" s="646"/>
      <c r="OCN10" s="646"/>
      <c r="OCO10" s="646"/>
      <c r="OCP10" s="646"/>
      <c r="OCQ10" s="646"/>
      <c r="OCR10" s="646"/>
      <c r="OCS10" s="646"/>
      <c r="OCT10" s="646"/>
      <c r="OCU10" s="501"/>
      <c r="OCV10" s="501"/>
      <c r="OCW10" s="501"/>
      <c r="OCX10" s="501"/>
      <c r="OCY10" s="501"/>
      <c r="OCZ10" s="501"/>
      <c r="ODA10" s="501"/>
      <c r="ODB10" s="501"/>
      <c r="ODC10" s="501"/>
      <c r="ODD10" s="501"/>
      <c r="ODE10" s="501"/>
      <c r="ODF10" s="645"/>
      <c r="ODG10" s="646"/>
      <c r="ODH10" s="646"/>
      <c r="ODI10" s="646"/>
      <c r="ODJ10" s="646"/>
      <c r="ODK10" s="646"/>
      <c r="ODL10" s="646"/>
      <c r="ODM10" s="646"/>
      <c r="ODN10" s="646"/>
      <c r="ODO10" s="646"/>
      <c r="ODP10" s="501"/>
      <c r="ODQ10" s="501"/>
      <c r="ODR10" s="501"/>
      <c r="ODS10" s="501"/>
      <c r="ODT10" s="501"/>
      <c r="ODU10" s="501"/>
      <c r="ODV10" s="501"/>
      <c r="ODW10" s="501"/>
      <c r="ODX10" s="501"/>
      <c r="ODY10" s="501"/>
      <c r="ODZ10" s="501"/>
      <c r="OEA10" s="645"/>
      <c r="OEB10" s="646"/>
      <c r="OEC10" s="646"/>
      <c r="OED10" s="646"/>
      <c r="OEE10" s="646"/>
      <c r="OEF10" s="646"/>
      <c r="OEG10" s="646"/>
      <c r="OEH10" s="646"/>
      <c r="OEI10" s="646"/>
      <c r="OEJ10" s="646"/>
      <c r="OEK10" s="501"/>
      <c r="OEL10" s="501"/>
      <c r="OEM10" s="501"/>
      <c r="OEN10" s="501"/>
      <c r="OEO10" s="501"/>
      <c r="OEP10" s="501"/>
      <c r="OEQ10" s="501"/>
      <c r="OER10" s="501"/>
      <c r="OES10" s="501"/>
      <c r="OET10" s="501"/>
      <c r="OEU10" s="501"/>
      <c r="OEV10" s="645"/>
      <c r="OEW10" s="646"/>
      <c r="OEX10" s="646"/>
      <c r="OEY10" s="646"/>
      <c r="OEZ10" s="646"/>
      <c r="OFA10" s="646"/>
      <c r="OFB10" s="646"/>
      <c r="OFC10" s="646"/>
      <c r="OFD10" s="646"/>
      <c r="OFE10" s="646"/>
      <c r="OFF10" s="501"/>
      <c r="OFG10" s="501"/>
      <c r="OFH10" s="501"/>
      <c r="OFI10" s="501"/>
      <c r="OFJ10" s="501"/>
      <c r="OFK10" s="501"/>
      <c r="OFL10" s="501"/>
      <c r="OFM10" s="501"/>
      <c r="OFN10" s="501"/>
      <c r="OFO10" s="501"/>
      <c r="OFP10" s="501"/>
      <c r="OFQ10" s="645"/>
      <c r="OFR10" s="646"/>
      <c r="OFS10" s="646"/>
      <c r="OFT10" s="646"/>
      <c r="OFU10" s="646"/>
      <c r="OFV10" s="646"/>
      <c r="OFW10" s="646"/>
      <c r="OFX10" s="646"/>
      <c r="OFY10" s="646"/>
      <c r="OFZ10" s="646"/>
      <c r="OGA10" s="501"/>
      <c r="OGB10" s="501"/>
      <c r="OGC10" s="501"/>
      <c r="OGD10" s="501"/>
      <c r="OGE10" s="501"/>
      <c r="OGF10" s="501"/>
      <c r="OGG10" s="501"/>
      <c r="OGH10" s="501"/>
      <c r="OGI10" s="501"/>
      <c r="OGJ10" s="501"/>
      <c r="OGK10" s="501"/>
      <c r="OGL10" s="645"/>
      <c r="OGM10" s="646"/>
      <c r="OGN10" s="646"/>
      <c r="OGO10" s="646"/>
      <c r="OGP10" s="646"/>
      <c r="OGQ10" s="646"/>
      <c r="OGR10" s="646"/>
      <c r="OGS10" s="646"/>
      <c r="OGT10" s="646"/>
      <c r="OGU10" s="646"/>
      <c r="OGV10" s="501"/>
      <c r="OGW10" s="501"/>
      <c r="OGX10" s="501"/>
      <c r="OGY10" s="501"/>
      <c r="OGZ10" s="501"/>
      <c r="OHA10" s="501"/>
      <c r="OHB10" s="501"/>
      <c r="OHC10" s="501"/>
      <c r="OHD10" s="501"/>
      <c r="OHE10" s="501"/>
      <c r="OHF10" s="501"/>
      <c r="OHG10" s="645"/>
      <c r="OHH10" s="646"/>
      <c r="OHI10" s="646"/>
      <c r="OHJ10" s="646"/>
      <c r="OHK10" s="646"/>
      <c r="OHL10" s="646"/>
      <c r="OHM10" s="646"/>
      <c r="OHN10" s="646"/>
      <c r="OHO10" s="646"/>
      <c r="OHP10" s="646"/>
      <c r="OHQ10" s="501"/>
      <c r="OHR10" s="501"/>
      <c r="OHS10" s="501"/>
      <c r="OHT10" s="501"/>
      <c r="OHU10" s="501"/>
      <c r="OHV10" s="501"/>
      <c r="OHW10" s="501"/>
      <c r="OHX10" s="501"/>
      <c r="OHY10" s="501"/>
      <c r="OHZ10" s="501"/>
      <c r="OIA10" s="501"/>
      <c r="OIB10" s="645"/>
      <c r="OIC10" s="646"/>
      <c r="OID10" s="646"/>
      <c r="OIE10" s="646"/>
      <c r="OIF10" s="646"/>
      <c r="OIG10" s="646"/>
      <c r="OIH10" s="646"/>
      <c r="OII10" s="646"/>
      <c r="OIJ10" s="646"/>
      <c r="OIK10" s="646"/>
      <c r="OIL10" s="501"/>
      <c r="OIM10" s="501"/>
      <c r="OIN10" s="501"/>
      <c r="OIO10" s="501"/>
      <c r="OIP10" s="501"/>
      <c r="OIQ10" s="501"/>
      <c r="OIR10" s="501"/>
      <c r="OIS10" s="501"/>
      <c r="OIT10" s="501"/>
      <c r="OIU10" s="501"/>
      <c r="OIV10" s="501"/>
      <c r="OIW10" s="645"/>
      <c r="OIX10" s="646"/>
      <c r="OIY10" s="646"/>
      <c r="OIZ10" s="646"/>
      <c r="OJA10" s="646"/>
      <c r="OJB10" s="646"/>
      <c r="OJC10" s="646"/>
      <c r="OJD10" s="646"/>
      <c r="OJE10" s="646"/>
      <c r="OJF10" s="646"/>
      <c r="OJG10" s="501"/>
      <c r="OJH10" s="501"/>
      <c r="OJI10" s="501"/>
      <c r="OJJ10" s="501"/>
      <c r="OJK10" s="501"/>
      <c r="OJL10" s="501"/>
      <c r="OJM10" s="501"/>
      <c r="OJN10" s="501"/>
      <c r="OJO10" s="501"/>
      <c r="OJP10" s="501"/>
      <c r="OJQ10" s="501"/>
      <c r="OJR10" s="645"/>
      <c r="OJS10" s="646"/>
      <c r="OJT10" s="646"/>
      <c r="OJU10" s="646"/>
      <c r="OJV10" s="646"/>
      <c r="OJW10" s="646"/>
      <c r="OJX10" s="646"/>
      <c r="OJY10" s="646"/>
      <c r="OJZ10" s="646"/>
      <c r="OKA10" s="646"/>
      <c r="OKB10" s="501"/>
      <c r="OKC10" s="501"/>
      <c r="OKD10" s="501"/>
      <c r="OKE10" s="501"/>
      <c r="OKF10" s="501"/>
      <c r="OKG10" s="501"/>
      <c r="OKH10" s="501"/>
      <c r="OKI10" s="501"/>
      <c r="OKJ10" s="501"/>
      <c r="OKK10" s="501"/>
      <c r="OKL10" s="501"/>
      <c r="OKM10" s="645"/>
      <c r="OKN10" s="646"/>
      <c r="OKO10" s="646"/>
      <c r="OKP10" s="646"/>
      <c r="OKQ10" s="646"/>
      <c r="OKR10" s="646"/>
      <c r="OKS10" s="646"/>
      <c r="OKT10" s="646"/>
      <c r="OKU10" s="646"/>
      <c r="OKV10" s="646"/>
      <c r="OKW10" s="501"/>
      <c r="OKX10" s="501"/>
      <c r="OKY10" s="501"/>
      <c r="OKZ10" s="501"/>
      <c r="OLA10" s="501"/>
      <c r="OLB10" s="501"/>
      <c r="OLC10" s="501"/>
      <c r="OLD10" s="501"/>
      <c r="OLE10" s="501"/>
      <c r="OLF10" s="501"/>
      <c r="OLG10" s="501"/>
      <c r="OLH10" s="645"/>
      <c r="OLI10" s="646"/>
      <c r="OLJ10" s="646"/>
      <c r="OLK10" s="646"/>
      <c r="OLL10" s="646"/>
      <c r="OLM10" s="646"/>
      <c r="OLN10" s="646"/>
      <c r="OLO10" s="646"/>
      <c r="OLP10" s="646"/>
      <c r="OLQ10" s="646"/>
      <c r="OLR10" s="501"/>
      <c r="OLS10" s="501"/>
      <c r="OLT10" s="501"/>
      <c r="OLU10" s="501"/>
      <c r="OLV10" s="501"/>
      <c r="OLW10" s="501"/>
      <c r="OLX10" s="501"/>
      <c r="OLY10" s="501"/>
      <c r="OLZ10" s="501"/>
      <c r="OMA10" s="501"/>
      <c r="OMB10" s="501"/>
      <c r="OMC10" s="645"/>
      <c r="OMD10" s="646"/>
      <c r="OME10" s="646"/>
      <c r="OMF10" s="646"/>
      <c r="OMG10" s="646"/>
      <c r="OMH10" s="646"/>
      <c r="OMI10" s="646"/>
      <c r="OMJ10" s="646"/>
      <c r="OMK10" s="646"/>
      <c r="OML10" s="646"/>
      <c r="OMM10" s="501"/>
      <c r="OMN10" s="501"/>
      <c r="OMO10" s="501"/>
      <c r="OMP10" s="501"/>
      <c r="OMQ10" s="501"/>
      <c r="OMR10" s="501"/>
      <c r="OMS10" s="501"/>
      <c r="OMT10" s="501"/>
      <c r="OMU10" s="501"/>
      <c r="OMV10" s="501"/>
      <c r="OMW10" s="501"/>
      <c r="OMX10" s="645"/>
      <c r="OMY10" s="646"/>
      <c r="OMZ10" s="646"/>
      <c r="ONA10" s="646"/>
      <c r="ONB10" s="646"/>
      <c r="ONC10" s="646"/>
      <c r="OND10" s="646"/>
      <c r="ONE10" s="646"/>
      <c r="ONF10" s="646"/>
      <c r="ONG10" s="646"/>
      <c r="ONH10" s="501"/>
      <c r="ONI10" s="501"/>
      <c r="ONJ10" s="501"/>
      <c r="ONK10" s="501"/>
      <c r="ONL10" s="501"/>
      <c r="ONM10" s="501"/>
      <c r="ONN10" s="501"/>
      <c r="ONO10" s="501"/>
      <c r="ONP10" s="501"/>
      <c r="ONQ10" s="501"/>
      <c r="ONR10" s="501"/>
      <c r="ONS10" s="645"/>
      <c r="ONT10" s="646"/>
      <c r="ONU10" s="646"/>
      <c r="ONV10" s="646"/>
      <c r="ONW10" s="646"/>
      <c r="ONX10" s="646"/>
      <c r="ONY10" s="646"/>
      <c r="ONZ10" s="646"/>
      <c r="OOA10" s="646"/>
      <c r="OOB10" s="646"/>
      <c r="OOC10" s="501"/>
      <c r="OOD10" s="501"/>
      <c r="OOE10" s="501"/>
      <c r="OOF10" s="501"/>
      <c r="OOG10" s="501"/>
      <c r="OOH10" s="501"/>
      <c r="OOI10" s="501"/>
      <c r="OOJ10" s="501"/>
      <c r="OOK10" s="501"/>
      <c r="OOL10" s="501"/>
      <c r="OOM10" s="501"/>
      <c r="OON10" s="645"/>
      <c r="OOO10" s="646"/>
      <c r="OOP10" s="646"/>
      <c r="OOQ10" s="646"/>
      <c r="OOR10" s="646"/>
      <c r="OOS10" s="646"/>
      <c r="OOT10" s="646"/>
      <c r="OOU10" s="646"/>
      <c r="OOV10" s="646"/>
      <c r="OOW10" s="646"/>
      <c r="OOX10" s="501"/>
      <c r="OOY10" s="501"/>
      <c r="OOZ10" s="501"/>
      <c r="OPA10" s="501"/>
      <c r="OPB10" s="501"/>
      <c r="OPC10" s="501"/>
      <c r="OPD10" s="501"/>
      <c r="OPE10" s="501"/>
      <c r="OPF10" s="501"/>
      <c r="OPG10" s="501"/>
      <c r="OPH10" s="501"/>
      <c r="OPI10" s="645"/>
      <c r="OPJ10" s="646"/>
      <c r="OPK10" s="646"/>
      <c r="OPL10" s="646"/>
      <c r="OPM10" s="646"/>
      <c r="OPN10" s="646"/>
      <c r="OPO10" s="646"/>
      <c r="OPP10" s="646"/>
      <c r="OPQ10" s="646"/>
      <c r="OPR10" s="646"/>
      <c r="OPS10" s="501"/>
      <c r="OPT10" s="501"/>
      <c r="OPU10" s="501"/>
      <c r="OPV10" s="501"/>
      <c r="OPW10" s="501"/>
      <c r="OPX10" s="501"/>
      <c r="OPY10" s="501"/>
      <c r="OPZ10" s="501"/>
      <c r="OQA10" s="501"/>
      <c r="OQB10" s="501"/>
      <c r="OQC10" s="501"/>
      <c r="OQD10" s="645"/>
      <c r="OQE10" s="646"/>
      <c r="OQF10" s="646"/>
      <c r="OQG10" s="646"/>
      <c r="OQH10" s="646"/>
      <c r="OQI10" s="646"/>
      <c r="OQJ10" s="646"/>
      <c r="OQK10" s="646"/>
      <c r="OQL10" s="646"/>
      <c r="OQM10" s="646"/>
      <c r="OQN10" s="501"/>
      <c r="OQO10" s="501"/>
      <c r="OQP10" s="501"/>
      <c r="OQQ10" s="501"/>
      <c r="OQR10" s="501"/>
      <c r="OQS10" s="501"/>
      <c r="OQT10" s="501"/>
      <c r="OQU10" s="501"/>
      <c r="OQV10" s="501"/>
      <c r="OQW10" s="501"/>
      <c r="OQX10" s="501"/>
      <c r="OQY10" s="645"/>
      <c r="OQZ10" s="646"/>
      <c r="ORA10" s="646"/>
      <c r="ORB10" s="646"/>
      <c r="ORC10" s="646"/>
      <c r="ORD10" s="646"/>
      <c r="ORE10" s="646"/>
      <c r="ORF10" s="646"/>
      <c r="ORG10" s="646"/>
      <c r="ORH10" s="646"/>
      <c r="ORI10" s="501"/>
      <c r="ORJ10" s="501"/>
      <c r="ORK10" s="501"/>
      <c r="ORL10" s="501"/>
      <c r="ORM10" s="501"/>
      <c r="ORN10" s="501"/>
      <c r="ORO10" s="501"/>
      <c r="ORP10" s="501"/>
      <c r="ORQ10" s="501"/>
      <c r="ORR10" s="501"/>
      <c r="ORS10" s="501"/>
      <c r="ORT10" s="645"/>
      <c r="ORU10" s="646"/>
      <c r="ORV10" s="646"/>
      <c r="ORW10" s="646"/>
      <c r="ORX10" s="646"/>
      <c r="ORY10" s="646"/>
      <c r="ORZ10" s="646"/>
      <c r="OSA10" s="646"/>
      <c r="OSB10" s="646"/>
      <c r="OSC10" s="646"/>
      <c r="OSD10" s="501"/>
      <c r="OSE10" s="501"/>
      <c r="OSF10" s="501"/>
      <c r="OSG10" s="501"/>
      <c r="OSH10" s="501"/>
      <c r="OSI10" s="501"/>
      <c r="OSJ10" s="501"/>
      <c r="OSK10" s="501"/>
      <c r="OSL10" s="501"/>
      <c r="OSM10" s="501"/>
      <c r="OSN10" s="501"/>
      <c r="OSO10" s="645"/>
      <c r="OSP10" s="646"/>
      <c r="OSQ10" s="646"/>
      <c r="OSR10" s="646"/>
      <c r="OSS10" s="646"/>
      <c r="OST10" s="646"/>
      <c r="OSU10" s="646"/>
      <c r="OSV10" s="646"/>
      <c r="OSW10" s="646"/>
      <c r="OSX10" s="646"/>
      <c r="OSY10" s="501"/>
      <c r="OSZ10" s="501"/>
      <c r="OTA10" s="501"/>
      <c r="OTB10" s="501"/>
      <c r="OTC10" s="501"/>
      <c r="OTD10" s="501"/>
      <c r="OTE10" s="501"/>
      <c r="OTF10" s="501"/>
      <c r="OTG10" s="501"/>
      <c r="OTH10" s="501"/>
      <c r="OTI10" s="501"/>
      <c r="OTJ10" s="645"/>
      <c r="OTK10" s="646"/>
      <c r="OTL10" s="646"/>
      <c r="OTM10" s="646"/>
      <c r="OTN10" s="646"/>
      <c r="OTO10" s="646"/>
      <c r="OTP10" s="646"/>
      <c r="OTQ10" s="646"/>
      <c r="OTR10" s="646"/>
      <c r="OTS10" s="646"/>
      <c r="OTT10" s="501"/>
      <c r="OTU10" s="501"/>
      <c r="OTV10" s="501"/>
      <c r="OTW10" s="501"/>
      <c r="OTX10" s="501"/>
      <c r="OTY10" s="501"/>
      <c r="OTZ10" s="501"/>
      <c r="OUA10" s="501"/>
      <c r="OUB10" s="501"/>
      <c r="OUC10" s="501"/>
      <c r="OUD10" s="501"/>
      <c r="OUE10" s="645"/>
      <c r="OUF10" s="646"/>
      <c r="OUG10" s="646"/>
      <c r="OUH10" s="646"/>
      <c r="OUI10" s="646"/>
      <c r="OUJ10" s="646"/>
      <c r="OUK10" s="646"/>
      <c r="OUL10" s="646"/>
      <c r="OUM10" s="646"/>
      <c r="OUN10" s="646"/>
      <c r="OUO10" s="501"/>
      <c r="OUP10" s="501"/>
      <c r="OUQ10" s="501"/>
      <c r="OUR10" s="501"/>
      <c r="OUS10" s="501"/>
      <c r="OUT10" s="501"/>
      <c r="OUU10" s="501"/>
      <c r="OUV10" s="501"/>
      <c r="OUW10" s="501"/>
      <c r="OUX10" s="501"/>
      <c r="OUY10" s="501"/>
      <c r="OUZ10" s="645"/>
      <c r="OVA10" s="646"/>
      <c r="OVB10" s="646"/>
      <c r="OVC10" s="646"/>
      <c r="OVD10" s="646"/>
      <c r="OVE10" s="646"/>
      <c r="OVF10" s="646"/>
      <c r="OVG10" s="646"/>
      <c r="OVH10" s="646"/>
      <c r="OVI10" s="646"/>
      <c r="OVJ10" s="501"/>
      <c r="OVK10" s="501"/>
      <c r="OVL10" s="501"/>
      <c r="OVM10" s="501"/>
      <c r="OVN10" s="501"/>
      <c r="OVO10" s="501"/>
      <c r="OVP10" s="501"/>
      <c r="OVQ10" s="501"/>
      <c r="OVR10" s="501"/>
      <c r="OVS10" s="501"/>
      <c r="OVT10" s="501"/>
      <c r="OVU10" s="645"/>
      <c r="OVV10" s="646"/>
      <c r="OVW10" s="646"/>
      <c r="OVX10" s="646"/>
      <c r="OVY10" s="646"/>
      <c r="OVZ10" s="646"/>
      <c r="OWA10" s="646"/>
      <c r="OWB10" s="646"/>
      <c r="OWC10" s="646"/>
      <c r="OWD10" s="646"/>
      <c r="OWE10" s="501"/>
      <c r="OWF10" s="501"/>
      <c r="OWG10" s="501"/>
      <c r="OWH10" s="501"/>
      <c r="OWI10" s="501"/>
      <c r="OWJ10" s="501"/>
      <c r="OWK10" s="501"/>
      <c r="OWL10" s="501"/>
      <c r="OWM10" s="501"/>
      <c r="OWN10" s="501"/>
      <c r="OWO10" s="501"/>
      <c r="OWP10" s="645"/>
      <c r="OWQ10" s="646"/>
      <c r="OWR10" s="646"/>
      <c r="OWS10" s="646"/>
      <c r="OWT10" s="646"/>
      <c r="OWU10" s="646"/>
      <c r="OWV10" s="646"/>
      <c r="OWW10" s="646"/>
      <c r="OWX10" s="646"/>
      <c r="OWY10" s="646"/>
      <c r="OWZ10" s="501"/>
      <c r="OXA10" s="501"/>
      <c r="OXB10" s="501"/>
      <c r="OXC10" s="501"/>
      <c r="OXD10" s="501"/>
      <c r="OXE10" s="501"/>
      <c r="OXF10" s="501"/>
      <c r="OXG10" s="501"/>
      <c r="OXH10" s="501"/>
      <c r="OXI10" s="501"/>
      <c r="OXJ10" s="501"/>
      <c r="OXK10" s="645"/>
      <c r="OXL10" s="646"/>
      <c r="OXM10" s="646"/>
      <c r="OXN10" s="646"/>
      <c r="OXO10" s="646"/>
      <c r="OXP10" s="646"/>
      <c r="OXQ10" s="646"/>
      <c r="OXR10" s="646"/>
      <c r="OXS10" s="646"/>
      <c r="OXT10" s="646"/>
      <c r="OXU10" s="501"/>
      <c r="OXV10" s="501"/>
      <c r="OXW10" s="501"/>
      <c r="OXX10" s="501"/>
      <c r="OXY10" s="501"/>
      <c r="OXZ10" s="501"/>
      <c r="OYA10" s="501"/>
      <c r="OYB10" s="501"/>
      <c r="OYC10" s="501"/>
      <c r="OYD10" s="501"/>
      <c r="OYE10" s="501"/>
      <c r="OYF10" s="645"/>
      <c r="OYG10" s="646"/>
      <c r="OYH10" s="646"/>
      <c r="OYI10" s="646"/>
      <c r="OYJ10" s="646"/>
      <c r="OYK10" s="646"/>
      <c r="OYL10" s="646"/>
      <c r="OYM10" s="646"/>
      <c r="OYN10" s="646"/>
      <c r="OYO10" s="646"/>
      <c r="OYP10" s="501"/>
      <c r="OYQ10" s="501"/>
      <c r="OYR10" s="501"/>
      <c r="OYS10" s="501"/>
      <c r="OYT10" s="501"/>
      <c r="OYU10" s="501"/>
      <c r="OYV10" s="501"/>
      <c r="OYW10" s="501"/>
      <c r="OYX10" s="501"/>
      <c r="OYY10" s="501"/>
      <c r="OYZ10" s="501"/>
      <c r="OZA10" s="645"/>
      <c r="OZB10" s="646"/>
      <c r="OZC10" s="646"/>
      <c r="OZD10" s="646"/>
      <c r="OZE10" s="646"/>
      <c r="OZF10" s="646"/>
      <c r="OZG10" s="646"/>
      <c r="OZH10" s="646"/>
      <c r="OZI10" s="646"/>
      <c r="OZJ10" s="646"/>
      <c r="OZK10" s="501"/>
      <c r="OZL10" s="501"/>
      <c r="OZM10" s="501"/>
      <c r="OZN10" s="501"/>
      <c r="OZO10" s="501"/>
      <c r="OZP10" s="501"/>
      <c r="OZQ10" s="501"/>
      <c r="OZR10" s="501"/>
      <c r="OZS10" s="501"/>
      <c r="OZT10" s="501"/>
      <c r="OZU10" s="501"/>
      <c r="OZV10" s="645"/>
      <c r="OZW10" s="646"/>
      <c r="OZX10" s="646"/>
      <c r="OZY10" s="646"/>
      <c r="OZZ10" s="646"/>
      <c r="PAA10" s="646"/>
      <c r="PAB10" s="646"/>
      <c r="PAC10" s="646"/>
      <c r="PAD10" s="646"/>
      <c r="PAE10" s="646"/>
      <c r="PAF10" s="501"/>
      <c r="PAG10" s="501"/>
      <c r="PAH10" s="501"/>
      <c r="PAI10" s="501"/>
      <c r="PAJ10" s="501"/>
      <c r="PAK10" s="501"/>
      <c r="PAL10" s="501"/>
      <c r="PAM10" s="501"/>
      <c r="PAN10" s="501"/>
      <c r="PAO10" s="501"/>
      <c r="PAP10" s="501"/>
      <c r="PAQ10" s="645"/>
      <c r="PAR10" s="646"/>
      <c r="PAS10" s="646"/>
      <c r="PAT10" s="646"/>
      <c r="PAU10" s="646"/>
      <c r="PAV10" s="646"/>
      <c r="PAW10" s="646"/>
      <c r="PAX10" s="646"/>
      <c r="PAY10" s="646"/>
      <c r="PAZ10" s="646"/>
      <c r="PBA10" s="501"/>
      <c r="PBB10" s="501"/>
      <c r="PBC10" s="501"/>
      <c r="PBD10" s="501"/>
      <c r="PBE10" s="501"/>
      <c r="PBF10" s="501"/>
      <c r="PBG10" s="501"/>
      <c r="PBH10" s="501"/>
      <c r="PBI10" s="501"/>
      <c r="PBJ10" s="501"/>
      <c r="PBK10" s="501"/>
      <c r="PBL10" s="645"/>
      <c r="PBM10" s="646"/>
      <c r="PBN10" s="646"/>
      <c r="PBO10" s="646"/>
      <c r="PBP10" s="646"/>
      <c r="PBQ10" s="646"/>
      <c r="PBR10" s="646"/>
      <c r="PBS10" s="646"/>
      <c r="PBT10" s="646"/>
      <c r="PBU10" s="646"/>
      <c r="PBV10" s="501"/>
      <c r="PBW10" s="501"/>
      <c r="PBX10" s="501"/>
      <c r="PBY10" s="501"/>
      <c r="PBZ10" s="501"/>
      <c r="PCA10" s="501"/>
      <c r="PCB10" s="501"/>
      <c r="PCC10" s="501"/>
      <c r="PCD10" s="501"/>
      <c r="PCE10" s="501"/>
      <c r="PCF10" s="501"/>
      <c r="PCG10" s="645"/>
      <c r="PCH10" s="646"/>
      <c r="PCI10" s="646"/>
      <c r="PCJ10" s="646"/>
      <c r="PCK10" s="646"/>
      <c r="PCL10" s="646"/>
      <c r="PCM10" s="646"/>
      <c r="PCN10" s="646"/>
      <c r="PCO10" s="646"/>
      <c r="PCP10" s="646"/>
      <c r="PCQ10" s="501"/>
      <c r="PCR10" s="501"/>
      <c r="PCS10" s="501"/>
      <c r="PCT10" s="501"/>
      <c r="PCU10" s="501"/>
      <c r="PCV10" s="501"/>
      <c r="PCW10" s="501"/>
      <c r="PCX10" s="501"/>
      <c r="PCY10" s="501"/>
      <c r="PCZ10" s="501"/>
      <c r="PDA10" s="501"/>
      <c r="PDB10" s="645"/>
      <c r="PDC10" s="646"/>
      <c r="PDD10" s="646"/>
      <c r="PDE10" s="646"/>
      <c r="PDF10" s="646"/>
      <c r="PDG10" s="646"/>
      <c r="PDH10" s="646"/>
      <c r="PDI10" s="646"/>
      <c r="PDJ10" s="646"/>
      <c r="PDK10" s="646"/>
      <c r="PDL10" s="501"/>
      <c r="PDM10" s="501"/>
      <c r="PDN10" s="501"/>
      <c r="PDO10" s="501"/>
      <c r="PDP10" s="501"/>
      <c r="PDQ10" s="501"/>
      <c r="PDR10" s="501"/>
      <c r="PDS10" s="501"/>
      <c r="PDT10" s="501"/>
      <c r="PDU10" s="501"/>
      <c r="PDV10" s="501"/>
      <c r="PDW10" s="645"/>
      <c r="PDX10" s="646"/>
      <c r="PDY10" s="646"/>
      <c r="PDZ10" s="646"/>
      <c r="PEA10" s="646"/>
      <c r="PEB10" s="646"/>
      <c r="PEC10" s="646"/>
      <c r="PED10" s="646"/>
      <c r="PEE10" s="646"/>
      <c r="PEF10" s="646"/>
      <c r="PEG10" s="501"/>
      <c r="PEH10" s="501"/>
      <c r="PEI10" s="501"/>
      <c r="PEJ10" s="501"/>
      <c r="PEK10" s="501"/>
      <c r="PEL10" s="501"/>
      <c r="PEM10" s="501"/>
      <c r="PEN10" s="501"/>
      <c r="PEO10" s="501"/>
      <c r="PEP10" s="501"/>
      <c r="PEQ10" s="501"/>
      <c r="PER10" s="645"/>
      <c r="PES10" s="646"/>
      <c r="PET10" s="646"/>
      <c r="PEU10" s="646"/>
      <c r="PEV10" s="646"/>
      <c r="PEW10" s="646"/>
      <c r="PEX10" s="646"/>
      <c r="PEY10" s="646"/>
      <c r="PEZ10" s="646"/>
      <c r="PFA10" s="646"/>
      <c r="PFB10" s="501"/>
      <c r="PFC10" s="501"/>
      <c r="PFD10" s="501"/>
      <c r="PFE10" s="501"/>
      <c r="PFF10" s="501"/>
      <c r="PFG10" s="501"/>
      <c r="PFH10" s="501"/>
      <c r="PFI10" s="501"/>
      <c r="PFJ10" s="501"/>
      <c r="PFK10" s="501"/>
      <c r="PFL10" s="501"/>
      <c r="PFM10" s="645"/>
      <c r="PFN10" s="646"/>
      <c r="PFO10" s="646"/>
      <c r="PFP10" s="646"/>
      <c r="PFQ10" s="646"/>
      <c r="PFR10" s="646"/>
      <c r="PFS10" s="646"/>
      <c r="PFT10" s="646"/>
      <c r="PFU10" s="646"/>
      <c r="PFV10" s="646"/>
      <c r="PFW10" s="501"/>
      <c r="PFX10" s="501"/>
      <c r="PFY10" s="501"/>
      <c r="PFZ10" s="501"/>
      <c r="PGA10" s="501"/>
      <c r="PGB10" s="501"/>
      <c r="PGC10" s="501"/>
      <c r="PGD10" s="501"/>
      <c r="PGE10" s="501"/>
      <c r="PGF10" s="501"/>
      <c r="PGG10" s="501"/>
      <c r="PGH10" s="645"/>
      <c r="PGI10" s="646"/>
      <c r="PGJ10" s="646"/>
      <c r="PGK10" s="646"/>
      <c r="PGL10" s="646"/>
      <c r="PGM10" s="646"/>
      <c r="PGN10" s="646"/>
      <c r="PGO10" s="646"/>
      <c r="PGP10" s="646"/>
      <c r="PGQ10" s="646"/>
      <c r="PGR10" s="501"/>
      <c r="PGS10" s="501"/>
      <c r="PGT10" s="501"/>
      <c r="PGU10" s="501"/>
      <c r="PGV10" s="501"/>
      <c r="PGW10" s="501"/>
      <c r="PGX10" s="501"/>
      <c r="PGY10" s="501"/>
      <c r="PGZ10" s="501"/>
      <c r="PHA10" s="501"/>
      <c r="PHB10" s="501"/>
      <c r="PHC10" s="645"/>
      <c r="PHD10" s="646"/>
      <c r="PHE10" s="646"/>
      <c r="PHF10" s="646"/>
      <c r="PHG10" s="646"/>
      <c r="PHH10" s="646"/>
      <c r="PHI10" s="646"/>
      <c r="PHJ10" s="646"/>
      <c r="PHK10" s="646"/>
      <c r="PHL10" s="646"/>
      <c r="PHM10" s="501"/>
      <c r="PHN10" s="501"/>
      <c r="PHO10" s="501"/>
      <c r="PHP10" s="501"/>
      <c r="PHQ10" s="501"/>
      <c r="PHR10" s="501"/>
      <c r="PHS10" s="501"/>
      <c r="PHT10" s="501"/>
      <c r="PHU10" s="501"/>
      <c r="PHV10" s="501"/>
      <c r="PHW10" s="501"/>
      <c r="PHX10" s="645"/>
      <c r="PHY10" s="646"/>
      <c r="PHZ10" s="646"/>
      <c r="PIA10" s="646"/>
      <c r="PIB10" s="646"/>
      <c r="PIC10" s="646"/>
      <c r="PID10" s="646"/>
      <c r="PIE10" s="646"/>
      <c r="PIF10" s="646"/>
      <c r="PIG10" s="646"/>
      <c r="PIH10" s="501"/>
      <c r="PII10" s="501"/>
      <c r="PIJ10" s="501"/>
      <c r="PIK10" s="501"/>
      <c r="PIL10" s="501"/>
      <c r="PIM10" s="501"/>
      <c r="PIN10" s="501"/>
      <c r="PIO10" s="501"/>
      <c r="PIP10" s="501"/>
      <c r="PIQ10" s="501"/>
      <c r="PIR10" s="501"/>
      <c r="PIS10" s="645"/>
      <c r="PIT10" s="646"/>
      <c r="PIU10" s="646"/>
      <c r="PIV10" s="646"/>
      <c r="PIW10" s="646"/>
      <c r="PIX10" s="646"/>
      <c r="PIY10" s="646"/>
      <c r="PIZ10" s="646"/>
      <c r="PJA10" s="646"/>
      <c r="PJB10" s="646"/>
      <c r="PJC10" s="501"/>
      <c r="PJD10" s="501"/>
      <c r="PJE10" s="501"/>
      <c r="PJF10" s="501"/>
      <c r="PJG10" s="501"/>
      <c r="PJH10" s="501"/>
      <c r="PJI10" s="501"/>
      <c r="PJJ10" s="501"/>
      <c r="PJK10" s="501"/>
      <c r="PJL10" s="501"/>
      <c r="PJM10" s="501"/>
      <c r="PJN10" s="645"/>
      <c r="PJO10" s="646"/>
      <c r="PJP10" s="646"/>
      <c r="PJQ10" s="646"/>
      <c r="PJR10" s="646"/>
      <c r="PJS10" s="646"/>
      <c r="PJT10" s="646"/>
      <c r="PJU10" s="646"/>
      <c r="PJV10" s="646"/>
      <c r="PJW10" s="646"/>
      <c r="PJX10" s="501"/>
      <c r="PJY10" s="501"/>
      <c r="PJZ10" s="501"/>
      <c r="PKA10" s="501"/>
      <c r="PKB10" s="501"/>
      <c r="PKC10" s="501"/>
      <c r="PKD10" s="501"/>
      <c r="PKE10" s="501"/>
      <c r="PKF10" s="501"/>
      <c r="PKG10" s="501"/>
      <c r="PKH10" s="501"/>
      <c r="PKI10" s="645"/>
      <c r="PKJ10" s="646"/>
      <c r="PKK10" s="646"/>
      <c r="PKL10" s="646"/>
      <c r="PKM10" s="646"/>
      <c r="PKN10" s="646"/>
      <c r="PKO10" s="646"/>
      <c r="PKP10" s="646"/>
      <c r="PKQ10" s="646"/>
      <c r="PKR10" s="646"/>
      <c r="PKS10" s="501"/>
      <c r="PKT10" s="501"/>
      <c r="PKU10" s="501"/>
      <c r="PKV10" s="501"/>
      <c r="PKW10" s="501"/>
      <c r="PKX10" s="501"/>
      <c r="PKY10" s="501"/>
      <c r="PKZ10" s="501"/>
      <c r="PLA10" s="501"/>
      <c r="PLB10" s="501"/>
      <c r="PLC10" s="501"/>
      <c r="PLD10" s="645"/>
      <c r="PLE10" s="646"/>
      <c r="PLF10" s="646"/>
      <c r="PLG10" s="646"/>
      <c r="PLH10" s="646"/>
      <c r="PLI10" s="646"/>
      <c r="PLJ10" s="646"/>
      <c r="PLK10" s="646"/>
      <c r="PLL10" s="646"/>
      <c r="PLM10" s="646"/>
      <c r="PLN10" s="501"/>
      <c r="PLO10" s="501"/>
      <c r="PLP10" s="501"/>
      <c r="PLQ10" s="501"/>
      <c r="PLR10" s="501"/>
      <c r="PLS10" s="501"/>
      <c r="PLT10" s="501"/>
      <c r="PLU10" s="501"/>
      <c r="PLV10" s="501"/>
      <c r="PLW10" s="501"/>
      <c r="PLX10" s="501"/>
      <c r="PLY10" s="645"/>
      <c r="PLZ10" s="646"/>
      <c r="PMA10" s="646"/>
      <c r="PMB10" s="646"/>
      <c r="PMC10" s="646"/>
      <c r="PMD10" s="646"/>
      <c r="PME10" s="646"/>
      <c r="PMF10" s="646"/>
      <c r="PMG10" s="646"/>
      <c r="PMH10" s="646"/>
      <c r="PMI10" s="501"/>
      <c r="PMJ10" s="501"/>
      <c r="PMK10" s="501"/>
      <c r="PML10" s="501"/>
      <c r="PMM10" s="501"/>
      <c r="PMN10" s="501"/>
      <c r="PMO10" s="501"/>
      <c r="PMP10" s="501"/>
      <c r="PMQ10" s="501"/>
      <c r="PMR10" s="501"/>
      <c r="PMS10" s="501"/>
      <c r="PMT10" s="645"/>
      <c r="PMU10" s="646"/>
      <c r="PMV10" s="646"/>
      <c r="PMW10" s="646"/>
      <c r="PMX10" s="646"/>
      <c r="PMY10" s="646"/>
      <c r="PMZ10" s="646"/>
      <c r="PNA10" s="646"/>
      <c r="PNB10" s="646"/>
      <c r="PNC10" s="646"/>
      <c r="PND10" s="501"/>
      <c r="PNE10" s="501"/>
      <c r="PNF10" s="501"/>
      <c r="PNG10" s="501"/>
      <c r="PNH10" s="501"/>
      <c r="PNI10" s="501"/>
      <c r="PNJ10" s="501"/>
      <c r="PNK10" s="501"/>
      <c r="PNL10" s="501"/>
      <c r="PNM10" s="501"/>
      <c r="PNN10" s="501"/>
      <c r="PNO10" s="645"/>
      <c r="PNP10" s="646"/>
      <c r="PNQ10" s="646"/>
      <c r="PNR10" s="646"/>
      <c r="PNS10" s="646"/>
      <c r="PNT10" s="646"/>
      <c r="PNU10" s="646"/>
      <c r="PNV10" s="646"/>
      <c r="PNW10" s="646"/>
      <c r="PNX10" s="646"/>
      <c r="PNY10" s="501"/>
      <c r="PNZ10" s="501"/>
      <c r="POA10" s="501"/>
      <c r="POB10" s="501"/>
      <c r="POC10" s="501"/>
      <c r="POD10" s="501"/>
      <c r="POE10" s="501"/>
      <c r="POF10" s="501"/>
      <c r="POG10" s="501"/>
      <c r="POH10" s="501"/>
      <c r="POI10" s="501"/>
      <c r="POJ10" s="645"/>
      <c r="POK10" s="646"/>
      <c r="POL10" s="646"/>
      <c r="POM10" s="646"/>
      <c r="PON10" s="646"/>
      <c r="POO10" s="646"/>
      <c r="POP10" s="646"/>
      <c r="POQ10" s="646"/>
      <c r="POR10" s="646"/>
      <c r="POS10" s="646"/>
      <c r="POT10" s="501"/>
      <c r="POU10" s="501"/>
      <c r="POV10" s="501"/>
      <c r="POW10" s="501"/>
      <c r="POX10" s="501"/>
      <c r="POY10" s="501"/>
      <c r="POZ10" s="501"/>
      <c r="PPA10" s="501"/>
      <c r="PPB10" s="501"/>
      <c r="PPC10" s="501"/>
      <c r="PPD10" s="501"/>
      <c r="PPE10" s="645"/>
      <c r="PPF10" s="646"/>
      <c r="PPG10" s="646"/>
      <c r="PPH10" s="646"/>
      <c r="PPI10" s="646"/>
      <c r="PPJ10" s="646"/>
      <c r="PPK10" s="646"/>
      <c r="PPL10" s="646"/>
      <c r="PPM10" s="646"/>
      <c r="PPN10" s="646"/>
      <c r="PPO10" s="501"/>
      <c r="PPP10" s="501"/>
      <c r="PPQ10" s="501"/>
      <c r="PPR10" s="501"/>
      <c r="PPS10" s="501"/>
      <c r="PPT10" s="501"/>
      <c r="PPU10" s="501"/>
      <c r="PPV10" s="501"/>
      <c r="PPW10" s="501"/>
      <c r="PPX10" s="501"/>
      <c r="PPY10" s="501"/>
      <c r="PPZ10" s="645"/>
      <c r="PQA10" s="646"/>
      <c r="PQB10" s="646"/>
      <c r="PQC10" s="646"/>
      <c r="PQD10" s="646"/>
      <c r="PQE10" s="646"/>
      <c r="PQF10" s="646"/>
      <c r="PQG10" s="646"/>
      <c r="PQH10" s="646"/>
      <c r="PQI10" s="646"/>
      <c r="PQJ10" s="501"/>
      <c r="PQK10" s="501"/>
      <c r="PQL10" s="501"/>
      <c r="PQM10" s="501"/>
      <c r="PQN10" s="501"/>
      <c r="PQO10" s="501"/>
      <c r="PQP10" s="501"/>
      <c r="PQQ10" s="501"/>
      <c r="PQR10" s="501"/>
      <c r="PQS10" s="501"/>
      <c r="PQT10" s="501"/>
      <c r="PQU10" s="645"/>
      <c r="PQV10" s="646"/>
      <c r="PQW10" s="646"/>
      <c r="PQX10" s="646"/>
      <c r="PQY10" s="646"/>
      <c r="PQZ10" s="646"/>
      <c r="PRA10" s="646"/>
      <c r="PRB10" s="646"/>
      <c r="PRC10" s="646"/>
      <c r="PRD10" s="646"/>
      <c r="PRE10" s="501"/>
      <c r="PRF10" s="501"/>
      <c r="PRG10" s="501"/>
      <c r="PRH10" s="501"/>
      <c r="PRI10" s="501"/>
      <c r="PRJ10" s="501"/>
      <c r="PRK10" s="501"/>
      <c r="PRL10" s="501"/>
      <c r="PRM10" s="501"/>
      <c r="PRN10" s="501"/>
      <c r="PRO10" s="501"/>
      <c r="PRP10" s="645"/>
      <c r="PRQ10" s="646"/>
      <c r="PRR10" s="646"/>
      <c r="PRS10" s="646"/>
      <c r="PRT10" s="646"/>
      <c r="PRU10" s="646"/>
      <c r="PRV10" s="646"/>
      <c r="PRW10" s="646"/>
      <c r="PRX10" s="646"/>
      <c r="PRY10" s="646"/>
      <c r="PRZ10" s="501"/>
      <c r="PSA10" s="501"/>
      <c r="PSB10" s="501"/>
      <c r="PSC10" s="501"/>
      <c r="PSD10" s="501"/>
      <c r="PSE10" s="501"/>
      <c r="PSF10" s="501"/>
      <c r="PSG10" s="501"/>
      <c r="PSH10" s="501"/>
      <c r="PSI10" s="501"/>
      <c r="PSJ10" s="501"/>
      <c r="PSK10" s="645"/>
      <c r="PSL10" s="646"/>
      <c r="PSM10" s="646"/>
      <c r="PSN10" s="646"/>
      <c r="PSO10" s="646"/>
      <c r="PSP10" s="646"/>
      <c r="PSQ10" s="646"/>
      <c r="PSR10" s="646"/>
      <c r="PSS10" s="646"/>
      <c r="PST10" s="646"/>
      <c r="PSU10" s="501"/>
      <c r="PSV10" s="501"/>
      <c r="PSW10" s="501"/>
      <c r="PSX10" s="501"/>
      <c r="PSY10" s="501"/>
      <c r="PSZ10" s="501"/>
      <c r="PTA10" s="501"/>
      <c r="PTB10" s="501"/>
      <c r="PTC10" s="501"/>
      <c r="PTD10" s="501"/>
      <c r="PTE10" s="501"/>
      <c r="PTF10" s="645"/>
      <c r="PTG10" s="646"/>
      <c r="PTH10" s="646"/>
      <c r="PTI10" s="646"/>
      <c r="PTJ10" s="646"/>
      <c r="PTK10" s="646"/>
      <c r="PTL10" s="646"/>
      <c r="PTM10" s="646"/>
      <c r="PTN10" s="646"/>
      <c r="PTO10" s="646"/>
      <c r="PTP10" s="501"/>
      <c r="PTQ10" s="501"/>
      <c r="PTR10" s="501"/>
      <c r="PTS10" s="501"/>
      <c r="PTT10" s="501"/>
      <c r="PTU10" s="501"/>
      <c r="PTV10" s="501"/>
      <c r="PTW10" s="501"/>
      <c r="PTX10" s="501"/>
      <c r="PTY10" s="501"/>
      <c r="PTZ10" s="501"/>
      <c r="PUA10" s="645"/>
      <c r="PUB10" s="646"/>
      <c r="PUC10" s="646"/>
      <c r="PUD10" s="646"/>
      <c r="PUE10" s="646"/>
      <c r="PUF10" s="646"/>
      <c r="PUG10" s="646"/>
      <c r="PUH10" s="646"/>
      <c r="PUI10" s="646"/>
      <c r="PUJ10" s="646"/>
      <c r="PUK10" s="501"/>
      <c r="PUL10" s="501"/>
      <c r="PUM10" s="501"/>
      <c r="PUN10" s="501"/>
      <c r="PUO10" s="501"/>
      <c r="PUP10" s="501"/>
      <c r="PUQ10" s="501"/>
      <c r="PUR10" s="501"/>
      <c r="PUS10" s="501"/>
      <c r="PUT10" s="501"/>
      <c r="PUU10" s="501"/>
      <c r="PUV10" s="645"/>
      <c r="PUW10" s="646"/>
      <c r="PUX10" s="646"/>
      <c r="PUY10" s="646"/>
      <c r="PUZ10" s="646"/>
      <c r="PVA10" s="646"/>
      <c r="PVB10" s="646"/>
      <c r="PVC10" s="646"/>
      <c r="PVD10" s="646"/>
      <c r="PVE10" s="646"/>
      <c r="PVF10" s="501"/>
      <c r="PVG10" s="501"/>
      <c r="PVH10" s="501"/>
      <c r="PVI10" s="501"/>
      <c r="PVJ10" s="501"/>
      <c r="PVK10" s="501"/>
      <c r="PVL10" s="501"/>
      <c r="PVM10" s="501"/>
      <c r="PVN10" s="501"/>
      <c r="PVO10" s="501"/>
      <c r="PVP10" s="501"/>
      <c r="PVQ10" s="645"/>
      <c r="PVR10" s="646"/>
      <c r="PVS10" s="646"/>
      <c r="PVT10" s="646"/>
      <c r="PVU10" s="646"/>
      <c r="PVV10" s="646"/>
      <c r="PVW10" s="646"/>
      <c r="PVX10" s="646"/>
      <c r="PVY10" s="646"/>
      <c r="PVZ10" s="646"/>
      <c r="PWA10" s="501"/>
      <c r="PWB10" s="501"/>
      <c r="PWC10" s="501"/>
      <c r="PWD10" s="501"/>
      <c r="PWE10" s="501"/>
      <c r="PWF10" s="501"/>
      <c r="PWG10" s="501"/>
      <c r="PWH10" s="501"/>
      <c r="PWI10" s="501"/>
      <c r="PWJ10" s="501"/>
      <c r="PWK10" s="501"/>
      <c r="PWL10" s="645"/>
      <c r="PWM10" s="646"/>
      <c r="PWN10" s="646"/>
      <c r="PWO10" s="646"/>
      <c r="PWP10" s="646"/>
      <c r="PWQ10" s="646"/>
      <c r="PWR10" s="646"/>
      <c r="PWS10" s="646"/>
      <c r="PWT10" s="646"/>
      <c r="PWU10" s="646"/>
      <c r="PWV10" s="501"/>
      <c r="PWW10" s="501"/>
      <c r="PWX10" s="501"/>
      <c r="PWY10" s="501"/>
      <c r="PWZ10" s="501"/>
      <c r="PXA10" s="501"/>
      <c r="PXB10" s="501"/>
      <c r="PXC10" s="501"/>
      <c r="PXD10" s="501"/>
      <c r="PXE10" s="501"/>
      <c r="PXF10" s="501"/>
      <c r="PXG10" s="645"/>
      <c r="PXH10" s="646"/>
      <c r="PXI10" s="646"/>
      <c r="PXJ10" s="646"/>
      <c r="PXK10" s="646"/>
      <c r="PXL10" s="646"/>
      <c r="PXM10" s="646"/>
      <c r="PXN10" s="646"/>
      <c r="PXO10" s="646"/>
      <c r="PXP10" s="646"/>
      <c r="PXQ10" s="501"/>
      <c r="PXR10" s="501"/>
      <c r="PXS10" s="501"/>
      <c r="PXT10" s="501"/>
      <c r="PXU10" s="501"/>
      <c r="PXV10" s="501"/>
      <c r="PXW10" s="501"/>
      <c r="PXX10" s="501"/>
      <c r="PXY10" s="501"/>
      <c r="PXZ10" s="501"/>
      <c r="PYA10" s="501"/>
      <c r="PYB10" s="645"/>
      <c r="PYC10" s="646"/>
      <c r="PYD10" s="646"/>
      <c r="PYE10" s="646"/>
      <c r="PYF10" s="646"/>
      <c r="PYG10" s="646"/>
      <c r="PYH10" s="646"/>
      <c r="PYI10" s="646"/>
      <c r="PYJ10" s="646"/>
      <c r="PYK10" s="646"/>
      <c r="PYL10" s="501"/>
      <c r="PYM10" s="501"/>
      <c r="PYN10" s="501"/>
      <c r="PYO10" s="501"/>
      <c r="PYP10" s="501"/>
      <c r="PYQ10" s="501"/>
      <c r="PYR10" s="501"/>
      <c r="PYS10" s="501"/>
      <c r="PYT10" s="501"/>
      <c r="PYU10" s="501"/>
      <c r="PYV10" s="501"/>
      <c r="PYW10" s="645"/>
      <c r="PYX10" s="646"/>
      <c r="PYY10" s="646"/>
      <c r="PYZ10" s="646"/>
      <c r="PZA10" s="646"/>
      <c r="PZB10" s="646"/>
      <c r="PZC10" s="646"/>
      <c r="PZD10" s="646"/>
      <c r="PZE10" s="646"/>
      <c r="PZF10" s="646"/>
      <c r="PZG10" s="501"/>
      <c r="PZH10" s="501"/>
      <c r="PZI10" s="501"/>
      <c r="PZJ10" s="501"/>
      <c r="PZK10" s="501"/>
      <c r="PZL10" s="501"/>
      <c r="PZM10" s="501"/>
      <c r="PZN10" s="501"/>
      <c r="PZO10" s="501"/>
      <c r="PZP10" s="501"/>
      <c r="PZQ10" s="501"/>
      <c r="PZR10" s="645"/>
      <c r="PZS10" s="646"/>
      <c r="PZT10" s="646"/>
      <c r="PZU10" s="646"/>
      <c r="PZV10" s="646"/>
      <c r="PZW10" s="646"/>
      <c r="PZX10" s="646"/>
      <c r="PZY10" s="646"/>
      <c r="PZZ10" s="646"/>
      <c r="QAA10" s="646"/>
      <c r="QAB10" s="501"/>
      <c r="QAC10" s="501"/>
      <c r="QAD10" s="501"/>
      <c r="QAE10" s="501"/>
      <c r="QAF10" s="501"/>
      <c r="QAG10" s="501"/>
      <c r="QAH10" s="501"/>
      <c r="QAI10" s="501"/>
      <c r="QAJ10" s="501"/>
      <c r="QAK10" s="501"/>
      <c r="QAL10" s="501"/>
      <c r="QAM10" s="645"/>
      <c r="QAN10" s="646"/>
      <c r="QAO10" s="646"/>
      <c r="QAP10" s="646"/>
      <c r="QAQ10" s="646"/>
      <c r="QAR10" s="646"/>
      <c r="QAS10" s="646"/>
      <c r="QAT10" s="646"/>
      <c r="QAU10" s="646"/>
      <c r="QAV10" s="646"/>
      <c r="QAW10" s="501"/>
      <c r="QAX10" s="501"/>
      <c r="QAY10" s="501"/>
      <c r="QAZ10" s="501"/>
      <c r="QBA10" s="501"/>
      <c r="QBB10" s="501"/>
      <c r="QBC10" s="501"/>
      <c r="QBD10" s="501"/>
      <c r="QBE10" s="501"/>
      <c r="QBF10" s="501"/>
      <c r="QBG10" s="501"/>
      <c r="QBH10" s="645"/>
      <c r="QBI10" s="646"/>
      <c r="QBJ10" s="646"/>
      <c r="QBK10" s="646"/>
      <c r="QBL10" s="646"/>
      <c r="QBM10" s="646"/>
      <c r="QBN10" s="646"/>
      <c r="QBO10" s="646"/>
      <c r="QBP10" s="646"/>
      <c r="QBQ10" s="646"/>
      <c r="QBR10" s="501"/>
      <c r="QBS10" s="501"/>
      <c r="QBT10" s="501"/>
      <c r="QBU10" s="501"/>
      <c r="QBV10" s="501"/>
      <c r="QBW10" s="501"/>
      <c r="QBX10" s="501"/>
      <c r="QBY10" s="501"/>
      <c r="QBZ10" s="501"/>
      <c r="QCA10" s="501"/>
      <c r="QCB10" s="501"/>
      <c r="QCC10" s="645"/>
      <c r="QCD10" s="646"/>
      <c r="QCE10" s="646"/>
      <c r="QCF10" s="646"/>
      <c r="QCG10" s="646"/>
      <c r="QCH10" s="646"/>
      <c r="QCI10" s="646"/>
      <c r="QCJ10" s="646"/>
      <c r="QCK10" s="646"/>
      <c r="QCL10" s="646"/>
      <c r="QCM10" s="501"/>
      <c r="QCN10" s="501"/>
      <c r="QCO10" s="501"/>
      <c r="QCP10" s="501"/>
      <c r="QCQ10" s="501"/>
      <c r="QCR10" s="501"/>
      <c r="QCS10" s="501"/>
      <c r="QCT10" s="501"/>
      <c r="QCU10" s="501"/>
      <c r="QCV10" s="501"/>
      <c r="QCW10" s="501"/>
      <c r="QCX10" s="645"/>
      <c r="QCY10" s="646"/>
      <c r="QCZ10" s="646"/>
      <c r="QDA10" s="646"/>
      <c r="QDB10" s="646"/>
      <c r="QDC10" s="646"/>
      <c r="QDD10" s="646"/>
      <c r="QDE10" s="646"/>
      <c r="QDF10" s="646"/>
      <c r="QDG10" s="646"/>
      <c r="QDH10" s="501"/>
      <c r="QDI10" s="501"/>
      <c r="QDJ10" s="501"/>
      <c r="QDK10" s="501"/>
      <c r="QDL10" s="501"/>
      <c r="QDM10" s="501"/>
      <c r="QDN10" s="501"/>
      <c r="QDO10" s="501"/>
      <c r="QDP10" s="501"/>
      <c r="QDQ10" s="501"/>
      <c r="QDR10" s="501"/>
      <c r="QDS10" s="645"/>
      <c r="QDT10" s="646"/>
      <c r="QDU10" s="646"/>
      <c r="QDV10" s="646"/>
      <c r="QDW10" s="646"/>
      <c r="QDX10" s="646"/>
      <c r="QDY10" s="646"/>
      <c r="QDZ10" s="646"/>
      <c r="QEA10" s="646"/>
      <c r="QEB10" s="646"/>
      <c r="QEC10" s="501"/>
      <c r="QED10" s="501"/>
      <c r="QEE10" s="501"/>
      <c r="QEF10" s="501"/>
      <c r="QEG10" s="501"/>
      <c r="QEH10" s="501"/>
      <c r="QEI10" s="501"/>
      <c r="QEJ10" s="501"/>
      <c r="QEK10" s="501"/>
      <c r="QEL10" s="501"/>
      <c r="QEM10" s="501"/>
      <c r="QEN10" s="645"/>
      <c r="QEO10" s="646"/>
      <c r="QEP10" s="646"/>
      <c r="QEQ10" s="646"/>
      <c r="QER10" s="646"/>
      <c r="QES10" s="646"/>
      <c r="QET10" s="646"/>
      <c r="QEU10" s="646"/>
      <c r="QEV10" s="646"/>
      <c r="QEW10" s="646"/>
      <c r="QEX10" s="501"/>
      <c r="QEY10" s="501"/>
      <c r="QEZ10" s="501"/>
      <c r="QFA10" s="501"/>
      <c r="QFB10" s="501"/>
      <c r="QFC10" s="501"/>
      <c r="QFD10" s="501"/>
      <c r="QFE10" s="501"/>
      <c r="QFF10" s="501"/>
      <c r="QFG10" s="501"/>
      <c r="QFH10" s="501"/>
      <c r="QFI10" s="645"/>
      <c r="QFJ10" s="646"/>
      <c r="QFK10" s="646"/>
      <c r="QFL10" s="646"/>
      <c r="QFM10" s="646"/>
      <c r="QFN10" s="646"/>
      <c r="QFO10" s="646"/>
      <c r="QFP10" s="646"/>
      <c r="QFQ10" s="646"/>
      <c r="QFR10" s="646"/>
      <c r="QFS10" s="501"/>
      <c r="QFT10" s="501"/>
      <c r="QFU10" s="501"/>
      <c r="QFV10" s="501"/>
      <c r="QFW10" s="501"/>
      <c r="QFX10" s="501"/>
      <c r="QFY10" s="501"/>
      <c r="QFZ10" s="501"/>
      <c r="QGA10" s="501"/>
      <c r="QGB10" s="501"/>
      <c r="QGC10" s="501"/>
      <c r="QGD10" s="645"/>
      <c r="QGE10" s="646"/>
      <c r="QGF10" s="646"/>
      <c r="QGG10" s="646"/>
      <c r="QGH10" s="646"/>
      <c r="QGI10" s="646"/>
      <c r="QGJ10" s="646"/>
      <c r="QGK10" s="646"/>
      <c r="QGL10" s="646"/>
      <c r="QGM10" s="646"/>
      <c r="QGN10" s="501"/>
      <c r="QGO10" s="501"/>
      <c r="QGP10" s="501"/>
      <c r="QGQ10" s="501"/>
      <c r="QGR10" s="501"/>
      <c r="QGS10" s="501"/>
      <c r="QGT10" s="501"/>
      <c r="QGU10" s="501"/>
      <c r="QGV10" s="501"/>
      <c r="QGW10" s="501"/>
      <c r="QGX10" s="501"/>
      <c r="QGY10" s="645"/>
      <c r="QGZ10" s="646"/>
      <c r="QHA10" s="646"/>
      <c r="QHB10" s="646"/>
      <c r="QHC10" s="646"/>
      <c r="QHD10" s="646"/>
      <c r="QHE10" s="646"/>
      <c r="QHF10" s="646"/>
      <c r="QHG10" s="646"/>
      <c r="QHH10" s="646"/>
      <c r="QHI10" s="501"/>
      <c r="QHJ10" s="501"/>
      <c r="QHK10" s="501"/>
      <c r="QHL10" s="501"/>
      <c r="QHM10" s="501"/>
      <c r="QHN10" s="501"/>
      <c r="QHO10" s="501"/>
      <c r="QHP10" s="501"/>
      <c r="QHQ10" s="501"/>
      <c r="QHR10" s="501"/>
      <c r="QHS10" s="501"/>
      <c r="QHT10" s="645"/>
      <c r="QHU10" s="646"/>
      <c r="QHV10" s="646"/>
      <c r="QHW10" s="646"/>
      <c r="QHX10" s="646"/>
      <c r="QHY10" s="646"/>
      <c r="QHZ10" s="646"/>
      <c r="QIA10" s="646"/>
      <c r="QIB10" s="646"/>
      <c r="QIC10" s="646"/>
      <c r="QID10" s="501"/>
      <c r="QIE10" s="501"/>
      <c r="QIF10" s="501"/>
      <c r="QIG10" s="501"/>
      <c r="QIH10" s="501"/>
      <c r="QII10" s="501"/>
      <c r="QIJ10" s="501"/>
      <c r="QIK10" s="501"/>
      <c r="QIL10" s="501"/>
      <c r="QIM10" s="501"/>
      <c r="QIN10" s="501"/>
      <c r="QIO10" s="645"/>
      <c r="QIP10" s="646"/>
      <c r="QIQ10" s="646"/>
      <c r="QIR10" s="646"/>
      <c r="QIS10" s="646"/>
      <c r="QIT10" s="646"/>
      <c r="QIU10" s="646"/>
      <c r="QIV10" s="646"/>
      <c r="QIW10" s="646"/>
      <c r="QIX10" s="646"/>
      <c r="QIY10" s="501"/>
      <c r="QIZ10" s="501"/>
      <c r="QJA10" s="501"/>
      <c r="QJB10" s="501"/>
      <c r="QJC10" s="501"/>
      <c r="QJD10" s="501"/>
      <c r="QJE10" s="501"/>
      <c r="QJF10" s="501"/>
      <c r="QJG10" s="501"/>
      <c r="QJH10" s="501"/>
      <c r="QJI10" s="501"/>
      <c r="QJJ10" s="645"/>
      <c r="QJK10" s="646"/>
      <c r="QJL10" s="646"/>
      <c r="QJM10" s="646"/>
      <c r="QJN10" s="646"/>
      <c r="QJO10" s="646"/>
      <c r="QJP10" s="646"/>
      <c r="QJQ10" s="646"/>
      <c r="QJR10" s="646"/>
      <c r="QJS10" s="646"/>
      <c r="QJT10" s="501"/>
      <c r="QJU10" s="501"/>
      <c r="QJV10" s="501"/>
      <c r="QJW10" s="501"/>
      <c r="QJX10" s="501"/>
      <c r="QJY10" s="501"/>
      <c r="QJZ10" s="501"/>
      <c r="QKA10" s="501"/>
      <c r="QKB10" s="501"/>
      <c r="QKC10" s="501"/>
      <c r="QKD10" s="501"/>
      <c r="QKE10" s="645"/>
      <c r="QKF10" s="646"/>
      <c r="QKG10" s="646"/>
      <c r="QKH10" s="646"/>
      <c r="QKI10" s="646"/>
      <c r="QKJ10" s="646"/>
      <c r="QKK10" s="646"/>
      <c r="QKL10" s="646"/>
      <c r="QKM10" s="646"/>
      <c r="QKN10" s="646"/>
      <c r="QKO10" s="501"/>
      <c r="QKP10" s="501"/>
      <c r="QKQ10" s="501"/>
      <c r="QKR10" s="501"/>
      <c r="QKS10" s="501"/>
      <c r="QKT10" s="501"/>
      <c r="QKU10" s="501"/>
      <c r="QKV10" s="501"/>
      <c r="QKW10" s="501"/>
      <c r="QKX10" s="501"/>
      <c r="QKY10" s="501"/>
      <c r="QKZ10" s="645"/>
      <c r="QLA10" s="646"/>
      <c r="QLB10" s="646"/>
      <c r="QLC10" s="646"/>
      <c r="QLD10" s="646"/>
      <c r="QLE10" s="646"/>
      <c r="QLF10" s="646"/>
      <c r="QLG10" s="646"/>
      <c r="QLH10" s="646"/>
      <c r="QLI10" s="646"/>
      <c r="QLJ10" s="501"/>
      <c r="QLK10" s="501"/>
      <c r="QLL10" s="501"/>
      <c r="QLM10" s="501"/>
      <c r="QLN10" s="501"/>
      <c r="QLO10" s="501"/>
      <c r="QLP10" s="501"/>
      <c r="QLQ10" s="501"/>
      <c r="QLR10" s="501"/>
      <c r="QLS10" s="501"/>
      <c r="QLT10" s="501"/>
      <c r="QLU10" s="645"/>
      <c r="QLV10" s="646"/>
      <c r="QLW10" s="646"/>
      <c r="QLX10" s="646"/>
      <c r="QLY10" s="646"/>
      <c r="QLZ10" s="646"/>
      <c r="QMA10" s="646"/>
      <c r="QMB10" s="646"/>
      <c r="QMC10" s="646"/>
      <c r="QMD10" s="646"/>
      <c r="QME10" s="501"/>
      <c r="QMF10" s="501"/>
      <c r="QMG10" s="501"/>
      <c r="QMH10" s="501"/>
      <c r="QMI10" s="501"/>
      <c r="QMJ10" s="501"/>
      <c r="QMK10" s="501"/>
      <c r="QML10" s="501"/>
      <c r="QMM10" s="501"/>
      <c r="QMN10" s="501"/>
      <c r="QMO10" s="501"/>
      <c r="QMP10" s="645"/>
      <c r="QMQ10" s="646"/>
      <c r="QMR10" s="646"/>
      <c r="QMS10" s="646"/>
      <c r="QMT10" s="646"/>
      <c r="QMU10" s="646"/>
      <c r="QMV10" s="646"/>
      <c r="QMW10" s="646"/>
      <c r="QMX10" s="646"/>
      <c r="QMY10" s="646"/>
      <c r="QMZ10" s="501"/>
      <c r="QNA10" s="501"/>
      <c r="QNB10" s="501"/>
      <c r="QNC10" s="501"/>
      <c r="QND10" s="501"/>
      <c r="QNE10" s="501"/>
      <c r="QNF10" s="501"/>
      <c r="QNG10" s="501"/>
      <c r="QNH10" s="501"/>
      <c r="QNI10" s="501"/>
      <c r="QNJ10" s="501"/>
      <c r="QNK10" s="645"/>
      <c r="QNL10" s="646"/>
      <c r="QNM10" s="646"/>
      <c r="QNN10" s="646"/>
      <c r="QNO10" s="646"/>
      <c r="QNP10" s="646"/>
      <c r="QNQ10" s="646"/>
      <c r="QNR10" s="646"/>
      <c r="QNS10" s="646"/>
      <c r="QNT10" s="646"/>
      <c r="QNU10" s="501"/>
      <c r="QNV10" s="501"/>
      <c r="QNW10" s="501"/>
      <c r="QNX10" s="501"/>
      <c r="QNY10" s="501"/>
      <c r="QNZ10" s="501"/>
      <c r="QOA10" s="501"/>
      <c r="QOB10" s="501"/>
      <c r="QOC10" s="501"/>
      <c r="QOD10" s="501"/>
      <c r="QOE10" s="501"/>
      <c r="QOF10" s="645"/>
      <c r="QOG10" s="646"/>
      <c r="QOH10" s="646"/>
      <c r="QOI10" s="646"/>
      <c r="QOJ10" s="646"/>
      <c r="QOK10" s="646"/>
      <c r="QOL10" s="646"/>
      <c r="QOM10" s="646"/>
      <c r="QON10" s="646"/>
      <c r="QOO10" s="646"/>
      <c r="QOP10" s="501"/>
      <c r="QOQ10" s="501"/>
      <c r="QOR10" s="501"/>
      <c r="QOS10" s="501"/>
      <c r="QOT10" s="501"/>
      <c r="QOU10" s="501"/>
      <c r="QOV10" s="501"/>
      <c r="QOW10" s="501"/>
      <c r="QOX10" s="501"/>
      <c r="QOY10" s="501"/>
      <c r="QOZ10" s="501"/>
      <c r="QPA10" s="645"/>
      <c r="QPB10" s="646"/>
      <c r="QPC10" s="646"/>
      <c r="QPD10" s="646"/>
      <c r="QPE10" s="646"/>
      <c r="QPF10" s="646"/>
      <c r="QPG10" s="646"/>
      <c r="QPH10" s="646"/>
      <c r="QPI10" s="646"/>
      <c r="QPJ10" s="646"/>
      <c r="QPK10" s="501"/>
      <c r="QPL10" s="501"/>
      <c r="QPM10" s="501"/>
      <c r="QPN10" s="501"/>
      <c r="QPO10" s="501"/>
      <c r="QPP10" s="501"/>
      <c r="QPQ10" s="501"/>
      <c r="QPR10" s="501"/>
      <c r="QPS10" s="501"/>
      <c r="QPT10" s="501"/>
      <c r="QPU10" s="501"/>
      <c r="QPV10" s="645"/>
      <c r="QPW10" s="646"/>
      <c r="QPX10" s="646"/>
      <c r="QPY10" s="646"/>
      <c r="QPZ10" s="646"/>
      <c r="QQA10" s="646"/>
      <c r="QQB10" s="646"/>
      <c r="QQC10" s="646"/>
      <c r="QQD10" s="646"/>
      <c r="QQE10" s="646"/>
      <c r="QQF10" s="501"/>
      <c r="QQG10" s="501"/>
      <c r="QQH10" s="501"/>
      <c r="QQI10" s="501"/>
      <c r="QQJ10" s="501"/>
      <c r="QQK10" s="501"/>
      <c r="QQL10" s="501"/>
      <c r="QQM10" s="501"/>
      <c r="QQN10" s="501"/>
      <c r="QQO10" s="501"/>
      <c r="QQP10" s="501"/>
      <c r="QQQ10" s="645"/>
      <c r="QQR10" s="646"/>
      <c r="QQS10" s="646"/>
      <c r="QQT10" s="646"/>
      <c r="QQU10" s="646"/>
      <c r="QQV10" s="646"/>
      <c r="QQW10" s="646"/>
      <c r="QQX10" s="646"/>
      <c r="QQY10" s="646"/>
      <c r="QQZ10" s="646"/>
      <c r="QRA10" s="501"/>
      <c r="QRB10" s="501"/>
      <c r="QRC10" s="501"/>
      <c r="QRD10" s="501"/>
      <c r="QRE10" s="501"/>
      <c r="QRF10" s="501"/>
      <c r="QRG10" s="501"/>
      <c r="QRH10" s="501"/>
      <c r="QRI10" s="501"/>
      <c r="QRJ10" s="501"/>
      <c r="QRK10" s="501"/>
      <c r="QRL10" s="645"/>
      <c r="QRM10" s="646"/>
      <c r="QRN10" s="646"/>
      <c r="QRO10" s="646"/>
      <c r="QRP10" s="646"/>
      <c r="QRQ10" s="646"/>
      <c r="QRR10" s="646"/>
      <c r="QRS10" s="646"/>
      <c r="QRT10" s="646"/>
      <c r="QRU10" s="646"/>
      <c r="QRV10" s="501"/>
      <c r="QRW10" s="501"/>
      <c r="QRX10" s="501"/>
      <c r="QRY10" s="501"/>
      <c r="QRZ10" s="501"/>
      <c r="QSA10" s="501"/>
      <c r="QSB10" s="501"/>
      <c r="QSC10" s="501"/>
      <c r="QSD10" s="501"/>
      <c r="QSE10" s="501"/>
      <c r="QSF10" s="501"/>
      <c r="QSG10" s="645"/>
      <c r="QSH10" s="646"/>
      <c r="QSI10" s="646"/>
      <c r="QSJ10" s="646"/>
      <c r="QSK10" s="646"/>
      <c r="QSL10" s="646"/>
      <c r="QSM10" s="646"/>
      <c r="QSN10" s="646"/>
      <c r="QSO10" s="646"/>
      <c r="QSP10" s="646"/>
      <c r="QSQ10" s="501"/>
      <c r="QSR10" s="501"/>
      <c r="QSS10" s="501"/>
      <c r="QST10" s="501"/>
      <c r="QSU10" s="501"/>
      <c r="QSV10" s="501"/>
      <c r="QSW10" s="501"/>
      <c r="QSX10" s="501"/>
      <c r="QSY10" s="501"/>
      <c r="QSZ10" s="501"/>
      <c r="QTA10" s="501"/>
      <c r="QTB10" s="645"/>
      <c r="QTC10" s="646"/>
      <c r="QTD10" s="646"/>
      <c r="QTE10" s="646"/>
      <c r="QTF10" s="646"/>
      <c r="QTG10" s="646"/>
      <c r="QTH10" s="646"/>
      <c r="QTI10" s="646"/>
      <c r="QTJ10" s="646"/>
      <c r="QTK10" s="646"/>
      <c r="QTL10" s="501"/>
      <c r="QTM10" s="501"/>
      <c r="QTN10" s="501"/>
      <c r="QTO10" s="501"/>
      <c r="QTP10" s="501"/>
      <c r="QTQ10" s="501"/>
      <c r="QTR10" s="501"/>
      <c r="QTS10" s="501"/>
      <c r="QTT10" s="501"/>
      <c r="QTU10" s="501"/>
      <c r="QTV10" s="501"/>
      <c r="QTW10" s="645"/>
      <c r="QTX10" s="646"/>
      <c r="QTY10" s="646"/>
      <c r="QTZ10" s="646"/>
      <c r="QUA10" s="646"/>
      <c r="QUB10" s="646"/>
      <c r="QUC10" s="646"/>
      <c r="QUD10" s="646"/>
      <c r="QUE10" s="646"/>
      <c r="QUF10" s="646"/>
      <c r="QUG10" s="501"/>
      <c r="QUH10" s="501"/>
      <c r="QUI10" s="501"/>
      <c r="QUJ10" s="501"/>
      <c r="QUK10" s="501"/>
      <c r="QUL10" s="501"/>
      <c r="QUM10" s="501"/>
      <c r="QUN10" s="501"/>
      <c r="QUO10" s="501"/>
      <c r="QUP10" s="501"/>
      <c r="QUQ10" s="501"/>
      <c r="QUR10" s="645"/>
      <c r="QUS10" s="646"/>
      <c r="QUT10" s="646"/>
      <c r="QUU10" s="646"/>
      <c r="QUV10" s="646"/>
      <c r="QUW10" s="646"/>
      <c r="QUX10" s="646"/>
      <c r="QUY10" s="646"/>
      <c r="QUZ10" s="646"/>
      <c r="QVA10" s="646"/>
      <c r="QVB10" s="501"/>
      <c r="QVC10" s="501"/>
      <c r="QVD10" s="501"/>
      <c r="QVE10" s="501"/>
      <c r="QVF10" s="501"/>
      <c r="QVG10" s="501"/>
      <c r="QVH10" s="501"/>
      <c r="QVI10" s="501"/>
      <c r="QVJ10" s="501"/>
      <c r="QVK10" s="501"/>
      <c r="QVL10" s="501"/>
      <c r="QVM10" s="645"/>
      <c r="QVN10" s="646"/>
      <c r="QVO10" s="646"/>
      <c r="QVP10" s="646"/>
      <c r="QVQ10" s="646"/>
      <c r="QVR10" s="646"/>
      <c r="QVS10" s="646"/>
      <c r="QVT10" s="646"/>
      <c r="QVU10" s="646"/>
      <c r="QVV10" s="646"/>
      <c r="QVW10" s="501"/>
      <c r="QVX10" s="501"/>
      <c r="QVY10" s="501"/>
      <c r="QVZ10" s="501"/>
      <c r="QWA10" s="501"/>
      <c r="QWB10" s="501"/>
      <c r="QWC10" s="501"/>
      <c r="QWD10" s="501"/>
      <c r="QWE10" s="501"/>
      <c r="QWF10" s="501"/>
      <c r="QWG10" s="501"/>
      <c r="QWH10" s="645"/>
      <c r="QWI10" s="646"/>
      <c r="QWJ10" s="646"/>
      <c r="QWK10" s="646"/>
      <c r="QWL10" s="646"/>
      <c r="QWM10" s="646"/>
      <c r="QWN10" s="646"/>
      <c r="QWO10" s="646"/>
      <c r="QWP10" s="646"/>
      <c r="QWQ10" s="646"/>
      <c r="QWR10" s="501"/>
      <c r="QWS10" s="501"/>
      <c r="QWT10" s="501"/>
      <c r="QWU10" s="501"/>
      <c r="QWV10" s="501"/>
      <c r="QWW10" s="501"/>
      <c r="QWX10" s="501"/>
      <c r="QWY10" s="501"/>
      <c r="QWZ10" s="501"/>
      <c r="QXA10" s="501"/>
      <c r="QXB10" s="501"/>
      <c r="QXC10" s="645"/>
      <c r="QXD10" s="646"/>
      <c r="QXE10" s="646"/>
      <c r="QXF10" s="646"/>
      <c r="QXG10" s="646"/>
      <c r="QXH10" s="646"/>
      <c r="QXI10" s="646"/>
      <c r="QXJ10" s="646"/>
      <c r="QXK10" s="646"/>
      <c r="QXL10" s="646"/>
      <c r="QXM10" s="501"/>
      <c r="QXN10" s="501"/>
      <c r="QXO10" s="501"/>
      <c r="QXP10" s="501"/>
      <c r="QXQ10" s="501"/>
      <c r="QXR10" s="501"/>
      <c r="QXS10" s="501"/>
      <c r="QXT10" s="501"/>
      <c r="QXU10" s="501"/>
      <c r="QXV10" s="501"/>
      <c r="QXW10" s="501"/>
      <c r="QXX10" s="645"/>
      <c r="QXY10" s="646"/>
      <c r="QXZ10" s="646"/>
      <c r="QYA10" s="646"/>
      <c r="QYB10" s="646"/>
      <c r="QYC10" s="646"/>
      <c r="QYD10" s="646"/>
      <c r="QYE10" s="646"/>
      <c r="QYF10" s="646"/>
      <c r="QYG10" s="646"/>
      <c r="QYH10" s="501"/>
      <c r="QYI10" s="501"/>
      <c r="QYJ10" s="501"/>
      <c r="QYK10" s="501"/>
      <c r="QYL10" s="501"/>
      <c r="QYM10" s="501"/>
      <c r="QYN10" s="501"/>
      <c r="QYO10" s="501"/>
      <c r="QYP10" s="501"/>
      <c r="QYQ10" s="501"/>
      <c r="QYR10" s="501"/>
      <c r="QYS10" s="645"/>
      <c r="QYT10" s="646"/>
      <c r="QYU10" s="646"/>
      <c r="QYV10" s="646"/>
      <c r="QYW10" s="646"/>
      <c r="QYX10" s="646"/>
      <c r="QYY10" s="646"/>
      <c r="QYZ10" s="646"/>
      <c r="QZA10" s="646"/>
      <c r="QZB10" s="646"/>
      <c r="QZC10" s="501"/>
      <c r="QZD10" s="501"/>
      <c r="QZE10" s="501"/>
      <c r="QZF10" s="501"/>
      <c r="QZG10" s="501"/>
      <c r="QZH10" s="501"/>
      <c r="QZI10" s="501"/>
      <c r="QZJ10" s="501"/>
      <c r="QZK10" s="501"/>
      <c r="QZL10" s="501"/>
      <c r="QZM10" s="501"/>
      <c r="QZN10" s="645"/>
      <c r="QZO10" s="646"/>
      <c r="QZP10" s="646"/>
      <c r="QZQ10" s="646"/>
      <c r="QZR10" s="646"/>
      <c r="QZS10" s="646"/>
      <c r="QZT10" s="646"/>
      <c r="QZU10" s="646"/>
      <c r="QZV10" s="646"/>
      <c r="QZW10" s="646"/>
      <c r="QZX10" s="501"/>
      <c r="QZY10" s="501"/>
      <c r="QZZ10" s="501"/>
      <c r="RAA10" s="501"/>
      <c r="RAB10" s="501"/>
      <c r="RAC10" s="501"/>
      <c r="RAD10" s="501"/>
      <c r="RAE10" s="501"/>
      <c r="RAF10" s="501"/>
      <c r="RAG10" s="501"/>
      <c r="RAH10" s="501"/>
      <c r="RAI10" s="645"/>
      <c r="RAJ10" s="646"/>
      <c r="RAK10" s="646"/>
      <c r="RAL10" s="646"/>
      <c r="RAM10" s="646"/>
      <c r="RAN10" s="646"/>
      <c r="RAO10" s="646"/>
      <c r="RAP10" s="646"/>
      <c r="RAQ10" s="646"/>
      <c r="RAR10" s="646"/>
      <c r="RAS10" s="501"/>
      <c r="RAT10" s="501"/>
      <c r="RAU10" s="501"/>
      <c r="RAV10" s="501"/>
      <c r="RAW10" s="501"/>
      <c r="RAX10" s="501"/>
      <c r="RAY10" s="501"/>
      <c r="RAZ10" s="501"/>
      <c r="RBA10" s="501"/>
      <c r="RBB10" s="501"/>
      <c r="RBC10" s="501"/>
      <c r="RBD10" s="645"/>
      <c r="RBE10" s="646"/>
      <c r="RBF10" s="646"/>
      <c r="RBG10" s="646"/>
      <c r="RBH10" s="646"/>
      <c r="RBI10" s="646"/>
      <c r="RBJ10" s="646"/>
      <c r="RBK10" s="646"/>
      <c r="RBL10" s="646"/>
      <c r="RBM10" s="646"/>
      <c r="RBN10" s="501"/>
      <c r="RBO10" s="501"/>
      <c r="RBP10" s="501"/>
      <c r="RBQ10" s="501"/>
      <c r="RBR10" s="501"/>
      <c r="RBS10" s="501"/>
      <c r="RBT10" s="501"/>
      <c r="RBU10" s="501"/>
      <c r="RBV10" s="501"/>
      <c r="RBW10" s="501"/>
      <c r="RBX10" s="501"/>
      <c r="RBY10" s="645"/>
      <c r="RBZ10" s="646"/>
      <c r="RCA10" s="646"/>
      <c r="RCB10" s="646"/>
      <c r="RCC10" s="646"/>
      <c r="RCD10" s="646"/>
      <c r="RCE10" s="646"/>
      <c r="RCF10" s="646"/>
      <c r="RCG10" s="646"/>
      <c r="RCH10" s="646"/>
      <c r="RCI10" s="501"/>
      <c r="RCJ10" s="501"/>
      <c r="RCK10" s="501"/>
      <c r="RCL10" s="501"/>
      <c r="RCM10" s="501"/>
      <c r="RCN10" s="501"/>
      <c r="RCO10" s="501"/>
      <c r="RCP10" s="501"/>
      <c r="RCQ10" s="501"/>
      <c r="RCR10" s="501"/>
      <c r="RCS10" s="501"/>
      <c r="RCT10" s="645"/>
      <c r="RCU10" s="646"/>
      <c r="RCV10" s="646"/>
      <c r="RCW10" s="646"/>
      <c r="RCX10" s="646"/>
      <c r="RCY10" s="646"/>
      <c r="RCZ10" s="646"/>
      <c r="RDA10" s="646"/>
      <c r="RDB10" s="646"/>
      <c r="RDC10" s="646"/>
      <c r="RDD10" s="501"/>
      <c r="RDE10" s="501"/>
      <c r="RDF10" s="501"/>
      <c r="RDG10" s="501"/>
      <c r="RDH10" s="501"/>
      <c r="RDI10" s="501"/>
      <c r="RDJ10" s="501"/>
      <c r="RDK10" s="501"/>
      <c r="RDL10" s="501"/>
      <c r="RDM10" s="501"/>
      <c r="RDN10" s="501"/>
      <c r="RDO10" s="645"/>
      <c r="RDP10" s="646"/>
      <c r="RDQ10" s="646"/>
      <c r="RDR10" s="646"/>
      <c r="RDS10" s="646"/>
      <c r="RDT10" s="646"/>
      <c r="RDU10" s="646"/>
      <c r="RDV10" s="646"/>
      <c r="RDW10" s="646"/>
      <c r="RDX10" s="646"/>
      <c r="RDY10" s="501"/>
      <c r="RDZ10" s="501"/>
      <c r="REA10" s="501"/>
      <c r="REB10" s="501"/>
      <c r="REC10" s="501"/>
      <c r="RED10" s="501"/>
      <c r="REE10" s="501"/>
      <c r="REF10" s="501"/>
      <c r="REG10" s="501"/>
      <c r="REH10" s="501"/>
      <c r="REI10" s="501"/>
      <c r="REJ10" s="645"/>
      <c r="REK10" s="646"/>
      <c r="REL10" s="646"/>
      <c r="REM10" s="646"/>
      <c r="REN10" s="646"/>
      <c r="REO10" s="646"/>
      <c r="REP10" s="646"/>
      <c r="REQ10" s="646"/>
      <c r="RER10" s="646"/>
      <c r="RES10" s="646"/>
      <c r="RET10" s="501"/>
      <c r="REU10" s="501"/>
      <c r="REV10" s="501"/>
      <c r="REW10" s="501"/>
      <c r="REX10" s="501"/>
      <c r="REY10" s="501"/>
      <c r="REZ10" s="501"/>
      <c r="RFA10" s="501"/>
      <c r="RFB10" s="501"/>
      <c r="RFC10" s="501"/>
      <c r="RFD10" s="501"/>
      <c r="RFE10" s="645"/>
      <c r="RFF10" s="646"/>
      <c r="RFG10" s="646"/>
      <c r="RFH10" s="646"/>
      <c r="RFI10" s="646"/>
      <c r="RFJ10" s="646"/>
      <c r="RFK10" s="646"/>
      <c r="RFL10" s="646"/>
      <c r="RFM10" s="646"/>
      <c r="RFN10" s="646"/>
      <c r="RFO10" s="501"/>
      <c r="RFP10" s="501"/>
      <c r="RFQ10" s="501"/>
      <c r="RFR10" s="501"/>
      <c r="RFS10" s="501"/>
      <c r="RFT10" s="501"/>
      <c r="RFU10" s="501"/>
      <c r="RFV10" s="501"/>
      <c r="RFW10" s="501"/>
      <c r="RFX10" s="501"/>
      <c r="RFY10" s="501"/>
      <c r="RFZ10" s="645"/>
      <c r="RGA10" s="646"/>
      <c r="RGB10" s="646"/>
      <c r="RGC10" s="646"/>
      <c r="RGD10" s="646"/>
      <c r="RGE10" s="646"/>
      <c r="RGF10" s="646"/>
      <c r="RGG10" s="646"/>
      <c r="RGH10" s="646"/>
      <c r="RGI10" s="646"/>
      <c r="RGJ10" s="501"/>
      <c r="RGK10" s="501"/>
      <c r="RGL10" s="501"/>
      <c r="RGM10" s="501"/>
      <c r="RGN10" s="501"/>
      <c r="RGO10" s="501"/>
      <c r="RGP10" s="501"/>
      <c r="RGQ10" s="501"/>
      <c r="RGR10" s="501"/>
      <c r="RGS10" s="501"/>
      <c r="RGT10" s="501"/>
      <c r="RGU10" s="645"/>
      <c r="RGV10" s="646"/>
      <c r="RGW10" s="646"/>
      <c r="RGX10" s="646"/>
      <c r="RGY10" s="646"/>
      <c r="RGZ10" s="646"/>
      <c r="RHA10" s="646"/>
      <c r="RHB10" s="646"/>
      <c r="RHC10" s="646"/>
      <c r="RHD10" s="646"/>
      <c r="RHE10" s="501"/>
      <c r="RHF10" s="501"/>
      <c r="RHG10" s="501"/>
      <c r="RHH10" s="501"/>
      <c r="RHI10" s="501"/>
      <c r="RHJ10" s="501"/>
      <c r="RHK10" s="501"/>
      <c r="RHL10" s="501"/>
      <c r="RHM10" s="501"/>
      <c r="RHN10" s="501"/>
      <c r="RHO10" s="501"/>
      <c r="RHP10" s="645"/>
      <c r="RHQ10" s="646"/>
      <c r="RHR10" s="646"/>
      <c r="RHS10" s="646"/>
      <c r="RHT10" s="646"/>
      <c r="RHU10" s="646"/>
      <c r="RHV10" s="646"/>
      <c r="RHW10" s="646"/>
      <c r="RHX10" s="646"/>
      <c r="RHY10" s="646"/>
      <c r="RHZ10" s="501"/>
      <c r="RIA10" s="501"/>
      <c r="RIB10" s="501"/>
      <c r="RIC10" s="501"/>
      <c r="RID10" s="501"/>
      <c r="RIE10" s="501"/>
      <c r="RIF10" s="501"/>
      <c r="RIG10" s="501"/>
      <c r="RIH10" s="501"/>
      <c r="RII10" s="501"/>
      <c r="RIJ10" s="501"/>
      <c r="RIK10" s="645"/>
      <c r="RIL10" s="646"/>
      <c r="RIM10" s="646"/>
      <c r="RIN10" s="646"/>
      <c r="RIO10" s="646"/>
      <c r="RIP10" s="646"/>
      <c r="RIQ10" s="646"/>
      <c r="RIR10" s="646"/>
      <c r="RIS10" s="646"/>
      <c r="RIT10" s="646"/>
      <c r="RIU10" s="501"/>
      <c r="RIV10" s="501"/>
      <c r="RIW10" s="501"/>
      <c r="RIX10" s="501"/>
      <c r="RIY10" s="501"/>
      <c r="RIZ10" s="501"/>
      <c r="RJA10" s="501"/>
      <c r="RJB10" s="501"/>
      <c r="RJC10" s="501"/>
      <c r="RJD10" s="501"/>
      <c r="RJE10" s="501"/>
      <c r="RJF10" s="645"/>
      <c r="RJG10" s="646"/>
      <c r="RJH10" s="646"/>
      <c r="RJI10" s="646"/>
      <c r="RJJ10" s="646"/>
      <c r="RJK10" s="646"/>
      <c r="RJL10" s="646"/>
      <c r="RJM10" s="646"/>
      <c r="RJN10" s="646"/>
      <c r="RJO10" s="646"/>
      <c r="RJP10" s="501"/>
      <c r="RJQ10" s="501"/>
      <c r="RJR10" s="501"/>
      <c r="RJS10" s="501"/>
      <c r="RJT10" s="501"/>
      <c r="RJU10" s="501"/>
      <c r="RJV10" s="501"/>
      <c r="RJW10" s="501"/>
      <c r="RJX10" s="501"/>
      <c r="RJY10" s="501"/>
      <c r="RJZ10" s="501"/>
      <c r="RKA10" s="645"/>
      <c r="RKB10" s="646"/>
      <c r="RKC10" s="646"/>
      <c r="RKD10" s="646"/>
      <c r="RKE10" s="646"/>
      <c r="RKF10" s="646"/>
      <c r="RKG10" s="646"/>
      <c r="RKH10" s="646"/>
      <c r="RKI10" s="646"/>
      <c r="RKJ10" s="646"/>
      <c r="RKK10" s="501"/>
      <c r="RKL10" s="501"/>
      <c r="RKM10" s="501"/>
      <c r="RKN10" s="501"/>
      <c r="RKO10" s="501"/>
      <c r="RKP10" s="501"/>
      <c r="RKQ10" s="501"/>
      <c r="RKR10" s="501"/>
      <c r="RKS10" s="501"/>
      <c r="RKT10" s="501"/>
      <c r="RKU10" s="501"/>
      <c r="RKV10" s="645"/>
      <c r="RKW10" s="646"/>
      <c r="RKX10" s="646"/>
      <c r="RKY10" s="646"/>
      <c r="RKZ10" s="646"/>
      <c r="RLA10" s="646"/>
      <c r="RLB10" s="646"/>
      <c r="RLC10" s="646"/>
      <c r="RLD10" s="646"/>
      <c r="RLE10" s="646"/>
      <c r="RLF10" s="501"/>
      <c r="RLG10" s="501"/>
      <c r="RLH10" s="501"/>
      <c r="RLI10" s="501"/>
      <c r="RLJ10" s="501"/>
      <c r="RLK10" s="501"/>
      <c r="RLL10" s="501"/>
      <c r="RLM10" s="501"/>
      <c r="RLN10" s="501"/>
      <c r="RLO10" s="501"/>
      <c r="RLP10" s="501"/>
      <c r="RLQ10" s="645"/>
      <c r="RLR10" s="646"/>
      <c r="RLS10" s="646"/>
      <c r="RLT10" s="646"/>
      <c r="RLU10" s="646"/>
      <c r="RLV10" s="646"/>
      <c r="RLW10" s="646"/>
      <c r="RLX10" s="646"/>
      <c r="RLY10" s="646"/>
      <c r="RLZ10" s="646"/>
      <c r="RMA10" s="501"/>
      <c r="RMB10" s="501"/>
      <c r="RMC10" s="501"/>
      <c r="RMD10" s="501"/>
      <c r="RME10" s="501"/>
      <c r="RMF10" s="501"/>
      <c r="RMG10" s="501"/>
      <c r="RMH10" s="501"/>
      <c r="RMI10" s="501"/>
      <c r="RMJ10" s="501"/>
      <c r="RMK10" s="501"/>
      <c r="RML10" s="645"/>
      <c r="RMM10" s="646"/>
      <c r="RMN10" s="646"/>
      <c r="RMO10" s="646"/>
      <c r="RMP10" s="646"/>
      <c r="RMQ10" s="646"/>
      <c r="RMR10" s="646"/>
      <c r="RMS10" s="646"/>
      <c r="RMT10" s="646"/>
      <c r="RMU10" s="646"/>
      <c r="RMV10" s="501"/>
      <c r="RMW10" s="501"/>
      <c r="RMX10" s="501"/>
      <c r="RMY10" s="501"/>
      <c r="RMZ10" s="501"/>
      <c r="RNA10" s="501"/>
      <c r="RNB10" s="501"/>
      <c r="RNC10" s="501"/>
      <c r="RND10" s="501"/>
      <c r="RNE10" s="501"/>
      <c r="RNF10" s="501"/>
      <c r="RNG10" s="645"/>
      <c r="RNH10" s="646"/>
      <c r="RNI10" s="646"/>
      <c r="RNJ10" s="646"/>
      <c r="RNK10" s="646"/>
      <c r="RNL10" s="646"/>
      <c r="RNM10" s="646"/>
      <c r="RNN10" s="646"/>
      <c r="RNO10" s="646"/>
      <c r="RNP10" s="646"/>
      <c r="RNQ10" s="501"/>
      <c r="RNR10" s="501"/>
      <c r="RNS10" s="501"/>
      <c r="RNT10" s="501"/>
      <c r="RNU10" s="501"/>
      <c r="RNV10" s="501"/>
      <c r="RNW10" s="501"/>
      <c r="RNX10" s="501"/>
      <c r="RNY10" s="501"/>
      <c r="RNZ10" s="501"/>
      <c r="ROA10" s="501"/>
      <c r="ROB10" s="645"/>
      <c r="ROC10" s="646"/>
      <c r="ROD10" s="646"/>
      <c r="ROE10" s="646"/>
      <c r="ROF10" s="646"/>
      <c r="ROG10" s="646"/>
      <c r="ROH10" s="646"/>
      <c r="ROI10" s="646"/>
      <c r="ROJ10" s="646"/>
      <c r="ROK10" s="646"/>
      <c r="ROL10" s="501"/>
      <c r="ROM10" s="501"/>
      <c r="RON10" s="501"/>
      <c r="ROO10" s="501"/>
      <c r="ROP10" s="501"/>
      <c r="ROQ10" s="501"/>
      <c r="ROR10" s="501"/>
      <c r="ROS10" s="501"/>
      <c r="ROT10" s="501"/>
      <c r="ROU10" s="501"/>
      <c r="ROV10" s="501"/>
      <c r="ROW10" s="645"/>
      <c r="ROX10" s="646"/>
      <c r="ROY10" s="646"/>
      <c r="ROZ10" s="646"/>
      <c r="RPA10" s="646"/>
      <c r="RPB10" s="646"/>
      <c r="RPC10" s="646"/>
      <c r="RPD10" s="646"/>
      <c r="RPE10" s="646"/>
      <c r="RPF10" s="646"/>
      <c r="RPG10" s="501"/>
      <c r="RPH10" s="501"/>
      <c r="RPI10" s="501"/>
      <c r="RPJ10" s="501"/>
      <c r="RPK10" s="501"/>
      <c r="RPL10" s="501"/>
      <c r="RPM10" s="501"/>
      <c r="RPN10" s="501"/>
      <c r="RPO10" s="501"/>
      <c r="RPP10" s="501"/>
      <c r="RPQ10" s="501"/>
      <c r="RPR10" s="645"/>
      <c r="RPS10" s="646"/>
      <c r="RPT10" s="646"/>
      <c r="RPU10" s="646"/>
      <c r="RPV10" s="646"/>
      <c r="RPW10" s="646"/>
      <c r="RPX10" s="646"/>
      <c r="RPY10" s="646"/>
      <c r="RPZ10" s="646"/>
      <c r="RQA10" s="646"/>
      <c r="RQB10" s="501"/>
      <c r="RQC10" s="501"/>
      <c r="RQD10" s="501"/>
      <c r="RQE10" s="501"/>
      <c r="RQF10" s="501"/>
      <c r="RQG10" s="501"/>
      <c r="RQH10" s="501"/>
      <c r="RQI10" s="501"/>
      <c r="RQJ10" s="501"/>
      <c r="RQK10" s="501"/>
      <c r="RQL10" s="501"/>
      <c r="RQM10" s="645"/>
      <c r="RQN10" s="646"/>
      <c r="RQO10" s="646"/>
      <c r="RQP10" s="646"/>
      <c r="RQQ10" s="646"/>
      <c r="RQR10" s="646"/>
      <c r="RQS10" s="646"/>
      <c r="RQT10" s="646"/>
      <c r="RQU10" s="646"/>
      <c r="RQV10" s="646"/>
      <c r="RQW10" s="501"/>
      <c r="RQX10" s="501"/>
      <c r="RQY10" s="501"/>
      <c r="RQZ10" s="501"/>
      <c r="RRA10" s="501"/>
      <c r="RRB10" s="501"/>
      <c r="RRC10" s="501"/>
      <c r="RRD10" s="501"/>
      <c r="RRE10" s="501"/>
      <c r="RRF10" s="501"/>
      <c r="RRG10" s="501"/>
      <c r="RRH10" s="645"/>
      <c r="RRI10" s="646"/>
      <c r="RRJ10" s="646"/>
      <c r="RRK10" s="646"/>
      <c r="RRL10" s="646"/>
      <c r="RRM10" s="646"/>
      <c r="RRN10" s="646"/>
      <c r="RRO10" s="646"/>
      <c r="RRP10" s="646"/>
      <c r="RRQ10" s="646"/>
      <c r="RRR10" s="501"/>
      <c r="RRS10" s="501"/>
      <c r="RRT10" s="501"/>
      <c r="RRU10" s="501"/>
      <c r="RRV10" s="501"/>
      <c r="RRW10" s="501"/>
      <c r="RRX10" s="501"/>
      <c r="RRY10" s="501"/>
      <c r="RRZ10" s="501"/>
      <c r="RSA10" s="501"/>
      <c r="RSB10" s="501"/>
      <c r="RSC10" s="645"/>
      <c r="RSD10" s="646"/>
      <c r="RSE10" s="646"/>
      <c r="RSF10" s="646"/>
      <c r="RSG10" s="646"/>
      <c r="RSH10" s="646"/>
      <c r="RSI10" s="646"/>
      <c r="RSJ10" s="646"/>
      <c r="RSK10" s="646"/>
      <c r="RSL10" s="646"/>
      <c r="RSM10" s="501"/>
      <c r="RSN10" s="501"/>
      <c r="RSO10" s="501"/>
      <c r="RSP10" s="501"/>
      <c r="RSQ10" s="501"/>
      <c r="RSR10" s="501"/>
      <c r="RSS10" s="501"/>
      <c r="RST10" s="501"/>
      <c r="RSU10" s="501"/>
      <c r="RSV10" s="501"/>
      <c r="RSW10" s="501"/>
      <c r="RSX10" s="645"/>
      <c r="RSY10" s="646"/>
      <c r="RSZ10" s="646"/>
      <c r="RTA10" s="646"/>
      <c r="RTB10" s="646"/>
      <c r="RTC10" s="646"/>
      <c r="RTD10" s="646"/>
      <c r="RTE10" s="646"/>
      <c r="RTF10" s="646"/>
      <c r="RTG10" s="646"/>
      <c r="RTH10" s="501"/>
      <c r="RTI10" s="501"/>
      <c r="RTJ10" s="501"/>
      <c r="RTK10" s="501"/>
      <c r="RTL10" s="501"/>
      <c r="RTM10" s="501"/>
      <c r="RTN10" s="501"/>
      <c r="RTO10" s="501"/>
      <c r="RTP10" s="501"/>
      <c r="RTQ10" s="501"/>
      <c r="RTR10" s="501"/>
      <c r="RTS10" s="645"/>
      <c r="RTT10" s="646"/>
      <c r="RTU10" s="646"/>
      <c r="RTV10" s="646"/>
      <c r="RTW10" s="646"/>
      <c r="RTX10" s="646"/>
      <c r="RTY10" s="646"/>
      <c r="RTZ10" s="646"/>
      <c r="RUA10" s="646"/>
      <c r="RUB10" s="646"/>
      <c r="RUC10" s="501"/>
      <c r="RUD10" s="501"/>
      <c r="RUE10" s="501"/>
      <c r="RUF10" s="501"/>
      <c r="RUG10" s="501"/>
      <c r="RUH10" s="501"/>
      <c r="RUI10" s="501"/>
      <c r="RUJ10" s="501"/>
      <c r="RUK10" s="501"/>
      <c r="RUL10" s="501"/>
      <c r="RUM10" s="501"/>
      <c r="RUN10" s="645"/>
      <c r="RUO10" s="646"/>
      <c r="RUP10" s="646"/>
      <c r="RUQ10" s="646"/>
      <c r="RUR10" s="646"/>
      <c r="RUS10" s="646"/>
      <c r="RUT10" s="646"/>
      <c r="RUU10" s="646"/>
      <c r="RUV10" s="646"/>
      <c r="RUW10" s="646"/>
      <c r="RUX10" s="501"/>
      <c r="RUY10" s="501"/>
      <c r="RUZ10" s="501"/>
      <c r="RVA10" s="501"/>
      <c r="RVB10" s="501"/>
      <c r="RVC10" s="501"/>
      <c r="RVD10" s="501"/>
      <c r="RVE10" s="501"/>
      <c r="RVF10" s="501"/>
      <c r="RVG10" s="501"/>
      <c r="RVH10" s="501"/>
      <c r="RVI10" s="645"/>
      <c r="RVJ10" s="646"/>
      <c r="RVK10" s="646"/>
      <c r="RVL10" s="646"/>
      <c r="RVM10" s="646"/>
      <c r="RVN10" s="646"/>
      <c r="RVO10" s="646"/>
      <c r="RVP10" s="646"/>
      <c r="RVQ10" s="646"/>
      <c r="RVR10" s="646"/>
      <c r="RVS10" s="501"/>
      <c r="RVT10" s="501"/>
      <c r="RVU10" s="501"/>
      <c r="RVV10" s="501"/>
      <c r="RVW10" s="501"/>
      <c r="RVX10" s="501"/>
      <c r="RVY10" s="501"/>
      <c r="RVZ10" s="501"/>
      <c r="RWA10" s="501"/>
      <c r="RWB10" s="501"/>
      <c r="RWC10" s="501"/>
      <c r="RWD10" s="645"/>
      <c r="RWE10" s="646"/>
      <c r="RWF10" s="646"/>
      <c r="RWG10" s="646"/>
      <c r="RWH10" s="646"/>
      <c r="RWI10" s="646"/>
      <c r="RWJ10" s="646"/>
      <c r="RWK10" s="646"/>
      <c r="RWL10" s="646"/>
      <c r="RWM10" s="646"/>
      <c r="RWN10" s="501"/>
      <c r="RWO10" s="501"/>
      <c r="RWP10" s="501"/>
      <c r="RWQ10" s="501"/>
      <c r="RWR10" s="501"/>
      <c r="RWS10" s="501"/>
      <c r="RWT10" s="501"/>
      <c r="RWU10" s="501"/>
      <c r="RWV10" s="501"/>
      <c r="RWW10" s="501"/>
      <c r="RWX10" s="501"/>
      <c r="RWY10" s="645"/>
      <c r="RWZ10" s="646"/>
      <c r="RXA10" s="646"/>
      <c r="RXB10" s="646"/>
      <c r="RXC10" s="646"/>
      <c r="RXD10" s="646"/>
      <c r="RXE10" s="646"/>
      <c r="RXF10" s="646"/>
      <c r="RXG10" s="646"/>
      <c r="RXH10" s="646"/>
      <c r="RXI10" s="501"/>
      <c r="RXJ10" s="501"/>
      <c r="RXK10" s="501"/>
      <c r="RXL10" s="501"/>
      <c r="RXM10" s="501"/>
      <c r="RXN10" s="501"/>
      <c r="RXO10" s="501"/>
      <c r="RXP10" s="501"/>
      <c r="RXQ10" s="501"/>
      <c r="RXR10" s="501"/>
      <c r="RXS10" s="501"/>
      <c r="RXT10" s="645"/>
      <c r="RXU10" s="646"/>
      <c r="RXV10" s="646"/>
      <c r="RXW10" s="646"/>
      <c r="RXX10" s="646"/>
      <c r="RXY10" s="646"/>
      <c r="RXZ10" s="646"/>
      <c r="RYA10" s="646"/>
      <c r="RYB10" s="646"/>
      <c r="RYC10" s="646"/>
      <c r="RYD10" s="501"/>
      <c r="RYE10" s="501"/>
      <c r="RYF10" s="501"/>
      <c r="RYG10" s="501"/>
      <c r="RYH10" s="501"/>
      <c r="RYI10" s="501"/>
      <c r="RYJ10" s="501"/>
      <c r="RYK10" s="501"/>
      <c r="RYL10" s="501"/>
      <c r="RYM10" s="501"/>
      <c r="RYN10" s="501"/>
      <c r="RYO10" s="645"/>
      <c r="RYP10" s="646"/>
      <c r="RYQ10" s="646"/>
      <c r="RYR10" s="646"/>
      <c r="RYS10" s="646"/>
      <c r="RYT10" s="646"/>
      <c r="RYU10" s="646"/>
      <c r="RYV10" s="646"/>
      <c r="RYW10" s="646"/>
      <c r="RYX10" s="646"/>
      <c r="RYY10" s="501"/>
      <c r="RYZ10" s="501"/>
      <c r="RZA10" s="501"/>
      <c r="RZB10" s="501"/>
      <c r="RZC10" s="501"/>
      <c r="RZD10" s="501"/>
      <c r="RZE10" s="501"/>
      <c r="RZF10" s="501"/>
      <c r="RZG10" s="501"/>
      <c r="RZH10" s="501"/>
      <c r="RZI10" s="501"/>
      <c r="RZJ10" s="645"/>
      <c r="RZK10" s="646"/>
      <c r="RZL10" s="646"/>
      <c r="RZM10" s="646"/>
      <c r="RZN10" s="646"/>
      <c r="RZO10" s="646"/>
      <c r="RZP10" s="646"/>
      <c r="RZQ10" s="646"/>
      <c r="RZR10" s="646"/>
      <c r="RZS10" s="646"/>
      <c r="RZT10" s="501"/>
      <c r="RZU10" s="501"/>
      <c r="RZV10" s="501"/>
      <c r="RZW10" s="501"/>
      <c r="RZX10" s="501"/>
      <c r="RZY10" s="501"/>
      <c r="RZZ10" s="501"/>
      <c r="SAA10" s="501"/>
      <c r="SAB10" s="501"/>
      <c r="SAC10" s="501"/>
      <c r="SAD10" s="501"/>
      <c r="SAE10" s="645"/>
      <c r="SAF10" s="646"/>
      <c r="SAG10" s="646"/>
      <c r="SAH10" s="646"/>
      <c r="SAI10" s="646"/>
      <c r="SAJ10" s="646"/>
      <c r="SAK10" s="646"/>
      <c r="SAL10" s="646"/>
      <c r="SAM10" s="646"/>
      <c r="SAN10" s="646"/>
      <c r="SAO10" s="501"/>
      <c r="SAP10" s="501"/>
      <c r="SAQ10" s="501"/>
      <c r="SAR10" s="501"/>
      <c r="SAS10" s="501"/>
      <c r="SAT10" s="501"/>
      <c r="SAU10" s="501"/>
      <c r="SAV10" s="501"/>
      <c r="SAW10" s="501"/>
      <c r="SAX10" s="501"/>
      <c r="SAY10" s="501"/>
      <c r="SAZ10" s="645"/>
      <c r="SBA10" s="646"/>
      <c r="SBB10" s="646"/>
      <c r="SBC10" s="646"/>
      <c r="SBD10" s="646"/>
      <c r="SBE10" s="646"/>
      <c r="SBF10" s="646"/>
      <c r="SBG10" s="646"/>
      <c r="SBH10" s="646"/>
      <c r="SBI10" s="646"/>
      <c r="SBJ10" s="501"/>
      <c r="SBK10" s="501"/>
      <c r="SBL10" s="501"/>
      <c r="SBM10" s="501"/>
      <c r="SBN10" s="501"/>
      <c r="SBO10" s="501"/>
      <c r="SBP10" s="501"/>
      <c r="SBQ10" s="501"/>
      <c r="SBR10" s="501"/>
      <c r="SBS10" s="501"/>
      <c r="SBT10" s="501"/>
      <c r="SBU10" s="645"/>
      <c r="SBV10" s="646"/>
      <c r="SBW10" s="646"/>
      <c r="SBX10" s="646"/>
      <c r="SBY10" s="646"/>
      <c r="SBZ10" s="646"/>
      <c r="SCA10" s="646"/>
      <c r="SCB10" s="646"/>
      <c r="SCC10" s="646"/>
      <c r="SCD10" s="646"/>
      <c r="SCE10" s="501"/>
      <c r="SCF10" s="501"/>
      <c r="SCG10" s="501"/>
      <c r="SCH10" s="501"/>
      <c r="SCI10" s="501"/>
      <c r="SCJ10" s="501"/>
      <c r="SCK10" s="501"/>
      <c r="SCL10" s="501"/>
      <c r="SCM10" s="501"/>
      <c r="SCN10" s="501"/>
      <c r="SCO10" s="501"/>
      <c r="SCP10" s="645"/>
      <c r="SCQ10" s="646"/>
      <c r="SCR10" s="646"/>
      <c r="SCS10" s="646"/>
      <c r="SCT10" s="646"/>
      <c r="SCU10" s="646"/>
      <c r="SCV10" s="646"/>
      <c r="SCW10" s="646"/>
      <c r="SCX10" s="646"/>
      <c r="SCY10" s="646"/>
      <c r="SCZ10" s="501"/>
      <c r="SDA10" s="501"/>
      <c r="SDB10" s="501"/>
      <c r="SDC10" s="501"/>
      <c r="SDD10" s="501"/>
      <c r="SDE10" s="501"/>
      <c r="SDF10" s="501"/>
      <c r="SDG10" s="501"/>
      <c r="SDH10" s="501"/>
      <c r="SDI10" s="501"/>
      <c r="SDJ10" s="501"/>
      <c r="SDK10" s="645"/>
      <c r="SDL10" s="646"/>
      <c r="SDM10" s="646"/>
      <c r="SDN10" s="646"/>
      <c r="SDO10" s="646"/>
      <c r="SDP10" s="646"/>
      <c r="SDQ10" s="646"/>
      <c r="SDR10" s="646"/>
      <c r="SDS10" s="646"/>
      <c r="SDT10" s="646"/>
      <c r="SDU10" s="501"/>
      <c r="SDV10" s="501"/>
      <c r="SDW10" s="501"/>
      <c r="SDX10" s="501"/>
      <c r="SDY10" s="501"/>
      <c r="SDZ10" s="501"/>
      <c r="SEA10" s="501"/>
      <c r="SEB10" s="501"/>
      <c r="SEC10" s="501"/>
      <c r="SED10" s="501"/>
      <c r="SEE10" s="501"/>
      <c r="SEF10" s="645"/>
      <c r="SEG10" s="646"/>
      <c r="SEH10" s="646"/>
      <c r="SEI10" s="646"/>
      <c r="SEJ10" s="646"/>
      <c r="SEK10" s="646"/>
      <c r="SEL10" s="646"/>
      <c r="SEM10" s="646"/>
      <c r="SEN10" s="646"/>
      <c r="SEO10" s="646"/>
      <c r="SEP10" s="501"/>
      <c r="SEQ10" s="501"/>
      <c r="SER10" s="501"/>
      <c r="SES10" s="501"/>
      <c r="SET10" s="501"/>
      <c r="SEU10" s="501"/>
      <c r="SEV10" s="501"/>
      <c r="SEW10" s="501"/>
      <c r="SEX10" s="501"/>
      <c r="SEY10" s="501"/>
      <c r="SEZ10" s="501"/>
      <c r="SFA10" s="645"/>
      <c r="SFB10" s="646"/>
      <c r="SFC10" s="646"/>
      <c r="SFD10" s="646"/>
      <c r="SFE10" s="646"/>
      <c r="SFF10" s="646"/>
      <c r="SFG10" s="646"/>
      <c r="SFH10" s="646"/>
      <c r="SFI10" s="646"/>
      <c r="SFJ10" s="646"/>
      <c r="SFK10" s="501"/>
      <c r="SFL10" s="501"/>
      <c r="SFM10" s="501"/>
      <c r="SFN10" s="501"/>
      <c r="SFO10" s="501"/>
      <c r="SFP10" s="501"/>
      <c r="SFQ10" s="501"/>
      <c r="SFR10" s="501"/>
      <c r="SFS10" s="501"/>
      <c r="SFT10" s="501"/>
      <c r="SFU10" s="501"/>
      <c r="SFV10" s="645"/>
      <c r="SFW10" s="646"/>
      <c r="SFX10" s="646"/>
      <c r="SFY10" s="646"/>
      <c r="SFZ10" s="646"/>
      <c r="SGA10" s="646"/>
      <c r="SGB10" s="646"/>
      <c r="SGC10" s="646"/>
      <c r="SGD10" s="646"/>
      <c r="SGE10" s="646"/>
      <c r="SGF10" s="501"/>
      <c r="SGG10" s="501"/>
      <c r="SGH10" s="501"/>
      <c r="SGI10" s="501"/>
      <c r="SGJ10" s="501"/>
      <c r="SGK10" s="501"/>
      <c r="SGL10" s="501"/>
      <c r="SGM10" s="501"/>
      <c r="SGN10" s="501"/>
      <c r="SGO10" s="501"/>
      <c r="SGP10" s="501"/>
      <c r="SGQ10" s="645"/>
      <c r="SGR10" s="646"/>
      <c r="SGS10" s="646"/>
      <c r="SGT10" s="646"/>
      <c r="SGU10" s="646"/>
      <c r="SGV10" s="646"/>
      <c r="SGW10" s="646"/>
      <c r="SGX10" s="646"/>
      <c r="SGY10" s="646"/>
      <c r="SGZ10" s="646"/>
      <c r="SHA10" s="501"/>
      <c r="SHB10" s="501"/>
      <c r="SHC10" s="501"/>
      <c r="SHD10" s="501"/>
      <c r="SHE10" s="501"/>
      <c r="SHF10" s="501"/>
      <c r="SHG10" s="501"/>
      <c r="SHH10" s="501"/>
      <c r="SHI10" s="501"/>
      <c r="SHJ10" s="501"/>
      <c r="SHK10" s="501"/>
      <c r="SHL10" s="645"/>
      <c r="SHM10" s="646"/>
      <c r="SHN10" s="646"/>
      <c r="SHO10" s="646"/>
      <c r="SHP10" s="646"/>
      <c r="SHQ10" s="646"/>
      <c r="SHR10" s="646"/>
      <c r="SHS10" s="646"/>
      <c r="SHT10" s="646"/>
      <c r="SHU10" s="646"/>
      <c r="SHV10" s="501"/>
      <c r="SHW10" s="501"/>
      <c r="SHX10" s="501"/>
      <c r="SHY10" s="501"/>
      <c r="SHZ10" s="501"/>
      <c r="SIA10" s="501"/>
      <c r="SIB10" s="501"/>
      <c r="SIC10" s="501"/>
      <c r="SID10" s="501"/>
      <c r="SIE10" s="501"/>
      <c r="SIF10" s="501"/>
      <c r="SIG10" s="645"/>
      <c r="SIH10" s="646"/>
      <c r="SII10" s="646"/>
      <c r="SIJ10" s="646"/>
      <c r="SIK10" s="646"/>
      <c r="SIL10" s="646"/>
      <c r="SIM10" s="646"/>
      <c r="SIN10" s="646"/>
      <c r="SIO10" s="646"/>
      <c r="SIP10" s="646"/>
      <c r="SIQ10" s="501"/>
      <c r="SIR10" s="501"/>
      <c r="SIS10" s="501"/>
      <c r="SIT10" s="501"/>
      <c r="SIU10" s="501"/>
      <c r="SIV10" s="501"/>
      <c r="SIW10" s="501"/>
      <c r="SIX10" s="501"/>
      <c r="SIY10" s="501"/>
      <c r="SIZ10" s="501"/>
      <c r="SJA10" s="501"/>
      <c r="SJB10" s="645"/>
      <c r="SJC10" s="646"/>
      <c r="SJD10" s="646"/>
      <c r="SJE10" s="646"/>
      <c r="SJF10" s="646"/>
      <c r="SJG10" s="646"/>
      <c r="SJH10" s="646"/>
      <c r="SJI10" s="646"/>
      <c r="SJJ10" s="646"/>
      <c r="SJK10" s="646"/>
      <c r="SJL10" s="501"/>
      <c r="SJM10" s="501"/>
      <c r="SJN10" s="501"/>
      <c r="SJO10" s="501"/>
      <c r="SJP10" s="501"/>
      <c r="SJQ10" s="501"/>
      <c r="SJR10" s="501"/>
      <c r="SJS10" s="501"/>
      <c r="SJT10" s="501"/>
      <c r="SJU10" s="501"/>
      <c r="SJV10" s="501"/>
      <c r="SJW10" s="645"/>
      <c r="SJX10" s="646"/>
      <c r="SJY10" s="646"/>
      <c r="SJZ10" s="646"/>
      <c r="SKA10" s="646"/>
      <c r="SKB10" s="646"/>
      <c r="SKC10" s="646"/>
      <c r="SKD10" s="646"/>
      <c r="SKE10" s="646"/>
      <c r="SKF10" s="646"/>
      <c r="SKG10" s="501"/>
      <c r="SKH10" s="501"/>
      <c r="SKI10" s="501"/>
      <c r="SKJ10" s="501"/>
      <c r="SKK10" s="501"/>
      <c r="SKL10" s="501"/>
      <c r="SKM10" s="501"/>
      <c r="SKN10" s="501"/>
      <c r="SKO10" s="501"/>
      <c r="SKP10" s="501"/>
      <c r="SKQ10" s="501"/>
      <c r="SKR10" s="645"/>
      <c r="SKS10" s="646"/>
      <c r="SKT10" s="646"/>
      <c r="SKU10" s="646"/>
      <c r="SKV10" s="646"/>
      <c r="SKW10" s="646"/>
      <c r="SKX10" s="646"/>
      <c r="SKY10" s="646"/>
      <c r="SKZ10" s="646"/>
      <c r="SLA10" s="646"/>
      <c r="SLB10" s="501"/>
      <c r="SLC10" s="501"/>
      <c r="SLD10" s="501"/>
      <c r="SLE10" s="501"/>
      <c r="SLF10" s="501"/>
      <c r="SLG10" s="501"/>
      <c r="SLH10" s="501"/>
      <c r="SLI10" s="501"/>
      <c r="SLJ10" s="501"/>
      <c r="SLK10" s="501"/>
      <c r="SLL10" s="501"/>
      <c r="SLM10" s="645"/>
      <c r="SLN10" s="646"/>
      <c r="SLO10" s="646"/>
      <c r="SLP10" s="646"/>
      <c r="SLQ10" s="646"/>
      <c r="SLR10" s="646"/>
      <c r="SLS10" s="646"/>
      <c r="SLT10" s="646"/>
      <c r="SLU10" s="646"/>
      <c r="SLV10" s="646"/>
      <c r="SLW10" s="501"/>
      <c r="SLX10" s="501"/>
      <c r="SLY10" s="501"/>
      <c r="SLZ10" s="501"/>
      <c r="SMA10" s="501"/>
      <c r="SMB10" s="501"/>
      <c r="SMC10" s="501"/>
      <c r="SMD10" s="501"/>
      <c r="SME10" s="501"/>
      <c r="SMF10" s="501"/>
      <c r="SMG10" s="501"/>
      <c r="SMH10" s="645"/>
      <c r="SMI10" s="646"/>
      <c r="SMJ10" s="646"/>
      <c r="SMK10" s="646"/>
      <c r="SML10" s="646"/>
      <c r="SMM10" s="646"/>
      <c r="SMN10" s="646"/>
      <c r="SMO10" s="646"/>
      <c r="SMP10" s="646"/>
      <c r="SMQ10" s="646"/>
      <c r="SMR10" s="501"/>
      <c r="SMS10" s="501"/>
      <c r="SMT10" s="501"/>
      <c r="SMU10" s="501"/>
      <c r="SMV10" s="501"/>
      <c r="SMW10" s="501"/>
      <c r="SMX10" s="501"/>
      <c r="SMY10" s="501"/>
      <c r="SMZ10" s="501"/>
      <c r="SNA10" s="501"/>
      <c r="SNB10" s="501"/>
      <c r="SNC10" s="645"/>
      <c r="SND10" s="646"/>
      <c r="SNE10" s="646"/>
      <c r="SNF10" s="646"/>
      <c r="SNG10" s="646"/>
      <c r="SNH10" s="646"/>
      <c r="SNI10" s="646"/>
      <c r="SNJ10" s="646"/>
      <c r="SNK10" s="646"/>
      <c r="SNL10" s="646"/>
      <c r="SNM10" s="501"/>
      <c r="SNN10" s="501"/>
      <c r="SNO10" s="501"/>
      <c r="SNP10" s="501"/>
      <c r="SNQ10" s="501"/>
      <c r="SNR10" s="501"/>
      <c r="SNS10" s="501"/>
      <c r="SNT10" s="501"/>
      <c r="SNU10" s="501"/>
      <c r="SNV10" s="501"/>
      <c r="SNW10" s="501"/>
      <c r="SNX10" s="645"/>
      <c r="SNY10" s="646"/>
      <c r="SNZ10" s="646"/>
      <c r="SOA10" s="646"/>
      <c r="SOB10" s="646"/>
      <c r="SOC10" s="646"/>
      <c r="SOD10" s="646"/>
      <c r="SOE10" s="646"/>
      <c r="SOF10" s="646"/>
      <c r="SOG10" s="646"/>
      <c r="SOH10" s="501"/>
      <c r="SOI10" s="501"/>
      <c r="SOJ10" s="501"/>
      <c r="SOK10" s="501"/>
      <c r="SOL10" s="501"/>
      <c r="SOM10" s="501"/>
      <c r="SON10" s="501"/>
      <c r="SOO10" s="501"/>
      <c r="SOP10" s="501"/>
      <c r="SOQ10" s="501"/>
      <c r="SOR10" s="501"/>
      <c r="SOS10" s="645"/>
      <c r="SOT10" s="646"/>
      <c r="SOU10" s="646"/>
      <c r="SOV10" s="646"/>
      <c r="SOW10" s="646"/>
      <c r="SOX10" s="646"/>
      <c r="SOY10" s="646"/>
      <c r="SOZ10" s="646"/>
      <c r="SPA10" s="646"/>
      <c r="SPB10" s="646"/>
      <c r="SPC10" s="501"/>
      <c r="SPD10" s="501"/>
      <c r="SPE10" s="501"/>
      <c r="SPF10" s="501"/>
      <c r="SPG10" s="501"/>
      <c r="SPH10" s="501"/>
      <c r="SPI10" s="501"/>
      <c r="SPJ10" s="501"/>
      <c r="SPK10" s="501"/>
      <c r="SPL10" s="501"/>
      <c r="SPM10" s="501"/>
      <c r="SPN10" s="645"/>
      <c r="SPO10" s="646"/>
      <c r="SPP10" s="646"/>
      <c r="SPQ10" s="646"/>
      <c r="SPR10" s="646"/>
      <c r="SPS10" s="646"/>
      <c r="SPT10" s="646"/>
      <c r="SPU10" s="646"/>
      <c r="SPV10" s="646"/>
      <c r="SPW10" s="646"/>
      <c r="SPX10" s="501"/>
      <c r="SPY10" s="501"/>
      <c r="SPZ10" s="501"/>
      <c r="SQA10" s="501"/>
      <c r="SQB10" s="501"/>
      <c r="SQC10" s="501"/>
      <c r="SQD10" s="501"/>
      <c r="SQE10" s="501"/>
      <c r="SQF10" s="501"/>
      <c r="SQG10" s="501"/>
      <c r="SQH10" s="501"/>
      <c r="SQI10" s="645"/>
      <c r="SQJ10" s="646"/>
      <c r="SQK10" s="646"/>
      <c r="SQL10" s="646"/>
      <c r="SQM10" s="646"/>
      <c r="SQN10" s="646"/>
      <c r="SQO10" s="646"/>
      <c r="SQP10" s="646"/>
      <c r="SQQ10" s="646"/>
      <c r="SQR10" s="646"/>
      <c r="SQS10" s="501"/>
      <c r="SQT10" s="501"/>
      <c r="SQU10" s="501"/>
      <c r="SQV10" s="501"/>
      <c r="SQW10" s="501"/>
      <c r="SQX10" s="501"/>
      <c r="SQY10" s="501"/>
      <c r="SQZ10" s="501"/>
      <c r="SRA10" s="501"/>
      <c r="SRB10" s="501"/>
      <c r="SRC10" s="501"/>
      <c r="SRD10" s="645"/>
      <c r="SRE10" s="646"/>
      <c r="SRF10" s="646"/>
      <c r="SRG10" s="646"/>
      <c r="SRH10" s="646"/>
      <c r="SRI10" s="646"/>
      <c r="SRJ10" s="646"/>
      <c r="SRK10" s="646"/>
      <c r="SRL10" s="646"/>
      <c r="SRM10" s="646"/>
      <c r="SRN10" s="501"/>
      <c r="SRO10" s="501"/>
      <c r="SRP10" s="501"/>
      <c r="SRQ10" s="501"/>
      <c r="SRR10" s="501"/>
      <c r="SRS10" s="501"/>
      <c r="SRT10" s="501"/>
      <c r="SRU10" s="501"/>
      <c r="SRV10" s="501"/>
      <c r="SRW10" s="501"/>
      <c r="SRX10" s="501"/>
      <c r="SRY10" s="645"/>
      <c r="SRZ10" s="646"/>
      <c r="SSA10" s="646"/>
      <c r="SSB10" s="646"/>
      <c r="SSC10" s="646"/>
      <c r="SSD10" s="646"/>
      <c r="SSE10" s="646"/>
      <c r="SSF10" s="646"/>
      <c r="SSG10" s="646"/>
      <c r="SSH10" s="646"/>
      <c r="SSI10" s="501"/>
      <c r="SSJ10" s="501"/>
      <c r="SSK10" s="501"/>
      <c r="SSL10" s="501"/>
      <c r="SSM10" s="501"/>
      <c r="SSN10" s="501"/>
      <c r="SSO10" s="501"/>
      <c r="SSP10" s="501"/>
      <c r="SSQ10" s="501"/>
      <c r="SSR10" s="501"/>
      <c r="SSS10" s="501"/>
      <c r="SST10" s="645"/>
      <c r="SSU10" s="646"/>
      <c r="SSV10" s="646"/>
      <c r="SSW10" s="646"/>
      <c r="SSX10" s="646"/>
      <c r="SSY10" s="646"/>
      <c r="SSZ10" s="646"/>
      <c r="STA10" s="646"/>
      <c r="STB10" s="646"/>
      <c r="STC10" s="646"/>
      <c r="STD10" s="501"/>
      <c r="STE10" s="501"/>
      <c r="STF10" s="501"/>
      <c r="STG10" s="501"/>
      <c r="STH10" s="501"/>
      <c r="STI10" s="501"/>
      <c r="STJ10" s="501"/>
      <c r="STK10" s="501"/>
      <c r="STL10" s="501"/>
      <c r="STM10" s="501"/>
      <c r="STN10" s="501"/>
      <c r="STO10" s="645"/>
      <c r="STP10" s="646"/>
      <c r="STQ10" s="646"/>
      <c r="STR10" s="646"/>
      <c r="STS10" s="646"/>
      <c r="STT10" s="646"/>
      <c r="STU10" s="646"/>
      <c r="STV10" s="646"/>
      <c r="STW10" s="646"/>
      <c r="STX10" s="646"/>
      <c r="STY10" s="501"/>
      <c r="STZ10" s="501"/>
      <c r="SUA10" s="501"/>
      <c r="SUB10" s="501"/>
      <c r="SUC10" s="501"/>
      <c r="SUD10" s="501"/>
      <c r="SUE10" s="501"/>
      <c r="SUF10" s="501"/>
      <c r="SUG10" s="501"/>
      <c r="SUH10" s="501"/>
      <c r="SUI10" s="501"/>
      <c r="SUJ10" s="645"/>
      <c r="SUK10" s="646"/>
      <c r="SUL10" s="646"/>
      <c r="SUM10" s="646"/>
      <c r="SUN10" s="646"/>
      <c r="SUO10" s="646"/>
      <c r="SUP10" s="646"/>
      <c r="SUQ10" s="646"/>
      <c r="SUR10" s="646"/>
      <c r="SUS10" s="646"/>
      <c r="SUT10" s="501"/>
      <c r="SUU10" s="501"/>
      <c r="SUV10" s="501"/>
      <c r="SUW10" s="501"/>
      <c r="SUX10" s="501"/>
      <c r="SUY10" s="501"/>
      <c r="SUZ10" s="501"/>
      <c r="SVA10" s="501"/>
      <c r="SVB10" s="501"/>
      <c r="SVC10" s="501"/>
      <c r="SVD10" s="501"/>
      <c r="SVE10" s="645"/>
      <c r="SVF10" s="646"/>
      <c r="SVG10" s="646"/>
      <c r="SVH10" s="646"/>
      <c r="SVI10" s="646"/>
      <c r="SVJ10" s="646"/>
      <c r="SVK10" s="646"/>
      <c r="SVL10" s="646"/>
      <c r="SVM10" s="646"/>
      <c r="SVN10" s="646"/>
      <c r="SVO10" s="501"/>
      <c r="SVP10" s="501"/>
      <c r="SVQ10" s="501"/>
      <c r="SVR10" s="501"/>
      <c r="SVS10" s="501"/>
      <c r="SVT10" s="501"/>
      <c r="SVU10" s="501"/>
      <c r="SVV10" s="501"/>
      <c r="SVW10" s="501"/>
      <c r="SVX10" s="501"/>
      <c r="SVY10" s="501"/>
      <c r="SVZ10" s="645"/>
      <c r="SWA10" s="646"/>
      <c r="SWB10" s="646"/>
      <c r="SWC10" s="646"/>
      <c r="SWD10" s="646"/>
      <c r="SWE10" s="646"/>
      <c r="SWF10" s="646"/>
      <c r="SWG10" s="646"/>
      <c r="SWH10" s="646"/>
      <c r="SWI10" s="646"/>
      <c r="SWJ10" s="501"/>
      <c r="SWK10" s="501"/>
      <c r="SWL10" s="501"/>
      <c r="SWM10" s="501"/>
      <c r="SWN10" s="501"/>
      <c r="SWO10" s="501"/>
      <c r="SWP10" s="501"/>
      <c r="SWQ10" s="501"/>
      <c r="SWR10" s="501"/>
      <c r="SWS10" s="501"/>
      <c r="SWT10" s="501"/>
      <c r="SWU10" s="645"/>
      <c r="SWV10" s="646"/>
      <c r="SWW10" s="646"/>
      <c r="SWX10" s="646"/>
      <c r="SWY10" s="646"/>
      <c r="SWZ10" s="646"/>
      <c r="SXA10" s="646"/>
      <c r="SXB10" s="646"/>
      <c r="SXC10" s="646"/>
      <c r="SXD10" s="646"/>
      <c r="SXE10" s="501"/>
      <c r="SXF10" s="501"/>
      <c r="SXG10" s="501"/>
      <c r="SXH10" s="501"/>
      <c r="SXI10" s="501"/>
      <c r="SXJ10" s="501"/>
      <c r="SXK10" s="501"/>
      <c r="SXL10" s="501"/>
      <c r="SXM10" s="501"/>
      <c r="SXN10" s="501"/>
      <c r="SXO10" s="501"/>
      <c r="SXP10" s="645"/>
      <c r="SXQ10" s="646"/>
      <c r="SXR10" s="646"/>
      <c r="SXS10" s="646"/>
      <c r="SXT10" s="646"/>
      <c r="SXU10" s="646"/>
      <c r="SXV10" s="646"/>
      <c r="SXW10" s="646"/>
      <c r="SXX10" s="646"/>
      <c r="SXY10" s="646"/>
      <c r="SXZ10" s="501"/>
      <c r="SYA10" s="501"/>
      <c r="SYB10" s="501"/>
      <c r="SYC10" s="501"/>
      <c r="SYD10" s="501"/>
      <c r="SYE10" s="501"/>
      <c r="SYF10" s="501"/>
      <c r="SYG10" s="501"/>
      <c r="SYH10" s="501"/>
      <c r="SYI10" s="501"/>
      <c r="SYJ10" s="501"/>
      <c r="SYK10" s="645"/>
      <c r="SYL10" s="646"/>
      <c r="SYM10" s="646"/>
      <c r="SYN10" s="646"/>
      <c r="SYO10" s="646"/>
      <c r="SYP10" s="646"/>
      <c r="SYQ10" s="646"/>
      <c r="SYR10" s="646"/>
      <c r="SYS10" s="646"/>
      <c r="SYT10" s="646"/>
      <c r="SYU10" s="501"/>
      <c r="SYV10" s="501"/>
      <c r="SYW10" s="501"/>
      <c r="SYX10" s="501"/>
      <c r="SYY10" s="501"/>
      <c r="SYZ10" s="501"/>
      <c r="SZA10" s="501"/>
      <c r="SZB10" s="501"/>
      <c r="SZC10" s="501"/>
      <c r="SZD10" s="501"/>
      <c r="SZE10" s="501"/>
      <c r="SZF10" s="645"/>
      <c r="SZG10" s="646"/>
      <c r="SZH10" s="646"/>
      <c r="SZI10" s="646"/>
      <c r="SZJ10" s="646"/>
      <c r="SZK10" s="646"/>
      <c r="SZL10" s="646"/>
      <c r="SZM10" s="646"/>
      <c r="SZN10" s="646"/>
      <c r="SZO10" s="646"/>
      <c r="SZP10" s="501"/>
      <c r="SZQ10" s="501"/>
      <c r="SZR10" s="501"/>
      <c r="SZS10" s="501"/>
      <c r="SZT10" s="501"/>
      <c r="SZU10" s="501"/>
      <c r="SZV10" s="501"/>
      <c r="SZW10" s="501"/>
      <c r="SZX10" s="501"/>
      <c r="SZY10" s="501"/>
      <c r="SZZ10" s="501"/>
      <c r="TAA10" s="645"/>
      <c r="TAB10" s="646"/>
      <c r="TAC10" s="646"/>
      <c r="TAD10" s="646"/>
      <c r="TAE10" s="646"/>
      <c r="TAF10" s="646"/>
      <c r="TAG10" s="646"/>
      <c r="TAH10" s="646"/>
      <c r="TAI10" s="646"/>
      <c r="TAJ10" s="646"/>
      <c r="TAK10" s="501"/>
      <c r="TAL10" s="501"/>
      <c r="TAM10" s="501"/>
      <c r="TAN10" s="501"/>
      <c r="TAO10" s="501"/>
      <c r="TAP10" s="501"/>
      <c r="TAQ10" s="501"/>
      <c r="TAR10" s="501"/>
      <c r="TAS10" s="501"/>
      <c r="TAT10" s="501"/>
      <c r="TAU10" s="501"/>
      <c r="TAV10" s="645"/>
      <c r="TAW10" s="646"/>
      <c r="TAX10" s="646"/>
      <c r="TAY10" s="646"/>
      <c r="TAZ10" s="646"/>
      <c r="TBA10" s="646"/>
      <c r="TBB10" s="646"/>
      <c r="TBC10" s="646"/>
      <c r="TBD10" s="646"/>
      <c r="TBE10" s="646"/>
      <c r="TBF10" s="501"/>
      <c r="TBG10" s="501"/>
      <c r="TBH10" s="501"/>
      <c r="TBI10" s="501"/>
      <c r="TBJ10" s="501"/>
      <c r="TBK10" s="501"/>
      <c r="TBL10" s="501"/>
      <c r="TBM10" s="501"/>
      <c r="TBN10" s="501"/>
      <c r="TBO10" s="501"/>
      <c r="TBP10" s="501"/>
      <c r="TBQ10" s="645"/>
      <c r="TBR10" s="646"/>
      <c r="TBS10" s="646"/>
      <c r="TBT10" s="646"/>
      <c r="TBU10" s="646"/>
      <c r="TBV10" s="646"/>
      <c r="TBW10" s="646"/>
      <c r="TBX10" s="646"/>
      <c r="TBY10" s="646"/>
      <c r="TBZ10" s="646"/>
      <c r="TCA10" s="501"/>
      <c r="TCB10" s="501"/>
      <c r="TCC10" s="501"/>
      <c r="TCD10" s="501"/>
      <c r="TCE10" s="501"/>
      <c r="TCF10" s="501"/>
      <c r="TCG10" s="501"/>
      <c r="TCH10" s="501"/>
      <c r="TCI10" s="501"/>
      <c r="TCJ10" s="501"/>
      <c r="TCK10" s="501"/>
      <c r="TCL10" s="645"/>
      <c r="TCM10" s="646"/>
      <c r="TCN10" s="646"/>
      <c r="TCO10" s="646"/>
      <c r="TCP10" s="646"/>
      <c r="TCQ10" s="646"/>
      <c r="TCR10" s="646"/>
      <c r="TCS10" s="646"/>
      <c r="TCT10" s="646"/>
      <c r="TCU10" s="646"/>
      <c r="TCV10" s="501"/>
      <c r="TCW10" s="501"/>
      <c r="TCX10" s="501"/>
      <c r="TCY10" s="501"/>
      <c r="TCZ10" s="501"/>
      <c r="TDA10" s="501"/>
      <c r="TDB10" s="501"/>
      <c r="TDC10" s="501"/>
      <c r="TDD10" s="501"/>
      <c r="TDE10" s="501"/>
      <c r="TDF10" s="501"/>
      <c r="TDG10" s="645"/>
      <c r="TDH10" s="646"/>
      <c r="TDI10" s="646"/>
      <c r="TDJ10" s="646"/>
      <c r="TDK10" s="646"/>
      <c r="TDL10" s="646"/>
      <c r="TDM10" s="646"/>
      <c r="TDN10" s="646"/>
      <c r="TDO10" s="646"/>
      <c r="TDP10" s="646"/>
      <c r="TDQ10" s="501"/>
      <c r="TDR10" s="501"/>
      <c r="TDS10" s="501"/>
      <c r="TDT10" s="501"/>
      <c r="TDU10" s="501"/>
      <c r="TDV10" s="501"/>
      <c r="TDW10" s="501"/>
      <c r="TDX10" s="501"/>
      <c r="TDY10" s="501"/>
      <c r="TDZ10" s="501"/>
      <c r="TEA10" s="501"/>
      <c r="TEB10" s="645"/>
      <c r="TEC10" s="646"/>
      <c r="TED10" s="646"/>
      <c r="TEE10" s="646"/>
      <c r="TEF10" s="646"/>
      <c r="TEG10" s="646"/>
      <c r="TEH10" s="646"/>
      <c r="TEI10" s="646"/>
      <c r="TEJ10" s="646"/>
      <c r="TEK10" s="646"/>
      <c r="TEL10" s="501"/>
      <c r="TEM10" s="501"/>
      <c r="TEN10" s="501"/>
      <c r="TEO10" s="501"/>
      <c r="TEP10" s="501"/>
      <c r="TEQ10" s="501"/>
      <c r="TER10" s="501"/>
      <c r="TES10" s="501"/>
      <c r="TET10" s="501"/>
      <c r="TEU10" s="501"/>
      <c r="TEV10" s="501"/>
      <c r="TEW10" s="645"/>
      <c r="TEX10" s="646"/>
      <c r="TEY10" s="646"/>
      <c r="TEZ10" s="646"/>
      <c r="TFA10" s="646"/>
      <c r="TFB10" s="646"/>
      <c r="TFC10" s="646"/>
      <c r="TFD10" s="646"/>
      <c r="TFE10" s="646"/>
      <c r="TFF10" s="646"/>
      <c r="TFG10" s="501"/>
      <c r="TFH10" s="501"/>
      <c r="TFI10" s="501"/>
      <c r="TFJ10" s="501"/>
      <c r="TFK10" s="501"/>
      <c r="TFL10" s="501"/>
      <c r="TFM10" s="501"/>
      <c r="TFN10" s="501"/>
      <c r="TFO10" s="501"/>
      <c r="TFP10" s="501"/>
      <c r="TFQ10" s="501"/>
      <c r="TFR10" s="645"/>
      <c r="TFS10" s="646"/>
      <c r="TFT10" s="646"/>
      <c r="TFU10" s="646"/>
      <c r="TFV10" s="646"/>
      <c r="TFW10" s="646"/>
      <c r="TFX10" s="646"/>
      <c r="TFY10" s="646"/>
      <c r="TFZ10" s="646"/>
      <c r="TGA10" s="646"/>
      <c r="TGB10" s="501"/>
      <c r="TGC10" s="501"/>
      <c r="TGD10" s="501"/>
      <c r="TGE10" s="501"/>
      <c r="TGF10" s="501"/>
      <c r="TGG10" s="501"/>
      <c r="TGH10" s="501"/>
      <c r="TGI10" s="501"/>
      <c r="TGJ10" s="501"/>
      <c r="TGK10" s="501"/>
      <c r="TGL10" s="501"/>
      <c r="TGM10" s="645"/>
      <c r="TGN10" s="646"/>
      <c r="TGO10" s="646"/>
      <c r="TGP10" s="646"/>
      <c r="TGQ10" s="646"/>
      <c r="TGR10" s="646"/>
      <c r="TGS10" s="646"/>
      <c r="TGT10" s="646"/>
      <c r="TGU10" s="646"/>
      <c r="TGV10" s="646"/>
      <c r="TGW10" s="501"/>
      <c r="TGX10" s="501"/>
      <c r="TGY10" s="501"/>
      <c r="TGZ10" s="501"/>
      <c r="THA10" s="501"/>
      <c r="THB10" s="501"/>
      <c r="THC10" s="501"/>
      <c r="THD10" s="501"/>
      <c r="THE10" s="501"/>
      <c r="THF10" s="501"/>
      <c r="THG10" s="501"/>
      <c r="THH10" s="645"/>
      <c r="THI10" s="646"/>
      <c r="THJ10" s="646"/>
      <c r="THK10" s="646"/>
      <c r="THL10" s="646"/>
      <c r="THM10" s="646"/>
      <c r="THN10" s="646"/>
      <c r="THO10" s="646"/>
      <c r="THP10" s="646"/>
      <c r="THQ10" s="646"/>
      <c r="THR10" s="501"/>
      <c r="THS10" s="501"/>
      <c r="THT10" s="501"/>
      <c r="THU10" s="501"/>
      <c r="THV10" s="501"/>
      <c r="THW10" s="501"/>
      <c r="THX10" s="501"/>
      <c r="THY10" s="501"/>
      <c r="THZ10" s="501"/>
      <c r="TIA10" s="501"/>
      <c r="TIB10" s="501"/>
      <c r="TIC10" s="645"/>
      <c r="TID10" s="646"/>
      <c r="TIE10" s="646"/>
      <c r="TIF10" s="646"/>
      <c r="TIG10" s="646"/>
      <c r="TIH10" s="646"/>
      <c r="TII10" s="646"/>
      <c r="TIJ10" s="646"/>
      <c r="TIK10" s="646"/>
      <c r="TIL10" s="646"/>
      <c r="TIM10" s="501"/>
      <c r="TIN10" s="501"/>
      <c r="TIO10" s="501"/>
      <c r="TIP10" s="501"/>
      <c r="TIQ10" s="501"/>
      <c r="TIR10" s="501"/>
      <c r="TIS10" s="501"/>
      <c r="TIT10" s="501"/>
      <c r="TIU10" s="501"/>
      <c r="TIV10" s="501"/>
      <c r="TIW10" s="501"/>
      <c r="TIX10" s="645"/>
      <c r="TIY10" s="646"/>
      <c r="TIZ10" s="646"/>
      <c r="TJA10" s="646"/>
      <c r="TJB10" s="646"/>
      <c r="TJC10" s="646"/>
      <c r="TJD10" s="646"/>
      <c r="TJE10" s="646"/>
      <c r="TJF10" s="646"/>
      <c r="TJG10" s="646"/>
      <c r="TJH10" s="501"/>
      <c r="TJI10" s="501"/>
      <c r="TJJ10" s="501"/>
      <c r="TJK10" s="501"/>
      <c r="TJL10" s="501"/>
      <c r="TJM10" s="501"/>
      <c r="TJN10" s="501"/>
      <c r="TJO10" s="501"/>
      <c r="TJP10" s="501"/>
      <c r="TJQ10" s="501"/>
      <c r="TJR10" s="501"/>
      <c r="TJS10" s="645"/>
      <c r="TJT10" s="646"/>
      <c r="TJU10" s="646"/>
      <c r="TJV10" s="646"/>
      <c r="TJW10" s="646"/>
      <c r="TJX10" s="646"/>
      <c r="TJY10" s="646"/>
      <c r="TJZ10" s="646"/>
      <c r="TKA10" s="646"/>
      <c r="TKB10" s="646"/>
      <c r="TKC10" s="501"/>
      <c r="TKD10" s="501"/>
      <c r="TKE10" s="501"/>
      <c r="TKF10" s="501"/>
      <c r="TKG10" s="501"/>
      <c r="TKH10" s="501"/>
      <c r="TKI10" s="501"/>
      <c r="TKJ10" s="501"/>
      <c r="TKK10" s="501"/>
      <c r="TKL10" s="501"/>
      <c r="TKM10" s="501"/>
      <c r="TKN10" s="645"/>
      <c r="TKO10" s="646"/>
      <c r="TKP10" s="646"/>
      <c r="TKQ10" s="646"/>
      <c r="TKR10" s="646"/>
      <c r="TKS10" s="646"/>
      <c r="TKT10" s="646"/>
      <c r="TKU10" s="646"/>
      <c r="TKV10" s="646"/>
      <c r="TKW10" s="646"/>
      <c r="TKX10" s="501"/>
      <c r="TKY10" s="501"/>
      <c r="TKZ10" s="501"/>
      <c r="TLA10" s="501"/>
      <c r="TLB10" s="501"/>
      <c r="TLC10" s="501"/>
      <c r="TLD10" s="501"/>
      <c r="TLE10" s="501"/>
      <c r="TLF10" s="501"/>
      <c r="TLG10" s="501"/>
      <c r="TLH10" s="501"/>
      <c r="TLI10" s="645"/>
      <c r="TLJ10" s="646"/>
      <c r="TLK10" s="646"/>
      <c r="TLL10" s="646"/>
      <c r="TLM10" s="646"/>
      <c r="TLN10" s="646"/>
      <c r="TLO10" s="646"/>
      <c r="TLP10" s="646"/>
      <c r="TLQ10" s="646"/>
      <c r="TLR10" s="646"/>
      <c r="TLS10" s="501"/>
      <c r="TLT10" s="501"/>
      <c r="TLU10" s="501"/>
      <c r="TLV10" s="501"/>
      <c r="TLW10" s="501"/>
      <c r="TLX10" s="501"/>
      <c r="TLY10" s="501"/>
      <c r="TLZ10" s="501"/>
      <c r="TMA10" s="501"/>
      <c r="TMB10" s="501"/>
      <c r="TMC10" s="501"/>
      <c r="TMD10" s="645"/>
      <c r="TME10" s="646"/>
      <c r="TMF10" s="646"/>
      <c r="TMG10" s="646"/>
      <c r="TMH10" s="646"/>
      <c r="TMI10" s="646"/>
      <c r="TMJ10" s="646"/>
      <c r="TMK10" s="646"/>
      <c r="TML10" s="646"/>
      <c r="TMM10" s="646"/>
      <c r="TMN10" s="501"/>
      <c r="TMO10" s="501"/>
      <c r="TMP10" s="501"/>
      <c r="TMQ10" s="501"/>
      <c r="TMR10" s="501"/>
      <c r="TMS10" s="501"/>
      <c r="TMT10" s="501"/>
      <c r="TMU10" s="501"/>
      <c r="TMV10" s="501"/>
      <c r="TMW10" s="501"/>
      <c r="TMX10" s="501"/>
      <c r="TMY10" s="645"/>
      <c r="TMZ10" s="646"/>
      <c r="TNA10" s="646"/>
      <c r="TNB10" s="646"/>
      <c r="TNC10" s="646"/>
      <c r="TND10" s="646"/>
      <c r="TNE10" s="646"/>
      <c r="TNF10" s="646"/>
      <c r="TNG10" s="646"/>
      <c r="TNH10" s="646"/>
      <c r="TNI10" s="501"/>
      <c r="TNJ10" s="501"/>
      <c r="TNK10" s="501"/>
      <c r="TNL10" s="501"/>
      <c r="TNM10" s="501"/>
      <c r="TNN10" s="501"/>
      <c r="TNO10" s="501"/>
      <c r="TNP10" s="501"/>
      <c r="TNQ10" s="501"/>
      <c r="TNR10" s="501"/>
      <c r="TNS10" s="501"/>
      <c r="TNT10" s="645"/>
      <c r="TNU10" s="646"/>
      <c r="TNV10" s="646"/>
      <c r="TNW10" s="646"/>
      <c r="TNX10" s="646"/>
      <c r="TNY10" s="646"/>
      <c r="TNZ10" s="646"/>
      <c r="TOA10" s="646"/>
      <c r="TOB10" s="646"/>
      <c r="TOC10" s="646"/>
      <c r="TOD10" s="501"/>
      <c r="TOE10" s="501"/>
      <c r="TOF10" s="501"/>
      <c r="TOG10" s="501"/>
      <c r="TOH10" s="501"/>
      <c r="TOI10" s="501"/>
      <c r="TOJ10" s="501"/>
      <c r="TOK10" s="501"/>
      <c r="TOL10" s="501"/>
      <c r="TOM10" s="501"/>
      <c r="TON10" s="501"/>
      <c r="TOO10" s="645"/>
      <c r="TOP10" s="646"/>
      <c r="TOQ10" s="646"/>
      <c r="TOR10" s="646"/>
      <c r="TOS10" s="646"/>
      <c r="TOT10" s="646"/>
      <c r="TOU10" s="646"/>
      <c r="TOV10" s="646"/>
      <c r="TOW10" s="646"/>
      <c r="TOX10" s="646"/>
      <c r="TOY10" s="501"/>
      <c r="TOZ10" s="501"/>
      <c r="TPA10" s="501"/>
      <c r="TPB10" s="501"/>
      <c r="TPC10" s="501"/>
      <c r="TPD10" s="501"/>
      <c r="TPE10" s="501"/>
      <c r="TPF10" s="501"/>
      <c r="TPG10" s="501"/>
      <c r="TPH10" s="501"/>
      <c r="TPI10" s="501"/>
      <c r="TPJ10" s="645"/>
      <c r="TPK10" s="646"/>
      <c r="TPL10" s="646"/>
      <c r="TPM10" s="646"/>
      <c r="TPN10" s="646"/>
      <c r="TPO10" s="646"/>
      <c r="TPP10" s="646"/>
      <c r="TPQ10" s="646"/>
      <c r="TPR10" s="646"/>
      <c r="TPS10" s="646"/>
      <c r="TPT10" s="501"/>
      <c r="TPU10" s="501"/>
      <c r="TPV10" s="501"/>
      <c r="TPW10" s="501"/>
      <c r="TPX10" s="501"/>
      <c r="TPY10" s="501"/>
      <c r="TPZ10" s="501"/>
      <c r="TQA10" s="501"/>
      <c r="TQB10" s="501"/>
      <c r="TQC10" s="501"/>
      <c r="TQD10" s="501"/>
      <c r="TQE10" s="645"/>
      <c r="TQF10" s="646"/>
      <c r="TQG10" s="646"/>
      <c r="TQH10" s="646"/>
      <c r="TQI10" s="646"/>
      <c r="TQJ10" s="646"/>
      <c r="TQK10" s="646"/>
      <c r="TQL10" s="646"/>
      <c r="TQM10" s="646"/>
      <c r="TQN10" s="646"/>
      <c r="TQO10" s="501"/>
      <c r="TQP10" s="501"/>
      <c r="TQQ10" s="501"/>
      <c r="TQR10" s="501"/>
      <c r="TQS10" s="501"/>
      <c r="TQT10" s="501"/>
      <c r="TQU10" s="501"/>
      <c r="TQV10" s="501"/>
      <c r="TQW10" s="501"/>
      <c r="TQX10" s="501"/>
      <c r="TQY10" s="501"/>
      <c r="TQZ10" s="645"/>
      <c r="TRA10" s="646"/>
      <c r="TRB10" s="646"/>
      <c r="TRC10" s="646"/>
      <c r="TRD10" s="646"/>
      <c r="TRE10" s="646"/>
      <c r="TRF10" s="646"/>
      <c r="TRG10" s="646"/>
      <c r="TRH10" s="646"/>
      <c r="TRI10" s="646"/>
      <c r="TRJ10" s="501"/>
      <c r="TRK10" s="501"/>
      <c r="TRL10" s="501"/>
      <c r="TRM10" s="501"/>
      <c r="TRN10" s="501"/>
      <c r="TRO10" s="501"/>
      <c r="TRP10" s="501"/>
      <c r="TRQ10" s="501"/>
      <c r="TRR10" s="501"/>
      <c r="TRS10" s="501"/>
      <c r="TRT10" s="501"/>
      <c r="TRU10" s="645"/>
      <c r="TRV10" s="646"/>
      <c r="TRW10" s="646"/>
      <c r="TRX10" s="646"/>
      <c r="TRY10" s="646"/>
      <c r="TRZ10" s="646"/>
      <c r="TSA10" s="646"/>
      <c r="TSB10" s="646"/>
      <c r="TSC10" s="646"/>
      <c r="TSD10" s="646"/>
      <c r="TSE10" s="501"/>
      <c r="TSF10" s="501"/>
      <c r="TSG10" s="501"/>
      <c r="TSH10" s="501"/>
      <c r="TSI10" s="501"/>
      <c r="TSJ10" s="501"/>
      <c r="TSK10" s="501"/>
      <c r="TSL10" s="501"/>
      <c r="TSM10" s="501"/>
      <c r="TSN10" s="501"/>
      <c r="TSO10" s="501"/>
      <c r="TSP10" s="645"/>
      <c r="TSQ10" s="646"/>
      <c r="TSR10" s="646"/>
      <c r="TSS10" s="646"/>
      <c r="TST10" s="646"/>
      <c r="TSU10" s="646"/>
      <c r="TSV10" s="646"/>
      <c r="TSW10" s="646"/>
      <c r="TSX10" s="646"/>
      <c r="TSY10" s="646"/>
      <c r="TSZ10" s="501"/>
      <c r="TTA10" s="501"/>
      <c r="TTB10" s="501"/>
      <c r="TTC10" s="501"/>
      <c r="TTD10" s="501"/>
      <c r="TTE10" s="501"/>
      <c r="TTF10" s="501"/>
      <c r="TTG10" s="501"/>
      <c r="TTH10" s="501"/>
      <c r="TTI10" s="501"/>
      <c r="TTJ10" s="501"/>
      <c r="TTK10" s="645"/>
      <c r="TTL10" s="646"/>
      <c r="TTM10" s="646"/>
      <c r="TTN10" s="646"/>
      <c r="TTO10" s="646"/>
      <c r="TTP10" s="646"/>
      <c r="TTQ10" s="646"/>
      <c r="TTR10" s="646"/>
      <c r="TTS10" s="646"/>
      <c r="TTT10" s="646"/>
      <c r="TTU10" s="501"/>
      <c r="TTV10" s="501"/>
      <c r="TTW10" s="501"/>
      <c r="TTX10" s="501"/>
      <c r="TTY10" s="501"/>
      <c r="TTZ10" s="501"/>
      <c r="TUA10" s="501"/>
      <c r="TUB10" s="501"/>
      <c r="TUC10" s="501"/>
      <c r="TUD10" s="501"/>
      <c r="TUE10" s="501"/>
      <c r="TUF10" s="645"/>
      <c r="TUG10" s="646"/>
      <c r="TUH10" s="646"/>
      <c r="TUI10" s="646"/>
      <c r="TUJ10" s="646"/>
      <c r="TUK10" s="646"/>
      <c r="TUL10" s="646"/>
      <c r="TUM10" s="646"/>
      <c r="TUN10" s="646"/>
      <c r="TUO10" s="646"/>
      <c r="TUP10" s="501"/>
      <c r="TUQ10" s="501"/>
      <c r="TUR10" s="501"/>
      <c r="TUS10" s="501"/>
      <c r="TUT10" s="501"/>
      <c r="TUU10" s="501"/>
      <c r="TUV10" s="501"/>
      <c r="TUW10" s="501"/>
      <c r="TUX10" s="501"/>
      <c r="TUY10" s="501"/>
      <c r="TUZ10" s="501"/>
      <c r="TVA10" s="645"/>
      <c r="TVB10" s="646"/>
      <c r="TVC10" s="646"/>
      <c r="TVD10" s="646"/>
      <c r="TVE10" s="646"/>
      <c r="TVF10" s="646"/>
      <c r="TVG10" s="646"/>
      <c r="TVH10" s="646"/>
      <c r="TVI10" s="646"/>
      <c r="TVJ10" s="646"/>
      <c r="TVK10" s="501"/>
      <c r="TVL10" s="501"/>
      <c r="TVM10" s="501"/>
      <c r="TVN10" s="501"/>
      <c r="TVO10" s="501"/>
      <c r="TVP10" s="501"/>
      <c r="TVQ10" s="501"/>
      <c r="TVR10" s="501"/>
      <c r="TVS10" s="501"/>
      <c r="TVT10" s="501"/>
      <c r="TVU10" s="501"/>
      <c r="TVV10" s="645"/>
      <c r="TVW10" s="646"/>
      <c r="TVX10" s="646"/>
      <c r="TVY10" s="646"/>
      <c r="TVZ10" s="646"/>
      <c r="TWA10" s="646"/>
      <c r="TWB10" s="646"/>
      <c r="TWC10" s="646"/>
      <c r="TWD10" s="646"/>
      <c r="TWE10" s="646"/>
      <c r="TWF10" s="501"/>
      <c r="TWG10" s="501"/>
      <c r="TWH10" s="501"/>
      <c r="TWI10" s="501"/>
      <c r="TWJ10" s="501"/>
      <c r="TWK10" s="501"/>
      <c r="TWL10" s="501"/>
      <c r="TWM10" s="501"/>
      <c r="TWN10" s="501"/>
      <c r="TWO10" s="501"/>
      <c r="TWP10" s="501"/>
      <c r="TWQ10" s="645"/>
      <c r="TWR10" s="646"/>
      <c r="TWS10" s="646"/>
      <c r="TWT10" s="646"/>
      <c r="TWU10" s="646"/>
      <c r="TWV10" s="646"/>
      <c r="TWW10" s="646"/>
      <c r="TWX10" s="646"/>
      <c r="TWY10" s="646"/>
      <c r="TWZ10" s="646"/>
      <c r="TXA10" s="501"/>
      <c r="TXB10" s="501"/>
      <c r="TXC10" s="501"/>
      <c r="TXD10" s="501"/>
      <c r="TXE10" s="501"/>
      <c r="TXF10" s="501"/>
      <c r="TXG10" s="501"/>
      <c r="TXH10" s="501"/>
      <c r="TXI10" s="501"/>
      <c r="TXJ10" s="501"/>
      <c r="TXK10" s="501"/>
      <c r="TXL10" s="645"/>
      <c r="TXM10" s="646"/>
      <c r="TXN10" s="646"/>
      <c r="TXO10" s="646"/>
      <c r="TXP10" s="646"/>
      <c r="TXQ10" s="646"/>
      <c r="TXR10" s="646"/>
      <c r="TXS10" s="646"/>
      <c r="TXT10" s="646"/>
      <c r="TXU10" s="646"/>
      <c r="TXV10" s="501"/>
      <c r="TXW10" s="501"/>
      <c r="TXX10" s="501"/>
      <c r="TXY10" s="501"/>
      <c r="TXZ10" s="501"/>
      <c r="TYA10" s="501"/>
      <c r="TYB10" s="501"/>
      <c r="TYC10" s="501"/>
      <c r="TYD10" s="501"/>
      <c r="TYE10" s="501"/>
      <c r="TYF10" s="501"/>
      <c r="TYG10" s="645"/>
      <c r="TYH10" s="646"/>
      <c r="TYI10" s="646"/>
      <c r="TYJ10" s="646"/>
      <c r="TYK10" s="646"/>
      <c r="TYL10" s="646"/>
      <c r="TYM10" s="646"/>
      <c r="TYN10" s="646"/>
      <c r="TYO10" s="646"/>
      <c r="TYP10" s="646"/>
      <c r="TYQ10" s="501"/>
      <c r="TYR10" s="501"/>
      <c r="TYS10" s="501"/>
      <c r="TYT10" s="501"/>
      <c r="TYU10" s="501"/>
      <c r="TYV10" s="501"/>
      <c r="TYW10" s="501"/>
      <c r="TYX10" s="501"/>
      <c r="TYY10" s="501"/>
      <c r="TYZ10" s="501"/>
      <c r="TZA10" s="501"/>
      <c r="TZB10" s="645"/>
      <c r="TZC10" s="646"/>
      <c r="TZD10" s="646"/>
      <c r="TZE10" s="646"/>
      <c r="TZF10" s="646"/>
      <c r="TZG10" s="646"/>
      <c r="TZH10" s="646"/>
      <c r="TZI10" s="646"/>
      <c r="TZJ10" s="646"/>
      <c r="TZK10" s="646"/>
      <c r="TZL10" s="501"/>
      <c r="TZM10" s="501"/>
      <c r="TZN10" s="501"/>
      <c r="TZO10" s="501"/>
      <c r="TZP10" s="501"/>
      <c r="TZQ10" s="501"/>
      <c r="TZR10" s="501"/>
      <c r="TZS10" s="501"/>
      <c r="TZT10" s="501"/>
      <c r="TZU10" s="501"/>
      <c r="TZV10" s="501"/>
      <c r="TZW10" s="645"/>
      <c r="TZX10" s="646"/>
      <c r="TZY10" s="646"/>
      <c r="TZZ10" s="646"/>
      <c r="UAA10" s="646"/>
      <c r="UAB10" s="646"/>
      <c r="UAC10" s="646"/>
      <c r="UAD10" s="646"/>
      <c r="UAE10" s="646"/>
      <c r="UAF10" s="646"/>
      <c r="UAG10" s="501"/>
      <c r="UAH10" s="501"/>
      <c r="UAI10" s="501"/>
      <c r="UAJ10" s="501"/>
      <c r="UAK10" s="501"/>
      <c r="UAL10" s="501"/>
      <c r="UAM10" s="501"/>
      <c r="UAN10" s="501"/>
      <c r="UAO10" s="501"/>
      <c r="UAP10" s="501"/>
      <c r="UAQ10" s="501"/>
      <c r="UAR10" s="645"/>
      <c r="UAS10" s="646"/>
      <c r="UAT10" s="646"/>
      <c r="UAU10" s="646"/>
      <c r="UAV10" s="646"/>
      <c r="UAW10" s="646"/>
      <c r="UAX10" s="646"/>
      <c r="UAY10" s="646"/>
      <c r="UAZ10" s="646"/>
      <c r="UBA10" s="646"/>
      <c r="UBB10" s="501"/>
      <c r="UBC10" s="501"/>
      <c r="UBD10" s="501"/>
      <c r="UBE10" s="501"/>
      <c r="UBF10" s="501"/>
      <c r="UBG10" s="501"/>
      <c r="UBH10" s="501"/>
      <c r="UBI10" s="501"/>
      <c r="UBJ10" s="501"/>
      <c r="UBK10" s="501"/>
      <c r="UBL10" s="501"/>
      <c r="UBM10" s="645"/>
      <c r="UBN10" s="646"/>
      <c r="UBO10" s="646"/>
      <c r="UBP10" s="646"/>
      <c r="UBQ10" s="646"/>
      <c r="UBR10" s="646"/>
      <c r="UBS10" s="646"/>
      <c r="UBT10" s="646"/>
      <c r="UBU10" s="646"/>
      <c r="UBV10" s="646"/>
      <c r="UBW10" s="501"/>
      <c r="UBX10" s="501"/>
      <c r="UBY10" s="501"/>
      <c r="UBZ10" s="501"/>
      <c r="UCA10" s="501"/>
      <c r="UCB10" s="501"/>
      <c r="UCC10" s="501"/>
      <c r="UCD10" s="501"/>
      <c r="UCE10" s="501"/>
      <c r="UCF10" s="501"/>
      <c r="UCG10" s="501"/>
      <c r="UCH10" s="645"/>
      <c r="UCI10" s="646"/>
      <c r="UCJ10" s="646"/>
      <c r="UCK10" s="646"/>
      <c r="UCL10" s="646"/>
      <c r="UCM10" s="646"/>
      <c r="UCN10" s="646"/>
      <c r="UCO10" s="646"/>
      <c r="UCP10" s="646"/>
      <c r="UCQ10" s="646"/>
      <c r="UCR10" s="501"/>
      <c r="UCS10" s="501"/>
      <c r="UCT10" s="501"/>
      <c r="UCU10" s="501"/>
      <c r="UCV10" s="501"/>
      <c r="UCW10" s="501"/>
      <c r="UCX10" s="501"/>
      <c r="UCY10" s="501"/>
      <c r="UCZ10" s="501"/>
      <c r="UDA10" s="501"/>
      <c r="UDB10" s="501"/>
      <c r="UDC10" s="645"/>
      <c r="UDD10" s="646"/>
      <c r="UDE10" s="646"/>
      <c r="UDF10" s="646"/>
      <c r="UDG10" s="646"/>
      <c r="UDH10" s="646"/>
      <c r="UDI10" s="646"/>
      <c r="UDJ10" s="646"/>
      <c r="UDK10" s="646"/>
      <c r="UDL10" s="646"/>
      <c r="UDM10" s="501"/>
      <c r="UDN10" s="501"/>
      <c r="UDO10" s="501"/>
      <c r="UDP10" s="501"/>
      <c r="UDQ10" s="501"/>
      <c r="UDR10" s="501"/>
      <c r="UDS10" s="501"/>
      <c r="UDT10" s="501"/>
      <c r="UDU10" s="501"/>
      <c r="UDV10" s="501"/>
      <c r="UDW10" s="501"/>
      <c r="UDX10" s="645"/>
      <c r="UDY10" s="646"/>
      <c r="UDZ10" s="646"/>
      <c r="UEA10" s="646"/>
      <c r="UEB10" s="646"/>
      <c r="UEC10" s="646"/>
      <c r="UED10" s="646"/>
      <c r="UEE10" s="646"/>
      <c r="UEF10" s="646"/>
      <c r="UEG10" s="646"/>
      <c r="UEH10" s="501"/>
      <c r="UEI10" s="501"/>
      <c r="UEJ10" s="501"/>
      <c r="UEK10" s="501"/>
      <c r="UEL10" s="501"/>
      <c r="UEM10" s="501"/>
      <c r="UEN10" s="501"/>
      <c r="UEO10" s="501"/>
      <c r="UEP10" s="501"/>
      <c r="UEQ10" s="501"/>
      <c r="UER10" s="501"/>
      <c r="UES10" s="645"/>
      <c r="UET10" s="646"/>
      <c r="UEU10" s="646"/>
      <c r="UEV10" s="646"/>
      <c r="UEW10" s="646"/>
      <c r="UEX10" s="646"/>
      <c r="UEY10" s="646"/>
      <c r="UEZ10" s="646"/>
      <c r="UFA10" s="646"/>
      <c r="UFB10" s="646"/>
      <c r="UFC10" s="501"/>
      <c r="UFD10" s="501"/>
      <c r="UFE10" s="501"/>
      <c r="UFF10" s="501"/>
      <c r="UFG10" s="501"/>
      <c r="UFH10" s="501"/>
      <c r="UFI10" s="501"/>
      <c r="UFJ10" s="501"/>
      <c r="UFK10" s="501"/>
      <c r="UFL10" s="501"/>
      <c r="UFM10" s="501"/>
      <c r="UFN10" s="645"/>
      <c r="UFO10" s="646"/>
      <c r="UFP10" s="646"/>
      <c r="UFQ10" s="646"/>
      <c r="UFR10" s="646"/>
      <c r="UFS10" s="646"/>
      <c r="UFT10" s="646"/>
      <c r="UFU10" s="646"/>
      <c r="UFV10" s="646"/>
      <c r="UFW10" s="646"/>
      <c r="UFX10" s="501"/>
      <c r="UFY10" s="501"/>
      <c r="UFZ10" s="501"/>
      <c r="UGA10" s="501"/>
      <c r="UGB10" s="501"/>
      <c r="UGC10" s="501"/>
      <c r="UGD10" s="501"/>
      <c r="UGE10" s="501"/>
      <c r="UGF10" s="501"/>
      <c r="UGG10" s="501"/>
      <c r="UGH10" s="501"/>
      <c r="UGI10" s="645"/>
      <c r="UGJ10" s="646"/>
      <c r="UGK10" s="646"/>
      <c r="UGL10" s="646"/>
      <c r="UGM10" s="646"/>
      <c r="UGN10" s="646"/>
      <c r="UGO10" s="646"/>
      <c r="UGP10" s="646"/>
      <c r="UGQ10" s="646"/>
      <c r="UGR10" s="646"/>
      <c r="UGS10" s="501"/>
      <c r="UGT10" s="501"/>
      <c r="UGU10" s="501"/>
      <c r="UGV10" s="501"/>
      <c r="UGW10" s="501"/>
      <c r="UGX10" s="501"/>
      <c r="UGY10" s="501"/>
      <c r="UGZ10" s="501"/>
      <c r="UHA10" s="501"/>
      <c r="UHB10" s="501"/>
      <c r="UHC10" s="501"/>
      <c r="UHD10" s="645"/>
      <c r="UHE10" s="646"/>
      <c r="UHF10" s="646"/>
      <c r="UHG10" s="646"/>
      <c r="UHH10" s="646"/>
      <c r="UHI10" s="646"/>
      <c r="UHJ10" s="646"/>
      <c r="UHK10" s="646"/>
      <c r="UHL10" s="646"/>
      <c r="UHM10" s="646"/>
      <c r="UHN10" s="501"/>
      <c r="UHO10" s="501"/>
      <c r="UHP10" s="501"/>
      <c r="UHQ10" s="501"/>
      <c r="UHR10" s="501"/>
      <c r="UHS10" s="501"/>
      <c r="UHT10" s="501"/>
      <c r="UHU10" s="501"/>
      <c r="UHV10" s="501"/>
      <c r="UHW10" s="501"/>
      <c r="UHX10" s="501"/>
      <c r="UHY10" s="645"/>
      <c r="UHZ10" s="646"/>
      <c r="UIA10" s="646"/>
      <c r="UIB10" s="646"/>
      <c r="UIC10" s="646"/>
      <c r="UID10" s="646"/>
      <c r="UIE10" s="646"/>
      <c r="UIF10" s="646"/>
      <c r="UIG10" s="646"/>
      <c r="UIH10" s="646"/>
      <c r="UII10" s="501"/>
      <c r="UIJ10" s="501"/>
      <c r="UIK10" s="501"/>
      <c r="UIL10" s="501"/>
      <c r="UIM10" s="501"/>
      <c r="UIN10" s="501"/>
      <c r="UIO10" s="501"/>
      <c r="UIP10" s="501"/>
      <c r="UIQ10" s="501"/>
      <c r="UIR10" s="501"/>
      <c r="UIS10" s="501"/>
      <c r="UIT10" s="645"/>
      <c r="UIU10" s="646"/>
      <c r="UIV10" s="646"/>
      <c r="UIW10" s="646"/>
      <c r="UIX10" s="646"/>
      <c r="UIY10" s="646"/>
      <c r="UIZ10" s="646"/>
      <c r="UJA10" s="646"/>
      <c r="UJB10" s="646"/>
      <c r="UJC10" s="646"/>
      <c r="UJD10" s="501"/>
      <c r="UJE10" s="501"/>
      <c r="UJF10" s="501"/>
      <c r="UJG10" s="501"/>
      <c r="UJH10" s="501"/>
      <c r="UJI10" s="501"/>
      <c r="UJJ10" s="501"/>
      <c r="UJK10" s="501"/>
      <c r="UJL10" s="501"/>
      <c r="UJM10" s="501"/>
      <c r="UJN10" s="501"/>
      <c r="UJO10" s="645"/>
      <c r="UJP10" s="646"/>
      <c r="UJQ10" s="646"/>
      <c r="UJR10" s="646"/>
      <c r="UJS10" s="646"/>
      <c r="UJT10" s="646"/>
      <c r="UJU10" s="646"/>
      <c r="UJV10" s="646"/>
      <c r="UJW10" s="646"/>
      <c r="UJX10" s="646"/>
      <c r="UJY10" s="501"/>
      <c r="UJZ10" s="501"/>
      <c r="UKA10" s="501"/>
      <c r="UKB10" s="501"/>
      <c r="UKC10" s="501"/>
      <c r="UKD10" s="501"/>
      <c r="UKE10" s="501"/>
      <c r="UKF10" s="501"/>
      <c r="UKG10" s="501"/>
      <c r="UKH10" s="501"/>
      <c r="UKI10" s="501"/>
      <c r="UKJ10" s="645"/>
      <c r="UKK10" s="646"/>
      <c r="UKL10" s="646"/>
      <c r="UKM10" s="646"/>
      <c r="UKN10" s="646"/>
      <c r="UKO10" s="646"/>
      <c r="UKP10" s="646"/>
      <c r="UKQ10" s="646"/>
      <c r="UKR10" s="646"/>
      <c r="UKS10" s="646"/>
      <c r="UKT10" s="501"/>
      <c r="UKU10" s="501"/>
      <c r="UKV10" s="501"/>
      <c r="UKW10" s="501"/>
      <c r="UKX10" s="501"/>
      <c r="UKY10" s="501"/>
      <c r="UKZ10" s="501"/>
      <c r="ULA10" s="501"/>
      <c r="ULB10" s="501"/>
      <c r="ULC10" s="501"/>
      <c r="ULD10" s="501"/>
      <c r="ULE10" s="645"/>
      <c r="ULF10" s="646"/>
      <c r="ULG10" s="646"/>
      <c r="ULH10" s="646"/>
      <c r="ULI10" s="646"/>
      <c r="ULJ10" s="646"/>
      <c r="ULK10" s="646"/>
      <c r="ULL10" s="646"/>
      <c r="ULM10" s="646"/>
      <c r="ULN10" s="646"/>
      <c r="ULO10" s="501"/>
      <c r="ULP10" s="501"/>
      <c r="ULQ10" s="501"/>
      <c r="ULR10" s="501"/>
      <c r="ULS10" s="501"/>
      <c r="ULT10" s="501"/>
      <c r="ULU10" s="501"/>
      <c r="ULV10" s="501"/>
      <c r="ULW10" s="501"/>
      <c r="ULX10" s="501"/>
      <c r="ULY10" s="501"/>
      <c r="ULZ10" s="645"/>
      <c r="UMA10" s="646"/>
      <c r="UMB10" s="646"/>
      <c r="UMC10" s="646"/>
      <c r="UMD10" s="646"/>
      <c r="UME10" s="646"/>
      <c r="UMF10" s="646"/>
      <c r="UMG10" s="646"/>
      <c r="UMH10" s="646"/>
      <c r="UMI10" s="646"/>
      <c r="UMJ10" s="501"/>
      <c r="UMK10" s="501"/>
      <c r="UML10" s="501"/>
      <c r="UMM10" s="501"/>
      <c r="UMN10" s="501"/>
      <c r="UMO10" s="501"/>
      <c r="UMP10" s="501"/>
      <c r="UMQ10" s="501"/>
      <c r="UMR10" s="501"/>
      <c r="UMS10" s="501"/>
      <c r="UMT10" s="501"/>
      <c r="UMU10" s="645"/>
      <c r="UMV10" s="646"/>
      <c r="UMW10" s="646"/>
      <c r="UMX10" s="646"/>
      <c r="UMY10" s="646"/>
      <c r="UMZ10" s="646"/>
      <c r="UNA10" s="646"/>
      <c r="UNB10" s="646"/>
      <c r="UNC10" s="646"/>
      <c r="UND10" s="646"/>
      <c r="UNE10" s="501"/>
      <c r="UNF10" s="501"/>
      <c r="UNG10" s="501"/>
      <c r="UNH10" s="501"/>
      <c r="UNI10" s="501"/>
      <c r="UNJ10" s="501"/>
      <c r="UNK10" s="501"/>
      <c r="UNL10" s="501"/>
      <c r="UNM10" s="501"/>
      <c r="UNN10" s="501"/>
      <c r="UNO10" s="501"/>
      <c r="UNP10" s="645"/>
      <c r="UNQ10" s="646"/>
      <c r="UNR10" s="646"/>
      <c r="UNS10" s="646"/>
      <c r="UNT10" s="646"/>
      <c r="UNU10" s="646"/>
      <c r="UNV10" s="646"/>
      <c r="UNW10" s="646"/>
      <c r="UNX10" s="646"/>
      <c r="UNY10" s="646"/>
      <c r="UNZ10" s="501"/>
      <c r="UOA10" s="501"/>
      <c r="UOB10" s="501"/>
      <c r="UOC10" s="501"/>
      <c r="UOD10" s="501"/>
      <c r="UOE10" s="501"/>
      <c r="UOF10" s="501"/>
      <c r="UOG10" s="501"/>
      <c r="UOH10" s="501"/>
      <c r="UOI10" s="501"/>
      <c r="UOJ10" s="501"/>
      <c r="UOK10" s="645"/>
      <c r="UOL10" s="646"/>
      <c r="UOM10" s="646"/>
      <c r="UON10" s="646"/>
      <c r="UOO10" s="646"/>
      <c r="UOP10" s="646"/>
      <c r="UOQ10" s="646"/>
      <c r="UOR10" s="646"/>
      <c r="UOS10" s="646"/>
      <c r="UOT10" s="646"/>
      <c r="UOU10" s="501"/>
      <c r="UOV10" s="501"/>
      <c r="UOW10" s="501"/>
      <c r="UOX10" s="501"/>
      <c r="UOY10" s="501"/>
      <c r="UOZ10" s="501"/>
      <c r="UPA10" s="501"/>
      <c r="UPB10" s="501"/>
      <c r="UPC10" s="501"/>
      <c r="UPD10" s="501"/>
      <c r="UPE10" s="501"/>
      <c r="UPF10" s="645"/>
      <c r="UPG10" s="646"/>
      <c r="UPH10" s="646"/>
      <c r="UPI10" s="646"/>
      <c r="UPJ10" s="646"/>
      <c r="UPK10" s="646"/>
      <c r="UPL10" s="646"/>
      <c r="UPM10" s="646"/>
      <c r="UPN10" s="646"/>
      <c r="UPO10" s="646"/>
      <c r="UPP10" s="501"/>
      <c r="UPQ10" s="501"/>
      <c r="UPR10" s="501"/>
      <c r="UPS10" s="501"/>
      <c r="UPT10" s="501"/>
      <c r="UPU10" s="501"/>
      <c r="UPV10" s="501"/>
      <c r="UPW10" s="501"/>
      <c r="UPX10" s="501"/>
      <c r="UPY10" s="501"/>
      <c r="UPZ10" s="501"/>
      <c r="UQA10" s="645"/>
      <c r="UQB10" s="646"/>
      <c r="UQC10" s="646"/>
      <c r="UQD10" s="646"/>
      <c r="UQE10" s="646"/>
      <c r="UQF10" s="646"/>
      <c r="UQG10" s="646"/>
      <c r="UQH10" s="646"/>
      <c r="UQI10" s="646"/>
      <c r="UQJ10" s="646"/>
      <c r="UQK10" s="501"/>
      <c r="UQL10" s="501"/>
      <c r="UQM10" s="501"/>
      <c r="UQN10" s="501"/>
      <c r="UQO10" s="501"/>
      <c r="UQP10" s="501"/>
      <c r="UQQ10" s="501"/>
      <c r="UQR10" s="501"/>
      <c r="UQS10" s="501"/>
      <c r="UQT10" s="501"/>
      <c r="UQU10" s="501"/>
      <c r="UQV10" s="645"/>
      <c r="UQW10" s="646"/>
      <c r="UQX10" s="646"/>
      <c r="UQY10" s="646"/>
      <c r="UQZ10" s="646"/>
      <c r="URA10" s="646"/>
      <c r="URB10" s="646"/>
      <c r="URC10" s="646"/>
      <c r="URD10" s="646"/>
      <c r="URE10" s="646"/>
      <c r="URF10" s="501"/>
      <c r="URG10" s="501"/>
      <c r="URH10" s="501"/>
      <c r="URI10" s="501"/>
      <c r="URJ10" s="501"/>
      <c r="URK10" s="501"/>
      <c r="URL10" s="501"/>
      <c r="URM10" s="501"/>
      <c r="URN10" s="501"/>
      <c r="URO10" s="501"/>
      <c r="URP10" s="501"/>
      <c r="URQ10" s="645"/>
      <c r="URR10" s="646"/>
      <c r="URS10" s="646"/>
      <c r="URT10" s="646"/>
      <c r="URU10" s="646"/>
      <c r="URV10" s="646"/>
      <c r="URW10" s="646"/>
      <c r="URX10" s="646"/>
      <c r="URY10" s="646"/>
      <c r="URZ10" s="646"/>
      <c r="USA10" s="501"/>
      <c r="USB10" s="501"/>
      <c r="USC10" s="501"/>
      <c r="USD10" s="501"/>
      <c r="USE10" s="501"/>
      <c r="USF10" s="501"/>
      <c r="USG10" s="501"/>
      <c r="USH10" s="501"/>
      <c r="USI10" s="501"/>
      <c r="USJ10" s="501"/>
      <c r="USK10" s="501"/>
      <c r="USL10" s="645"/>
      <c r="USM10" s="646"/>
      <c r="USN10" s="646"/>
      <c r="USO10" s="646"/>
      <c r="USP10" s="646"/>
      <c r="USQ10" s="646"/>
      <c r="USR10" s="646"/>
      <c r="USS10" s="646"/>
      <c r="UST10" s="646"/>
      <c r="USU10" s="646"/>
      <c r="USV10" s="501"/>
      <c r="USW10" s="501"/>
      <c r="USX10" s="501"/>
      <c r="USY10" s="501"/>
      <c r="USZ10" s="501"/>
      <c r="UTA10" s="501"/>
      <c r="UTB10" s="501"/>
      <c r="UTC10" s="501"/>
      <c r="UTD10" s="501"/>
      <c r="UTE10" s="501"/>
      <c r="UTF10" s="501"/>
      <c r="UTG10" s="645"/>
      <c r="UTH10" s="646"/>
      <c r="UTI10" s="646"/>
      <c r="UTJ10" s="646"/>
      <c r="UTK10" s="646"/>
      <c r="UTL10" s="646"/>
      <c r="UTM10" s="646"/>
      <c r="UTN10" s="646"/>
      <c r="UTO10" s="646"/>
      <c r="UTP10" s="646"/>
      <c r="UTQ10" s="501"/>
      <c r="UTR10" s="501"/>
      <c r="UTS10" s="501"/>
      <c r="UTT10" s="501"/>
      <c r="UTU10" s="501"/>
      <c r="UTV10" s="501"/>
      <c r="UTW10" s="501"/>
      <c r="UTX10" s="501"/>
      <c r="UTY10" s="501"/>
      <c r="UTZ10" s="501"/>
      <c r="UUA10" s="501"/>
      <c r="UUB10" s="645"/>
      <c r="UUC10" s="646"/>
      <c r="UUD10" s="646"/>
      <c r="UUE10" s="646"/>
      <c r="UUF10" s="646"/>
      <c r="UUG10" s="646"/>
      <c r="UUH10" s="646"/>
      <c r="UUI10" s="646"/>
      <c r="UUJ10" s="646"/>
      <c r="UUK10" s="646"/>
      <c r="UUL10" s="501"/>
      <c r="UUM10" s="501"/>
      <c r="UUN10" s="501"/>
      <c r="UUO10" s="501"/>
      <c r="UUP10" s="501"/>
      <c r="UUQ10" s="501"/>
      <c r="UUR10" s="501"/>
      <c r="UUS10" s="501"/>
      <c r="UUT10" s="501"/>
      <c r="UUU10" s="501"/>
      <c r="UUV10" s="501"/>
      <c r="UUW10" s="645"/>
      <c r="UUX10" s="646"/>
      <c r="UUY10" s="646"/>
      <c r="UUZ10" s="646"/>
      <c r="UVA10" s="646"/>
      <c r="UVB10" s="646"/>
      <c r="UVC10" s="646"/>
      <c r="UVD10" s="646"/>
      <c r="UVE10" s="646"/>
      <c r="UVF10" s="646"/>
      <c r="UVG10" s="501"/>
      <c r="UVH10" s="501"/>
      <c r="UVI10" s="501"/>
      <c r="UVJ10" s="501"/>
      <c r="UVK10" s="501"/>
      <c r="UVL10" s="501"/>
      <c r="UVM10" s="501"/>
      <c r="UVN10" s="501"/>
      <c r="UVO10" s="501"/>
      <c r="UVP10" s="501"/>
      <c r="UVQ10" s="501"/>
      <c r="UVR10" s="645"/>
      <c r="UVS10" s="646"/>
      <c r="UVT10" s="646"/>
      <c r="UVU10" s="646"/>
      <c r="UVV10" s="646"/>
      <c r="UVW10" s="646"/>
      <c r="UVX10" s="646"/>
      <c r="UVY10" s="646"/>
      <c r="UVZ10" s="646"/>
      <c r="UWA10" s="646"/>
      <c r="UWB10" s="501"/>
      <c r="UWC10" s="501"/>
      <c r="UWD10" s="501"/>
      <c r="UWE10" s="501"/>
      <c r="UWF10" s="501"/>
      <c r="UWG10" s="501"/>
      <c r="UWH10" s="501"/>
      <c r="UWI10" s="501"/>
      <c r="UWJ10" s="501"/>
      <c r="UWK10" s="501"/>
      <c r="UWL10" s="501"/>
      <c r="UWM10" s="645"/>
      <c r="UWN10" s="646"/>
      <c r="UWO10" s="646"/>
      <c r="UWP10" s="646"/>
      <c r="UWQ10" s="646"/>
      <c r="UWR10" s="646"/>
      <c r="UWS10" s="646"/>
      <c r="UWT10" s="646"/>
      <c r="UWU10" s="646"/>
      <c r="UWV10" s="646"/>
      <c r="UWW10" s="501"/>
      <c r="UWX10" s="501"/>
      <c r="UWY10" s="501"/>
      <c r="UWZ10" s="501"/>
      <c r="UXA10" s="501"/>
      <c r="UXB10" s="501"/>
      <c r="UXC10" s="501"/>
      <c r="UXD10" s="501"/>
      <c r="UXE10" s="501"/>
      <c r="UXF10" s="501"/>
      <c r="UXG10" s="501"/>
      <c r="UXH10" s="645"/>
      <c r="UXI10" s="646"/>
      <c r="UXJ10" s="646"/>
      <c r="UXK10" s="646"/>
      <c r="UXL10" s="646"/>
      <c r="UXM10" s="646"/>
      <c r="UXN10" s="646"/>
      <c r="UXO10" s="646"/>
      <c r="UXP10" s="646"/>
      <c r="UXQ10" s="646"/>
      <c r="UXR10" s="501"/>
      <c r="UXS10" s="501"/>
      <c r="UXT10" s="501"/>
      <c r="UXU10" s="501"/>
      <c r="UXV10" s="501"/>
      <c r="UXW10" s="501"/>
      <c r="UXX10" s="501"/>
      <c r="UXY10" s="501"/>
      <c r="UXZ10" s="501"/>
      <c r="UYA10" s="501"/>
      <c r="UYB10" s="501"/>
      <c r="UYC10" s="645"/>
      <c r="UYD10" s="646"/>
      <c r="UYE10" s="646"/>
      <c r="UYF10" s="646"/>
      <c r="UYG10" s="646"/>
      <c r="UYH10" s="646"/>
      <c r="UYI10" s="646"/>
      <c r="UYJ10" s="646"/>
      <c r="UYK10" s="646"/>
      <c r="UYL10" s="646"/>
      <c r="UYM10" s="501"/>
      <c r="UYN10" s="501"/>
      <c r="UYO10" s="501"/>
      <c r="UYP10" s="501"/>
      <c r="UYQ10" s="501"/>
      <c r="UYR10" s="501"/>
      <c r="UYS10" s="501"/>
      <c r="UYT10" s="501"/>
      <c r="UYU10" s="501"/>
      <c r="UYV10" s="501"/>
      <c r="UYW10" s="501"/>
      <c r="UYX10" s="645"/>
      <c r="UYY10" s="646"/>
      <c r="UYZ10" s="646"/>
      <c r="UZA10" s="646"/>
      <c r="UZB10" s="646"/>
      <c r="UZC10" s="646"/>
      <c r="UZD10" s="646"/>
      <c r="UZE10" s="646"/>
      <c r="UZF10" s="646"/>
      <c r="UZG10" s="646"/>
      <c r="UZH10" s="501"/>
      <c r="UZI10" s="501"/>
      <c r="UZJ10" s="501"/>
      <c r="UZK10" s="501"/>
      <c r="UZL10" s="501"/>
      <c r="UZM10" s="501"/>
      <c r="UZN10" s="501"/>
      <c r="UZO10" s="501"/>
      <c r="UZP10" s="501"/>
      <c r="UZQ10" s="501"/>
      <c r="UZR10" s="501"/>
      <c r="UZS10" s="645"/>
      <c r="UZT10" s="646"/>
      <c r="UZU10" s="646"/>
      <c r="UZV10" s="646"/>
      <c r="UZW10" s="646"/>
      <c r="UZX10" s="646"/>
      <c r="UZY10" s="646"/>
      <c r="UZZ10" s="646"/>
      <c r="VAA10" s="646"/>
      <c r="VAB10" s="646"/>
      <c r="VAC10" s="501"/>
      <c r="VAD10" s="501"/>
      <c r="VAE10" s="501"/>
      <c r="VAF10" s="501"/>
      <c r="VAG10" s="501"/>
      <c r="VAH10" s="501"/>
      <c r="VAI10" s="501"/>
      <c r="VAJ10" s="501"/>
      <c r="VAK10" s="501"/>
      <c r="VAL10" s="501"/>
      <c r="VAM10" s="501"/>
      <c r="VAN10" s="645"/>
      <c r="VAO10" s="646"/>
      <c r="VAP10" s="646"/>
      <c r="VAQ10" s="646"/>
      <c r="VAR10" s="646"/>
      <c r="VAS10" s="646"/>
      <c r="VAT10" s="646"/>
      <c r="VAU10" s="646"/>
      <c r="VAV10" s="646"/>
      <c r="VAW10" s="646"/>
      <c r="VAX10" s="501"/>
      <c r="VAY10" s="501"/>
      <c r="VAZ10" s="501"/>
      <c r="VBA10" s="501"/>
      <c r="VBB10" s="501"/>
      <c r="VBC10" s="501"/>
      <c r="VBD10" s="501"/>
      <c r="VBE10" s="501"/>
      <c r="VBF10" s="501"/>
      <c r="VBG10" s="501"/>
      <c r="VBH10" s="501"/>
      <c r="VBI10" s="645"/>
      <c r="VBJ10" s="646"/>
      <c r="VBK10" s="646"/>
      <c r="VBL10" s="646"/>
      <c r="VBM10" s="646"/>
      <c r="VBN10" s="646"/>
      <c r="VBO10" s="646"/>
      <c r="VBP10" s="646"/>
      <c r="VBQ10" s="646"/>
      <c r="VBR10" s="646"/>
      <c r="VBS10" s="501"/>
      <c r="VBT10" s="501"/>
      <c r="VBU10" s="501"/>
      <c r="VBV10" s="501"/>
      <c r="VBW10" s="501"/>
      <c r="VBX10" s="501"/>
      <c r="VBY10" s="501"/>
      <c r="VBZ10" s="501"/>
      <c r="VCA10" s="501"/>
      <c r="VCB10" s="501"/>
      <c r="VCC10" s="501"/>
      <c r="VCD10" s="645"/>
      <c r="VCE10" s="646"/>
      <c r="VCF10" s="646"/>
      <c r="VCG10" s="646"/>
      <c r="VCH10" s="646"/>
      <c r="VCI10" s="646"/>
      <c r="VCJ10" s="646"/>
      <c r="VCK10" s="646"/>
      <c r="VCL10" s="646"/>
      <c r="VCM10" s="646"/>
      <c r="VCN10" s="501"/>
      <c r="VCO10" s="501"/>
      <c r="VCP10" s="501"/>
      <c r="VCQ10" s="501"/>
      <c r="VCR10" s="501"/>
      <c r="VCS10" s="501"/>
      <c r="VCT10" s="501"/>
      <c r="VCU10" s="501"/>
      <c r="VCV10" s="501"/>
      <c r="VCW10" s="501"/>
      <c r="VCX10" s="501"/>
      <c r="VCY10" s="645"/>
      <c r="VCZ10" s="646"/>
      <c r="VDA10" s="646"/>
      <c r="VDB10" s="646"/>
      <c r="VDC10" s="646"/>
      <c r="VDD10" s="646"/>
      <c r="VDE10" s="646"/>
      <c r="VDF10" s="646"/>
      <c r="VDG10" s="646"/>
      <c r="VDH10" s="646"/>
      <c r="VDI10" s="501"/>
      <c r="VDJ10" s="501"/>
      <c r="VDK10" s="501"/>
      <c r="VDL10" s="501"/>
      <c r="VDM10" s="501"/>
      <c r="VDN10" s="501"/>
      <c r="VDO10" s="501"/>
      <c r="VDP10" s="501"/>
      <c r="VDQ10" s="501"/>
      <c r="VDR10" s="501"/>
      <c r="VDS10" s="501"/>
      <c r="VDT10" s="645"/>
      <c r="VDU10" s="646"/>
      <c r="VDV10" s="646"/>
      <c r="VDW10" s="646"/>
      <c r="VDX10" s="646"/>
      <c r="VDY10" s="646"/>
      <c r="VDZ10" s="646"/>
      <c r="VEA10" s="646"/>
      <c r="VEB10" s="646"/>
      <c r="VEC10" s="646"/>
      <c r="VED10" s="501"/>
      <c r="VEE10" s="501"/>
      <c r="VEF10" s="501"/>
      <c r="VEG10" s="501"/>
      <c r="VEH10" s="501"/>
      <c r="VEI10" s="501"/>
      <c r="VEJ10" s="501"/>
      <c r="VEK10" s="501"/>
      <c r="VEL10" s="501"/>
      <c r="VEM10" s="501"/>
      <c r="VEN10" s="501"/>
      <c r="VEO10" s="645"/>
      <c r="VEP10" s="646"/>
      <c r="VEQ10" s="646"/>
      <c r="VER10" s="646"/>
      <c r="VES10" s="646"/>
      <c r="VET10" s="646"/>
      <c r="VEU10" s="646"/>
      <c r="VEV10" s="646"/>
      <c r="VEW10" s="646"/>
      <c r="VEX10" s="646"/>
      <c r="VEY10" s="501"/>
      <c r="VEZ10" s="501"/>
      <c r="VFA10" s="501"/>
      <c r="VFB10" s="501"/>
      <c r="VFC10" s="501"/>
      <c r="VFD10" s="501"/>
      <c r="VFE10" s="501"/>
      <c r="VFF10" s="501"/>
      <c r="VFG10" s="501"/>
      <c r="VFH10" s="501"/>
      <c r="VFI10" s="501"/>
      <c r="VFJ10" s="645"/>
      <c r="VFK10" s="646"/>
      <c r="VFL10" s="646"/>
      <c r="VFM10" s="646"/>
      <c r="VFN10" s="646"/>
      <c r="VFO10" s="646"/>
      <c r="VFP10" s="646"/>
      <c r="VFQ10" s="646"/>
      <c r="VFR10" s="646"/>
      <c r="VFS10" s="646"/>
      <c r="VFT10" s="501"/>
      <c r="VFU10" s="501"/>
      <c r="VFV10" s="501"/>
      <c r="VFW10" s="501"/>
      <c r="VFX10" s="501"/>
      <c r="VFY10" s="501"/>
      <c r="VFZ10" s="501"/>
      <c r="VGA10" s="501"/>
      <c r="VGB10" s="501"/>
      <c r="VGC10" s="501"/>
      <c r="VGD10" s="501"/>
      <c r="VGE10" s="645"/>
      <c r="VGF10" s="646"/>
      <c r="VGG10" s="646"/>
      <c r="VGH10" s="646"/>
      <c r="VGI10" s="646"/>
      <c r="VGJ10" s="646"/>
      <c r="VGK10" s="646"/>
      <c r="VGL10" s="646"/>
      <c r="VGM10" s="646"/>
      <c r="VGN10" s="646"/>
      <c r="VGO10" s="501"/>
      <c r="VGP10" s="501"/>
      <c r="VGQ10" s="501"/>
      <c r="VGR10" s="501"/>
      <c r="VGS10" s="501"/>
      <c r="VGT10" s="501"/>
      <c r="VGU10" s="501"/>
      <c r="VGV10" s="501"/>
      <c r="VGW10" s="501"/>
      <c r="VGX10" s="501"/>
      <c r="VGY10" s="501"/>
      <c r="VGZ10" s="645"/>
      <c r="VHA10" s="646"/>
      <c r="VHB10" s="646"/>
      <c r="VHC10" s="646"/>
      <c r="VHD10" s="646"/>
      <c r="VHE10" s="646"/>
      <c r="VHF10" s="646"/>
      <c r="VHG10" s="646"/>
      <c r="VHH10" s="646"/>
      <c r="VHI10" s="646"/>
      <c r="VHJ10" s="501"/>
      <c r="VHK10" s="501"/>
      <c r="VHL10" s="501"/>
      <c r="VHM10" s="501"/>
      <c r="VHN10" s="501"/>
      <c r="VHO10" s="501"/>
      <c r="VHP10" s="501"/>
      <c r="VHQ10" s="501"/>
      <c r="VHR10" s="501"/>
      <c r="VHS10" s="501"/>
      <c r="VHT10" s="501"/>
      <c r="VHU10" s="645"/>
      <c r="VHV10" s="646"/>
      <c r="VHW10" s="646"/>
      <c r="VHX10" s="646"/>
      <c r="VHY10" s="646"/>
      <c r="VHZ10" s="646"/>
      <c r="VIA10" s="646"/>
      <c r="VIB10" s="646"/>
      <c r="VIC10" s="646"/>
      <c r="VID10" s="646"/>
      <c r="VIE10" s="501"/>
      <c r="VIF10" s="501"/>
      <c r="VIG10" s="501"/>
      <c r="VIH10" s="501"/>
      <c r="VII10" s="501"/>
      <c r="VIJ10" s="501"/>
      <c r="VIK10" s="501"/>
      <c r="VIL10" s="501"/>
      <c r="VIM10" s="501"/>
      <c r="VIN10" s="501"/>
      <c r="VIO10" s="501"/>
      <c r="VIP10" s="645"/>
      <c r="VIQ10" s="646"/>
      <c r="VIR10" s="646"/>
      <c r="VIS10" s="646"/>
      <c r="VIT10" s="646"/>
      <c r="VIU10" s="646"/>
      <c r="VIV10" s="646"/>
      <c r="VIW10" s="646"/>
      <c r="VIX10" s="646"/>
      <c r="VIY10" s="646"/>
      <c r="VIZ10" s="501"/>
      <c r="VJA10" s="501"/>
      <c r="VJB10" s="501"/>
      <c r="VJC10" s="501"/>
      <c r="VJD10" s="501"/>
      <c r="VJE10" s="501"/>
      <c r="VJF10" s="501"/>
      <c r="VJG10" s="501"/>
      <c r="VJH10" s="501"/>
      <c r="VJI10" s="501"/>
      <c r="VJJ10" s="501"/>
      <c r="VJK10" s="645"/>
      <c r="VJL10" s="646"/>
      <c r="VJM10" s="646"/>
      <c r="VJN10" s="646"/>
      <c r="VJO10" s="646"/>
      <c r="VJP10" s="646"/>
      <c r="VJQ10" s="646"/>
      <c r="VJR10" s="646"/>
      <c r="VJS10" s="646"/>
      <c r="VJT10" s="646"/>
      <c r="VJU10" s="501"/>
      <c r="VJV10" s="501"/>
      <c r="VJW10" s="501"/>
      <c r="VJX10" s="501"/>
      <c r="VJY10" s="501"/>
      <c r="VJZ10" s="501"/>
      <c r="VKA10" s="501"/>
      <c r="VKB10" s="501"/>
      <c r="VKC10" s="501"/>
      <c r="VKD10" s="501"/>
      <c r="VKE10" s="501"/>
      <c r="VKF10" s="645"/>
      <c r="VKG10" s="646"/>
      <c r="VKH10" s="646"/>
      <c r="VKI10" s="646"/>
      <c r="VKJ10" s="646"/>
      <c r="VKK10" s="646"/>
      <c r="VKL10" s="646"/>
      <c r="VKM10" s="646"/>
      <c r="VKN10" s="646"/>
      <c r="VKO10" s="646"/>
      <c r="VKP10" s="501"/>
      <c r="VKQ10" s="501"/>
      <c r="VKR10" s="501"/>
      <c r="VKS10" s="501"/>
      <c r="VKT10" s="501"/>
      <c r="VKU10" s="501"/>
      <c r="VKV10" s="501"/>
      <c r="VKW10" s="501"/>
      <c r="VKX10" s="501"/>
      <c r="VKY10" s="501"/>
      <c r="VKZ10" s="501"/>
      <c r="VLA10" s="645"/>
      <c r="VLB10" s="646"/>
      <c r="VLC10" s="646"/>
      <c r="VLD10" s="646"/>
      <c r="VLE10" s="646"/>
      <c r="VLF10" s="646"/>
      <c r="VLG10" s="646"/>
      <c r="VLH10" s="646"/>
      <c r="VLI10" s="646"/>
      <c r="VLJ10" s="646"/>
      <c r="VLK10" s="501"/>
      <c r="VLL10" s="501"/>
      <c r="VLM10" s="501"/>
      <c r="VLN10" s="501"/>
      <c r="VLO10" s="501"/>
      <c r="VLP10" s="501"/>
      <c r="VLQ10" s="501"/>
      <c r="VLR10" s="501"/>
      <c r="VLS10" s="501"/>
      <c r="VLT10" s="501"/>
      <c r="VLU10" s="501"/>
      <c r="VLV10" s="645"/>
      <c r="VLW10" s="646"/>
      <c r="VLX10" s="646"/>
      <c r="VLY10" s="646"/>
      <c r="VLZ10" s="646"/>
      <c r="VMA10" s="646"/>
      <c r="VMB10" s="646"/>
      <c r="VMC10" s="646"/>
      <c r="VMD10" s="646"/>
      <c r="VME10" s="646"/>
      <c r="VMF10" s="501"/>
      <c r="VMG10" s="501"/>
      <c r="VMH10" s="501"/>
      <c r="VMI10" s="501"/>
      <c r="VMJ10" s="501"/>
      <c r="VMK10" s="501"/>
      <c r="VML10" s="501"/>
      <c r="VMM10" s="501"/>
      <c r="VMN10" s="501"/>
      <c r="VMO10" s="501"/>
      <c r="VMP10" s="501"/>
      <c r="VMQ10" s="645"/>
      <c r="VMR10" s="646"/>
      <c r="VMS10" s="646"/>
      <c r="VMT10" s="646"/>
      <c r="VMU10" s="646"/>
      <c r="VMV10" s="646"/>
      <c r="VMW10" s="646"/>
      <c r="VMX10" s="646"/>
      <c r="VMY10" s="646"/>
      <c r="VMZ10" s="646"/>
      <c r="VNA10" s="501"/>
      <c r="VNB10" s="501"/>
      <c r="VNC10" s="501"/>
      <c r="VND10" s="501"/>
      <c r="VNE10" s="501"/>
      <c r="VNF10" s="501"/>
      <c r="VNG10" s="501"/>
      <c r="VNH10" s="501"/>
      <c r="VNI10" s="501"/>
      <c r="VNJ10" s="501"/>
      <c r="VNK10" s="501"/>
      <c r="VNL10" s="645"/>
      <c r="VNM10" s="646"/>
      <c r="VNN10" s="646"/>
      <c r="VNO10" s="646"/>
      <c r="VNP10" s="646"/>
      <c r="VNQ10" s="646"/>
      <c r="VNR10" s="646"/>
      <c r="VNS10" s="646"/>
      <c r="VNT10" s="646"/>
      <c r="VNU10" s="646"/>
      <c r="VNV10" s="501"/>
      <c r="VNW10" s="501"/>
      <c r="VNX10" s="501"/>
      <c r="VNY10" s="501"/>
      <c r="VNZ10" s="501"/>
      <c r="VOA10" s="501"/>
      <c r="VOB10" s="501"/>
      <c r="VOC10" s="501"/>
      <c r="VOD10" s="501"/>
      <c r="VOE10" s="501"/>
      <c r="VOF10" s="501"/>
      <c r="VOG10" s="645"/>
      <c r="VOH10" s="646"/>
      <c r="VOI10" s="646"/>
      <c r="VOJ10" s="646"/>
      <c r="VOK10" s="646"/>
      <c r="VOL10" s="646"/>
      <c r="VOM10" s="646"/>
      <c r="VON10" s="646"/>
      <c r="VOO10" s="646"/>
      <c r="VOP10" s="646"/>
      <c r="VOQ10" s="501"/>
      <c r="VOR10" s="501"/>
      <c r="VOS10" s="501"/>
      <c r="VOT10" s="501"/>
      <c r="VOU10" s="501"/>
      <c r="VOV10" s="501"/>
      <c r="VOW10" s="501"/>
      <c r="VOX10" s="501"/>
      <c r="VOY10" s="501"/>
      <c r="VOZ10" s="501"/>
      <c r="VPA10" s="501"/>
      <c r="VPB10" s="645"/>
      <c r="VPC10" s="646"/>
      <c r="VPD10" s="646"/>
      <c r="VPE10" s="646"/>
      <c r="VPF10" s="646"/>
      <c r="VPG10" s="646"/>
      <c r="VPH10" s="646"/>
      <c r="VPI10" s="646"/>
      <c r="VPJ10" s="646"/>
      <c r="VPK10" s="646"/>
      <c r="VPL10" s="501"/>
      <c r="VPM10" s="501"/>
      <c r="VPN10" s="501"/>
      <c r="VPO10" s="501"/>
      <c r="VPP10" s="501"/>
      <c r="VPQ10" s="501"/>
      <c r="VPR10" s="501"/>
      <c r="VPS10" s="501"/>
      <c r="VPT10" s="501"/>
      <c r="VPU10" s="501"/>
      <c r="VPV10" s="501"/>
      <c r="VPW10" s="645"/>
      <c r="VPX10" s="646"/>
      <c r="VPY10" s="646"/>
      <c r="VPZ10" s="646"/>
      <c r="VQA10" s="646"/>
      <c r="VQB10" s="646"/>
      <c r="VQC10" s="646"/>
      <c r="VQD10" s="646"/>
      <c r="VQE10" s="646"/>
      <c r="VQF10" s="646"/>
      <c r="VQG10" s="501"/>
      <c r="VQH10" s="501"/>
      <c r="VQI10" s="501"/>
      <c r="VQJ10" s="501"/>
      <c r="VQK10" s="501"/>
      <c r="VQL10" s="501"/>
      <c r="VQM10" s="501"/>
      <c r="VQN10" s="501"/>
      <c r="VQO10" s="501"/>
      <c r="VQP10" s="501"/>
      <c r="VQQ10" s="501"/>
      <c r="VQR10" s="645"/>
      <c r="VQS10" s="646"/>
      <c r="VQT10" s="646"/>
      <c r="VQU10" s="646"/>
      <c r="VQV10" s="646"/>
      <c r="VQW10" s="646"/>
      <c r="VQX10" s="646"/>
      <c r="VQY10" s="646"/>
      <c r="VQZ10" s="646"/>
      <c r="VRA10" s="646"/>
      <c r="VRB10" s="501"/>
      <c r="VRC10" s="501"/>
      <c r="VRD10" s="501"/>
      <c r="VRE10" s="501"/>
      <c r="VRF10" s="501"/>
      <c r="VRG10" s="501"/>
      <c r="VRH10" s="501"/>
      <c r="VRI10" s="501"/>
      <c r="VRJ10" s="501"/>
      <c r="VRK10" s="501"/>
      <c r="VRL10" s="501"/>
      <c r="VRM10" s="645"/>
      <c r="VRN10" s="646"/>
      <c r="VRO10" s="646"/>
      <c r="VRP10" s="646"/>
      <c r="VRQ10" s="646"/>
      <c r="VRR10" s="646"/>
      <c r="VRS10" s="646"/>
      <c r="VRT10" s="646"/>
      <c r="VRU10" s="646"/>
      <c r="VRV10" s="646"/>
      <c r="VRW10" s="501"/>
      <c r="VRX10" s="501"/>
      <c r="VRY10" s="501"/>
      <c r="VRZ10" s="501"/>
      <c r="VSA10" s="501"/>
      <c r="VSB10" s="501"/>
      <c r="VSC10" s="501"/>
      <c r="VSD10" s="501"/>
      <c r="VSE10" s="501"/>
      <c r="VSF10" s="501"/>
      <c r="VSG10" s="501"/>
      <c r="VSH10" s="645"/>
      <c r="VSI10" s="646"/>
      <c r="VSJ10" s="646"/>
      <c r="VSK10" s="646"/>
      <c r="VSL10" s="646"/>
      <c r="VSM10" s="646"/>
      <c r="VSN10" s="646"/>
      <c r="VSO10" s="646"/>
      <c r="VSP10" s="646"/>
      <c r="VSQ10" s="646"/>
      <c r="VSR10" s="501"/>
      <c r="VSS10" s="501"/>
      <c r="VST10" s="501"/>
      <c r="VSU10" s="501"/>
      <c r="VSV10" s="501"/>
      <c r="VSW10" s="501"/>
      <c r="VSX10" s="501"/>
      <c r="VSY10" s="501"/>
      <c r="VSZ10" s="501"/>
      <c r="VTA10" s="501"/>
      <c r="VTB10" s="501"/>
      <c r="VTC10" s="645"/>
      <c r="VTD10" s="646"/>
      <c r="VTE10" s="646"/>
      <c r="VTF10" s="646"/>
      <c r="VTG10" s="646"/>
      <c r="VTH10" s="646"/>
      <c r="VTI10" s="646"/>
      <c r="VTJ10" s="646"/>
      <c r="VTK10" s="646"/>
      <c r="VTL10" s="646"/>
      <c r="VTM10" s="501"/>
      <c r="VTN10" s="501"/>
      <c r="VTO10" s="501"/>
      <c r="VTP10" s="501"/>
      <c r="VTQ10" s="501"/>
      <c r="VTR10" s="501"/>
      <c r="VTS10" s="501"/>
      <c r="VTT10" s="501"/>
      <c r="VTU10" s="501"/>
      <c r="VTV10" s="501"/>
      <c r="VTW10" s="501"/>
      <c r="VTX10" s="645"/>
      <c r="VTY10" s="646"/>
      <c r="VTZ10" s="646"/>
      <c r="VUA10" s="646"/>
      <c r="VUB10" s="646"/>
      <c r="VUC10" s="646"/>
      <c r="VUD10" s="646"/>
      <c r="VUE10" s="646"/>
      <c r="VUF10" s="646"/>
      <c r="VUG10" s="646"/>
      <c r="VUH10" s="501"/>
      <c r="VUI10" s="501"/>
      <c r="VUJ10" s="501"/>
      <c r="VUK10" s="501"/>
      <c r="VUL10" s="501"/>
      <c r="VUM10" s="501"/>
      <c r="VUN10" s="501"/>
      <c r="VUO10" s="501"/>
      <c r="VUP10" s="501"/>
      <c r="VUQ10" s="501"/>
      <c r="VUR10" s="501"/>
      <c r="VUS10" s="645"/>
      <c r="VUT10" s="646"/>
      <c r="VUU10" s="646"/>
      <c r="VUV10" s="646"/>
      <c r="VUW10" s="646"/>
      <c r="VUX10" s="646"/>
      <c r="VUY10" s="646"/>
      <c r="VUZ10" s="646"/>
      <c r="VVA10" s="646"/>
      <c r="VVB10" s="646"/>
      <c r="VVC10" s="501"/>
      <c r="VVD10" s="501"/>
      <c r="VVE10" s="501"/>
      <c r="VVF10" s="501"/>
      <c r="VVG10" s="501"/>
      <c r="VVH10" s="501"/>
      <c r="VVI10" s="501"/>
      <c r="VVJ10" s="501"/>
      <c r="VVK10" s="501"/>
      <c r="VVL10" s="501"/>
      <c r="VVM10" s="501"/>
      <c r="VVN10" s="645"/>
      <c r="VVO10" s="646"/>
      <c r="VVP10" s="646"/>
      <c r="VVQ10" s="646"/>
      <c r="VVR10" s="646"/>
      <c r="VVS10" s="646"/>
      <c r="VVT10" s="646"/>
      <c r="VVU10" s="646"/>
      <c r="VVV10" s="646"/>
      <c r="VVW10" s="646"/>
      <c r="VVX10" s="501"/>
      <c r="VVY10" s="501"/>
      <c r="VVZ10" s="501"/>
      <c r="VWA10" s="501"/>
      <c r="VWB10" s="501"/>
      <c r="VWC10" s="501"/>
      <c r="VWD10" s="501"/>
      <c r="VWE10" s="501"/>
      <c r="VWF10" s="501"/>
      <c r="VWG10" s="501"/>
      <c r="VWH10" s="501"/>
      <c r="VWI10" s="645"/>
      <c r="VWJ10" s="646"/>
      <c r="VWK10" s="646"/>
      <c r="VWL10" s="646"/>
      <c r="VWM10" s="646"/>
      <c r="VWN10" s="646"/>
      <c r="VWO10" s="646"/>
      <c r="VWP10" s="646"/>
      <c r="VWQ10" s="646"/>
      <c r="VWR10" s="646"/>
      <c r="VWS10" s="501"/>
      <c r="VWT10" s="501"/>
      <c r="VWU10" s="501"/>
      <c r="VWV10" s="501"/>
      <c r="VWW10" s="501"/>
      <c r="VWX10" s="501"/>
      <c r="VWY10" s="501"/>
      <c r="VWZ10" s="501"/>
      <c r="VXA10" s="501"/>
      <c r="VXB10" s="501"/>
      <c r="VXC10" s="501"/>
      <c r="VXD10" s="645"/>
      <c r="VXE10" s="646"/>
      <c r="VXF10" s="646"/>
      <c r="VXG10" s="646"/>
      <c r="VXH10" s="646"/>
      <c r="VXI10" s="646"/>
      <c r="VXJ10" s="646"/>
      <c r="VXK10" s="646"/>
      <c r="VXL10" s="646"/>
      <c r="VXM10" s="646"/>
      <c r="VXN10" s="501"/>
      <c r="VXO10" s="501"/>
      <c r="VXP10" s="501"/>
      <c r="VXQ10" s="501"/>
      <c r="VXR10" s="501"/>
      <c r="VXS10" s="501"/>
      <c r="VXT10" s="501"/>
      <c r="VXU10" s="501"/>
      <c r="VXV10" s="501"/>
      <c r="VXW10" s="501"/>
      <c r="VXX10" s="501"/>
      <c r="VXY10" s="645"/>
      <c r="VXZ10" s="646"/>
      <c r="VYA10" s="646"/>
      <c r="VYB10" s="646"/>
      <c r="VYC10" s="646"/>
      <c r="VYD10" s="646"/>
      <c r="VYE10" s="646"/>
      <c r="VYF10" s="646"/>
      <c r="VYG10" s="646"/>
      <c r="VYH10" s="646"/>
      <c r="VYI10" s="501"/>
      <c r="VYJ10" s="501"/>
      <c r="VYK10" s="501"/>
      <c r="VYL10" s="501"/>
      <c r="VYM10" s="501"/>
      <c r="VYN10" s="501"/>
      <c r="VYO10" s="501"/>
      <c r="VYP10" s="501"/>
      <c r="VYQ10" s="501"/>
      <c r="VYR10" s="501"/>
      <c r="VYS10" s="501"/>
      <c r="VYT10" s="645"/>
      <c r="VYU10" s="646"/>
      <c r="VYV10" s="646"/>
      <c r="VYW10" s="646"/>
      <c r="VYX10" s="646"/>
      <c r="VYY10" s="646"/>
      <c r="VYZ10" s="646"/>
      <c r="VZA10" s="646"/>
      <c r="VZB10" s="646"/>
      <c r="VZC10" s="646"/>
      <c r="VZD10" s="501"/>
      <c r="VZE10" s="501"/>
      <c r="VZF10" s="501"/>
      <c r="VZG10" s="501"/>
      <c r="VZH10" s="501"/>
      <c r="VZI10" s="501"/>
      <c r="VZJ10" s="501"/>
      <c r="VZK10" s="501"/>
      <c r="VZL10" s="501"/>
      <c r="VZM10" s="501"/>
      <c r="VZN10" s="501"/>
      <c r="VZO10" s="645"/>
      <c r="VZP10" s="646"/>
      <c r="VZQ10" s="646"/>
      <c r="VZR10" s="646"/>
      <c r="VZS10" s="646"/>
      <c r="VZT10" s="646"/>
      <c r="VZU10" s="646"/>
      <c r="VZV10" s="646"/>
      <c r="VZW10" s="646"/>
      <c r="VZX10" s="646"/>
      <c r="VZY10" s="501"/>
      <c r="VZZ10" s="501"/>
      <c r="WAA10" s="501"/>
      <c r="WAB10" s="501"/>
      <c r="WAC10" s="501"/>
      <c r="WAD10" s="501"/>
      <c r="WAE10" s="501"/>
      <c r="WAF10" s="501"/>
      <c r="WAG10" s="501"/>
      <c r="WAH10" s="501"/>
      <c r="WAI10" s="501"/>
      <c r="WAJ10" s="645"/>
      <c r="WAK10" s="646"/>
      <c r="WAL10" s="646"/>
      <c r="WAM10" s="646"/>
      <c r="WAN10" s="646"/>
      <c r="WAO10" s="646"/>
      <c r="WAP10" s="646"/>
      <c r="WAQ10" s="646"/>
      <c r="WAR10" s="646"/>
      <c r="WAS10" s="646"/>
      <c r="WAT10" s="501"/>
      <c r="WAU10" s="501"/>
      <c r="WAV10" s="501"/>
      <c r="WAW10" s="501"/>
      <c r="WAX10" s="501"/>
      <c r="WAY10" s="501"/>
      <c r="WAZ10" s="501"/>
      <c r="WBA10" s="501"/>
      <c r="WBB10" s="501"/>
      <c r="WBC10" s="501"/>
      <c r="WBD10" s="501"/>
      <c r="WBE10" s="645"/>
      <c r="WBF10" s="646"/>
      <c r="WBG10" s="646"/>
      <c r="WBH10" s="646"/>
      <c r="WBI10" s="646"/>
      <c r="WBJ10" s="646"/>
      <c r="WBK10" s="646"/>
      <c r="WBL10" s="646"/>
      <c r="WBM10" s="646"/>
      <c r="WBN10" s="646"/>
      <c r="WBO10" s="501"/>
      <c r="WBP10" s="501"/>
      <c r="WBQ10" s="501"/>
      <c r="WBR10" s="501"/>
      <c r="WBS10" s="501"/>
      <c r="WBT10" s="501"/>
      <c r="WBU10" s="501"/>
      <c r="WBV10" s="501"/>
      <c r="WBW10" s="501"/>
      <c r="WBX10" s="501"/>
      <c r="WBY10" s="501"/>
      <c r="WBZ10" s="645"/>
      <c r="WCA10" s="646"/>
      <c r="WCB10" s="646"/>
      <c r="WCC10" s="646"/>
      <c r="WCD10" s="646"/>
      <c r="WCE10" s="646"/>
      <c r="WCF10" s="646"/>
      <c r="WCG10" s="646"/>
      <c r="WCH10" s="646"/>
      <c r="WCI10" s="646"/>
      <c r="WCJ10" s="501"/>
      <c r="WCK10" s="501"/>
      <c r="WCL10" s="501"/>
      <c r="WCM10" s="501"/>
      <c r="WCN10" s="501"/>
      <c r="WCO10" s="501"/>
      <c r="WCP10" s="501"/>
      <c r="WCQ10" s="501"/>
      <c r="WCR10" s="501"/>
      <c r="WCS10" s="501"/>
      <c r="WCT10" s="501"/>
      <c r="WCU10" s="645"/>
      <c r="WCV10" s="646"/>
      <c r="WCW10" s="646"/>
      <c r="WCX10" s="646"/>
      <c r="WCY10" s="646"/>
      <c r="WCZ10" s="646"/>
      <c r="WDA10" s="646"/>
      <c r="WDB10" s="646"/>
      <c r="WDC10" s="646"/>
      <c r="WDD10" s="646"/>
      <c r="WDE10" s="501"/>
      <c r="WDF10" s="501"/>
      <c r="WDG10" s="501"/>
      <c r="WDH10" s="501"/>
      <c r="WDI10" s="501"/>
      <c r="WDJ10" s="501"/>
      <c r="WDK10" s="501"/>
      <c r="WDL10" s="501"/>
      <c r="WDM10" s="501"/>
      <c r="WDN10" s="501"/>
      <c r="WDO10" s="501"/>
      <c r="WDP10" s="645"/>
      <c r="WDQ10" s="646"/>
      <c r="WDR10" s="646"/>
      <c r="WDS10" s="646"/>
      <c r="WDT10" s="646"/>
      <c r="WDU10" s="646"/>
      <c r="WDV10" s="646"/>
      <c r="WDW10" s="646"/>
      <c r="WDX10" s="646"/>
      <c r="WDY10" s="646"/>
      <c r="WDZ10" s="501"/>
      <c r="WEA10" s="501"/>
      <c r="WEB10" s="501"/>
      <c r="WEC10" s="501"/>
      <c r="WED10" s="501"/>
      <c r="WEE10" s="501"/>
      <c r="WEF10" s="501"/>
      <c r="WEG10" s="501"/>
      <c r="WEH10" s="501"/>
      <c r="WEI10" s="501"/>
      <c r="WEJ10" s="501"/>
      <c r="WEK10" s="645"/>
      <c r="WEL10" s="646"/>
      <c r="WEM10" s="646"/>
      <c r="WEN10" s="646"/>
      <c r="WEO10" s="646"/>
      <c r="WEP10" s="646"/>
      <c r="WEQ10" s="646"/>
      <c r="WER10" s="646"/>
      <c r="WES10" s="646"/>
      <c r="WET10" s="646"/>
      <c r="WEU10" s="501"/>
      <c r="WEV10" s="501"/>
      <c r="WEW10" s="501"/>
      <c r="WEX10" s="501"/>
      <c r="WEY10" s="501"/>
      <c r="WEZ10" s="501"/>
      <c r="WFA10" s="501"/>
      <c r="WFB10" s="501"/>
      <c r="WFC10" s="501"/>
      <c r="WFD10" s="501"/>
      <c r="WFE10" s="501"/>
      <c r="WFF10" s="645"/>
      <c r="WFG10" s="646"/>
      <c r="WFH10" s="646"/>
      <c r="WFI10" s="646"/>
      <c r="WFJ10" s="646"/>
      <c r="WFK10" s="646"/>
      <c r="WFL10" s="646"/>
      <c r="WFM10" s="646"/>
      <c r="WFN10" s="646"/>
      <c r="WFO10" s="646"/>
      <c r="WFP10" s="501"/>
      <c r="WFQ10" s="501"/>
      <c r="WFR10" s="501"/>
      <c r="WFS10" s="501"/>
      <c r="WFT10" s="501"/>
      <c r="WFU10" s="501"/>
      <c r="WFV10" s="501"/>
      <c r="WFW10" s="501"/>
      <c r="WFX10" s="501"/>
      <c r="WFY10" s="501"/>
      <c r="WFZ10" s="501"/>
      <c r="WGA10" s="645"/>
      <c r="WGB10" s="646"/>
      <c r="WGC10" s="646"/>
      <c r="WGD10" s="646"/>
      <c r="WGE10" s="646"/>
      <c r="WGF10" s="646"/>
      <c r="WGG10" s="646"/>
      <c r="WGH10" s="646"/>
      <c r="WGI10" s="646"/>
      <c r="WGJ10" s="646"/>
      <c r="WGK10" s="501"/>
      <c r="WGL10" s="501"/>
      <c r="WGM10" s="501"/>
      <c r="WGN10" s="501"/>
      <c r="WGO10" s="501"/>
      <c r="WGP10" s="501"/>
      <c r="WGQ10" s="501"/>
      <c r="WGR10" s="501"/>
      <c r="WGS10" s="501"/>
      <c r="WGT10" s="501"/>
      <c r="WGU10" s="501"/>
      <c r="WGV10" s="645"/>
      <c r="WGW10" s="646"/>
      <c r="WGX10" s="646"/>
      <c r="WGY10" s="646"/>
      <c r="WGZ10" s="646"/>
      <c r="WHA10" s="646"/>
      <c r="WHB10" s="646"/>
      <c r="WHC10" s="646"/>
      <c r="WHD10" s="646"/>
      <c r="WHE10" s="646"/>
      <c r="WHF10" s="501"/>
      <c r="WHG10" s="501"/>
      <c r="WHH10" s="501"/>
      <c r="WHI10" s="501"/>
      <c r="WHJ10" s="501"/>
      <c r="WHK10" s="501"/>
      <c r="WHL10" s="501"/>
      <c r="WHM10" s="501"/>
      <c r="WHN10" s="501"/>
      <c r="WHO10" s="501"/>
      <c r="WHP10" s="501"/>
      <c r="WHQ10" s="645"/>
      <c r="WHR10" s="646"/>
      <c r="WHS10" s="646"/>
      <c r="WHT10" s="646"/>
      <c r="WHU10" s="646"/>
      <c r="WHV10" s="646"/>
      <c r="WHW10" s="646"/>
      <c r="WHX10" s="646"/>
      <c r="WHY10" s="646"/>
      <c r="WHZ10" s="646"/>
      <c r="WIA10" s="501"/>
      <c r="WIB10" s="501"/>
      <c r="WIC10" s="501"/>
      <c r="WID10" s="501"/>
      <c r="WIE10" s="501"/>
      <c r="WIF10" s="501"/>
      <c r="WIG10" s="501"/>
      <c r="WIH10" s="501"/>
      <c r="WII10" s="501"/>
      <c r="WIJ10" s="501"/>
      <c r="WIK10" s="501"/>
      <c r="WIL10" s="645"/>
      <c r="WIM10" s="646"/>
      <c r="WIN10" s="646"/>
      <c r="WIO10" s="646"/>
      <c r="WIP10" s="646"/>
      <c r="WIQ10" s="646"/>
      <c r="WIR10" s="646"/>
      <c r="WIS10" s="646"/>
      <c r="WIT10" s="646"/>
      <c r="WIU10" s="646"/>
      <c r="WIV10" s="501"/>
      <c r="WIW10" s="501"/>
      <c r="WIX10" s="501"/>
      <c r="WIY10" s="501"/>
      <c r="WIZ10" s="501"/>
      <c r="WJA10" s="501"/>
      <c r="WJB10" s="501"/>
      <c r="WJC10" s="501"/>
      <c r="WJD10" s="501"/>
      <c r="WJE10" s="501"/>
      <c r="WJF10" s="501"/>
      <c r="WJG10" s="645"/>
      <c r="WJH10" s="646"/>
      <c r="WJI10" s="646"/>
      <c r="WJJ10" s="646"/>
      <c r="WJK10" s="646"/>
      <c r="WJL10" s="646"/>
      <c r="WJM10" s="646"/>
      <c r="WJN10" s="646"/>
      <c r="WJO10" s="646"/>
      <c r="WJP10" s="646"/>
      <c r="WJQ10" s="501"/>
      <c r="WJR10" s="501"/>
      <c r="WJS10" s="501"/>
      <c r="WJT10" s="501"/>
      <c r="WJU10" s="501"/>
      <c r="WJV10" s="501"/>
      <c r="WJW10" s="501"/>
      <c r="WJX10" s="501"/>
      <c r="WJY10" s="501"/>
      <c r="WJZ10" s="501"/>
      <c r="WKA10" s="501"/>
      <c r="WKB10" s="645"/>
      <c r="WKC10" s="646"/>
      <c r="WKD10" s="646"/>
      <c r="WKE10" s="646"/>
      <c r="WKF10" s="646"/>
      <c r="WKG10" s="646"/>
      <c r="WKH10" s="646"/>
      <c r="WKI10" s="646"/>
      <c r="WKJ10" s="646"/>
      <c r="WKK10" s="646"/>
      <c r="WKL10" s="501"/>
      <c r="WKM10" s="501"/>
      <c r="WKN10" s="501"/>
      <c r="WKO10" s="501"/>
      <c r="WKP10" s="501"/>
      <c r="WKQ10" s="501"/>
      <c r="WKR10" s="501"/>
      <c r="WKS10" s="501"/>
      <c r="WKT10" s="501"/>
      <c r="WKU10" s="501"/>
      <c r="WKV10" s="501"/>
      <c r="WKW10" s="645"/>
      <c r="WKX10" s="646"/>
      <c r="WKY10" s="646"/>
      <c r="WKZ10" s="646"/>
      <c r="WLA10" s="646"/>
      <c r="WLB10" s="646"/>
      <c r="WLC10" s="646"/>
      <c r="WLD10" s="646"/>
      <c r="WLE10" s="646"/>
      <c r="WLF10" s="646"/>
      <c r="WLG10" s="501"/>
      <c r="WLH10" s="501"/>
      <c r="WLI10" s="501"/>
      <c r="WLJ10" s="501"/>
      <c r="WLK10" s="501"/>
      <c r="WLL10" s="501"/>
      <c r="WLM10" s="501"/>
      <c r="WLN10" s="501"/>
      <c r="WLO10" s="501"/>
      <c r="WLP10" s="501"/>
      <c r="WLQ10" s="501"/>
      <c r="WLR10" s="645"/>
      <c r="WLS10" s="646"/>
      <c r="WLT10" s="646"/>
      <c r="WLU10" s="646"/>
      <c r="WLV10" s="646"/>
      <c r="WLW10" s="646"/>
      <c r="WLX10" s="646"/>
      <c r="WLY10" s="646"/>
      <c r="WLZ10" s="646"/>
      <c r="WMA10" s="646"/>
      <c r="WMB10" s="501"/>
      <c r="WMC10" s="501"/>
      <c r="WMD10" s="501"/>
      <c r="WME10" s="501"/>
      <c r="WMF10" s="501"/>
      <c r="WMG10" s="501"/>
      <c r="WMH10" s="501"/>
      <c r="WMI10" s="501"/>
      <c r="WMJ10" s="501"/>
      <c r="WMK10" s="501"/>
      <c r="WML10" s="501"/>
      <c r="WMM10" s="645"/>
      <c r="WMN10" s="646"/>
      <c r="WMO10" s="646"/>
      <c r="WMP10" s="646"/>
      <c r="WMQ10" s="646"/>
      <c r="WMR10" s="646"/>
      <c r="WMS10" s="646"/>
      <c r="WMT10" s="646"/>
      <c r="WMU10" s="646"/>
      <c r="WMV10" s="646"/>
      <c r="WMW10" s="501"/>
      <c r="WMX10" s="501"/>
      <c r="WMY10" s="501"/>
      <c r="WMZ10" s="501"/>
      <c r="WNA10" s="501"/>
      <c r="WNB10" s="501"/>
      <c r="WNC10" s="501"/>
      <c r="WND10" s="501"/>
      <c r="WNE10" s="501"/>
      <c r="WNF10" s="501"/>
      <c r="WNG10" s="501"/>
      <c r="WNH10" s="645"/>
      <c r="WNI10" s="646"/>
      <c r="WNJ10" s="646"/>
      <c r="WNK10" s="646"/>
      <c r="WNL10" s="646"/>
      <c r="WNM10" s="646"/>
      <c r="WNN10" s="646"/>
      <c r="WNO10" s="646"/>
      <c r="WNP10" s="646"/>
      <c r="WNQ10" s="646"/>
      <c r="WNR10" s="501"/>
      <c r="WNS10" s="501"/>
      <c r="WNT10" s="501"/>
      <c r="WNU10" s="501"/>
      <c r="WNV10" s="501"/>
      <c r="WNW10" s="501"/>
      <c r="WNX10" s="501"/>
      <c r="WNY10" s="501"/>
      <c r="WNZ10" s="501"/>
      <c r="WOA10" s="501"/>
      <c r="WOB10" s="501"/>
      <c r="WOC10" s="645"/>
      <c r="WOD10" s="646"/>
      <c r="WOE10" s="646"/>
      <c r="WOF10" s="646"/>
      <c r="WOG10" s="646"/>
      <c r="WOH10" s="646"/>
      <c r="WOI10" s="646"/>
      <c r="WOJ10" s="646"/>
      <c r="WOK10" s="646"/>
      <c r="WOL10" s="646"/>
      <c r="WOM10" s="501"/>
      <c r="WON10" s="501"/>
      <c r="WOO10" s="501"/>
      <c r="WOP10" s="501"/>
      <c r="WOQ10" s="501"/>
      <c r="WOR10" s="501"/>
      <c r="WOS10" s="501"/>
      <c r="WOT10" s="501"/>
      <c r="WOU10" s="501"/>
      <c r="WOV10" s="501"/>
      <c r="WOW10" s="501"/>
      <c r="WOX10" s="645"/>
      <c r="WOY10" s="646"/>
      <c r="WOZ10" s="646"/>
      <c r="WPA10" s="646"/>
      <c r="WPB10" s="646"/>
      <c r="WPC10" s="646"/>
      <c r="WPD10" s="646"/>
      <c r="WPE10" s="646"/>
      <c r="WPF10" s="646"/>
      <c r="WPG10" s="646"/>
      <c r="WPH10" s="501"/>
      <c r="WPI10" s="501"/>
      <c r="WPJ10" s="501"/>
      <c r="WPK10" s="501"/>
      <c r="WPL10" s="501"/>
      <c r="WPM10" s="501"/>
      <c r="WPN10" s="501"/>
      <c r="WPO10" s="501"/>
      <c r="WPP10" s="501"/>
      <c r="WPQ10" s="501"/>
      <c r="WPR10" s="501"/>
      <c r="WPS10" s="645"/>
      <c r="WPT10" s="646"/>
      <c r="WPU10" s="646"/>
      <c r="WPV10" s="646"/>
      <c r="WPW10" s="646"/>
      <c r="WPX10" s="646"/>
      <c r="WPY10" s="646"/>
      <c r="WPZ10" s="646"/>
      <c r="WQA10" s="646"/>
      <c r="WQB10" s="646"/>
      <c r="WQC10" s="501"/>
      <c r="WQD10" s="501"/>
      <c r="WQE10" s="501"/>
      <c r="WQF10" s="501"/>
      <c r="WQG10" s="501"/>
      <c r="WQH10" s="501"/>
      <c r="WQI10" s="501"/>
      <c r="WQJ10" s="501"/>
      <c r="WQK10" s="501"/>
      <c r="WQL10" s="501"/>
      <c r="WQM10" s="501"/>
      <c r="WQN10" s="645"/>
      <c r="WQO10" s="646"/>
      <c r="WQP10" s="646"/>
      <c r="WQQ10" s="646"/>
      <c r="WQR10" s="646"/>
      <c r="WQS10" s="646"/>
      <c r="WQT10" s="646"/>
      <c r="WQU10" s="646"/>
      <c r="WQV10" s="646"/>
      <c r="WQW10" s="646"/>
      <c r="WQX10" s="501"/>
      <c r="WQY10" s="501"/>
      <c r="WQZ10" s="501"/>
      <c r="WRA10" s="501"/>
      <c r="WRB10" s="501"/>
      <c r="WRC10" s="501"/>
      <c r="WRD10" s="501"/>
      <c r="WRE10" s="501"/>
      <c r="WRF10" s="501"/>
      <c r="WRG10" s="501"/>
      <c r="WRH10" s="501"/>
      <c r="WRI10" s="645"/>
      <c r="WRJ10" s="646"/>
      <c r="WRK10" s="646"/>
      <c r="WRL10" s="646"/>
      <c r="WRM10" s="646"/>
      <c r="WRN10" s="646"/>
      <c r="WRO10" s="646"/>
      <c r="WRP10" s="646"/>
      <c r="WRQ10" s="646"/>
      <c r="WRR10" s="646"/>
      <c r="WRS10" s="501"/>
      <c r="WRT10" s="501"/>
      <c r="WRU10" s="501"/>
      <c r="WRV10" s="501"/>
      <c r="WRW10" s="501"/>
      <c r="WRX10" s="501"/>
      <c r="WRY10" s="501"/>
      <c r="WRZ10" s="501"/>
      <c r="WSA10" s="501"/>
      <c r="WSB10" s="501"/>
      <c r="WSC10" s="501"/>
      <c r="WSD10" s="645"/>
      <c r="WSE10" s="646"/>
      <c r="WSF10" s="646"/>
      <c r="WSG10" s="646"/>
      <c r="WSH10" s="646"/>
      <c r="WSI10" s="646"/>
      <c r="WSJ10" s="646"/>
      <c r="WSK10" s="646"/>
      <c r="WSL10" s="646"/>
      <c r="WSM10" s="646"/>
      <c r="WSN10" s="501"/>
      <c r="WSO10" s="501"/>
      <c r="WSP10" s="501"/>
      <c r="WSQ10" s="501"/>
      <c r="WSR10" s="501"/>
      <c r="WSS10" s="501"/>
      <c r="WST10" s="501"/>
      <c r="WSU10" s="501"/>
      <c r="WSV10" s="501"/>
      <c r="WSW10" s="501"/>
      <c r="WSX10" s="501"/>
      <c r="WSY10" s="645"/>
      <c r="WSZ10" s="646"/>
      <c r="WTA10" s="646"/>
      <c r="WTB10" s="646"/>
      <c r="WTC10" s="646"/>
      <c r="WTD10" s="646"/>
      <c r="WTE10" s="646"/>
      <c r="WTF10" s="646"/>
      <c r="WTG10" s="646"/>
      <c r="WTH10" s="646"/>
      <c r="WTI10" s="501"/>
      <c r="WTJ10" s="501"/>
      <c r="WTK10" s="501"/>
      <c r="WTL10" s="501"/>
      <c r="WTM10" s="501"/>
      <c r="WTN10" s="501"/>
      <c r="WTO10" s="501"/>
      <c r="WTP10" s="501"/>
      <c r="WTQ10" s="501"/>
      <c r="WTR10" s="501"/>
      <c r="WTS10" s="501"/>
      <c r="WTT10" s="645"/>
      <c r="WTU10" s="646"/>
      <c r="WTV10" s="646"/>
      <c r="WTW10" s="646"/>
      <c r="WTX10" s="646"/>
      <c r="WTY10" s="646"/>
      <c r="WTZ10" s="646"/>
      <c r="WUA10" s="646"/>
      <c r="WUB10" s="646"/>
      <c r="WUC10" s="646"/>
      <c r="WUD10" s="501"/>
      <c r="WUE10" s="501"/>
      <c r="WUF10" s="501"/>
      <c r="WUG10" s="501"/>
      <c r="WUH10" s="501"/>
      <c r="WUI10" s="501"/>
      <c r="WUJ10" s="501"/>
      <c r="WUK10" s="501"/>
      <c r="WUL10" s="501"/>
      <c r="WUM10" s="501"/>
      <c r="WUN10" s="501"/>
      <c r="WUO10" s="645"/>
      <c r="WUP10" s="646"/>
      <c r="WUQ10" s="646"/>
      <c r="WUR10" s="646"/>
      <c r="WUS10" s="646"/>
      <c r="WUT10" s="646"/>
      <c r="WUU10" s="646"/>
      <c r="WUV10" s="646"/>
      <c r="WUW10" s="646"/>
      <c r="WUX10" s="646"/>
      <c r="WUY10" s="501"/>
      <c r="WUZ10" s="501"/>
      <c r="WVA10" s="501"/>
      <c r="WVB10" s="501"/>
      <c r="WVC10" s="501"/>
      <c r="WVD10" s="501"/>
      <c r="WVE10" s="501"/>
      <c r="WVF10" s="501"/>
      <c r="WVG10" s="501"/>
      <c r="WVH10" s="501"/>
      <c r="WVI10" s="501"/>
      <c r="WVJ10" s="645"/>
      <c r="WVK10" s="646"/>
      <c r="WVL10" s="646"/>
      <c r="WVM10" s="646"/>
      <c r="WVN10" s="646"/>
      <c r="WVO10" s="646"/>
      <c r="WVP10" s="646"/>
      <c r="WVQ10" s="646"/>
      <c r="WVR10" s="646"/>
      <c r="WVS10" s="646"/>
      <c r="WVT10" s="501"/>
      <c r="WVU10" s="501"/>
      <c r="WVV10" s="501"/>
      <c r="WVW10" s="501"/>
      <c r="WVX10" s="501"/>
      <c r="WVY10" s="501"/>
      <c r="WVZ10" s="501"/>
      <c r="WWA10" s="501"/>
      <c r="WWB10" s="501"/>
      <c r="WWC10" s="501"/>
      <c r="WWD10" s="501"/>
      <c r="WWE10" s="645"/>
      <c r="WWF10" s="646"/>
      <c r="WWG10" s="646"/>
      <c r="WWH10" s="646"/>
      <c r="WWI10" s="646"/>
      <c r="WWJ10" s="646"/>
      <c r="WWK10" s="646"/>
      <c r="WWL10" s="646"/>
      <c r="WWM10" s="646"/>
      <c r="WWN10" s="646"/>
      <c r="WWO10" s="501"/>
      <c r="WWP10" s="501"/>
      <c r="WWQ10" s="501"/>
      <c r="WWR10" s="501"/>
      <c r="WWS10" s="501"/>
      <c r="WWT10" s="501"/>
      <c r="WWU10" s="501"/>
      <c r="WWV10" s="501"/>
      <c r="WWW10" s="501"/>
      <c r="WWX10" s="501"/>
      <c r="WWY10" s="501"/>
      <c r="WWZ10" s="645"/>
      <c r="WXA10" s="646"/>
      <c r="WXB10" s="646"/>
      <c r="WXC10" s="646"/>
      <c r="WXD10" s="646"/>
      <c r="WXE10" s="646"/>
      <c r="WXF10" s="646"/>
      <c r="WXG10" s="646"/>
      <c r="WXH10" s="646"/>
      <c r="WXI10" s="646"/>
      <c r="WXJ10" s="501"/>
      <c r="WXK10" s="501"/>
      <c r="WXL10" s="501"/>
      <c r="WXM10" s="501"/>
      <c r="WXN10" s="501"/>
      <c r="WXO10" s="501"/>
      <c r="WXP10" s="501"/>
      <c r="WXQ10" s="501"/>
      <c r="WXR10" s="501"/>
      <c r="WXS10" s="501"/>
      <c r="WXT10" s="501"/>
      <c r="WXU10" s="645"/>
      <c r="WXV10" s="646"/>
      <c r="WXW10" s="646"/>
      <c r="WXX10" s="646"/>
      <c r="WXY10" s="646"/>
      <c r="WXZ10" s="646"/>
      <c r="WYA10" s="646"/>
      <c r="WYB10" s="646"/>
      <c r="WYC10" s="646"/>
      <c r="WYD10" s="646"/>
      <c r="WYE10" s="501"/>
      <c r="WYF10" s="501"/>
      <c r="WYG10" s="501"/>
      <c r="WYH10" s="501"/>
      <c r="WYI10" s="501"/>
      <c r="WYJ10" s="501"/>
      <c r="WYK10" s="501"/>
      <c r="WYL10" s="501"/>
      <c r="WYM10" s="501"/>
      <c r="WYN10" s="501"/>
      <c r="WYO10" s="501"/>
      <c r="WYP10" s="645"/>
      <c r="WYQ10" s="646"/>
      <c r="WYR10" s="646"/>
      <c r="WYS10" s="646"/>
      <c r="WYT10" s="646"/>
      <c r="WYU10" s="646"/>
      <c r="WYV10" s="646"/>
      <c r="WYW10" s="646"/>
      <c r="WYX10" s="646"/>
      <c r="WYY10" s="646"/>
      <c r="WYZ10" s="501"/>
      <c r="WZA10" s="501"/>
      <c r="WZB10" s="501"/>
      <c r="WZC10" s="501"/>
      <c r="WZD10" s="501"/>
      <c r="WZE10" s="501"/>
      <c r="WZF10" s="501"/>
      <c r="WZG10" s="501"/>
      <c r="WZH10" s="501"/>
      <c r="WZI10" s="501"/>
      <c r="WZJ10" s="501"/>
      <c r="WZK10" s="645"/>
      <c r="WZL10" s="646"/>
      <c r="WZM10" s="646"/>
      <c r="WZN10" s="646"/>
      <c r="WZO10" s="646"/>
      <c r="WZP10" s="646"/>
      <c r="WZQ10" s="646"/>
      <c r="WZR10" s="646"/>
      <c r="WZS10" s="646"/>
      <c r="WZT10" s="646"/>
      <c r="WZU10" s="501"/>
      <c r="WZV10" s="501"/>
      <c r="WZW10" s="501"/>
      <c r="WZX10" s="501"/>
      <c r="WZY10" s="501"/>
      <c r="WZZ10" s="501"/>
      <c r="XAA10" s="501"/>
      <c r="XAB10" s="501"/>
      <c r="XAC10" s="501"/>
      <c r="XAD10" s="501"/>
      <c r="XAE10" s="501"/>
      <c r="XAF10" s="645"/>
      <c r="XAG10" s="646"/>
      <c r="XAH10" s="646"/>
      <c r="XAI10" s="646"/>
      <c r="XAJ10" s="646"/>
      <c r="XAK10" s="646"/>
      <c r="XAL10" s="646"/>
      <c r="XAM10" s="646"/>
      <c r="XAN10" s="646"/>
      <c r="XAO10" s="646"/>
      <c r="XAP10" s="501"/>
      <c r="XAQ10" s="501"/>
      <c r="XAR10" s="501"/>
      <c r="XAS10" s="501"/>
      <c r="XAT10" s="501"/>
      <c r="XAU10" s="501"/>
      <c r="XAV10" s="501"/>
      <c r="XAW10" s="501"/>
      <c r="XAX10" s="501"/>
      <c r="XAY10" s="501"/>
      <c r="XAZ10" s="501"/>
      <c r="XBA10" s="645"/>
      <c r="XBB10" s="646"/>
      <c r="XBC10" s="646"/>
      <c r="XBD10" s="646"/>
      <c r="XBE10" s="646"/>
      <c r="XBF10" s="646"/>
      <c r="XBG10" s="646"/>
      <c r="XBH10" s="646"/>
      <c r="XBI10" s="646"/>
      <c r="XBJ10" s="646"/>
      <c r="XBK10" s="501"/>
      <c r="XBL10" s="501"/>
      <c r="XBM10" s="501"/>
      <c r="XBN10" s="501"/>
      <c r="XBO10" s="501"/>
      <c r="XBP10" s="501"/>
      <c r="XBQ10" s="501"/>
      <c r="XBR10" s="501"/>
      <c r="XBS10" s="501"/>
      <c r="XBT10" s="501"/>
      <c r="XBU10" s="501"/>
      <c r="XBV10" s="645"/>
      <c r="XBW10" s="646"/>
      <c r="XBX10" s="646"/>
      <c r="XBY10" s="646"/>
      <c r="XBZ10" s="646"/>
      <c r="XCA10" s="646"/>
      <c r="XCB10" s="646"/>
      <c r="XCC10" s="646"/>
      <c r="XCD10" s="646"/>
      <c r="XCE10" s="646"/>
      <c r="XCF10" s="501"/>
      <c r="XCG10" s="501"/>
      <c r="XCH10" s="501"/>
      <c r="XCI10" s="501"/>
      <c r="XCJ10" s="501"/>
      <c r="XCK10" s="501"/>
      <c r="XCL10" s="501"/>
      <c r="XCM10" s="501"/>
      <c r="XCN10" s="501"/>
      <c r="XCO10" s="501"/>
      <c r="XCP10" s="501"/>
      <c r="XCQ10" s="645"/>
      <c r="XCR10" s="646"/>
      <c r="XCS10" s="646"/>
      <c r="XCT10" s="646"/>
      <c r="XCU10" s="646"/>
      <c r="XCV10" s="646"/>
      <c r="XCW10" s="646"/>
      <c r="XCX10" s="646"/>
      <c r="XCY10" s="646"/>
      <c r="XCZ10" s="646"/>
      <c r="XDA10" s="501"/>
      <c r="XDB10" s="501"/>
      <c r="XDC10" s="501"/>
      <c r="XDD10" s="501"/>
      <c r="XDE10" s="501"/>
      <c r="XDF10" s="501"/>
      <c r="XDG10" s="501"/>
      <c r="XDH10" s="501"/>
      <c r="XDI10" s="501"/>
      <c r="XDJ10" s="501"/>
      <c r="XDK10" s="501"/>
      <c r="XDL10" s="645"/>
      <c r="XDM10" s="646"/>
      <c r="XDN10" s="646"/>
      <c r="XDO10" s="646"/>
      <c r="XDP10" s="646"/>
      <c r="XDQ10" s="646"/>
      <c r="XDR10" s="646"/>
      <c r="XDS10" s="646"/>
      <c r="XDT10" s="646"/>
      <c r="XDU10" s="646"/>
      <c r="XDV10" s="501"/>
      <c r="XDW10" s="501"/>
      <c r="XDX10" s="501"/>
      <c r="XDY10" s="501"/>
      <c r="XDZ10" s="501"/>
      <c r="XEA10" s="501"/>
      <c r="XEB10" s="501"/>
      <c r="XEC10" s="501"/>
      <c r="XED10" s="501"/>
      <c r="XEE10" s="501"/>
      <c r="XEF10" s="501"/>
      <c r="XEG10" s="645"/>
      <c r="XEH10" s="646"/>
      <c r="XEI10" s="646"/>
      <c r="XEJ10" s="646"/>
      <c r="XEK10" s="646"/>
      <c r="XEL10" s="646"/>
      <c r="XEM10" s="646"/>
      <c r="XEN10" s="646"/>
      <c r="XEO10" s="646"/>
      <c r="XEP10" s="646"/>
      <c r="XEQ10" s="501"/>
      <c r="XER10" s="501"/>
      <c r="XES10" s="501"/>
      <c r="XET10" s="501"/>
      <c r="XEU10" s="501"/>
      <c r="XEV10" s="501"/>
      <c r="XEW10" s="501"/>
      <c r="XEX10" s="501"/>
      <c r="XEY10" s="501"/>
      <c r="XEZ10" s="501"/>
      <c r="XFA10" s="501"/>
    </row>
    <row r="11" spans="1:16381">
      <c r="A11">
        <f>'Input data'!A99</f>
        <v>2001</v>
      </c>
      <c r="C11" s="512">
        <f>'4A SWD Case 1'!BG69</f>
        <v>1453.6489630555377</v>
      </c>
      <c r="D11" s="3">
        <f>'4B Biological treatment '!T64</f>
        <v>0</v>
      </c>
      <c r="E11" s="178">
        <f>'4B Biological treatment '!U64</f>
        <v>19.71083514566488</v>
      </c>
      <c r="F11" s="178">
        <f>'4B Biological treatment '!W64</f>
        <v>1.1826501087398928</v>
      </c>
      <c r="G11" s="3">
        <f>'4C2 Open-burning '!R71</f>
        <v>37.044334728826087</v>
      </c>
      <c r="H11" s="3">
        <f>'4C2 Open-burning '!Z71</f>
        <v>9.1227582692999984</v>
      </c>
      <c r="I11" s="3">
        <f>'4C2 Open-burning '!AH71</f>
        <v>0.14054831049955938</v>
      </c>
      <c r="J11" s="341">
        <f>'4D Wastewater treatment and dis'!AV108</f>
        <v>104.21284839843599</v>
      </c>
      <c r="K11" s="3">
        <f>'4D Wastewater treatment and dis'!AW108</f>
        <v>2.2644243904796704</v>
      </c>
      <c r="L11" s="512">
        <f t="shared" ref="L11:L27" si="12">C11*$B$3</f>
        <v>30526.628224166292</v>
      </c>
      <c r="M11" s="3">
        <f t="shared" si="0"/>
        <v>0</v>
      </c>
      <c r="N11" s="512">
        <f t="shared" ref="N11:N27" si="13">E11*$B$3+F11*$C$3</f>
        <v>780.54907176832921</v>
      </c>
      <c r="O11" s="649">
        <f t="shared" ref="O11:O27" si="14">G11+H11*$B$3+I11*$C$3</f>
        <v>272.19223463898948</v>
      </c>
      <c r="P11" s="512">
        <f t="shared" ref="P11:P27" si="15">J11*$B$3+K11*$C$3</f>
        <v>2890.4413774158538</v>
      </c>
      <c r="Q11" s="650">
        <f t="shared" ref="Q11:Q27" si="16">L11</f>
        <v>30526.628224166292</v>
      </c>
      <c r="R11" s="651">
        <f t="shared" ref="R11:R27" si="17">M11+N11</f>
        <v>780.54907176832921</v>
      </c>
      <c r="S11" s="649">
        <f t="shared" ref="S11:S27" si="18">O11</f>
        <v>272.19223463898948</v>
      </c>
      <c r="T11" s="650">
        <f t="shared" ref="T11:T27" si="19">P11</f>
        <v>2890.4413774158538</v>
      </c>
      <c r="U11" s="650">
        <f t="shared" ref="U11:U27" si="20">SUM(Q11:T11)</f>
        <v>34469.810907989464</v>
      </c>
      <c r="V11" s="3"/>
      <c r="W11" s="752">
        <f t="shared" ref="W11:W27" si="21">A11</f>
        <v>2001</v>
      </c>
      <c r="X11" s="1382">
        <f t="shared" ref="X11:X27" si="22">Q11</f>
        <v>30526.628224166292</v>
      </c>
      <c r="Y11" s="1384">
        <f t="shared" ref="Y11:Y27" si="23">R11</f>
        <v>780.54907176832921</v>
      </c>
      <c r="Z11" s="1384">
        <f t="shared" ref="Z11:Z27" si="24">S11</f>
        <v>272.19223463898948</v>
      </c>
      <c r="AA11" s="1384">
        <f t="shared" ref="AA11:AA27" si="25">T11</f>
        <v>2890.4413774158538</v>
      </c>
      <c r="AB11" s="1466">
        <f t="shared" ref="AB11:AB60" si="26">SUM(X11:AA11)</f>
        <v>34469.810907989464</v>
      </c>
      <c r="AC11" s="1384"/>
      <c r="AD11" s="1382">
        <f t="shared" ref="AD11:AD26" si="27">Q11</f>
        <v>30526.628224166292</v>
      </c>
      <c r="AE11" s="1384">
        <f t="shared" ref="AE11:AE27" si="28">R11</f>
        <v>780.54907176832921</v>
      </c>
      <c r="AF11" s="1384">
        <f t="shared" ref="AF11:AF27" si="29">S11</f>
        <v>272.19223463898948</v>
      </c>
      <c r="AG11" s="1384">
        <f t="shared" ref="AG11:AG27" si="30">T11</f>
        <v>2890.4413774158538</v>
      </c>
      <c r="AH11" s="1466">
        <f t="shared" ref="AH11:AH26" si="31">SUM(AD11:AG11)</f>
        <v>34469.810907989464</v>
      </c>
      <c r="AI11" s="118"/>
      <c r="AJ11" s="1382">
        <f t="shared" ref="AJ11:AJ27" si="32">X11</f>
        <v>30526.628224166292</v>
      </c>
      <c r="AK11" s="1384">
        <f t="shared" ref="AK11:AK27" si="33">Y11</f>
        <v>780.54907176832921</v>
      </c>
      <c r="AL11" s="1384">
        <f t="shared" ref="AL11:AL27" si="34">Z11</f>
        <v>272.19223463898948</v>
      </c>
      <c r="AM11" s="1384">
        <f t="shared" ref="AM11:AM27" si="35">AA11</f>
        <v>2890.4413774158538</v>
      </c>
      <c r="AN11" s="1466">
        <f t="shared" ref="AN11:AN27" si="36">AB11</f>
        <v>34469.810907989464</v>
      </c>
      <c r="AO11" s="118"/>
      <c r="AP11" s="1382">
        <f t="shared" ref="AP11:AP26" si="37">Q11</f>
        <v>30526.628224166292</v>
      </c>
      <c r="AQ11" s="1384">
        <f t="shared" ref="AQ11:AQ26" si="38">R11</f>
        <v>780.54907176832921</v>
      </c>
      <c r="AR11" s="1384">
        <f t="shared" ref="AR11:AR26" si="39">S11</f>
        <v>272.19223463898948</v>
      </c>
      <c r="AS11" s="1384">
        <f t="shared" ref="AS11:AS26" si="40">T11</f>
        <v>2890.4413774158538</v>
      </c>
      <c r="AT11" s="1466">
        <f t="shared" ref="AT11:AT60" si="41">SUM(AP11:AS11)</f>
        <v>34469.810907989464</v>
      </c>
      <c r="AU11" s="1465"/>
      <c r="AV11" s="1382">
        <f t="shared" ref="AV11:AV27" si="42">X11</f>
        <v>30526.628224166292</v>
      </c>
      <c r="AW11" s="1384">
        <f t="shared" ref="AW11:AW27" si="43">Y11</f>
        <v>780.54907176832921</v>
      </c>
      <c r="AX11" s="1384">
        <f t="shared" ref="AX11:AX27" si="44">Z11</f>
        <v>272.19223463898948</v>
      </c>
      <c r="AY11" s="1384">
        <f t="shared" ref="AY11:AY27" si="45">AA11</f>
        <v>2890.4413774158538</v>
      </c>
      <c r="AZ11" s="1466">
        <f t="shared" ref="AZ11:AZ27" si="46">AB11</f>
        <v>34469.810907989464</v>
      </c>
      <c r="BA11" s="1465"/>
      <c r="BB11" s="1382">
        <f t="shared" ref="BB11:BB27" si="47">Q11</f>
        <v>30526.628224166292</v>
      </c>
      <c r="BC11" s="1384">
        <f t="shared" ref="BC11:BC27" si="48">R11</f>
        <v>780.54907176832921</v>
      </c>
      <c r="BD11" s="1384">
        <f t="shared" ref="BD11:BD27" si="49">S11</f>
        <v>272.19223463898948</v>
      </c>
      <c r="BE11" s="1384">
        <f t="shared" ref="BE11:BE27" si="50">T11</f>
        <v>2890.4413774158538</v>
      </c>
      <c r="BF11" s="1466">
        <f t="shared" ref="BF11:BF60" si="51">SUM(BB11:BE11)</f>
        <v>34469.810907989464</v>
      </c>
      <c r="BG11" s="3"/>
      <c r="BH11" s="752">
        <f t="shared" ref="BH11:BH60" si="52">W11</f>
        <v>2001</v>
      </c>
      <c r="BI11" s="1384">
        <f>'Baseline data (from input)'!AR58</f>
        <v>83.507652371610845</v>
      </c>
      <c r="BJ11" s="510">
        <f>'Baseline data (from input)'!AS58</f>
        <v>0.19244111347697429</v>
      </c>
      <c r="BK11" s="1383">
        <f>'Baseline data (from input)'!AT58</f>
        <v>33.26731157054634</v>
      </c>
      <c r="BL11" s="1384">
        <f>'Baseline data (from input)'!AR58</f>
        <v>83.507652371610845</v>
      </c>
      <c r="BM11" s="510">
        <f>'Baseline data (from input)'!AS58</f>
        <v>0.19244111347697429</v>
      </c>
      <c r="BN11" s="1383">
        <f>'Baseline data (from input)'!AT58</f>
        <v>33.26731157054634</v>
      </c>
      <c r="BO11" s="1386">
        <f t="shared" si="6"/>
        <v>83.507652371610845</v>
      </c>
      <c r="BP11" s="510">
        <f t="shared" si="7"/>
        <v>0.19244111347697429</v>
      </c>
      <c r="BQ11" s="1383">
        <f t="shared" si="8"/>
        <v>33.26731157054634</v>
      </c>
      <c r="BR11" s="1386">
        <f>'Baseline data (from input)'!AR58</f>
        <v>83.507652371610845</v>
      </c>
      <c r="BS11" s="510">
        <f>'Baseline data (from input)'!AS58</f>
        <v>0.19244111347697429</v>
      </c>
      <c r="BT11" s="1383">
        <f>'Baseline data (from input)'!AT58</f>
        <v>33.26731157054634</v>
      </c>
      <c r="BU11" s="1384">
        <f t="shared" si="9"/>
        <v>83.507652371610845</v>
      </c>
      <c r="BV11" s="510">
        <f t="shared" si="10"/>
        <v>0.19244111347697429</v>
      </c>
      <c r="BW11" s="1383">
        <f t="shared" si="11"/>
        <v>33.26731157054634</v>
      </c>
      <c r="BX11" s="1384">
        <f>'Baseline data (from input)'!AR58</f>
        <v>83.507652371610845</v>
      </c>
      <c r="BY11" s="510">
        <f>'Baseline data (from input)'!AS58</f>
        <v>0.19244111347697429</v>
      </c>
      <c r="BZ11" s="1385">
        <f>'Baseline data (from input)'!AT58</f>
        <v>33.26731157054634</v>
      </c>
      <c r="CB11" s="805">
        <v>0</v>
      </c>
      <c r="CC11" s="510">
        <v>0</v>
      </c>
      <c r="CD11" s="510">
        <v>0</v>
      </c>
      <c r="CE11" s="510">
        <v>0</v>
      </c>
      <c r="CF11" s="510">
        <v>0</v>
      </c>
      <c r="CG11" s="510">
        <v>0</v>
      </c>
      <c r="CH11" s="510">
        <v>0</v>
      </c>
      <c r="CI11" s="510">
        <v>0</v>
      </c>
      <c r="CJ11" s="510">
        <v>0</v>
      </c>
      <c r="CK11" s="510">
        <v>0</v>
      </c>
      <c r="CL11" s="510">
        <v>0</v>
      </c>
      <c r="CM11" s="658">
        <v>0</v>
      </c>
    </row>
    <row r="12" spans="1:16381">
      <c r="A12">
        <f>'Input data'!A100</f>
        <v>2002</v>
      </c>
      <c r="C12" s="512">
        <f>'4A SWD Case 1'!BG70</f>
        <v>1495.2657875962775</v>
      </c>
      <c r="D12" s="3">
        <f>'4B Biological treatment '!T65</f>
        <v>0</v>
      </c>
      <c r="E12" s="178">
        <f>'4B Biological treatment '!U65</f>
        <v>20.350908415005701</v>
      </c>
      <c r="F12" s="178">
        <f>'4B Biological treatment '!W65</f>
        <v>1.2210545049003421</v>
      </c>
      <c r="G12" s="3">
        <f>'4C2 Open-burning '!R72</f>
        <v>37.55822073497302</v>
      </c>
      <c r="H12" s="3">
        <f>'4C2 Open-burning '!Z72</f>
        <v>9.2493108945899998</v>
      </c>
      <c r="I12" s="3">
        <f>'4C2 Open-burning '!AH72</f>
        <v>0.14249802320143479</v>
      </c>
      <c r="J12" s="341">
        <f>'4D Wastewater treatment and dis'!AV109</f>
        <v>105.6585087091068</v>
      </c>
      <c r="K12" s="3">
        <f>'4D Wastewater treatment and dis'!AW109</f>
        <v>2.2958369131977472</v>
      </c>
      <c r="L12" s="512">
        <f t="shared" si="12"/>
        <v>31400.581539521827</v>
      </c>
      <c r="M12" s="3">
        <f t="shared" si="0"/>
        <v>0</v>
      </c>
      <c r="N12" s="512">
        <f t="shared" si="13"/>
        <v>805.89597323422572</v>
      </c>
      <c r="O12" s="649">
        <f t="shared" si="14"/>
        <v>275.96813671380778</v>
      </c>
      <c r="P12" s="512">
        <f t="shared" si="15"/>
        <v>2930.5381259825444</v>
      </c>
      <c r="Q12" s="650">
        <f t="shared" si="16"/>
        <v>31400.581539521827</v>
      </c>
      <c r="R12" s="651">
        <f t="shared" si="17"/>
        <v>805.89597323422572</v>
      </c>
      <c r="S12" s="649">
        <f t="shared" si="18"/>
        <v>275.96813671380778</v>
      </c>
      <c r="T12" s="650">
        <f t="shared" si="19"/>
        <v>2930.5381259825444</v>
      </c>
      <c r="U12" s="650">
        <f t="shared" si="20"/>
        <v>35412.983775452405</v>
      </c>
      <c r="V12" s="3"/>
      <c r="W12" s="752">
        <f t="shared" si="21"/>
        <v>2002</v>
      </c>
      <c r="X12" s="1382">
        <f t="shared" si="22"/>
        <v>31400.581539521827</v>
      </c>
      <c r="Y12" s="1384">
        <f t="shared" si="23"/>
        <v>805.89597323422572</v>
      </c>
      <c r="Z12" s="1384">
        <f t="shared" si="24"/>
        <v>275.96813671380778</v>
      </c>
      <c r="AA12" s="1384">
        <f t="shared" si="25"/>
        <v>2930.5381259825444</v>
      </c>
      <c r="AB12" s="1466">
        <f t="shared" si="26"/>
        <v>35412.983775452405</v>
      </c>
      <c r="AC12" s="1384"/>
      <c r="AD12" s="1382">
        <f t="shared" si="27"/>
        <v>31400.581539521827</v>
      </c>
      <c r="AE12" s="1384">
        <f t="shared" si="28"/>
        <v>805.89597323422572</v>
      </c>
      <c r="AF12" s="1384">
        <f t="shared" si="29"/>
        <v>275.96813671380778</v>
      </c>
      <c r="AG12" s="1384">
        <f t="shared" si="30"/>
        <v>2930.5381259825444</v>
      </c>
      <c r="AH12" s="1466">
        <f t="shared" si="31"/>
        <v>35412.983775452405</v>
      </c>
      <c r="AI12" s="118"/>
      <c r="AJ12" s="1382">
        <f t="shared" si="32"/>
        <v>31400.581539521827</v>
      </c>
      <c r="AK12" s="1384">
        <f t="shared" si="33"/>
        <v>805.89597323422572</v>
      </c>
      <c r="AL12" s="1384">
        <f t="shared" si="34"/>
        <v>275.96813671380778</v>
      </c>
      <c r="AM12" s="1384">
        <f t="shared" si="35"/>
        <v>2930.5381259825444</v>
      </c>
      <c r="AN12" s="1466">
        <f t="shared" si="36"/>
        <v>35412.983775452405</v>
      </c>
      <c r="AO12" s="118"/>
      <c r="AP12" s="1382">
        <f t="shared" si="37"/>
        <v>31400.581539521827</v>
      </c>
      <c r="AQ12" s="1384">
        <f t="shared" si="38"/>
        <v>805.89597323422572</v>
      </c>
      <c r="AR12" s="1384">
        <f t="shared" si="39"/>
        <v>275.96813671380778</v>
      </c>
      <c r="AS12" s="1384">
        <f t="shared" si="40"/>
        <v>2930.5381259825444</v>
      </c>
      <c r="AT12" s="1466">
        <f t="shared" si="41"/>
        <v>35412.983775452405</v>
      </c>
      <c r="AU12" s="1465"/>
      <c r="AV12" s="1382">
        <f t="shared" si="42"/>
        <v>31400.581539521827</v>
      </c>
      <c r="AW12" s="1384">
        <f t="shared" si="43"/>
        <v>805.89597323422572</v>
      </c>
      <c r="AX12" s="1384">
        <f t="shared" si="44"/>
        <v>275.96813671380778</v>
      </c>
      <c r="AY12" s="1384">
        <f t="shared" si="45"/>
        <v>2930.5381259825444</v>
      </c>
      <c r="AZ12" s="1466">
        <f t="shared" si="46"/>
        <v>35412.983775452405</v>
      </c>
      <c r="BA12" s="1465"/>
      <c r="BB12" s="1382">
        <f t="shared" si="47"/>
        <v>31400.581539521827</v>
      </c>
      <c r="BC12" s="1384">
        <f t="shared" si="48"/>
        <v>805.89597323422572</v>
      </c>
      <c r="BD12" s="1384">
        <f t="shared" si="49"/>
        <v>275.96813671380778</v>
      </c>
      <c r="BE12" s="1384">
        <f t="shared" si="50"/>
        <v>2930.5381259825444</v>
      </c>
      <c r="BF12" s="1466">
        <f t="shared" si="51"/>
        <v>35412.983775452405</v>
      </c>
      <c r="BG12" s="3"/>
      <c r="BH12" s="752">
        <f t="shared" si="52"/>
        <v>2002</v>
      </c>
      <c r="BI12" s="1384">
        <f>'Baseline data (from input)'!AR59</f>
        <v>85.530637638837788</v>
      </c>
      <c r="BJ12" s="510">
        <f>'Baseline data (from input)'!AS59</f>
        <v>0.1921588904207206</v>
      </c>
      <c r="BK12" s="1383">
        <f>'Baseline data (from input)'!AT59</f>
        <v>34.248390915514115</v>
      </c>
      <c r="BL12" s="1384">
        <f>'Baseline data (from input)'!AR59</f>
        <v>85.530637638837788</v>
      </c>
      <c r="BM12" s="510">
        <f>'Baseline data (from input)'!AS59</f>
        <v>0.1921588904207206</v>
      </c>
      <c r="BN12" s="1383">
        <f>'Baseline data (from input)'!AT59</f>
        <v>34.248390915514115</v>
      </c>
      <c r="BO12" s="1386">
        <f t="shared" si="6"/>
        <v>85.530637638837788</v>
      </c>
      <c r="BP12" s="510">
        <f t="shared" si="7"/>
        <v>0.1921588904207206</v>
      </c>
      <c r="BQ12" s="1383">
        <f t="shared" si="8"/>
        <v>34.248390915514115</v>
      </c>
      <c r="BR12" s="1386">
        <f>'Baseline data (from input)'!AR59</f>
        <v>85.530637638837788</v>
      </c>
      <c r="BS12" s="510">
        <f>'Baseline data (from input)'!AS59</f>
        <v>0.1921588904207206</v>
      </c>
      <c r="BT12" s="1383">
        <f>'Baseline data (from input)'!AT59</f>
        <v>34.248390915514115</v>
      </c>
      <c r="BU12" s="1384">
        <f t="shared" si="9"/>
        <v>85.530637638837788</v>
      </c>
      <c r="BV12" s="510">
        <f t="shared" si="10"/>
        <v>0.1921588904207206</v>
      </c>
      <c r="BW12" s="1383">
        <f t="shared" si="11"/>
        <v>34.248390915514115</v>
      </c>
      <c r="BX12" s="1384">
        <f>'Baseline data (from input)'!AR59</f>
        <v>85.530637638837788</v>
      </c>
      <c r="BY12" s="510">
        <f>'Baseline data (from input)'!AS59</f>
        <v>0.1921588904207206</v>
      </c>
      <c r="BZ12" s="1385">
        <f>'Baseline data (from input)'!AT59</f>
        <v>34.248390915514115</v>
      </c>
      <c r="CB12" s="805">
        <v>0</v>
      </c>
      <c r="CC12" s="510">
        <v>0</v>
      </c>
      <c r="CD12" s="510">
        <v>0</v>
      </c>
      <c r="CE12" s="510">
        <v>0</v>
      </c>
      <c r="CF12" s="510">
        <v>0</v>
      </c>
      <c r="CG12" s="510">
        <v>0</v>
      </c>
      <c r="CH12" s="510">
        <v>0</v>
      </c>
      <c r="CI12" s="510">
        <v>0</v>
      </c>
      <c r="CJ12" s="510">
        <v>0</v>
      </c>
      <c r="CK12" s="510">
        <v>0</v>
      </c>
      <c r="CL12" s="510">
        <v>0</v>
      </c>
      <c r="CM12" s="658">
        <v>0</v>
      </c>
    </row>
    <row r="13" spans="1:16381">
      <c r="A13">
        <f>'Input data'!A101</f>
        <v>2003</v>
      </c>
      <c r="C13" s="512">
        <f>'4A SWD Case 1'!BG71</f>
        <v>1538.3064624022761</v>
      </c>
      <c r="D13" s="3">
        <f>'4B Biological treatment '!T66</f>
        <v>0</v>
      </c>
      <c r="E13" s="178">
        <f>'4B Biological treatment '!U66</f>
        <v>20.885756995820866</v>
      </c>
      <c r="F13" s="178">
        <f>'4B Biological treatment '!W66</f>
        <v>1.253145419749252</v>
      </c>
      <c r="G13" s="3">
        <f>'4C2 Open-burning '!R73</f>
        <v>38.039112455010994</v>
      </c>
      <c r="H13" s="3">
        <f>'4C2 Open-burning '!Z73</f>
        <v>9.3677381506799975</v>
      </c>
      <c r="I13" s="3">
        <f>'4C2 Open-burning '!AH73</f>
        <v>0.14432255370736313</v>
      </c>
      <c r="J13" s="341">
        <f>'4D Wastewater treatment and dis'!AV110</f>
        <v>107.01134973819363</v>
      </c>
      <c r="K13" s="3">
        <f>'4D Wastewater treatment and dis'!AW110</f>
        <v>2.3252325805246157</v>
      </c>
      <c r="L13" s="512">
        <f t="shared" si="12"/>
        <v>32304.435710447797</v>
      </c>
      <c r="M13" s="3">
        <f t="shared" si="0"/>
        <v>0</v>
      </c>
      <c r="N13" s="512">
        <f t="shared" si="13"/>
        <v>827.07597703450631</v>
      </c>
      <c r="O13" s="649">
        <f t="shared" si="14"/>
        <v>279.50160526857348</v>
      </c>
      <c r="P13" s="512">
        <f t="shared" si="15"/>
        <v>2968.0604444646974</v>
      </c>
      <c r="Q13" s="650">
        <f t="shared" si="16"/>
        <v>32304.435710447797</v>
      </c>
      <c r="R13" s="651">
        <f t="shared" si="17"/>
        <v>827.07597703450631</v>
      </c>
      <c r="S13" s="649">
        <f t="shared" si="18"/>
        <v>279.50160526857348</v>
      </c>
      <c r="T13" s="650">
        <f t="shared" si="19"/>
        <v>2968.0604444646974</v>
      </c>
      <c r="U13" s="650">
        <f t="shared" si="20"/>
        <v>36379.073737215571</v>
      </c>
      <c r="V13" s="3"/>
      <c r="W13" s="752">
        <f t="shared" si="21"/>
        <v>2003</v>
      </c>
      <c r="X13" s="1382">
        <f t="shared" si="22"/>
        <v>32304.435710447797</v>
      </c>
      <c r="Y13" s="1384">
        <f t="shared" si="23"/>
        <v>827.07597703450631</v>
      </c>
      <c r="Z13" s="1384">
        <f t="shared" si="24"/>
        <v>279.50160526857348</v>
      </c>
      <c r="AA13" s="1384">
        <f t="shared" si="25"/>
        <v>2968.0604444646974</v>
      </c>
      <c r="AB13" s="1466">
        <f t="shared" si="26"/>
        <v>36379.073737215571</v>
      </c>
      <c r="AC13" s="1384"/>
      <c r="AD13" s="1382">
        <f t="shared" si="27"/>
        <v>32304.435710447797</v>
      </c>
      <c r="AE13" s="1384">
        <f t="shared" si="28"/>
        <v>827.07597703450631</v>
      </c>
      <c r="AF13" s="1384">
        <f t="shared" si="29"/>
        <v>279.50160526857348</v>
      </c>
      <c r="AG13" s="1384">
        <f t="shared" si="30"/>
        <v>2968.0604444646974</v>
      </c>
      <c r="AH13" s="1466">
        <f t="shared" si="31"/>
        <v>36379.073737215571</v>
      </c>
      <c r="AI13" s="118"/>
      <c r="AJ13" s="1382">
        <f t="shared" si="32"/>
        <v>32304.435710447797</v>
      </c>
      <c r="AK13" s="1384">
        <f t="shared" si="33"/>
        <v>827.07597703450631</v>
      </c>
      <c r="AL13" s="1384">
        <f t="shared" si="34"/>
        <v>279.50160526857348</v>
      </c>
      <c r="AM13" s="1384">
        <f t="shared" si="35"/>
        <v>2968.0604444646974</v>
      </c>
      <c r="AN13" s="1466">
        <f t="shared" si="36"/>
        <v>36379.073737215571</v>
      </c>
      <c r="AO13" s="118"/>
      <c r="AP13" s="1382">
        <f t="shared" si="37"/>
        <v>32304.435710447797</v>
      </c>
      <c r="AQ13" s="1384">
        <f t="shared" si="38"/>
        <v>827.07597703450631</v>
      </c>
      <c r="AR13" s="1384">
        <f t="shared" si="39"/>
        <v>279.50160526857348</v>
      </c>
      <c r="AS13" s="1384">
        <f t="shared" si="40"/>
        <v>2968.0604444646974</v>
      </c>
      <c r="AT13" s="1466">
        <f t="shared" si="41"/>
        <v>36379.073737215571</v>
      </c>
      <c r="AU13" s="1465"/>
      <c r="AV13" s="1382">
        <f t="shared" si="42"/>
        <v>32304.435710447797</v>
      </c>
      <c r="AW13" s="1384">
        <f t="shared" si="43"/>
        <v>827.07597703450631</v>
      </c>
      <c r="AX13" s="1384">
        <f t="shared" si="44"/>
        <v>279.50160526857348</v>
      </c>
      <c r="AY13" s="1384">
        <f t="shared" si="45"/>
        <v>2968.0604444646974</v>
      </c>
      <c r="AZ13" s="1466">
        <f t="shared" si="46"/>
        <v>36379.073737215571</v>
      </c>
      <c r="BA13" s="1465"/>
      <c r="BB13" s="1382">
        <f t="shared" si="47"/>
        <v>32304.435710447797</v>
      </c>
      <c r="BC13" s="1384">
        <f t="shared" si="48"/>
        <v>827.07597703450631</v>
      </c>
      <c r="BD13" s="1384">
        <f t="shared" si="49"/>
        <v>279.50160526857348</v>
      </c>
      <c r="BE13" s="1384">
        <f t="shared" si="50"/>
        <v>2968.0604444646974</v>
      </c>
      <c r="BF13" s="1466">
        <f t="shared" si="51"/>
        <v>36379.073737215571</v>
      </c>
      <c r="BG13" s="3"/>
      <c r="BH13" s="752">
        <f t="shared" si="52"/>
        <v>2003</v>
      </c>
      <c r="BI13" s="1384">
        <f>'Baseline data (from input)'!AR60</f>
        <v>88.528346917261359</v>
      </c>
      <c r="BJ13" s="510">
        <f>'Baseline data (from input)'!AS60</f>
        <v>0.19159968918099338</v>
      </c>
      <c r="BK13" s="1383">
        <f>'Baseline data (from input)'!AT60</f>
        <v>35.808251944074989</v>
      </c>
      <c r="BL13" s="1384">
        <f>'Baseline data (from input)'!AR60</f>
        <v>88.528346917261359</v>
      </c>
      <c r="BM13" s="510">
        <f>'Baseline data (from input)'!AS60</f>
        <v>0.19159968918099338</v>
      </c>
      <c r="BN13" s="1383">
        <f>'Baseline data (from input)'!AT60</f>
        <v>35.808251944074989</v>
      </c>
      <c r="BO13" s="1386">
        <f t="shared" si="6"/>
        <v>88.528346917261359</v>
      </c>
      <c r="BP13" s="510">
        <f t="shared" si="7"/>
        <v>0.19159968918099338</v>
      </c>
      <c r="BQ13" s="1383">
        <f t="shared" si="8"/>
        <v>35.808251944074989</v>
      </c>
      <c r="BR13" s="1386">
        <f>'Baseline data (from input)'!AR60</f>
        <v>88.528346917261359</v>
      </c>
      <c r="BS13" s="510">
        <f>'Baseline data (from input)'!AS60</f>
        <v>0.19159968918099338</v>
      </c>
      <c r="BT13" s="1383">
        <f>'Baseline data (from input)'!AT60</f>
        <v>35.808251944074989</v>
      </c>
      <c r="BU13" s="1384">
        <f t="shared" si="9"/>
        <v>88.528346917261359</v>
      </c>
      <c r="BV13" s="510">
        <f t="shared" si="10"/>
        <v>0.19159968918099338</v>
      </c>
      <c r="BW13" s="1383">
        <f t="shared" si="11"/>
        <v>35.808251944074989</v>
      </c>
      <c r="BX13" s="1384">
        <f>'Baseline data (from input)'!AR60</f>
        <v>88.528346917261359</v>
      </c>
      <c r="BY13" s="510">
        <f>'Baseline data (from input)'!AS60</f>
        <v>0.19159968918099338</v>
      </c>
      <c r="BZ13" s="1385">
        <f>'Baseline data (from input)'!AT60</f>
        <v>35.808251944074989</v>
      </c>
      <c r="CB13" s="805">
        <v>0</v>
      </c>
      <c r="CC13" s="510">
        <v>0</v>
      </c>
      <c r="CD13" s="510">
        <v>0</v>
      </c>
      <c r="CE13" s="510">
        <v>0</v>
      </c>
      <c r="CF13" s="510">
        <v>0</v>
      </c>
      <c r="CG13" s="510">
        <v>0</v>
      </c>
      <c r="CH13" s="510">
        <v>0</v>
      </c>
      <c r="CI13" s="510">
        <v>0</v>
      </c>
      <c r="CJ13" s="510">
        <v>0</v>
      </c>
      <c r="CK13" s="510">
        <v>0</v>
      </c>
      <c r="CL13" s="510">
        <v>0</v>
      </c>
      <c r="CM13" s="658">
        <v>0</v>
      </c>
    </row>
    <row r="14" spans="1:16381">
      <c r="A14">
        <f>'Input data'!A102</f>
        <v>2004</v>
      </c>
      <c r="C14" s="512">
        <f>'4A SWD Case 1'!BG72</f>
        <v>1582.1468022252632</v>
      </c>
      <c r="D14" s="3">
        <f>'4B Biological treatment '!T67</f>
        <v>0</v>
      </c>
      <c r="E14" s="178">
        <f>'4B Biological treatment '!U67</f>
        <v>21.703647185208162</v>
      </c>
      <c r="F14" s="178">
        <f>'4B Biological treatment '!W67</f>
        <v>1.3022188311124896</v>
      </c>
      <c r="G14" s="3">
        <f>'4C2 Open-burning '!R74</f>
        <v>38.491959031856368</v>
      </c>
      <c r="H14" s="3">
        <f>'4C2 Open-burning '!Z74</f>
        <v>9.4792588429499993</v>
      </c>
      <c r="I14" s="3">
        <f>'4C2 Open-burning '!AH74</f>
        <v>0.14604067934673653</v>
      </c>
      <c r="J14" s="341">
        <f>'4D Wastewater treatment and dis'!AV111</f>
        <v>108.28529437793402</v>
      </c>
      <c r="K14" s="3">
        <f>'4D Wastewater treatment and dis'!AW111</f>
        <v>2.3529139207689562</v>
      </c>
      <c r="L14" s="512">
        <f t="shared" si="12"/>
        <v>33225.082846730525</v>
      </c>
      <c r="M14" s="3">
        <f t="shared" si="0"/>
        <v>0</v>
      </c>
      <c r="N14" s="512">
        <f t="shared" si="13"/>
        <v>859.4644285342431</v>
      </c>
      <c r="O14" s="649">
        <f t="shared" si="14"/>
        <v>282.82900533129464</v>
      </c>
      <c r="P14" s="512">
        <f t="shared" si="15"/>
        <v>3003.3944973749908</v>
      </c>
      <c r="Q14" s="650">
        <f t="shared" si="16"/>
        <v>33225.082846730525</v>
      </c>
      <c r="R14" s="651">
        <f t="shared" si="17"/>
        <v>859.4644285342431</v>
      </c>
      <c r="S14" s="649">
        <f t="shared" si="18"/>
        <v>282.82900533129464</v>
      </c>
      <c r="T14" s="650">
        <f t="shared" si="19"/>
        <v>3003.3944973749908</v>
      </c>
      <c r="U14" s="650">
        <f t="shared" si="20"/>
        <v>37370.770777971054</v>
      </c>
      <c r="V14" s="3"/>
      <c r="W14" s="752">
        <f t="shared" si="21"/>
        <v>2004</v>
      </c>
      <c r="X14" s="1382">
        <f t="shared" si="22"/>
        <v>33225.082846730525</v>
      </c>
      <c r="Y14" s="1384">
        <f t="shared" si="23"/>
        <v>859.4644285342431</v>
      </c>
      <c r="Z14" s="1384">
        <f t="shared" si="24"/>
        <v>282.82900533129464</v>
      </c>
      <c r="AA14" s="1384">
        <f t="shared" si="25"/>
        <v>3003.3944973749908</v>
      </c>
      <c r="AB14" s="1466">
        <f t="shared" si="26"/>
        <v>37370.770777971054</v>
      </c>
      <c r="AC14" s="1384"/>
      <c r="AD14" s="1382">
        <f t="shared" si="27"/>
        <v>33225.082846730525</v>
      </c>
      <c r="AE14" s="1384">
        <f t="shared" si="28"/>
        <v>859.4644285342431</v>
      </c>
      <c r="AF14" s="1384">
        <f t="shared" si="29"/>
        <v>282.82900533129464</v>
      </c>
      <c r="AG14" s="1384">
        <f t="shared" si="30"/>
        <v>3003.3944973749908</v>
      </c>
      <c r="AH14" s="1466">
        <f t="shared" si="31"/>
        <v>37370.770777971054</v>
      </c>
      <c r="AI14" s="118"/>
      <c r="AJ14" s="1382">
        <f t="shared" si="32"/>
        <v>33225.082846730525</v>
      </c>
      <c r="AK14" s="1384">
        <f t="shared" si="33"/>
        <v>859.4644285342431</v>
      </c>
      <c r="AL14" s="1384">
        <f t="shared" si="34"/>
        <v>282.82900533129464</v>
      </c>
      <c r="AM14" s="1384">
        <f t="shared" si="35"/>
        <v>3003.3944973749908</v>
      </c>
      <c r="AN14" s="1466">
        <f t="shared" si="36"/>
        <v>37370.770777971054</v>
      </c>
      <c r="AO14" s="118"/>
      <c r="AP14" s="1382">
        <f t="shared" si="37"/>
        <v>33225.082846730525</v>
      </c>
      <c r="AQ14" s="1384">
        <f t="shared" si="38"/>
        <v>859.4644285342431</v>
      </c>
      <c r="AR14" s="1384">
        <f t="shared" si="39"/>
        <v>282.82900533129464</v>
      </c>
      <c r="AS14" s="1384">
        <f t="shared" si="40"/>
        <v>3003.3944973749908</v>
      </c>
      <c r="AT14" s="1466">
        <f t="shared" si="41"/>
        <v>37370.770777971054</v>
      </c>
      <c r="AU14" s="1465"/>
      <c r="AV14" s="1382">
        <f t="shared" si="42"/>
        <v>33225.082846730525</v>
      </c>
      <c r="AW14" s="1384">
        <f t="shared" si="43"/>
        <v>859.4644285342431</v>
      </c>
      <c r="AX14" s="1384">
        <f t="shared" si="44"/>
        <v>282.82900533129464</v>
      </c>
      <c r="AY14" s="1384">
        <f t="shared" si="45"/>
        <v>3003.3944973749908</v>
      </c>
      <c r="AZ14" s="1466">
        <f t="shared" si="46"/>
        <v>37370.770777971054</v>
      </c>
      <c r="BA14" s="1465"/>
      <c r="BB14" s="1382">
        <f t="shared" si="47"/>
        <v>33225.082846730525</v>
      </c>
      <c r="BC14" s="1384">
        <f t="shared" si="48"/>
        <v>859.4644285342431</v>
      </c>
      <c r="BD14" s="1384">
        <f t="shared" si="49"/>
        <v>282.82900533129464</v>
      </c>
      <c r="BE14" s="1384">
        <f t="shared" si="50"/>
        <v>3003.3944973749908</v>
      </c>
      <c r="BF14" s="1466">
        <f t="shared" si="51"/>
        <v>37370.770777971054</v>
      </c>
      <c r="BG14" s="3"/>
      <c r="BH14" s="752">
        <f t="shared" si="52"/>
        <v>2004</v>
      </c>
      <c r="BI14" s="1384">
        <f>'Baseline data (from input)'!AR61</f>
        <v>92.083355919607541</v>
      </c>
      <c r="BJ14" s="510">
        <f>'Baseline data (from input)'!AS61</f>
        <v>0.19092494708587937</v>
      </c>
      <c r="BK14" s="1383">
        <f>'Baseline data (from input)'!AT61</f>
        <v>37.697873563506654</v>
      </c>
      <c r="BL14" s="1384">
        <f>'Baseline data (from input)'!AR61</f>
        <v>92.083355919607541</v>
      </c>
      <c r="BM14" s="510">
        <f>'Baseline data (from input)'!AS61</f>
        <v>0.19092494708587937</v>
      </c>
      <c r="BN14" s="1383">
        <f>'Baseline data (from input)'!AT61</f>
        <v>37.697873563506654</v>
      </c>
      <c r="BO14" s="1386">
        <f t="shared" si="6"/>
        <v>92.083355919607541</v>
      </c>
      <c r="BP14" s="510">
        <f t="shared" si="7"/>
        <v>0.19092494708587937</v>
      </c>
      <c r="BQ14" s="1383">
        <f t="shared" si="8"/>
        <v>37.697873563506654</v>
      </c>
      <c r="BR14" s="1386">
        <f>'Baseline data (from input)'!AR61</f>
        <v>92.083355919607541</v>
      </c>
      <c r="BS14" s="510">
        <f>'Baseline data (from input)'!AS61</f>
        <v>0.19092494708587937</v>
      </c>
      <c r="BT14" s="1383">
        <f>'Baseline data (from input)'!AT61</f>
        <v>37.697873563506654</v>
      </c>
      <c r="BU14" s="1384">
        <f t="shared" si="9"/>
        <v>92.083355919607541</v>
      </c>
      <c r="BV14" s="510">
        <f t="shared" si="10"/>
        <v>0.19092494708587937</v>
      </c>
      <c r="BW14" s="1383">
        <f t="shared" si="11"/>
        <v>37.697873563506654</v>
      </c>
      <c r="BX14" s="1384">
        <f>'Baseline data (from input)'!AR61</f>
        <v>92.083355919607541</v>
      </c>
      <c r="BY14" s="510">
        <f>'Baseline data (from input)'!AS61</f>
        <v>0.19092494708587937</v>
      </c>
      <c r="BZ14" s="1385">
        <f>'Baseline data (from input)'!AT61</f>
        <v>37.697873563506654</v>
      </c>
      <c r="CB14" s="805">
        <v>0</v>
      </c>
      <c r="CC14" s="510">
        <v>0</v>
      </c>
      <c r="CD14" s="510">
        <v>0</v>
      </c>
      <c r="CE14" s="510">
        <v>0</v>
      </c>
      <c r="CF14" s="510">
        <v>0</v>
      </c>
      <c r="CG14" s="510">
        <v>0</v>
      </c>
      <c r="CH14" s="510">
        <v>0</v>
      </c>
      <c r="CI14" s="510">
        <v>0</v>
      </c>
      <c r="CJ14" s="510">
        <v>0</v>
      </c>
      <c r="CK14" s="510">
        <v>0</v>
      </c>
      <c r="CL14" s="510">
        <v>0</v>
      </c>
      <c r="CM14" s="658">
        <v>0</v>
      </c>
    </row>
    <row r="15" spans="1:16381">
      <c r="A15">
        <f>'Input data'!A103</f>
        <v>2005</v>
      </c>
      <c r="C15" s="512">
        <f>'4A SWD Case 1'!BG73</f>
        <v>1628.2103846931327</v>
      </c>
      <c r="D15" s="3">
        <f>'4B Biological treatment '!T68</f>
        <v>0</v>
      </c>
      <c r="E15" s="178">
        <f>'4B Biological treatment '!U68</f>
        <v>22.683090023667262</v>
      </c>
      <c r="F15" s="178">
        <f>'4B Biological treatment '!W68</f>
        <v>1.3609854014200355</v>
      </c>
      <c r="G15" s="3">
        <f>'4C2 Open-burning '!R75</f>
        <v>38.931607894258157</v>
      </c>
      <c r="H15" s="3">
        <f>'4C2 Open-burning '!Z75</f>
        <v>9.5875293875400001</v>
      </c>
      <c r="I15" s="3">
        <f>'4C2 Open-burning '!AH75</f>
        <v>0.14770873210773111</v>
      </c>
      <c r="J15" s="341">
        <f>'4D Wastewater treatment and dis'!AV112</f>
        <v>109.52211130504081</v>
      </c>
      <c r="K15" s="3">
        <f>'4D Wastewater treatment and dis'!AW112</f>
        <v>2.3797885188568135</v>
      </c>
      <c r="L15" s="512">
        <f t="shared" si="12"/>
        <v>34192.418078555784</v>
      </c>
      <c r="M15" s="3">
        <f t="shared" si="0"/>
        <v>0</v>
      </c>
      <c r="N15" s="512">
        <f t="shared" si="13"/>
        <v>898.25036493722359</v>
      </c>
      <c r="O15" s="649">
        <f t="shared" si="14"/>
        <v>286.05943198599482</v>
      </c>
      <c r="P15" s="512">
        <f t="shared" si="15"/>
        <v>3037.6987782514689</v>
      </c>
      <c r="Q15" s="650">
        <f t="shared" si="16"/>
        <v>34192.418078555784</v>
      </c>
      <c r="R15" s="651">
        <f t="shared" si="17"/>
        <v>898.25036493722359</v>
      </c>
      <c r="S15" s="649">
        <f t="shared" si="18"/>
        <v>286.05943198599482</v>
      </c>
      <c r="T15" s="650">
        <f t="shared" si="19"/>
        <v>3037.6987782514689</v>
      </c>
      <c r="U15" s="650">
        <f t="shared" si="20"/>
        <v>38414.426653730472</v>
      </c>
      <c r="V15" s="3"/>
      <c r="W15" s="752">
        <f t="shared" si="21"/>
        <v>2005</v>
      </c>
      <c r="X15" s="1382">
        <f t="shared" si="22"/>
        <v>34192.418078555784</v>
      </c>
      <c r="Y15" s="1384">
        <f t="shared" si="23"/>
        <v>898.25036493722359</v>
      </c>
      <c r="Z15" s="1384">
        <f t="shared" si="24"/>
        <v>286.05943198599482</v>
      </c>
      <c r="AA15" s="1384">
        <f t="shared" si="25"/>
        <v>3037.6987782514689</v>
      </c>
      <c r="AB15" s="1466">
        <f t="shared" si="26"/>
        <v>38414.426653730472</v>
      </c>
      <c r="AC15" s="1384"/>
      <c r="AD15" s="1382">
        <f t="shared" si="27"/>
        <v>34192.418078555784</v>
      </c>
      <c r="AE15" s="1384">
        <f t="shared" si="28"/>
        <v>898.25036493722359</v>
      </c>
      <c r="AF15" s="1384">
        <f t="shared" si="29"/>
        <v>286.05943198599482</v>
      </c>
      <c r="AG15" s="1384">
        <f t="shared" si="30"/>
        <v>3037.6987782514689</v>
      </c>
      <c r="AH15" s="1466">
        <f t="shared" si="31"/>
        <v>38414.426653730472</v>
      </c>
      <c r="AI15" s="118"/>
      <c r="AJ15" s="1382">
        <f t="shared" si="32"/>
        <v>34192.418078555784</v>
      </c>
      <c r="AK15" s="1384">
        <f t="shared" si="33"/>
        <v>898.25036493722359</v>
      </c>
      <c r="AL15" s="1384">
        <f t="shared" si="34"/>
        <v>286.05943198599482</v>
      </c>
      <c r="AM15" s="1384">
        <f t="shared" si="35"/>
        <v>3037.6987782514689</v>
      </c>
      <c r="AN15" s="1466">
        <f t="shared" si="36"/>
        <v>38414.426653730472</v>
      </c>
      <c r="AO15" s="118"/>
      <c r="AP15" s="1382">
        <f t="shared" si="37"/>
        <v>34192.418078555784</v>
      </c>
      <c r="AQ15" s="1384">
        <f t="shared" si="38"/>
        <v>898.25036493722359</v>
      </c>
      <c r="AR15" s="1384">
        <f t="shared" si="39"/>
        <v>286.05943198599482</v>
      </c>
      <c r="AS15" s="1384">
        <f t="shared" si="40"/>
        <v>3037.6987782514689</v>
      </c>
      <c r="AT15" s="1466">
        <f t="shared" si="41"/>
        <v>38414.426653730472</v>
      </c>
      <c r="AU15" s="1465"/>
      <c r="AV15" s="1382">
        <f t="shared" si="42"/>
        <v>34192.418078555784</v>
      </c>
      <c r="AW15" s="1384">
        <f t="shared" si="43"/>
        <v>898.25036493722359</v>
      </c>
      <c r="AX15" s="1384">
        <f t="shared" si="44"/>
        <v>286.05943198599482</v>
      </c>
      <c r="AY15" s="1384">
        <f t="shared" si="45"/>
        <v>3037.6987782514689</v>
      </c>
      <c r="AZ15" s="1466">
        <f t="shared" si="46"/>
        <v>38414.426653730472</v>
      </c>
      <c r="BA15" s="1465"/>
      <c r="BB15" s="1382">
        <f t="shared" si="47"/>
        <v>34192.418078555784</v>
      </c>
      <c r="BC15" s="1384">
        <f t="shared" si="48"/>
        <v>898.25036493722359</v>
      </c>
      <c r="BD15" s="1384">
        <f t="shared" si="49"/>
        <v>286.05943198599482</v>
      </c>
      <c r="BE15" s="1384">
        <f t="shared" si="50"/>
        <v>3037.6987782514689</v>
      </c>
      <c r="BF15" s="1466">
        <f t="shared" si="51"/>
        <v>38414.426653730472</v>
      </c>
      <c r="BG15" s="3"/>
      <c r="BH15" s="752">
        <f t="shared" si="52"/>
        <v>2005</v>
      </c>
      <c r="BI15" s="1384">
        <f>'Baseline data (from input)'!AR62</f>
        <v>96.021312306721029</v>
      </c>
      <c r="BJ15" s="510">
        <f>'Baseline data (from input)'!AS62</f>
        <v>0.19020897678168794</v>
      </c>
      <c r="BK15" s="1383">
        <f>'Baseline data (from input)'!AT62</f>
        <v>39.810386118997272</v>
      </c>
      <c r="BL15" s="1384">
        <f>'Baseline data (from input)'!AR62</f>
        <v>96.021312306721029</v>
      </c>
      <c r="BM15" s="510">
        <f>'Baseline data (from input)'!AS62</f>
        <v>0.19020897678168794</v>
      </c>
      <c r="BN15" s="1383">
        <f>'Baseline data (from input)'!AT62</f>
        <v>39.810386118997272</v>
      </c>
      <c r="BO15" s="1386">
        <f t="shared" si="6"/>
        <v>96.021312306721029</v>
      </c>
      <c r="BP15" s="510">
        <f t="shared" si="7"/>
        <v>0.19020897678168794</v>
      </c>
      <c r="BQ15" s="1383">
        <f t="shared" si="8"/>
        <v>39.810386118997272</v>
      </c>
      <c r="BR15" s="1386">
        <f>'Baseline data (from input)'!AR62</f>
        <v>96.021312306721029</v>
      </c>
      <c r="BS15" s="510">
        <f>'Baseline data (from input)'!AS62</f>
        <v>0.19020897678168794</v>
      </c>
      <c r="BT15" s="1383">
        <f>'Baseline data (from input)'!AT62</f>
        <v>39.810386118997272</v>
      </c>
      <c r="BU15" s="1384">
        <f t="shared" si="9"/>
        <v>96.021312306721029</v>
      </c>
      <c r="BV15" s="510">
        <f t="shared" si="10"/>
        <v>0.19020897678168794</v>
      </c>
      <c r="BW15" s="1383">
        <f t="shared" si="11"/>
        <v>39.810386118997272</v>
      </c>
      <c r="BX15" s="1384">
        <f>'Baseline data (from input)'!AR62</f>
        <v>96.021312306721029</v>
      </c>
      <c r="BY15" s="510">
        <f>'Baseline data (from input)'!AS62</f>
        <v>0.19020897678168794</v>
      </c>
      <c r="BZ15" s="1385">
        <f>'Baseline data (from input)'!AT62</f>
        <v>39.810386118997272</v>
      </c>
      <c r="CB15" s="805">
        <v>0</v>
      </c>
      <c r="CC15" s="510">
        <v>0</v>
      </c>
      <c r="CD15" s="510">
        <v>0</v>
      </c>
      <c r="CE15" s="510">
        <v>0</v>
      </c>
      <c r="CF15" s="510">
        <v>0</v>
      </c>
      <c r="CG15" s="510">
        <v>0</v>
      </c>
      <c r="CH15" s="510">
        <v>0</v>
      </c>
      <c r="CI15" s="510">
        <v>0</v>
      </c>
      <c r="CJ15" s="510">
        <v>0</v>
      </c>
      <c r="CK15" s="510">
        <v>0</v>
      </c>
      <c r="CL15" s="510">
        <v>0</v>
      </c>
      <c r="CM15" s="658">
        <v>0</v>
      </c>
    </row>
    <row r="16" spans="1:16381">
      <c r="A16">
        <f>'Input data'!A104</f>
        <v>2006</v>
      </c>
      <c r="C16" s="512">
        <f>'4A SWD Case 1'!BG74</f>
        <v>1677.2244042604073</v>
      </c>
      <c r="D16" s="3">
        <f>'4B Biological treatment '!T69</f>
        <v>0</v>
      </c>
      <c r="E16" s="178">
        <f>'4B Biological treatment '!U69</f>
        <v>23.772658789073368</v>
      </c>
      <c r="F16" s="178">
        <f>'4B Biological treatment '!W69</f>
        <v>1.4263595273444021</v>
      </c>
      <c r="G16" s="3">
        <f>'4C2 Open-burning '!R76</f>
        <v>39.371256756659946</v>
      </c>
      <c r="H16" s="3">
        <f>'4C2 Open-burning '!Z76</f>
        <v>9.6957999321300008</v>
      </c>
      <c r="I16" s="3">
        <f>'4C2 Open-burning '!AH76</f>
        <v>0.14937678486872563</v>
      </c>
      <c r="J16" s="341">
        <f>'4D Wastewater treatment and dis'!AV113</f>
        <v>110.75892823214762</v>
      </c>
      <c r="K16" s="3">
        <f>'4D Wastewater treatment and dis'!AW113</f>
        <v>2.4066631169446708</v>
      </c>
      <c r="L16" s="512">
        <f t="shared" si="12"/>
        <v>35221.712489468555</v>
      </c>
      <c r="M16" s="3">
        <f t="shared" si="0"/>
        <v>0</v>
      </c>
      <c r="N16" s="512">
        <f t="shared" si="13"/>
        <v>941.39728804730544</v>
      </c>
      <c r="O16" s="649">
        <f t="shared" si="14"/>
        <v>289.28985864069489</v>
      </c>
      <c r="P16" s="512">
        <f t="shared" si="15"/>
        <v>3072.0030591279478</v>
      </c>
      <c r="Q16" s="650">
        <f t="shared" si="16"/>
        <v>35221.712489468555</v>
      </c>
      <c r="R16" s="651">
        <f t="shared" si="17"/>
        <v>941.39728804730544</v>
      </c>
      <c r="S16" s="649">
        <f t="shared" si="18"/>
        <v>289.28985864069489</v>
      </c>
      <c r="T16" s="650">
        <f t="shared" si="19"/>
        <v>3072.0030591279478</v>
      </c>
      <c r="U16" s="650">
        <f t="shared" si="20"/>
        <v>39524.402695284509</v>
      </c>
      <c r="V16" s="3"/>
      <c r="W16" s="752">
        <f t="shared" si="21"/>
        <v>2006</v>
      </c>
      <c r="X16" s="1382">
        <f t="shared" si="22"/>
        <v>35221.712489468555</v>
      </c>
      <c r="Y16" s="1384">
        <f t="shared" si="23"/>
        <v>941.39728804730544</v>
      </c>
      <c r="Z16" s="1384">
        <f t="shared" si="24"/>
        <v>289.28985864069489</v>
      </c>
      <c r="AA16" s="1384">
        <f t="shared" si="25"/>
        <v>3072.0030591279478</v>
      </c>
      <c r="AB16" s="1466">
        <f t="shared" si="26"/>
        <v>39524.402695284509</v>
      </c>
      <c r="AC16" s="1384"/>
      <c r="AD16" s="1382">
        <f t="shared" si="27"/>
        <v>35221.712489468555</v>
      </c>
      <c r="AE16" s="1384">
        <f t="shared" si="28"/>
        <v>941.39728804730544</v>
      </c>
      <c r="AF16" s="1384">
        <f t="shared" si="29"/>
        <v>289.28985864069489</v>
      </c>
      <c r="AG16" s="1384">
        <f t="shared" si="30"/>
        <v>3072.0030591279478</v>
      </c>
      <c r="AH16" s="1466">
        <f t="shared" si="31"/>
        <v>39524.402695284509</v>
      </c>
      <c r="AI16" s="118"/>
      <c r="AJ16" s="1382">
        <f t="shared" si="32"/>
        <v>35221.712489468555</v>
      </c>
      <c r="AK16" s="1384">
        <f t="shared" si="33"/>
        <v>941.39728804730544</v>
      </c>
      <c r="AL16" s="1384">
        <f t="shared" si="34"/>
        <v>289.28985864069489</v>
      </c>
      <c r="AM16" s="1384">
        <f t="shared" si="35"/>
        <v>3072.0030591279478</v>
      </c>
      <c r="AN16" s="1466">
        <f t="shared" si="36"/>
        <v>39524.402695284509</v>
      </c>
      <c r="AO16" s="118"/>
      <c r="AP16" s="1382">
        <f t="shared" si="37"/>
        <v>35221.712489468555</v>
      </c>
      <c r="AQ16" s="1384">
        <f t="shared" si="38"/>
        <v>941.39728804730544</v>
      </c>
      <c r="AR16" s="1384">
        <f t="shared" si="39"/>
        <v>289.28985864069489</v>
      </c>
      <c r="AS16" s="1384">
        <f t="shared" si="40"/>
        <v>3072.0030591279478</v>
      </c>
      <c r="AT16" s="1466">
        <f t="shared" si="41"/>
        <v>39524.402695284509</v>
      </c>
      <c r="AU16" s="1465"/>
      <c r="AV16" s="1382">
        <f t="shared" si="42"/>
        <v>35221.712489468555</v>
      </c>
      <c r="AW16" s="1384">
        <f t="shared" si="43"/>
        <v>941.39728804730544</v>
      </c>
      <c r="AX16" s="1384">
        <f t="shared" si="44"/>
        <v>289.28985864069489</v>
      </c>
      <c r="AY16" s="1384">
        <f t="shared" si="45"/>
        <v>3072.0030591279478</v>
      </c>
      <c r="AZ16" s="1466">
        <f t="shared" si="46"/>
        <v>39524.402695284509</v>
      </c>
      <c r="BA16" s="1465"/>
      <c r="BB16" s="1382">
        <f t="shared" si="47"/>
        <v>35221.712489468555</v>
      </c>
      <c r="BC16" s="1384">
        <f t="shared" si="48"/>
        <v>941.39728804730544</v>
      </c>
      <c r="BD16" s="1384">
        <f t="shared" si="49"/>
        <v>289.28985864069489</v>
      </c>
      <c r="BE16" s="1384">
        <f t="shared" si="50"/>
        <v>3072.0030591279478</v>
      </c>
      <c r="BF16" s="1466">
        <f t="shared" si="51"/>
        <v>39524.402695284509</v>
      </c>
      <c r="BG16" s="3"/>
      <c r="BH16" s="752">
        <f t="shared" si="52"/>
        <v>2006</v>
      </c>
      <c r="BI16" s="1384">
        <f>'Baseline data (from input)'!AR63</f>
        <v>99.992179942684729</v>
      </c>
      <c r="BJ16" s="510">
        <f>'Baseline data (from input)'!AS63</f>
        <v>0.18953960310810339</v>
      </c>
      <c r="BK16" s="1383">
        <f>'Baseline data (from input)'!AT63</f>
        <v>41.94441226902012</v>
      </c>
      <c r="BL16" s="1384">
        <f>'Baseline data (from input)'!AR63</f>
        <v>99.992179942684729</v>
      </c>
      <c r="BM16" s="510">
        <f>'Baseline data (from input)'!AS63</f>
        <v>0.18953960310810339</v>
      </c>
      <c r="BN16" s="1383">
        <f>'Baseline data (from input)'!AT63</f>
        <v>41.94441226902012</v>
      </c>
      <c r="BO16" s="1386">
        <f t="shared" si="6"/>
        <v>99.992179942684729</v>
      </c>
      <c r="BP16" s="510">
        <f t="shared" si="7"/>
        <v>0.18953960310810339</v>
      </c>
      <c r="BQ16" s="1383">
        <f t="shared" si="8"/>
        <v>41.94441226902012</v>
      </c>
      <c r="BR16" s="1386">
        <f>'Baseline data (from input)'!AR63</f>
        <v>99.992179942684729</v>
      </c>
      <c r="BS16" s="510">
        <f>'Baseline data (from input)'!AS63</f>
        <v>0.18953960310810339</v>
      </c>
      <c r="BT16" s="1383">
        <f>'Baseline data (from input)'!AT63</f>
        <v>41.94441226902012</v>
      </c>
      <c r="BU16" s="1384">
        <f t="shared" si="9"/>
        <v>99.992179942684729</v>
      </c>
      <c r="BV16" s="510">
        <f t="shared" si="10"/>
        <v>0.18953960310810339</v>
      </c>
      <c r="BW16" s="1383">
        <f t="shared" si="11"/>
        <v>41.94441226902012</v>
      </c>
      <c r="BX16" s="1384">
        <f>'Baseline data (from input)'!AR63</f>
        <v>99.992179942684729</v>
      </c>
      <c r="BY16" s="510">
        <f>'Baseline data (from input)'!AS63</f>
        <v>0.18953960310810339</v>
      </c>
      <c r="BZ16" s="1385">
        <f>'Baseline data (from input)'!AT63</f>
        <v>41.94441226902012</v>
      </c>
      <c r="CB16" s="805">
        <v>0</v>
      </c>
      <c r="CC16" s="510">
        <v>0</v>
      </c>
      <c r="CD16" s="510">
        <v>0</v>
      </c>
      <c r="CE16" s="510">
        <v>0</v>
      </c>
      <c r="CF16" s="510">
        <v>0</v>
      </c>
      <c r="CG16" s="510">
        <v>0</v>
      </c>
      <c r="CH16" s="510">
        <v>0</v>
      </c>
      <c r="CI16" s="510">
        <v>0</v>
      </c>
      <c r="CJ16" s="510">
        <v>0</v>
      </c>
      <c r="CK16" s="510">
        <v>0</v>
      </c>
      <c r="CL16" s="510">
        <v>0</v>
      </c>
      <c r="CM16" s="658">
        <v>0</v>
      </c>
    </row>
    <row r="17" spans="1:91">
      <c r="A17">
        <f>'Input data'!A105</f>
        <v>2007</v>
      </c>
      <c r="C17" s="512">
        <f>'4A SWD Case 1'!BG75</f>
        <v>1729.6169973975718</v>
      </c>
      <c r="D17" s="3">
        <f>'4B Biological treatment '!T70</f>
        <v>0</v>
      </c>
      <c r="E17" s="178">
        <f>'4B Biological treatment '!U70</f>
        <v>24.872255240639795</v>
      </c>
      <c r="F17" s="178">
        <f>'4B Biological treatment '!W70</f>
        <v>1.4923353144383877</v>
      </c>
      <c r="G17" s="3">
        <f>'4C2 Open-burning '!R77</f>
        <v>39.805131618992661</v>
      </c>
      <c r="H17" s="3">
        <f>'4C2 Open-burning '!Z77</f>
        <v>9.8026485371099987</v>
      </c>
      <c r="I17" s="3">
        <f>'4C2 Open-burning '!AH77</f>
        <v>0.15102293074542944</v>
      </c>
      <c r="J17" s="341">
        <f>'4D Wastewater treatment and dis'!AV114</f>
        <v>111.97950178497722</v>
      </c>
      <c r="K17" s="3">
        <f>'4D Wastewater treatment and dis'!AW114</f>
        <v>2.4331847653390661</v>
      </c>
      <c r="L17" s="512">
        <f t="shared" si="12"/>
        <v>36321.956945349011</v>
      </c>
      <c r="M17" s="3">
        <f t="shared" si="0"/>
        <v>0</v>
      </c>
      <c r="N17" s="512">
        <f t="shared" si="13"/>
        <v>984.94130752933586</v>
      </c>
      <c r="O17" s="649">
        <f t="shared" si="14"/>
        <v>292.47785942938577</v>
      </c>
      <c r="P17" s="512">
        <f t="shared" si="15"/>
        <v>3105.8568147396318</v>
      </c>
      <c r="Q17" s="650">
        <f t="shared" si="16"/>
        <v>36321.956945349011</v>
      </c>
      <c r="R17" s="651">
        <f t="shared" si="17"/>
        <v>984.94130752933586</v>
      </c>
      <c r="S17" s="649">
        <f t="shared" si="18"/>
        <v>292.47785942938577</v>
      </c>
      <c r="T17" s="650">
        <f t="shared" si="19"/>
        <v>3105.8568147396318</v>
      </c>
      <c r="U17" s="650">
        <f t="shared" si="20"/>
        <v>40705.232927047364</v>
      </c>
      <c r="V17" s="3"/>
      <c r="W17" s="752">
        <f t="shared" si="21"/>
        <v>2007</v>
      </c>
      <c r="X17" s="1382">
        <f t="shared" si="22"/>
        <v>36321.956945349011</v>
      </c>
      <c r="Y17" s="1384">
        <f t="shared" si="23"/>
        <v>984.94130752933586</v>
      </c>
      <c r="Z17" s="1384">
        <f t="shared" si="24"/>
        <v>292.47785942938577</v>
      </c>
      <c r="AA17" s="1384">
        <f t="shared" si="25"/>
        <v>3105.8568147396318</v>
      </c>
      <c r="AB17" s="1466">
        <f t="shared" si="26"/>
        <v>40705.232927047364</v>
      </c>
      <c r="AC17" s="1384"/>
      <c r="AD17" s="1382">
        <f t="shared" si="27"/>
        <v>36321.956945349011</v>
      </c>
      <c r="AE17" s="1384">
        <f t="shared" si="28"/>
        <v>984.94130752933586</v>
      </c>
      <c r="AF17" s="1384">
        <f t="shared" si="29"/>
        <v>292.47785942938577</v>
      </c>
      <c r="AG17" s="1384">
        <f t="shared" si="30"/>
        <v>3105.8568147396318</v>
      </c>
      <c r="AH17" s="1466">
        <f t="shared" si="31"/>
        <v>40705.232927047364</v>
      </c>
      <c r="AI17" s="118"/>
      <c r="AJ17" s="1382">
        <f t="shared" si="32"/>
        <v>36321.956945349011</v>
      </c>
      <c r="AK17" s="1384">
        <f t="shared" si="33"/>
        <v>984.94130752933586</v>
      </c>
      <c r="AL17" s="1384">
        <f t="shared" si="34"/>
        <v>292.47785942938577</v>
      </c>
      <c r="AM17" s="1384">
        <f t="shared" si="35"/>
        <v>3105.8568147396318</v>
      </c>
      <c r="AN17" s="1466">
        <f t="shared" si="36"/>
        <v>40705.232927047364</v>
      </c>
      <c r="AO17" s="118"/>
      <c r="AP17" s="1382">
        <f t="shared" si="37"/>
        <v>36321.956945349011</v>
      </c>
      <c r="AQ17" s="1384">
        <f t="shared" si="38"/>
        <v>984.94130752933586</v>
      </c>
      <c r="AR17" s="1384">
        <f t="shared" si="39"/>
        <v>292.47785942938577</v>
      </c>
      <c r="AS17" s="1384">
        <f t="shared" si="40"/>
        <v>3105.8568147396318</v>
      </c>
      <c r="AT17" s="1466">
        <f t="shared" si="41"/>
        <v>40705.232927047364</v>
      </c>
      <c r="AU17" s="1465"/>
      <c r="AV17" s="1382">
        <f t="shared" si="42"/>
        <v>36321.956945349011</v>
      </c>
      <c r="AW17" s="1384">
        <f t="shared" si="43"/>
        <v>984.94130752933586</v>
      </c>
      <c r="AX17" s="1384">
        <f t="shared" si="44"/>
        <v>292.47785942938577</v>
      </c>
      <c r="AY17" s="1384">
        <f t="shared" si="45"/>
        <v>3105.8568147396318</v>
      </c>
      <c r="AZ17" s="1466">
        <f t="shared" si="46"/>
        <v>40705.232927047364</v>
      </c>
      <c r="BA17" s="1465"/>
      <c r="BB17" s="1382">
        <f t="shared" si="47"/>
        <v>36321.956945349011</v>
      </c>
      <c r="BC17" s="1384">
        <f t="shared" si="48"/>
        <v>984.94130752933586</v>
      </c>
      <c r="BD17" s="1384">
        <f t="shared" si="49"/>
        <v>292.47785942938577</v>
      </c>
      <c r="BE17" s="1384">
        <f t="shared" si="50"/>
        <v>3105.8568147396318</v>
      </c>
      <c r="BF17" s="1466">
        <f t="shared" si="51"/>
        <v>40705.232927047364</v>
      </c>
      <c r="BG17" s="3"/>
      <c r="BH17" s="752">
        <f t="shared" si="52"/>
        <v>2007</v>
      </c>
      <c r="BI17" s="1384">
        <f>'Baseline data (from input)'!AR64</f>
        <v>102.60198811238484</v>
      </c>
      <c r="BJ17" s="510">
        <f>'Baseline data (from input)'!AS64</f>
        <v>0.18921389159482299</v>
      </c>
      <c r="BK17" s="1383">
        <f>'Baseline data (from input)'!AT64</f>
        <v>43.282878069762283</v>
      </c>
      <c r="BL17" s="1384">
        <f>'Baseline data (from input)'!AR64</f>
        <v>102.60198811238484</v>
      </c>
      <c r="BM17" s="510">
        <f>'Baseline data (from input)'!AS64</f>
        <v>0.18921389159482299</v>
      </c>
      <c r="BN17" s="1383">
        <f>'Baseline data (from input)'!AT64</f>
        <v>43.282878069762283</v>
      </c>
      <c r="BO17" s="1386">
        <f t="shared" si="6"/>
        <v>102.60198811238484</v>
      </c>
      <c r="BP17" s="510">
        <f t="shared" si="7"/>
        <v>0.18921389159482299</v>
      </c>
      <c r="BQ17" s="1383">
        <f t="shared" si="8"/>
        <v>43.282878069762283</v>
      </c>
      <c r="BR17" s="1386">
        <f>'Baseline data (from input)'!AR64</f>
        <v>102.60198811238484</v>
      </c>
      <c r="BS17" s="510">
        <f>'Baseline data (from input)'!AS64</f>
        <v>0.18921389159482299</v>
      </c>
      <c r="BT17" s="1383">
        <f>'Baseline data (from input)'!AT64</f>
        <v>43.282878069762283</v>
      </c>
      <c r="BU17" s="1384">
        <f t="shared" si="9"/>
        <v>102.60198811238484</v>
      </c>
      <c r="BV17" s="510">
        <f t="shared" si="10"/>
        <v>0.18921389159482299</v>
      </c>
      <c r="BW17" s="1383">
        <f t="shared" si="11"/>
        <v>43.282878069762283</v>
      </c>
      <c r="BX17" s="1384">
        <f>'Baseline data (from input)'!AR64</f>
        <v>102.60198811238484</v>
      </c>
      <c r="BY17" s="510">
        <f>'Baseline data (from input)'!AS64</f>
        <v>0.18921389159482299</v>
      </c>
      <c r="BZ17" s="1385">
        <f>'Baseline data (from input)'!AT64</f>
        <v>43.282878069762283</v>
      </c>
      <c r="CB17" s="805">
        <v>0</v>
      </c>
      <c r="CC17" s="510">
        <v>0</v>
      </c>
      <c r="CD17" s="510">
        <v>0</v>
      </c>
      <c r="CE17" s="510">
        <v>0</v>
      </c>
      <c r="CF17" s="510">
        <v>0</v>
      </c>
      <c r="CG17" s="510">
        <v>0</v>
      </c>
      <c r="CH17" s="510">
        <v>0</v>
      </c>
      <c r="CI17" s="510">
        <v>0</v>
      </c>
      <c r="CJ17" s="510">
        <v>0</v>
      </c>
      <c r="CK17" s="510">
        <v>0</v>
      </c>
      <c r="CL17" s="510">
        <v>0</v>
      </c>
      <c r="CM17" s="658">
        <v>0</v>
      </c>
    </row>
    <row r="18" spans="1:91">
      <c r="A18">
        <f>'Input data'!A106</f>
        <v>2008</v>
      </c>
      <c r="C18" s="512">
        <f>'4A SWD Case 1'!BG76</f>
        <v>1785.274146309569</v>
      </c>
      <c r="D18" s="3">
        <f>'4B Biological treatment '!T71</f>
        <v>0</v>
      </c>
      <c r="E18" s="178">
        <f>'4B Biological treatment '!U71</f>
        <v>25.579640970344194</v>
      </c>
      <c r="F18" s="178">
        <f>'4B Biological treatment '!W71</f>
        <v>1.5347784582206514</v>
      </c>
      <c r="G18" s="3">
        <f>'4C2 Open-burning '!R78</f>
        <v>40.247255052852623</v>
      </c>
      <c r="H18" s="3">
        <f>'4C2 Open-burning '!Z78</f>
        <v>9.9115284843899989</v>
      </c>
      <c r="I18" s="3">
        <f>'4C2 Open-burning '!AH78</f>
        <v>0.15270037217112001</v>
      </c>
      <c r="J18" s="341">
        <f>'4D Wastewater treatment and dis'!AV115</f>
        <v>113.22328015820281</v>
      </c>
      <c r="K18" s="3">
        <f>'4D Wastewater treatment and dis'!AW115</f>
        <v>2.4602106275812643</v>
      </c>
      <c r="L18" s="512">
        <f t="shared" si="12"/>
        <v>37490.75707250095</v>
      </c>
      <c r="M18" s="3">
        <f t="shared" si="0"/>
        <v>0</v>
      </c>
      <c r="N18" s="512">
        <f t="shared" si="13"/>
        <v>1012.9537824256299</v>
      </c>
      <c r="O18" s="649">
        <f t="shared" si="14"/>
        <v>295.72646859808981</v>
      </c>
      <c r="P18" s="512">
        <f t="shared" si="15"/>
        <v>3140.3541778724511</v>
      </c>
      <c r="Q18" s="650">
        <f t="shared" si="16"/>
        <v>37490.75707250095</v>
      </c>
      <c r="R18" s="651">
        <f t="shared" si="17"/>
        <v>1012.9537824256299</v>
      </c>
      <c r="S18" s="649">
        <f t="shared" si="18"/>
        <v>295.72646859808981</v>
      </c>
      <c r="T18" s="650">
        <f t="shared" si="19"/>
        <v>3140.3541778724511</v>
      </c>
      <c r="U18" s="650">
        <f t="shared" si="20"/>
        <v>41939.791501397129</v>
      </c>
      <c r="V18" s="3"/>
      <c r="W18" s="752">
        <f t="shared" si="21"/>
        <v>2008</v>
      </c>
      <c r="X18" s="1382">
        <f t="shared" si="22"/>
        <v>37490.75707250095</v>
      </c>
      <c r="Y18" s="1384">
        <f t="shared" si="23"/>
        <v>1012.9537824256299</v>
      </c>
      <c r="Z18" s="1384">
        <f t="shared" si="24"/>
        <v>295.72646859808981</v>
      </c>
      <c r="AA18" s="1384">
        <f t="shared" si="25"/>
        <v>3140.3541778724511</v>
      </c>
      <c r="AB18" s="1466">
        <f t="shared" si="26"/>
        <v>41939.791501397129</v>
      </c>
      <c r="AC18" s="1384"/>
      <c r="AD18" s="1382">
        <f t="shared" si="27"/>
        <v>37490.75707250095</v>
      </c>
      <c r="AE18" s="1384">
        <f t="shared" si="28"/>
        <v>1012.9537824256299</v>
      </c>
      <c r="AF18" s="1384">
        <f t="shared" si="29"/>
        <v>295.72646859808981</v>
      </c>
      <c r="AG18" s="1384">
        <f t="shared" si="30"/>
        <v>3140.3541778724511</v>
      </c>
      <c r="AH18" s="1466">
        <f t="shared" si="31"/>
        <v>41939.791501397129</v>
      </c>
      <c r="AI18" s="118"/>
      <c r="AJ18" s="1382">
        <f t="shared" si="32"/>
        <v>37490.75707250095</v>
      </c>
      <c r="AK18" s="1384">
        <f t="shared" si="33"/>
        <v>1012.9537824256299</v>
      </c>
      <c r="AL18" s="1384">
        <f t="shared" si="34"/>
        <v>295.72646859808981</v>
      </c>
      <c r="AM18" s="1384">
        <f t="shared" si="35"/>
        <v>3140.3541778724511</v>
      </c>
      <c r="AN18" s="1466">
        <f t="shared" si="36"/>
        <v>41939.791501397129</v>
      </c>
      <c r="AO18" s="118"/>
      <c r="AP18" s="1382">
        <f t="shared" si="37"/>
        <v>37490.75707250095</v>
      </c>
      <c r="AQ18" s="1384">
        <f t="shared" si="38"/>
        <v>1012.9537824256299</v>
      </c>
      <c r="AR18" s="1384">
        <f t="shared" si="39"/>
        <v>295.72646859808981</v>
      </c>
      <c r="AS18" s="1384">
        <f t="shared" si="40"/>
        <v>3140.3541778724511</v>
      </c>
      <c r="AT18" s="1466">
        <f t="shared" si="41"/>
        <v>41939.791501397129</v>
      </c>
      <c r="AU18" s="1465"/>
      <c r="AV18" s="1382">
        <f t="shared" si="42"/>
        <v>37490.75707250095</v>
      </c>
      <c r="AW18" s="1384">
        <f t="shared" si="43"/>
        <v>1012.9537824256299</v>
      </c>
      <c r="AX18" s="1384">
        <f t="shared" si="44"/>
        <v>295.72646859808981</v>
      </c>
      <c r="AY18" s="1384">
        <f t="shared" si="45"/>
        <v>3140.3541778724511</v>
      </c>
      <c r="AZ18" s="1466">
        <f t="shared" si="46"/>
        <v>41939.791501397129</v>
      </c>
      <c r="BA18" s="1465"/>
      <c r="BB18" s="1382">
        <f t="shared" si="47"/>
        <v>37490.75707250095</v>
      </c>
      <c r="BC18" s="1384">
        <f t="shared" si="48"/>
        <v>1012.9537824256299</v>
      </c>
      <c r="BD18" s="1384">
        <f t="shared" si="49"/>
        <v>295.72646859808981</v>
      </c>
      <c r="BE18" s="1384">
        <f t="shared" si="50"/>
        <v>3140.3541778724511</v>
      </c>
      <c r="BF18" s="1466">
        <f t="shared" si="51"/>
        <v>41939.791501397129</v>
      </c>
      <c r="BG18" s="3"/>
      <c r="BH18" s="752">
        <f t="shared" si="52"/>
        <v>2008</v>
      </c>
      <c r="BI18" s="1384">
        <f>'Baseline data (from input)'!AR65</f>
        <v>101.7631938359152</v>
      </c>
      <c r="BJ18" s="510">
        <f>'Baseline data (from input)'!AS65</f>
        <v>0.18963417971367144</v>
      </c>
      <c r="BK18" s="1383">
        <f>'Baseline data (from input)'!AT65</f>
        <v>42.617148738723039</v>
      </c>
      <c r="BL18" s="1384">
        <f>'Baseline data (from input)'!AR65</f>
        <v>101.7631938359152</v>
      </c>
      <c r="BM18" s="510">
        <f>'Baseline data (from input)'!AS65</f>
        <v>0.18963417971367144</v>
      </c>
      <c r="BN18" s="1383">
        <f>'Baseline data (from input)'!AT65</f>
        <v>42.617148738723039</v>
      </c>
      <c r="BO18" s="1386">
        <f t="shared" si="6"/>
        <v>101.7631938359152</v>
      </c>
      <c r="BP18" s="510">
        <f t="shared" si="7"/>
        <v>0.18963417971367144</v>
      </c>
      <c r="BQ18" s="1383">
        <f t="shared" si="8"/>
        <v>42.617148738723039</v>
      </c>
      <c r="BR18" s="1386">
        <f>'Baseline data (from input)'!AR65</f>
        <v>101.7631938359152</v>
      </c>
      <c r="BS18" s="510">
        <f>'Baseline data (from input)'!AS65</f>
        <v>0.18963417971367144</v>
      </c>
      <c r="BT18" s="1383">
        <f>'Baseline data (from input)'!AT65</f>
        <v>42.617148738723039</v>
      </c>
      <c r="BU18" s="1384">
        <f t="shared" si="9"/>
        <v>101.7631938359152</v>
      </c>
      <c r="BV18" s="510">
        <f t="shared" si="10"/>
        <v>0.18963417971367144</v>
      </c>
      <c r="BW18" s="1383">
        <f t="shared" si="11"/>
        <v>42.617148738723039</v>
      </c>
      <c r="BX18" s="1384">
        <f>'Baseline data (from input)'!AR65</f>
        <v>101.7631938359152</v>
      </c>
      <c r="BY18" s="510">
        <f>'Baseline data (from input)'!AS65</f>
        <v>0.18963417971367144</v>
      </c>
      <c r="BZ18" s="1385">
        <f>'Baseline data (from input)'!AT65</f>
        <v>42.617148738723039</v>
      </c>
      <c r="CB18" s="805">
        <v>0</v>
      </c>
      <c r="CC18" s="510">
        <v>0</v>
      </c>
      <c r="CD18" s="510">
        <v>0</v>
      </c>
      <c r="CE18" s="510">
        <v>0</v>
      </c>
      <c r="CF18" s="510">
        <v>0</v>
      </c>
      <c r="CG18" s="510">
        <v>0</v>
      </c>
      <c r="CH18" s="510">
        <v>0</v>
      </c>
      <c r="CI18" s="510">
        <v>0</v>
      </c>
      <c r="CJ18" s="510">
        <v>0</v>
      </c>
      <c r="CK18" s="510">
        <v>0</v>
      </c>
      <c r="CL18" s="510">
        <v>0</v>
      </c>
      <c r="CM18" s="658">
        <v>0</v>
      </c>
    </row>
    <row r="19" spans="1:91">
      <c r="A19">
        <f>'Input data'!A107</f>
        <v>2009</v>
      </c>
      <c r="C19" s="512">
        <f>'4A SWD Case 1'!BG77</f>
        <v>1842.0024568378151</v>
      </c>
      <c r="D19" s="3">
        <f>'4B Biological treatment '!T72</f>
        <v>0</v>
      </c>
      <c r="E19" s="178">
        <f>'4B Biological treatment '!U72</f>
        <v>25.296020533730299</v>
      </c>
      <c r="F19" s="178">
        <f>'4B Biological treatment '!W72</f>
        <v>1.5177612320238179</v>
      </c>
      <c r="G19" s="3">
        <f>'4C2 Open-burning '!R79</f>
        <v>40.681954772338074</v>
      </c>
      <c r="H19" s="3">
        <f>'4C2 Open-burning '!Z79</f>
        <v>10.018580223600001</v>
      </c>
      <c r="I19" s="3">
        <f>'4C2 Open-burning '!AH79</f>
        <v>0.15434964760272252</v>
      </c>
      <c r="J19" s="341">
        <f>'4D Wastewater treatment and dis'!AV116</f>
        <v>114.446174193072</v>
      </c>
      <c r="K19" s="3">
        <f>'4D Wastewater treatment and dis'!AW116</f>
        <v>2.4867826973604399</v>
      </c>
      <c r="L19" s="512">
        <f t="shared" si="12"/>
        <v>38682.051593594115</v>
      </c>
      <c r="M19" s="3">
        <f t="shared" si="0"/>
        <v>0</v>
      </c>
      <c r="N19" s="512">
        <f t="shared" si="13"/>
        <v>1001.7224131357198</v>
      </c>
      <c r="O19" s="649">
        <f t="shared" si="14"/>
        <v>298.92053022478206</v>
      </c>
      <c r="P19" s="512">
        <f t="shared" si="15"/>
        <v>3174.2722942362484</v>
      </c>
      <c r="Q19" s="650">
        <f t="shared" si="16"/>
        <v>38682.051593594115</v>
      </c>
      <c r="R19" s="651">
        <f t="shared" si="17"/>
        <v>1001.7224131357198</v>
      </c>
      <c r="S19" s="649">
        <f t="shared" si="18"/>
        <v>298.92053022478206</v>
      </c>
      <c r="T19" s="650">
        <f t="shared" si="19"/>
        <v>3174.2722942362484</v>
      </c>
      <c r="U19" s="650">
        <f t="shared" si="20"/>
        <v>43156.966831190861</v>
      </c>
      <c r="V19" s="3"/>
      <c r="W19" s="752">
        <f t="shared" si="21"/>
        <v>2009</v>
      </c>
      <c r="X19" s="1382">
        <f t="shared" si="22"/>
        <v>38682.051593594115</v>
      </c>
      <c r="Y19" s="1384">
        <f t="shared" si="23"/>
        <v>1001.7224131357198</v>
      </c>
      <c r="Z19" s="1384">
        <f t="shared" si="24"/>
        <v>298.92053022478206</v>
      </c>
      <c r="AA19" s="1384">
        <f t="shared" si="25"/>
        <v>3174.2722942362484</v>
      </c>
      <c r="AB19" s="1466">
        <f t="shared" si="26"/>
        <v>43156.966831190861</v>
      </c>
      <c r="AC19" s="1384"/>
      <c r="AD19" s="1382">
        <f t="shared" si="27"/>
        <v>38682.051593594115</v>
      </c>
      <c r="AE19" s="1384">
        <f t="shared" si="28"/>
        <v>1001.7224131357198</v>
      </c>
      <c r="AF19" s="1384">
        <f t="shared" si="29"/>
        <v>298.92053022478206</v>
      </c>
      <c r="AG19" s="1384">
        <f t="shared" si="30"/>
        <v>3174.2722942362484</v>
      </c>
      <c r="AH19" s="1466">
        <f t="shared" si="31"/>
        <v>43156.966831190861</v>
      </c>
      <c r="AI19" s="118"/>
      <c r="AJ19" s="1382">
        <f t="shared" si="32"/>
        <v>38682.051593594115</v>
      </c>
      <c r="AK19" s="1384">
        <f t="shared" si="33"/>
        <v>1001.7224131357198</v>
      </c>
      <c r="AL19" s="1384">
        <f t="shared" si="34"/>
        <v>298.92053022478206</v>
      </c>
      <c r="AM19" s="1384">
        <f t="shared" si="35"/>
        <v>3174.2722942362484</v>
      </c>
      <c r="AN19" s="1466">
        <f t="shared" si="36"/>
        <v>43156.966831190861</v>
      </c>
      <c r="AO19" s="118"/>
      <c r="AP19" s="1382">
        <f t="shared" si="37"/>
        <v>38682.051593594115</v>
      </c>
      <c r="AQ19" s="1384">
        <f t="shared" si="38"/>
        <v>1001.7224131357198</v>
      </c>
      <c r="AR19" s="1384">
        <f t="shared" si="39"/>
        <v>298.92053022478206</v>
      </c>
      <c r="AS19" s="1384">
        <f t="shared" si="40"/>
        <v>3174.2722942362484</v>
      </c>
      <c r="AT19" s="1466">
        <f t="shared" si="41"/>
        <v>43156.966831190861</v>
      </c>
      <c r="AU19" s="1465"/>
      <c r="AV19" s="1382">
        <f t="shared" si="42"/>
        <v>38682.051593594115</v>
      </c>
      <c r="AW19" s="1384">
        <f t="shared" si="43"/>
        <v>1001.7224131357198</v>
      </c>
      <c r="AX19" s="1384">
        <f t="shared" si="44"/>
        <v>298.92053022478206</v>
      </c>
      <c r="AY19" s="1384">
        <f t="shared" si="45"/>
        <v>3174.2722942362484</v>
      </c>
      <c r="AZ19" s="1466">
        <f t="shared" si="46"/>
        <v>43156.966831190861</v>
      </c>
      <c r="BA19" s="1465"/>
      <c r="BB19" s="1382">
        <f t="shared" si="47"/>
        <v>38682.051593594115</v>
      </c>
      <c r="BC19" s="1384">
        <f t="shared" si="48"/>
        <v>1001.7224131357198</v>
      </c>
      <c r="BD19" s="1384">
        <f t="shared" si="49"/>
        <v>298.92053022478206</v>
      </c>
      <c r="BE19" s="1384">
        <f t="shared" si="50"/>
        <v>3174.2722942362484</v>
      </c>
      <c r="BF19" s="1466">
        <f t="shared" si="51"/>
        <v>43156.966831190861</v>
      </c>
      <c r="BG19" s="3"/>
      <c r="BH19" s="752">
        <f t="shared" si="52"/>
        <v>2009</v>
      </c>
      <c r="BI19" s="1384">
        <f>'Baseline data (from input)'!AR66</f>
        <v>103.3442854098891</v>
      </c>
      <c r="BJ19" s="510">
        <f>'Baseline data (from input)'!AS66</f>
        <v>0.20500122394187426</v>
      </c>
      <c r="BK19" s="1383">
        <f>'Baseline data (from input)'!AT66</f>
        <v>43.912595340982222</v>
      </c>
      <c r="BL19" s="1384">
        <f>'Baseline data (from input)'!AR66</f>
        <v>103.3442854098891</v>
      </c>
      <c r="BM19" s="510">
        <f>'Baseline data (from input)'!AS66</f>
        <v>0.20500122394187426</v>
      </c>
      <c r="BN19" s="1383">
        <f>'Baseline data (from input)'!AT66</f>
        <v>43.912595340982222</v>
      </c>
      <c r="BO19" s="1386">
        <f t="shared" si="6"/>
        <v>103.3442854098891</v>
      </c>
      <c r="BP19" s="510">
        <f t="shared" si="7"/>
        <v>0.20500122394187426</v>
      </c>
      <c r="BQ19" s="1383">
        <f t="shared" si="8"/>
        <v>43.912595340982222</v>
      </c>
      <c r="BR19" s="1386">
        <f>'Baseline data (from input)'!AR66</f>
        <v>103.3442854098891</v>
      </c>
      <c r="BS19" s="510">
        <f>'Baseline data (from input)'!AS66</f>
        <v>0.20500122394187426</v>
      </c>
      <c r="BT19" s="1383">
        <f>'Baseline data (from input)'!AT66</f>
        <v>43.912595340982222</v>
      </c>
      <c r="BU19" s="1384">
        <f t="shared" si="9"/>
        <v>103.3442854098891</v>
      </c>
      <c r="BV19" s="510">
        <f t="shared" si="10"/>
        <v>0.20500122394187426</v>
      </c>
      <c r="BW19" s="1383">
        <f t="shared" si="11"/>
        <v>43.912595340982222</v>
      </c>
      <c r="BX19" s="1384">
        <f>'Baseline data (from input)'!AR66</f>
        <v>103.3442854098891</v>
      </c>
      <c r="BY19" s="510">
        <f>'Baseline data (from input)'!AS66</f>
        <v>0.20500122394187426</v>
      </c>
      <c r="BZ19" s="1385">
        <f>'Baseline data (from input)'!AT66</f>
        <v>43.912595340982222</v>
      </c>
      <c r="CB19" s="805">
        <v>0</v>
      </c>
      <c r="CC19" s="510">
        <v>0</v>
      </c>
      <c r="CD19" s="510">
        <v>0</v>
      </c>
      <c r="CE19" s="510">
        <v>0</v>
      </c>
      <c r="CF19" s="510">
        <v>0</v>
      </c>
      <c r="CG19" s="510">
        <v>0</v>
      </c>
      <c r="CH19" s="510">
        <v>0</v>
      </c>
      <c r="CI19" s="510">
        <v>0</v>
      </c>
      <c r="CJ19" s="510">
        <v>0</v>
      </c>
      <c r="CK19" s="510">
        <v>0</v>
      </c>
      <c r="CL19" s="510">
        <v>0</v>
      </c>
      <c r="CM19" s="658">
        <v>0</v>
      </c>
    </row>
    <row r="20" spans="1:91">
      <c r="A20">
        <f>'Input data'!A108</f>
        <v>2010</v>
      </c>
      <c r="C20" s="512">
        <f>'4A SWD Case 1'!BG78</f>
        <v>1894.602202348729</v>
      </c>
      <c r="D20" s="3">
        <f>'4B Biological treatment '!T73</f>
        <v>0</v>
      </c>
      <c r="E20" s="178">
        <f>'4B Biological treatment '!U73</f>
        <v>27.271008210069208</v>
      </c>
      <c r="F20" s="178">
        <f>'4B Biological treatment '!W73</f>
        <v>1.6362604926041522</v>
      </c>
      <c r="G20" s="3">
        <f>'4C2 Open-burning '!R80</f>
        <v>41.50109332547526</v>
      </c>
      <c r="H20" s="3">
        <f>'4C2 Open-burning '!Z80</f>
        <v>10.220306157242421</v>
      </c>
      <c r="I20" s="3">
        <f>'4C2 Open-burning '!AH80</f>
        <v>0.15745750580968607</v>
      </c>
      <c r="J20" s="341">
        <f>'4D Wastewater treatment and dis'!AV117</f>
        <v>115.72243931485201</v>
      </c>
      <c r="K20" s="3">
        <f>'4D Wastewater treatment and dis'!AW117</f>
        <v>2.5145144589895607</v>
      </c>
      <c r="L20" s="512">
        <f t="shared" si="12"/>
        <v>39786.646249323305</v>
      </c>
      <c r="M20" s="3">
        <f t="shared" si="0"/>
        <v>0</v>
      </c>
      <c r="N20" s="512">
        <f t="shared" si="13"/>
        <v>1079.9319251187405</v>
      </c>
      <c r="O20" s="649">
        <f t="shared" si="14"/>
        <v>304.93934942856873</v>
      </c>
      <c r="P20" s="512">
        <f t="shared" si="15"/>
        <v>3209.670707898656</v>
      </c>
      <c r="Q20" s="650">
        <f t="shared" si="16"/>
        <v>39786.646249323305</v>
      </c>
      <c r="R20" s="652">
        <f t="shared" si="17"/>
        <v>1079.9319251187405</v>
      </c>
      <c r="S20" s="649">
        <f t="shared" si="18"/>
        <v>304.93934942856873</v>
      </c>
      <c r="T20" s="650">
        <f t="shared" si="19"/>
        <v>3209.670707898656</v>
      </c>
      <c r="U20" s="650">
        <f t="shared" si="20"/>
        <v>44381.188231769273</v>
      </c>
      <c r="V20" s="3"/>
      <c r="W20" s="752">
        <f t="shared" si="21"/>
        <v>2010</v>
      </c>
      <c r="X20" s="1382">
        <f t="shared" si="22"/>
        <v>39786.646249323305</v>
      </c>
      <c r="Y20" s="1384">
        <f t="shared" si="23"/>
        <v>1079.9319251187405</v>
      </c>
      <c r="Z20" s="1384">
        <f t="shared" si="24"/>
        <v>304.93934942856873</v>
      </c>
      <c r="AA20" s="1384">
        <f t="shared" si="25"/>
        <v>3209.670707898656</v>
      </c>
      <c r="AB20" s="1466">
        <f t="shared" si="26"/>
        <v>44381.188231769273</v>
      </c>
      <c r="AC20" s="1384"/>
      <c r="AD20" s="1382">
        <f t="shared" si="27"/>
        <v>39786.646249323305</v>
      </c>
      <c r="AE20" s="1384">
        <f t="shared" si="28"/>
        <v>1079.9319251187405</v>
      </c>
      <c r="AF20" s="1384">
        <f t="shared" si="29"/>
        <v>304.93934942856873</v>
      </c>
      <c r="AG20" s="1384">
        <f t="shared" si="30"/>
        <v>3209.670707898656</v>
      </c>
      <c r="AH20" s="1466">
        <f t="shared" si="31"/>
        <v>44381.188231769273</v>
      </c>
      <c r="AI20" s="118"/>
      <c r="AJ20" s="1382">
        <f t="shared" si="32"/>
        <v>39786.646249323305</v>
      </c>
      <c r="AK20" s="1384">
        <f t="shared" si="33"/>
        <v>1079.9319251187405</v>
      </c>
      <c r="AL20" s="1384">
        <f t="shared" si="34"/>
        <v>304.93934942856873</v>
      </c>
      <c r="AM20" s="1384">
        <f t="shared" si="35"/>
        <v>3209.670707898656</v>
      </c>
      <c r="AN20" s="1466">
        <f t="shared" si="36"/>
        <v>44381.188231769273</v>
      </c>
      <c r="AO20" s="118"/>
      <c r="AP20" s="1382">
        <f t="shared" si="37"/>
        <v>39786.646249323305</v>
      </c>
      <c r="AQ20" s="1384">
        <f t="shared" si="38"/>
        <v>1079.9319251187405</v>
      </c>
      <c r="AR20" s="1384">
        <f t="shared" si="39"/>
        <v>304.93934942856873</v>
      </c>
      <c r="AS20" s="1384">
        <f t="shared" si="40"/>
        <v>3209.670707898656</v>
      </c>
      <c r="AT20" s="1466">
        <f t="shared" si="41"/>
        <v>44381.188231769273</v>
      </c>
      <c r="AU20" s="1465"/>
      <c r="AV20" s="1382">
        <f t="shared" si="42"/>
        <v>39786.646249323305</v>
      </c>
      <c r="AW20" s="1384">
        <f t="shared" si="43"/>
        <v>1079.9319251187405</v>
      </c>
      <c r="AX20" s="1384">
        <f t="shared" si="44"/>
        <v>304.93934942856873</v>
      </c>
      <c r="AY20" s="1384">
        <f t="shared" si="45"/>
        <v>3209.670707898656</v>
      </c>
      <c r="AZ20" s="1466">
        <f t="shared" si="46"/>
        <v>44381.188231769273</v>
      </c>
      <c r="BA20" s="1465"/>
      <c r="BB20" s="1382">
        <f t="shared" si="47"/>
        <v>39786.646249323305</v>
      </c>
      <c r="BC20" s="1384">
        <f t="shared" si="48"/>
        <v>1079.9319251187405</v>
      </c>
      <c r="BD20" s="1384">
        <f t="shared" si="49"/>
        <v>304.93934942856873</v>
      </c>
      <c r="BE20" s="1384">
        <f t="shared" si="50"/>
        <v>3209.670707898656</v>
      </c>
      <c r="BF20" s="1466">
        <f t="shared" si="51"/>
        <v>44381.188231769273</v>
      </c>
      <c r="BG20" s="3"/>
      <c r="BH20" s="752">
        <f t="shared" si="52"/>
        <v>2010</v>
      </c>
      <c r="BI20" s="1384">
        <f>'Baseline data (from input)'!AR67</f>
        <v>105.88590407147763</v>
      </c>
      <c r="BJ20" s="510">
        <f>'Baseline data (from input)'!AS67</f>
        <v>0.22042757957220865</v>
      </c>
      <c r="BK20" s="1383">
        <f>'Baseline data (from input)'!AT67</f>
        <v>45.35475880749614</v>
      </c>
      <c r="BL20" s="1384">
        <f>'Baseline data (from input)'!AR67</f>
        <v>105.88590407147763</v>
      </c>
      <c r="BM20" s="510">
        <f>'Baseline data (from input)'!AS67</f>
        <v>0.22042757957220865</v>
      </c>
      <c r="BN20" s="1383">
        <f>'Baseline data (from input)'!AT67</f>
        <v>45.35475880749614</v>
      </c>
      <c r="BO20" s="1386">
        <f t="shared" si="6"/>
        <v>105.88590407147763</v>
      </c>
      <c r="BP20" s="510">
        <f t="shared" si="7"/>
        <v>0.22042757957220865</v>
      </c>
      <c r="BQ20" s="1383">
        <f t="shared" si="8"/>
        <v>45.35475880749614</v>
      </c>
      <c r="BR20" s="1386">
        <f>'Baseline data (from input)'!AR67</f>
        <v>105.88590407147763</v>
      </c>
      <c r="BS20" s="510">
        <f>'Baseline data (from input)'!AS67</f>
        <v>0.22042757957220865</v>
      </c>
      <c r="BT20" s="1383">
        <f>'Baseline data (from input)'!AT67</f>
        <v>45.35475880749614</v>
      </c>
      <c r="BU20" s="1384">
        <f t="shared" si="9"/>
        <v>105.88590407147763</v>
      </c>
      <c r="BV20" s="510">
        <f t="shared" si="10"/>
        <v>0.22042757957220865</v>
      </c>
      <c r="BW20" s="1383">
        <f t="shared" si="11"/>
        <v>45.35475880749614</v>
      </c>
      <c r="BX20" s="1384">
        <f>'Baseline data (from input)'!AR67</f>
        <v>105.88590407147763</v>
      </c>
      <c r="BY20" s="510">
        <f>'Baseline data (from input)'!AS67</f>
        <v>0.22042757957220865</v>
      </c>
      <c r="BZ20" s="1385">
        <f>'Baseline data (from input)'!AT67</f>
        <v>45.35475880749614</v>
      </c>
      <c r="CB20" s="805">
        <v>0</v>
      </c>
      <c r="CC20" s="510">
        <v>0</v>
      </c>
      <c r="CD20" s="510">
        <v>0</v>
      </c>
      <c r="CE20" s="510">
        <v>0</v>
      </c>
      <c r="CF20" s="510">
        <v>0</v>
      </c>
      <c r="CG20" s="510">
        <v>0</v>
      </c>
      <c r="CH20" s="510">
        <v>0</v>
      </c>
      <c r="CI20" s="510">
        <v>0</v>
      </c>
      <c r="CJ20" s="510">
        <v>0</v>
      </c>
      <c r="CK20" s="510">
        <v>0</v>
      </c>
      <c r="CL20" s="510">
        <v>0</v>
      </c>
      <c r="CM20" s="658">
        <v>0</v>
      </c>
    </row>
    <row r="21" spans="1:91">
      <c r="A21">
        <f>'Input data'!A109</f>
        <v>2011</v>
      </c>
      <c r="C21" s="512">
        <f>'4A SWD Case 1'!BG79</f>
        <v>1945.5482651828188</v>
      </c>
      <c r="D21" s="3">
        <f>'4B Biological treatment '!T74</f>
        <v>0.29430267255780995</v>
      </c>
      <c r="E21" s="178">
        <f>'4B Biological treatment '!U74</f>
        <v>27.95875389299194</v>
      </c>
      <c r="F21" s="178">
        <f>'4B Biological treatment '!W74</f>
        <v>1.6775252335795161</v>
      </c>
      <c r="G21" s="3">
        <f>'4C2 Open-burning '!R81</f>
        <v>43.337937513432728</v>
      </c>
      <c r="H21" s="3">
        <f>'4C2 Open-burning '!Z81</f>
        <v>10.672658335457271</v>
      </c>
      <c r="I21" s="3">
        <f>'4C2 Open-burning '!AH81</f>
        <v>0.16442659701238119</v>
      </c>
      <c r="J21" s="341">
        <f>'4D Wastewater treatment and dis'!AV118</f>
        <v>120.13367567213163</v>
      </c>
      <c r="K21" s="3">
        <f>'4D Wastewater treatment and dis'!AW118</f>
        <v>2.6103655114567585</v>
      </c>
      <c r="L21" s="512">
        <f t="shared" si="12"/>
        <v>40856.513568839197</v>
      </c>
      <c r="M21" s="3">
        <f t="shared" si="0"/>
        <v>6.1803561237140094</v>
      </c>
      <c r="N21" s="512">
        <f t="shared" si="13"/>
        <v>1107.1666541624807</v>
      </c>
      <c r="O21" s="649">
        <f t="shared" si="14"/>
        <v>318.43600763187357</v>
      </c>
      <c r="P21" s="512">
        <f t="shared" si="15"/>
        <v>3332.0204976663595</v>
      </c>
      <c r="Q21" s="650">
        <f t="shared" si="16"/>
        <v>40856.513568839197</v>
      </c>
      <c r="R21" s="652">
        <f t="shared" si="17"/>
        <v>1113.3470102861947</v>
      </c>
      <c r="S21" s="649">
        <f t="shared" si="18"/>
        <v>318.43600763187357</v>
      </c>
      <c r="T21" s="650">
        <f t="shared" si="19"/>
        <v>3332.0204976663595</v>
      </c>
      <c r="U21" s="650">
        <f t="shared" si="20"/>
        <v>45620.31708442363</v>
      </c>
      <c r="V21" s="3"/>
      <c r="W21" s="752">
        <f t="shared" si="21"/>
        <v>2011</v>
      </c>
      <c r="X21" s="1382">
        <f t="shared" si="22"/>
        <v>40856.513568839197</v>
      </c>
      <c r="Y21" s="1384">
        <f t="shared" si="23"/>
        <v>1113.3470102861947</v>
      </c>
      <c r="Z21" s="1384">
        <f t="shared" si="24"/>
        <v>318.43600763187357</v>
      </c>
      <c r="AA21" s="1384">
        <f t="shared" si="25"/>
        <v>3332.0204976663595</v>
      </c>
      <c r="AB21" s="1466">
        <f t="shared" si="26"/>
        <v>45620.31708442363</v>
      </c>
      <c r="AC21" s="1384"/>
      <c r="AD21" s="1382">
        <f t="shared" si="27"/>
        <v>40856.513568839197</v>
      </c>
      <c r="AE21" s="1384">
        <f t="shared" si="28"/>
        <v>1113.3470102861947</v>
      </c>
      <c r="AF21" s="1384">
        <f t="shared" si="29"/>
        <v>318.43600763187357</v>
      </c>
      <c r="AG21" s="1384">
        <f t="shared" si="30"/>
        <v>3332.0204976663595</v>
      </c>
      <c r="AH21" s="1466">
        <f t="shared" si="31"/>
        <v>45620.31708442363</v>
      </c>
      <c r="AI21" s="118"/>
      <c r="AJ21" s="1382">
        <f t="shared" si="32"/>
        <v>40856.513568839197</v>
      </c>
      <c r="AK21" s="1384">
        <f t="shared" si="33"/>
        <v>1113.3470102861947</v>
      </c>
      <c r="AL21" s="1384">
        <f t="shared" si="34"/>
        <v>318.43600763187357</v>
      </c>
      <c r="AM21" s="1384">
        <f t="shared" si="35"/>
        <v>3332.0204976663595</v>
      </c>
      <c r="AN21" s="1466">
        <f t="shared" si="36"/>
        <v>45620.31708442363</v>
      </c>
      <c r="AO21" s="118"/>
      <c r="AP21" s="1382">
        <f t="shared" si="37"/>
        <v>40856.513568839197</v>
      </c>
      <c r="AQ21" s="1384">
        <f t="shared" si="38"/>
        <v>1113.3470102861947</v>
      </c>
      <c r="AR21" s="1384">
        <f t="shared" si="39"/>
        <v>318.43600763187357</v>
      </c>
      <c r="AS21" s="1384">
        <f t="shared" si="40"/>
        <v>3332.0204976663595</v>
      </c>
      <c r="AT21" s="1466">
        <f t="shared" si="41"/>
        <v>45620.31708442363</v>
      </c>
      <c r="AU21" s="1465"/>
      <c r="AV21" s="1382">
        <f t="shared" si="42"/>
        <v>40856.513568839197</v>
      </c>
      <c r="AW21" s="1384">
        <f t="shared" si="43"/>
        <v>1113.3470102861947</v>
      </c>
      <c r="AX21" s="1384">
        <f t="shared" si="44"/>
        <v>318.43600763187357</v>
      </c>
      <c r="AY21" s="1384">
        <f t="shared" si="45"/>
        <v>3332.0204976663595</v>
      </c>
      <c r="AZ21" s="1466">
        <f t="shared" si="46"/>
        <v>45620.31708442363</v>
      </c>
      <c r="BA21" s="1465"/>
      <c r="BB21" s="1382">
        <f t="shared" si="47"/>
        <v>40856.513568839197</v>
      </c>
      <c r="BC21" s="1384">
        <f t="shared" si="48"/>
        <v>1113.3470102861947</v>
      </c>
      <c r="BD21" s="1384">
        <f t="shared" si="49"/>
        <v>318.43600763187357</v>
      </c>
      <c r="BE21" s="1384">
        <f t="shared" si="50"/>
        <v>3332.0204976663595</v>
      </c>
      <c r="BF21" s="1466">
        <f t="shared" si="51"/>
        <v>45620.31708442363</v>
      </c>
      <c r="BG21" s="3"/>
      <c r="BH21" s="752">
        <f t="shared" si="52"/>
        <v>2011</v>
      </c>
      <c r="BI21" s="1384">
        <f>'Baseline data (from input)'!AR68</f>
        <v>106.89995781963603</v>
      </c>
      <c r="BJ21" s="510">
        <f>'Baseline data (from input)'!AS68</f>
        <v>0.23459029705587137</v>
      </c>
      <c r="BK21" s="1383">
        <f>'Baseline data (from input)'!AT68</f>
        <v>46.358860861447063</v>
      </c>
      <c r="BL21" s="1384">
        <f>'Baseline data (from input)'!AR68</f>
        <v>106.89995781963603</v>
      </c>
      <c r="BM21" s="510">
        <f>'Baseline data (from input)'!AS68</f>
        <v>0.23459029705587137</v>
      </c>
      <c r="BN21" s="1383">
        <f>'Baseline data (from input)'!AT68</f>
        <v>46.358860861447063</v>
      </c>
      <c r="BO21" s="1386">
        <f t="shared" si="6"/>
        <v>106.89995781963603</v>
      </c>
      <c r="BP21" s="510">
        <f t="shared" si="7"/>
        <v>0.23459029705587137</v>
      </c>
      <c r="BQ21" s="1383">
        <f t="shared" si="8"/>
        <v>46.358860861447063</v>
      </c>
      <c r="BR21" s="1386">
        <f>'Baseline data (from input)'!AR68</f>
        <v>106.89995781963603</v>
      </c>
      <c r="BS21" s="510">
        <f>'Baseline data (from input)'!AS68</f>
        <v>0.23459029705587137</v>
      </c>
      <c r="BT21" s="1383">
        <f>'Baseline data (from input)'!AT68</f>
        <v>46.358860861447063</v>
      </c>
      <c r="BU21" s="1384">
        <f t="shared" si="9"/>
        <v>106.89995781963603</v>
      </c>
      <c r="BV21" s="510">
        <f t="shared" si="10"/>
        <v>0.23459029705587137</v>
      </c>
      <c r="BW21" s="1383">
        <f t="shared" si="11"/>
        <v>46.358860861447063</v>
      </c>
      <c r="BX21" s="1384">
        <f>'Baseline data (from input)'!AR68</f>
        <v>106.89995781963603</v>
      </c>
      <c r="BY21" s="510">
        <f>'Baseline data (from input)'!AS68</f>
        <v>0.23459029705587137</v>
      </c>
      <c r="BZ21" s="1385">
        <f>'Baseline data (from input)'!AT68</f>
        <v>46.358860861447063</v>
      </c>
      <c r="CB21" s="805">
        <v>0</v>
      </c>
      <c r="CC21" s="510">
        <v>0</v>
      </c>
      <c r="CD21" s="510">
        <v>0</v>
      </c>
      <c r="CE21" s="510">
        <v>0</v>
      </c>
      <c r="CF21" s="510">
        <v>0</v>
      </c>
      <c r="CG21" s="510">
        <v>0</v>
      </c>
      <c r="CH21" s="510">
        <v>0</v>
      </c>
      <c r="CI21" s="510">
        <v>0</v>
      </c>
      <c r="CJ21" s="510">
        <v>0</v>
      </c>
      <c r="CK21" s="510">
        <v>0</v>
      </c>
      <c r="CL21" s="510">
        <v>0</v>
      </c>
      <c r="CM21" s="658">
        <v>0</v>
      </c>
    </row>
    <row r="22" spans="1:91">
      <c r="A22">
        <f>'Input data'!A110</f>
        <v>2012</v>
      </c>
      <c r="C22" s="512">
        <f>'4A SWD Case 1'!BG80</f>
        <v>1996.1005649261076</v>
      </c>
      <c r="D22" s="3">
        <f>'4B Biological treatment '!T75</f>
        <v>0.31145308845279401</v>
      </c>
      <c r="E22" s="178">
        <f>'4B Biological treatment '!U75</f>
        <v>29.588043403015423</v>
      </c>
      <c r="F22" s="178">
        <f>'4B Biological treatment '!W75</f>
        <v>1.7752826041809253</v>
      </c>
      <c r="G22" s="3">
        <f>'4C2 Open-burning '!R82</f>
        <v>43.933410626060876</v>
      </c>
      <c r="H22" s="3">
        <f>'4C2 Open-burning '!Z82</f>
        <v>10.819303086999998</v>
      </c>
      <c r="I22" s="3">
        <f>'4C2 Open-burning '!AH82</f>
        <v>0.1666858558313194</v>
      </c>
      <c r="J22" s="341">
        <f>'4D Wastewater treatment and dis'!AV119</f>
        <v>121.41922272207</v>
      </c>
      <c r="K22" s="3">
        <f>'4D Wastewater treatment and dis'!AW119</f>
        <v>2.6382989586250001</v>
      </c>
      <c r="L22" s="512">
        <f t="shared" si="12"/>
        <v>41918.111863448263</v>
      </c>
      <c r="M22" s="3">
        <f t="shared" si="0"/>
        <v>6.5405148575086747</v>
      </c>
      <c r="N22" s="512">
        <f t="shared" si="13"/>
        <v>1171.6865187594108</v>
      </c>
      <c r="O22" s="649">
        <f t="shared" si="14"/>
        <v>322.81139076076983</v>
      </c>
      <c r="P22" s="512">
        <f t="shared" si="15"/>
        <v>3367.6763543372203</v>
      </c>
      <c r="Q22" s="650">
        <f t="shared" si="16"/>
        <v>41918.111863448263</v>
      </c>
      <c r="R22" s="652">
        <f t="shared" si="17"/>
        <v>1178.2270336169195</v>
      </c>
      <c r="S22" s="649">
        <f t="shared" si="18"/>
        <v>322.81139076076983</v>
      </c>
      <c r="T22" s="650">
        <f t="shared" si="19"/>
        <v>3367.6763543372203</v>
      </c>
      <c r="U22" s="650">
        <f t="shared" si="20"/>
        <v>46786.826642163171</v>
      </c>
      <c r="V22" s="3"/>
      <c r="W22" s="752">
        <f t="shared" si="21"/>
        <v>2012</v>
      </c>
      <c r="X22" s="1382">
        <f t="shared" si="22"/>
        <v>41918.111863448263</v>
      </c>
      <c r="Y22" s="1384">
        <f t="shared" si="23"/>
        <v>1178.2270336169195</v>
      </c>
      <c r="Z22" s="1384">
        <f t="shared" si="24"/>
        <v>322.81139076076983</v>
      </c>
      <c r="AA22" s="1384">
        <f t="shared" si="25"/>
        <v>3367.6763543372203</v>
      </c>
      <c r="AB22" s="1466">
        <f t="shared" si="26"/>
        <v>46786.826642163171</v>
      </c>
      <c r="AC22" s="1384"/>
      <c r="AD22" s="1382">
        <f t="shared" si="27"/>
        <v>41918.111863448263</v>
      </c>
      <c r="AE22" s="1384">
        <f t="shared" si="28"/>
        <v>1178.2270336169195</v>
      </c>
      <c r="AF22" s="1384">
        <f t="shared" si="29"/>
        <v>322.81139076076983</v>
      </c>
      <c r="AG22" s="1384">
        <f t="shared" si="30"/>
        <v>3367.6763543372203</v>
      </c>
      <c r="AH22" s="1466">
        <f t="shared" si="31"/>
        <v>46786.826642163171</v>
      </c>
      <c r="AI22" s="118"/>
      <c r="AJ22" s="1382">
        <f t="shared" si="32"/>
        <v>41918.111863448263</v>
      </c>
      <c r="AK22" s="1384">
        <f t="shared" si="33"/>
        <v>1178.2270336169195</v>
      </c>
      <c r="AL22" s="1384">
        <f t="shared" si="34"/>
        <v>322.81139076076983</v>
      </c>
      <c r="AM22" s="1384">
        <f t="shared" si="35"/>
        <v>3367.6763543372203</v>
      </c>
      <c r="AN22" s="1466">
        <f t="shared" si="36"/>
        <v>46786.826642163171</v>
      </c>
      <c r="AO22" s="118"/>
      <c r="AP22" s="1382">
        <f t="shared" si="37"/>
        <v>41918.111863448263</v>
      </c>
      <c r="AQ22" s="1384">
        <f t="shared" si="38"/>
        <v>1178.2270336169195</v>
      </c>
      <c r="AR22" s="1384">
        <f t="shared" si="39"/>
        <v>322.81139076076983</v>
      </c>
      <c r="AS22" s="1384">
        <f t="shared" si="40"/>
        <v>3367.6763543372203</v>
      </c>
      <c r="AT22" s="1466">
        <f t="shared" si="41"/>
        <v>46786.826642163171</v>
      </c>
      <c r="AU22" s="1465"/>
      <c r="AV22" s="1382">
        <f t="shared" si="42"/>
        <v>41918.111863448263</v>
      </c>
      <c r="AW22" s="1384">
        <f t="shared" si="43"/>
        <v>1178.2270336169195</v>
      </c>
      <c r="AX22" s="1384">
        <f t="shared" si="44"/>
        <v>322.81139076076983</v>
      </c>
      <c r="AY22" s="1384">
        <f t="shared" si="45"/>
        <v>3367.6763543372203</v>
      </c>
      <c r="AZ22" s="1466">
        <f t="shared" si="46"/>
        <v>46786.826642163171</v>
      </c>
      <c r="BA22" s="1465"/>
      <c r="BB22" s="1382">
        <f t="shared" si="47"/>
        <v>41918.111863448263</v>
      </c>
      <c r="BC22" s="1384">
        <f t="shared" si="48"/>
        <v>1178.2270336169195</v>
      </c>
      <c r="BD22" s="1384">
        <f t="shared" si="49"/>
        <v>322.81139076076983</v>
      </c>
      <c r="BE22" s="1384">
        <f t="shared" si="50"/>
        <v>3367.6763543372203</v>
      </c>
      <c r="BF22" s="1466">
        <f t="shared" si="51"/>
        <v>46786.826642163171</v>
      </c>
      <c r="BG22" s="3"/>
      <c r="BH22" s="752">
        <f t="shared" si="52"/>
        <v>2012</v>
      </c>
      <c r="BI22" s="1384">
        <f>'Baseline data (from input)'!AR69</f>
        <v>108.25365662961583</v>
      </c>
      <c r="BJ22" s="510">
        <f>'Baseline data (from input)'!AS69</f>
        <v>0.2479747563458998</v>
      </c>
      <c r="BK22" s="1383">
        <f>'Baseline data (from input)'!AT69</f>
        <v>47.507426560393391</v>
      </c>
      <c r="BL22" s="1384">
        <f>'Baseline data (from input)'!AR69</f>
        <v>108.25365662961583</v>
      </c>
      <c r="BM22" s="510">
        <f>'Baseline data (from input)'!AS69</f>
        <v>0.2479747563458998</v>
      </c>
      <c r="BN22" s="1383">
        <f>'Baseline data (from input)'!AT69</f>
        <v>47.507426560393391</v>
      </c>
      <c r="BO22" s="1386">
        <f t="shared" si="6"/>
        <v>108.25365662961583</v>
      </c>
      <c r="BP22" s="510">
        <f t="shared" si="7"/>
        <v>0.2479747563458998</v>
      </c>
      <c r="BQ22" s="1383">
        <f t="shared" si="8"/>
        <v>47.507426560393391</v>
      </c>
      <c r="BR22" s="1386">
        <f>'Baseline data (from input)'!AR69</f>
        <v>108.25365662961583</v>
      </c>
      <c r="BS22" s="510">
        <f>'Baseline data (from input)'!AS69</f>
        <v>0.2479747563458998</v>
      </c>
      <c r="BT22" s="1383">
        <f>'Baseline data (from input)'!AT69</f>
        <v>47.507426560393391</v>
      </c>
      <c r="BU22" s="1384">
        <f t="shared" si="9"/>
        <v>108.25365662961583</v>
      </c>
      <c r="BV22" s="510">
        <f t="shared" si="10"/>
        <v>0.2479747563458998</v>
      </c>
      <c r="BW22" s="1383">
        <f t="shared" si="11"/>
        <v>47.507426560393391</v>
      </c>
      <c r="BX22" s="1384">
        <f>'Baseline data (from input)'!AR69</f>
        <v>108.25365662961583</v>
      </c>
      <c r="BY22" s="510">
        <f>'Baseline data (from input)'!AS69</f>
        <v>0.2479747563458998</v>
      </c>
      <c r="BZ22" s="1385">
        <f>'Baseline data (from input)'!AT69</f>
        <v>47.507426560393391</v>
      </c>
      <c r="CB22" s="805">
        <v>0</v>
      </c>
      <c r="CC22" s="510">
        <v>0</v>
      </c>
      <c r="CD22" s="510">
        <v>0</v>
      </c>
      <c r="CE22" s="510">
        <v>0</v>
      </c>
      <c r="CF22" s="510">
        <v>0</v>
      </c>
      <c r="CG22" s="510">
        <v>0</v>
      </c>
      <c r="CH22" s="510">
        <v>0</v>
      </c>
      <c r="CI22" s="510">
        <v>0</v>
      </c>
      <c r="CJ22" s="510">
        <v>0</v>
      </c>
      <c r="CK22" s="510">
        <v>0</v>
      </c>
      <c r="CL22" s="510">
        <v>0</v>
      </c>
      <c r="CM22" s="658">
        <v>0</v>
      </c>
    </row>
    <row r="23" spans="1:91">
      <c r="A23">
        <f>'Input data'!A111</f>
        <v>2013</v>
      </c>
      <c r="C23" s="512">
        <f>'4A SWD Case 1'!BG81</f>
        <v>2044.3998675511548</v>
      </c>
      <c r="D23" s="3">
        <f>'4B Biological treatment '!T76</f>
        <v>0.32891135508237229</v>
      </c>
      <c r="E23" s="178">
        <f>'4B Biological treatment '!U76</f>
        <v>31.246578732825359</v>
      </c>
      <c r="F23" s="178">
        <f>'4B Biological treatment '!W76</f>
        <v>1.8747947239695217</v>
      </c>
      <c r="G23" s="3">
        <f>'4C2 Open-burning '!R83</f>
        <v>44.593409426626771</v>
      </c>
      <c r="H23" s="3">
        <f>'4C2 Open-burning '!Z83</f>
        <v>10.981838318356314</v>
      </c>
      <c r="I23" s="3">
        <f>'4C2 Open-burning '!AH83</f>
        <v>0.16918992877608441</v>
      </c>
      <c r="J23" s="341">
        <f>'4D Wastewater treatment and dis'!AV120</f>
        <v>123.22687823091842</v>
      </c>
      <c r="K23" s="3">
        <f>'4D Wastewater treatment and dis'!AW120</f>
        <v>2.6775772173687913</v>
      </c>
      <c r="L23" s="512">
        <f t="shared" si="12"/>
        <v>42932.397218574253</v>
      </c>
      <c r="M23" s="3">
        <f t="shared" si="0"/>
        <v>6.9071384567298182</v>
      </c>
      <c r="N23" s="512">
        <f t="shared" si="13"/>
        <v>1237.3645178198844</v>
      </c>
      <c r="O23" s="649">
        <f t="shared" si="14"/>
        <v>327.66089203269547</v>
      </c>
      <c r="P23" s="512">
        <f t="shared" si="15"/>
        <v>3417.813380233612</v>
      </c>
      <c r="Q23" s="650">
        <f t="shared" si="16"/>
        <v>42932.397218574253</v>
      </c>
      <c r="R23" s="652">
        <f t="shared" si="17"/>
        <v>1244.2716562766143</v>
      </c>
      <c r="S23" s="649">
        <f t="shared" si="18"/>
        <v>327.66089203269547</v>
      </c>
      <c r="T23" s="650">
        <f t="shared" si="19"/>
        <v>3417.813380233612</v>
      </c>
      <c r="U23" s="650">
        <f t="shared" si="20"/>
        <v>47922.143147117175</v>
      </c>
      <c r="V23" s="3"/>
      <c r="W23" s="752">
        <f t="shared" si="21"/>
        <v>2013</v>
      </c>
      <c r="X23" s="1382">
        <f t="shared" si="22"/>
        <v>42932.397218574253</v>
      </c>
      <c r="Y23" s="1384">
        <f t="shared" si="23"/>
        <v>1244.2716562766143</v>
      </c>
      <c r="Z23" s="1384">
        <f t="shared" si="24"/>
        <v>327.66089203269547</v>
      </c>
      <c r="AA23" s="1384">
        <f t="shared" si="25"/>
        <v>3417.813380233612</v>
      </c>
      <c r="AB23" s="1466">
        <f t="shared" si="26"/>
        <v>47922.143147117175</v>
      </c>
      <c r="AC23" s="1384"/>
      <c r="AD23" s="1382">
        <f t="shared" si="27"/>
        <v>42932.397218574253</v>
      </c>
      <c r="AE23" s="1384">
        <f t="shared" si="28"/>
        <v>1244.2716562766143</v>
      </c>
      <c r="AF23" s="1384">
        <f t="shared" si="29"/>
        <v>327.66089203269547</v>
      </c>
      <c r="AG23" s="1384">
        <f t="shared" si="30"/>
        <v>3417.813380233612</v>
      </c>
      <c r="AH23" s="1466">
        <f t="shared" si="31"/>
        <v>47922.143147117175</v>
      </c>
      <c r="AI23" s="118"/>
      <c r="AJ23" s="1382">
        <f t="shared" si="32"/>
        <v>42932.397218574253</v>
      </c>
      <c r="AK23" s="1384">
        <f t="shared" si="33"/>
        <v>1244.2716562766143</v>
      </c>
      <c r="AL23" s="1384">
        <f t="shared" si="34"/>
        <v>327.66089203269547</v>
      </c>
      <c r="AM23" s="1384">
        <f t="shared" si="35"/>
        <v>3417.813380233612</v>
      </c>
      <c r="AN23" s="1466">
        <f t="shared" si="36"/>
        <v>47922.143147117175</v>
      </c>
      <c r="AO23" s="118"/>
      <c r="AP23" s="1382">
        <f t="shared" si="37"/>
        <v>42932.397218574253</v>
      </c>
      <c r="AQ23" s="1384">
        <f t="shared" si="38"/>
        <v>1244.2716562766143</v>
      </c>
      <c r="AR23" s="1384">
        <f t="shared" si="39"/>
        <v>327.66089203269547</v>
      </c>
      <c r="AS23" s="1384">
        <f t="shared" si="40"/>
        <v>3417.813380233612</v>
      </c>
      <c r="AT23" s="1466">
        <f t="shared" si="41"/>
        <v>47922.143147117175</v>
      </c>
      <c r="AU23" s="1465"/>
      <c r="AV23" s="1382">
        <f t="shared" si="42"/>
        <v>42932.397218574253</v>
      </c>
      <c r="AW23" s="1384">
        <f t="shared" si="43"/>
        <v>1244.2716562766143</v>
      </c>
      <c r="AX23" s="1384">
        <f t="shared" si="44"/>
        <v>327.66089203269547</v>
      </c>
      <c r="AY23" s="1384">
        <f t="shared" si="45"/>
        <v>3417.813380233612</v>
      </c>
      <c r="AZ23" s="1466">
        <f t="shared" si="46"/>
        <v>47922.143147117175</v>
      </c>
      <c r="BA23" s="1465"/>
      <c r="BB23" s="1382">
        <f t="shared" si="47"/>
        <v>42932.397218574253</v>
      </c>
      <c r="BC23" s="1384">
        <f t="shared" si="48"/>
        <v>1244.2716562766143</v>
      </c>
      <c r="BD23" s="1384">
        <f t="shared" si="49"/>
        <v>327.66089203269547</v>
      </c>
      <c r="BE23" s="1384">
        <f t="shared" si="50"/>
        <v>3417.813380233612</v>
      </c>
      <c r="BF23" s="1466">
        <f t="shared" si="51"/>
        <v>47922.143147117175</v>
      </c>
      <c r="BG23" s="3"/>
      <c r="BH23" s="752">
        <f t="shared" si="52"/>
        <v>2013</v>
      </c>
      <c r="BI23" s="1384">
        <f>'Baseline data (from input)'!AR70</f>
        <v>109.15083960718961</v>
      </c>
      <c r="BJ23" s="510">
        <f>'Baseline data (from input)'!AS70</f>
        <v>0.26091497211589859</v>
      </c>
      <c r="BK23" s="1383">
        <f>'Baseline data (from input)'!AT70</f>
        <v>48.399651749043436</v>
      </c>
      <c r="BL23" s="1384">
        <f>'Baseline data (from input)'!AR70</f>
        <v>109.15083960718961</v>
      </c>
      <c r="BM23" s="510">
        <f>'Baseline data (from input)'!AS70</f>
        <v>0.26091497211589859</v>
      </c>
      <c r="BN23" s="1383">
        <f>'Baseline data (from input)'!AT70</f>
        <v>48.399651749043436</v>
      </c>
      <c r="BO23" s="1386">
        <f t="shared" si="6"/>
        <v>109.15083960718961</v>
      </c>
      <c r="BP23" s="510">
        <f t="shared" si="7"/>
        <v>0.26091497211589859</v>
      </c>
      <c r="BQ23" s="1383">
        <f t="shared" si="8"/>
        <v>48.399651749043436</v>
      </c>
      <c r="BR23" s="1386">
        <f>'Baseline data (from input)'!AR70</f>
        <v>109.15083960718961</v>
      </c>
      <c r="BS23" s="510">
        <f>'Baseline data (from input)'!AS70</f>
        <v>0.26091497211589859</v>
      </c>
      <c r="BT23" s="1383">
        <f>'Baseline data (from input)'!AT70</f>
        <v>48.399651749043436</v>
      </c>
      <c r="BU23" s="1384">
        <f t="shared" si="9"/>
        <v>109.15083960718961</v>
      </c>
      <c r="BV23" s="510">
        <f t="shared" si="10"/>
        <v>0.26091497211589859</v>
      </c>
      <c r="BW23" s="1383">
        <f t="shared" si="11"/>
        <v>48.399651749043436</v>
      </c>
      <c r="BX23" s="1384">
        <f>'Baseline data (from input)'!AR70</f>
        <v>109.15083960718961</v>
      </c>
      <c r="BY23" s="510">
        <f>'Baseline data (from input)'!AS70</f>
        <v>0.26091497211589859</v>
      </c>
      <c r="BZ23" s="1385">
        <f>'Baseline data (from input)'!AT70</f>
        <v>48.399651749043436</v>
      </c>
      <c r="CB23" s="805">
        <v>0</v>
      </c>
      <c r="CC23" s="510">
        <v>0</v>
      </c>
      <c r="CD23" s="510">
        <v>0</v>
      </c>
      <c r="CE23" s="510">
        <v>0</v>
      </c>
      <c r="CF23" s="510">
        <v>0</v>
      </c>
      <c r="CG23" s="510">
        <v>0</v>
      </c>
      <c r="CH23" s="510">
        <v>0</v>
      </c>
      <c r="CI23" s="510">
        <v>0</v>
      </c>
      <c r="CJ23" s="510">
        <v>0</v>
      </c>
      <c r="CK23" s="510">
        <v>0</v>
      </c>
      <c r="CL23" s="510">
        <v>0</v>
      </c>
      <c r="CM23" s="658">
        <v>0</v>
      </c>
    </row>
    <row r="24" spans="1:91">
      <c r="A24">
        <f>'Input data'!A112</f>
        <v>2014</v>
      </c>
      <c r="C24" s="512">
        <f>'4A SWD Case 1'!BG82</f>
        <v>2091.0947097999683</v>
      </c>
      <c r="D24" s="3">
        <f>'4B Biological treatment '!T77</f>
        <v>0.34440237089426368</v>
      </c>
      <c r="E24" s="178">
        <f>'4B Biological treatment '!U77</f>
        <v>32.718225234955042</v>
      </c>
      <c r="F24" s="178">
        <f>'4B Biological treatment '!W77</f>
        <v>1.9630935140973027</v>
      </c>
      <c r="G24" s="3">
        <f>'4C2 Open-burning '!R84</f>
        <v>45.148248565025312</v>
      </c>
      <c r="H24" s="3">
        <f>'4C2 Open-burning '!Z84</f>
        <v>11.118476305649359</v>
      </c>
      <c r="I24" s="3">
        <f>'4C2 Open-burning '!AH84</f>
        <v>0.17129501998832491</v>
      </c>
      <c r="J24" s="341">
        <f>'4D Wastewater treatment and dis'!AV121</f>
        <v>125.10182771891525</v>
      </c>
      <c r="K24" s="3">
        <f>'4D Wastewater treatment and dis'!AW121</f>
        <v>2.7183176962712094</v>
      </c>
      <c r="L24" s="512">
        <f t="shared" si="12"/>
        <v>43912.988905799335</v>
      </c>
      <c r="M24" s="3">
        <f t="shared" si="0"/>
        <v>7.2324497887795376</v>
      </c>
      <c r="N24" s="512">
        <f t="shared" si="13"/>
        <v>1295.6417193042198</v>
      </c>
      <c r="O24" s="649">
        <f t="shared" si="14"/>
        <v>331.73770718004255</v>
      </c>
      <c r="P24" s="512">
        <f t="shared" si="15"/>
        <v>3469.8168679412947</v>
      </c>
      <c r="Q24" s="650">
        <f t="shared" si="16"/>
        <v>43912.988905799335</v>
      </c>
      <c r="R24" s="652">
        <f t="shared" si="17"/>
        <v>1302.8741690929994</v>
      </c>
      <c r="S24" s="649">
        <f t="shared" si="18"/>
        <v>331.73770718004255</v>
      </c>
      <c r="T24" s="650">
        <f t="shared" si="19"/>
        <v>3469.8168679412947</v>
      </c>
      <c r="U24" s="650">
        <f t="shared" si="20"/>
        <v>49017.417650013667</v>
      </c>
      <c r="V24" s="3"/>
      <c r="W24" s="752">
        <f t="shared" si="21"/>
        <v>2014</v>
      </c>
      <c r="X24" s="1382">
        <f t="shared" si="22"/>
        <v>43912.988905799335</v>
      </c>
      <c r="Y24" s="1384">
        <f t="shared" si="23"/>
        <v>1302.8741690929994</v>
      </c>
      <c r="Z24" s="1384">
        <f t="shared" si="24"/>
        <v>331.73770718004255</v>
      </c>
      <c r="AA24" s="1384">
        <f t="shared" si="25"/>
        <v>3469.8168679412947</v>
      </c>
      <c r="AB24" s="1466">
        <f t="shared" si="26"/>
        <v>49017.417650013667</v>
      </c>
      <c r="AC24" s="1384"/>
      <c r="AD24" s="1382">
        <f t="shared" si="27"/>
        <v>43912.988905799335</v>
      </c>
      <c r="AE24" s="1384">
        <f t="shared" si="28"/>
        <v>1302.8741690929994</v>
      </c>
      <c r="AF24" s="1384">
        <f t="shared" si="29"/>
        <v>331.73770718004255</v>
      </c>
      <c r="AG24" s="1384">
        <f t="shared" si="30"/>
        <v>3469.8168679412947</v>
      </c>
      <c r="AH24" s="1466">
        <f t="shared" si="31"/>
        <v>49017.417650013667</v>
      </c>
      <c r="AI24" s="118"/>
      <c r="AJ24" s="1382">
        <f t="shared" si="32"/>
        <v>43912.988905799335</v>
      </c>
      <c r="AK24" s="1384">
        <f t="shared" si="33"/>
        <v>1302.8741690929994</v>
      </c>
      <c r="AL24" s="1384">
        <f t="shared" si="34"/>
        <v>331.73770718004255</v>
      </c>
      <c r="AM24" s="1384">
        <f t="shared" si="35"/>
        <v>3469.8168679412947</v>
      </c>
      <c r="AN24" s="1466">
        <f t="shared" si="36"/>
        <v>49017.417650013667</v>
      </c>
      <c r="AO24" s="118"/>
      <c r="AP24" s="1382">
        <f t="shared" si="37"/>
        <v>43912.988905799335</v>
      </c>
      <c r="AQ24" s="1384">
        <f t="shared" si="38"/>
        <v>1302.8741690929994</v>
      </c>
      <c r="AR24" s="1384">
        <f t="shared" si="39"/>
        <v>331.73770718004255</v>
      </c>
      <c r="AS24" s="1384">
        <f t="shared" si="40"/>
        <v>3469.8168679412947</v>
      </c>
      <c r="AT24" s="1466">
        <f t="shared" si="41"/>
        <v>49017.417650013667</v>
      </c>
      <c r="AU24" s="1465"/>
      <c r="AV24" s="1382">
        <f t="shared" si="42"/>
        <v>43912.988905799335</v>
      </c>
      <c r="AW24" s="1384">
        <f t="shared" si="43"/>
        <v>1302.8741690929994</v>
      </c>
      <c r="AX24" s="1384">
        <f t="shared" si="44"/>
        <v>331.73770718004255</v>
      </c>
      <c r="AY24" s="1384">
        <f t="shared" si="45"/>
        <v>3469.8168679412947</v>
      </c>
      <c r="AZ24" s="1466">
        <f t="shared" si="46"/>
        <v>49017.417650013667</v>
      </c>
      <c r="BA24" s="1465"/>
      <c r="BB24" s="1382">
        <f t="shared" si="47"/>
        <v>43912.988905799335</v>
      </c>
      <c r="BC24" s="1384">
        <f t="shared" si="48"/>
        <v>1302.8741690929994</v>
      </c>
      <c r="BD24" s="1384">
        <f t="shared" si="49"/>
        <v>331.73770718004255</v>
      </c>
      <c r="BE24" s="1384">
        <f t="shared" si="50"/>
        <v>3469.8168679412947</v>
      </c>
      <c r="BF24" s="1466">
        <f t="shared" si="51"/>
        <v>49017.417650013667</v>
      </c>
      <c r="BG24" s="3"/>
      <c r="BH24" s="752">
        <f t="shared" si="52"/>
        <v>2014</v>
      </c>
      <c r="BI24" s="1384">
        <f>'Baseline data (from input)'!AR71</f>
        <v>109.55725853991771</v>
      </c>
      <c r="BJ24" s="510">
        <f>'Baseline data (from input)'!AS71</f>
        <v>0.27355978971582146</v>
      </c>
      <c r="BK24" s="1383">
        <f>'Baseline data (from input)'!AT71</f>
        <v>49.016310889124959</v>
      </c>
      <c r="BL24" s="1384">
        <f>'Baseline data (from input)'!AR71</f>
        <v>109.55725853991771</v>
      </c>
      <c r="BM24" s="510">
        <f>'Baseline data (from input)'!AS71</f>
        <v>0.27355978971582146</v>
      </c>
      <c r="BN24" s="1383">
        <f>'Baseline data (from input)'!AT71</f>
        <v>49.016310889124959</v>
      </c>
      <c r="BO24" s="1386">
        <f t="shared" si="6"/>
        <v>109.55725853991771</v>
      </c>
      <c r="BP24" s="510">
        <f t="shared" si="7"/>
        <v>0.27355978971582146</v>
      </c>
      <c r="BQ24" s="1383">
        <f t="shared" si="8"/>
        <v>49.016310889124959</v>
      </c>
      <c r="BR24" s="1386">
        <f>'Baseline data (from input)'!AR71</f>
        <v>109.55725853991771</v>
      </c>
      <c r="BS24" s="510">
        <f>'Baseline data (from input)'!AS71</f>
        <v>0.27355978971582146</v>
      </c>
      <c r="BT24" s="1383">
        <f>'Baseline data (from input)'!AT71</f>
        <v>49.016310889124959</v>
      </c>
      <c r="BU24" s="1384">
        <f t="shared" si="9"/>
        <v>109.55725853991771</v>
      </c>
      <c r="BV24" s="510">
        <f t="shared" si="10"/>
        <v>0.27355978971582146</v>
      </c>
      <c r="BW24" s="1383">
        <f t="shared" si="11"/>
        <v>49.016310889124959</v>
      </c>
      <c r="BX24" s="1384">
        <f>'Baseline data (from input)'!AR71</f>
        <v>109.55725853991771</v>
      </c>
      <c r="BY24" s="510">
        <f>'Baseline data (from input)'!AS71</f>
        <v>0.27355978971582146</v>
      </c>
      <c r="BZ24" s="1385">
        <f>'Baseline data (from input)'!AT71</f>
        <v>49.016310889124959</v>
      </c>
      <c r="CB24" s="805">
        <v>0</v>
      </c>
      <c r="CC24" s="510">
        <v>0</v>
      </c>
      <c r="CD24" s="510">
        <v>0</v>
      </c>
      <c r="CE24" s="510">
        <v>0</v>
      </c>
      <c r="CF24" s="510">
        <v>0</v>
      </c>
      <c r="CG24" s="510">
        <v>0</v>
      </c>
      <c r="CH24" s="510">
        <v>0</v>
      </c>
      <c r="CI24" s="510">
        <v>0</v>
      </c>
      <c r="CJ24" s="510">
        <v>0</v>
      </c>
      <c r="CK24" s="510">
        <v>0</v>
      </c>
      <c r="CL24" s="510">
        <v>0</v>
      </c>
      <c r="CM24" s="658">
        <v>0</v>
      </c>
    </row>
    <row r="25" spans="1:91">
      <c r="A25">
        <f>'Input data'!A113</f>
        <v>2015</v>
      </c>
      <c r="C25" s="512">
        <f>'4A SWD Case 1'!BG83</f>
        <v>2135.6665101569706</v>
      </c>
      <c r="D25" s="3">
        <f>'4B Biological treatment '!T78</f>
        <v>0.35780082668345892</v>
      </c>
      <c r="E25" s="178">
        <f>'4B Biological treatment '!U78</f>
        <v>33.99107853492859</v>
      </c>
      <c r="F25" s="178">
        <f>'4B Biological treatment '!W78</f>
        <v>2.039464712095715</v>
      </c>
      <c r="G25" s="3">
        <f>'4C2 Open-burning '!R85</f>
        <v>45.592730106168659</v>
      </c>
      <c r="H25" s="3">
        <f>'4C2 Open-burning '!Z85</f>
        <v>11.22793697445876</v>
      </c>
      <c r="I25" s="3">
        <f>'4C2 Open-burning '!AH85</f>
        <v>0.17298140820701585</v>
      </c>
      <c r="J25" s="341">
        <f>'4D Wastewater treatment and dis'!AV122</f>
        <v>127.04639166810001</v>
      </c>
      <c r="K25" s="3">
        <f>'4D Wastewater treatment and dis'!AW122</f>
        <v>2.7605708167170335</v>
      </c>
      <c r="L25" s="512">
        <f t="shared" si="12"/>
        <v>44848.996713296379</v>
      </c>
      <c r="M25" s="3">
        <f t="shared" si="0"/>
        <v>7.513817360352637</v>
      </c>
      <c r="N25" s="512">
        <f t="shared" si="13"/>
        <v>1346.0467099831721</v>
      </c>
      <c r="O25" s="649">
        <f t="shared" si="14"/>
        <v>335.00364311397755</v>
      </c>
      <c r="P25" s="512">
        <f t="shared" si="15"/>
        <v>3523.7511782123806</v>
      </c>
      <c r="Q25" s="650">
        <f t="shared" si="16"/>
        <v>44848.996713296379</v>
      </c>
      <c r="R25" s="652">
        <f t="shared" si="17"/>
        <v>1353.5605273435249</v>
      </c>
      <c r="S25" s="649">
        <f t="shared" si="18"/>
        <v>335.00364311397755</v>
      </c>
      <c r="T25" s="650">
        <f t="shared" si="19"/>
        <v>3523.7511782123806</v>
      </c>
      <c r="U25" s="650">
        <f t="shared" si="20"/>
        <v>50061.312061966259</v>
      </c>
      <c r="V25" s="3"/>
      <c r="W25" s="752">
        <f t="shared" si="21"/>
        <v>2015</v>
      </c>
      <c r="X25" s="1382">
        <f t="shared" si="22"/>
        <v>44848.996713296379</v>
      </c>
      <c r="Y25" s="1384">
        <f t="shared" si="23"/>
        <v>1353.5605273435249</v>
      </c>
      <c r="Z25" s="1384">
        <f t="shared" si="24"/>
        <v>335.00364311397755</v>
      </c>
      <c r="AA25" s="1384">
        <f t="shared" si="25"/>
        <v>3523.7511782123806</v>
      </c>
      <c r="AB25" s="1466">
        <f t="shared" si="26"/>
        <v>50061.312061966259</v>
      </c>
      <c r="AC25" s="1384"/>
      <c r="AD25" s="1382">
        <f t="shared" si="27"/>
        <v>44848.996713296379</v>
      </c>
      <c r="AE25" s="1384">
        <f t="shared" si="28"/>
        <v>1353.5605273435249</v>
      </c>
      <c r="AF25" s="1384">
        <f t="shared" si="29"/>
        <v>335.00364311397755</v>
      </c>
      <c r="AG25" s="1384">
        <f t="shared" si="30"/>
        <v>3523.7511782123806</v>
      </c>
      <c r="AH25" s="1466">
        <f t="shared" si="31"/>
        <v>50061.312061966259</v>
      </c>
      <c r="AI25" s="118"/>
      <c r="AJ25" s="1382">
        <f t="shared" si="32"/>
        <v>44848.996713296379</v>
      </c>
      <c r="AK25" s="1384">
        <f t="shared" si="33"/>
        <v>1353.5605273435249</v>
      </c>
      <c r="AL25" s="1384">
        <f t="shared" si="34"/>
        <v>335.00364311397755</v>
      </c>
      <c r="AM25" s="1384">
        <f t="shared" si="35"/>
        <v>3523.7511782123806</v>
      </c>
      <c r="AN25" s="1466">
        <f t="shared" si="36"/>
        <v>50061.312061966259</v>
      </c>
      <c r="AO25" s="118"/>
      <c r="AP25" s="1382">
        <f t="shared" si="37"/>
        <v>44848.996713296379</v>
      </c>
      <c r="AQ25" s="1384">
        <f t="shared" si="38"/>
        <v>1353.5605273435249</v>
      </c>
      <c r="AR25" s="1384">
        <f t="shared" si="39"/>
        <v>335.00364311397755</v>
      </c>
      <c r="AS25" s="1384">
        <f t="shared" si="40"/>
        <v>3523.7511782123806</v>
      </c>
      <c r="AT25" s="1466">
        <f t="shared" si="41"/>
        <v>50061.312061966259</v>
      </c>
      <c r="AU25" s="1465"/>
      <c r="AV25" s="1382">
        <f t="shared" si="42"/>
        <v>44848.996713296379</v>
      </c>
      <c r="AW25" s="1384">
        <f t="shared" si="43"/>
        <v>1353.5605273435249</v>
      </c>
      <c r="AX25" s="1384">
        <f t="shared" si="44"/>
        <v>335.00364311397755</v>
      </c>
      <c r="AY25" s="1384">
        <f t="shared" si="45"/>
        <v>3523.7511782123806</v>
      </c>
      <c r="AZ25" s="1466">
        <f t="shared" si="46"/>
        <v>50061.312061966259</v>
      </c>
      <c r="BA25" s="1465"/>
      <c r="BB25" s="1382">
        <f t="shared" si="47"/>
        <v>44848.996713296379</v>
      </c>
      <c r="BC25" s="1384">
        <f t="shared" si="48"/>
        <v>1353.5605273435249</v>
      </c>
      <c r="BD25" s="1384">
        <f t="shared" si="49"/>
        <v>335.00364311397755</v>
      </c>
      <c r="BE25" s="1384">
        <f t="shared" si="50"/>
        <v>3523.7511782123806</v>
      </c>
      <c r="BF25" s="1466">
        <f t="shared" si="51"/>
        <v>50061.312061966259</v>
      </c>
      <c r="BG25" s="3"/>
      <c r="BH25" s="752">
        <f t="shared" si="52"/>
        <v>2015</v>
      </c>
      <c r="BI25" s="1384">
        <f>'Baseline data (from input)'!AR72</f>
        <v>109.55959567111202</v>
      </c>
      <c r="BJ25" s="510">
        <f>'Baseline data (from input)'!AS72</f>
        <v>0.2859242342376842</v>
      </c>
      <c r="BK25" s="1383">
        <f>'Baseline data (from input)'!AT72</f>
        <v>49.408351657059349</v>
      </c>
      <c r="BL25" s="1384">
        <f>'Baseline data (from input)'!AR72</f>
        <v>109.55959567111202</v>
      </c>
      <c r="BM25" s="510">
        <f>'Baseline data (from input)'!AS72</f>
        <v>0.2859242342376842</v>
      </c>
      <c r="BN25" s="1383">
        <f>'Baseline data (from input)'!AT72</f>
        <v>49.408351657059349</v>
      </c>
      <c r="BO25" s="1386">
        <f t="shared" si="6"/>
        <v>109.55959567111202</v>
      </c>
      <c r="BP25" s="510">
        <f t="shared" si="7"/>
        <v>0.2859242342376842</v>
      </c>
      <c r="BQ25" s="1383">
        <f t="shared" si="8"/>
        <v>49.408351657059349</v>
      </c>
      <c r="BR25" s="1386">
        <f>'Baseline data (from input)'!AR72</f>
        <v>109.55959567111202</v>
      </c>
      <c r="BS25" s="510">
        <f>'Baseline data (from input)'!AS72</f>
        <v>0.2859242342376842</v>
      </c>
      <c r="BT25" s="1383">
        <f>'Baseline data (from input)'!AT72</f>
        <v>49.408351657059349</v>
      </c>
      <c r="BU25" s="1384">
        <f t="shared" si="9"/>
        <v>109.55959567111202</v>
      </c>
      <c r="BV25" s="510">
        <f t="shared" si="10"/>
        <v>0.2859242342376842</v>
      </c>
      <c r="BW25" s="1383">
        <f t="shared" si="11"/>
        <v>49.408351657059349</v>
      </c>
      <c r="BX25" s="1384">
        <f>'Baseline data (from input)'!AR72</f>
        <v>109.55959567111202</v>
      </c>
      <c r="BY25" s="510">
        <f>'Baseline data (from input)'!AS72</f>
        <v>0.2859242342376842</v>
      </c>
      <c r="BZ25" s="1385">
        <f>'Baseline data (from input)'!AT72</f>
        <v>49.408351657059349</v>
      </c>
      <c r="CB25" s="805">
        <v>0</v>
      </c>
      <c r="CC25" s="510">
        <v>0</v>
      </c>
      <c r="CD25" s="510">
        <v>0</v>
      </c>
      <c r="CE25" s="510">
        <v>0</v>
      </c>
      <c r="CF25" s="510">
        <v>0</v>
      </c>
      <c r="CG25" s="510">
        <v>0</v>
      </c>
      <c r="CH25" s="510">
        <v>0</v>
      </c>
      <c r="CI25" s="510">
        <v>0</v>
      </c>
      <c r="CJ25" s="510">
        <v>0</v>
      </c>
      <c r="CK25" s="510">
        <v>0</v>
      </c>
      <c r="CL25" s="510">
        <v>0</v>
      </c>
      <c r="CM25" s="658">
        <v>0</v>
      </c>
    </row>
    <row r="26" spans="1:91">
      <c r="A26">
        <f>'Input data'!A114</f>
        <v>2016</v>
      </c>
      <c r="C26" s="512">
        <f>'4A SWD Case 1'!BG84</f>
        <v>2177.5745881463745</v>
      </c>
      <c r="D26" s="3">
        <f>'4B Biological treatment '!T79</f>
        <v>0.36932748789432734</v>
      </c>
      <c r="E26" s="178">
        <f>'4B Biological treatment '!U79</f>
        <v>35.086111349961087</v>
      </c>
      <c r="F26" s="178">
        <f>'4B Biological treatment '!W79</f>
        <v>2.105166680997665</v>
      </c>
      <c r="G26" s="3">
        <f>'4C2 Open-burning '!R86</f>
        <v>45.922034763903604</v>
      </c>
      <c r="H26" s="3">
        <f>'4C2 Open-burning '!Z86</f>
        <v>11.309033498703608</v>
      </c>
      <c r="I26" s="3">
        <f>'4C2 Open-burning '!AH86</f>
        <v>0.174230808786702</v>
      </c>
      <c r="J26" s="341">
        <f>'4D Wastewater treatment and dis'!AV123</f>
        <v>129.06521104255199</v>
      </c>
      <c r="K26" s="3">
        <f>'4D Wastewater treatment and dis'!AW123</f>
        <v>2.8044374214758245</v>
      </c>
      <c r="L26" s="512">
        <f t="shared" si="12"/>
        <v>45729.066351073867</v>
      </c>
      <c r="M26" s="3">
        <f t="shared" ref="M26:M27" si="53">D26*$B$3</f>
        <v>7.7558772457808747</v>
      </c>
      <c r="N26" s="512">
        <f t="shared" si="13"/>
        <v>1389.4100094584589</v>
      </c>
      <c r="O26" s="649">
        <f t="shared" si="14"/>
        <v>337.42328896055699</v>
      </c>
      <c r="P26" s="512">
        <f t="shared" si="15"/>
        <v>3579.7450325510972</v>
      </c>
      <c r="Q26" s="650">
        <f t="shared" si="16"/>
        <v>45729.066351073867</v>
      </c>
      <c r="R26" s="652">
        <f t="shared" si="17"/>
        <v>1397.1658867042397</v>
      </c>
      <c r="S26" s="649">
        <f t="shared" si="18"/>
        <v>337.42328896055699</v>
      </c>
      <c r="T26" s="650">
        <f t="shared" si="19"/>
        <v>3579.7450325510972</v>
      </c>
      <c r="U26" s="650">
        <f t="shared" si="20"/>
        <v>51043.400559289759</v>
      </c>
      <c r="V26" s="3"/>
      <c r="W26" s="752">
        <f t="shared" si="21"/>
        <v>2016</v>
      </c>
      <c r="X26" s="1382">
        <f t="shared" si="22"/>
        <v>45729.066351073867</v>
      </c>
      <c r="Y26" s="1384">
        <f t="shared" si="23"/>
        <v>1397.1658867042397</v>
      </c>
      <c r="Z26" s="1384">
        <f t="shared" si="24"/>
        <v>337.42328896055699</v>
      </c>
      <c r="AA26" s="1384">
        <f t="shared" si="25"/>
        <v>3579.7450325510972</v>
      </c>
      <c r="AB26" s="1466">
        <f t="shared" si="26"/>
        <v>51043.400559289759</v>
      </c>
      <c r="AC26" s="1384"/>
      <c r="AD26" s="1382">
        <f t="shared" si="27"/>
        <v>45729.066351073867</v>
      </c>
      <c r="AE26" s="1384">
        <f t="shared" si="28"/>
        <v>1397.1658867042397</v>
      </c>
      <c r="AF26" s="1384">
        <f t="shared" si="29"/>
        <v>337.42328896055699</v>
      </c>
      <c r="AG26" s="1384">
        <f t="shared" si="30"/>
        <v>3579.7450325510972</v>
      </c>
      <c r="AH26" s="1466">
        <f t="shared" si="31"/>
        <v>51043.400559289759</v>
      </c>
      <c r="AI26" s="118"/>
      <c r="AJ26" s="1382">
        <f t="shared" si="32"/>
        <v>45729.066351073867</v>
      </c>
      <c r="AK26" s="1384">
        <f t="shared" si="33"/>
        <v>1397.1658867042397</v>
      </c>
      <c r="AL26" s="1384">
        <f t="shared" si="34"/>
        <v>337.42328896055699</v>
      </c>
      <c r="AM26" s="1384">
        <f t="shared" si="35"/>
        <v>3579.7450325510972</v>
      </c>
      <c r="AN26" s="1466">
        <f t="shared" si="36"/>
        <v>51043.400559289759</v>
      </c>
      <c r="AO26" s="118"/>
      <c r="AP26" s="1382">
        <f t="shared" si="37"/>
        <v>45729.066351073867</v>
      </c>
      <c r="AQ26" s="1384">
        <f t="shared" si="38"/>
        <v>1397.1658867042397</v>
      </c>
      <c r="AR26" s="1384">
        <f t="shared" si="39"/>
        <v>337.42328896055699</v>
      </c>
      <c r="AS26" s="1384">
        <f t="shared" si="40"/>
        <v>3579.7450325510972</v>
      </c>
      <c r="AT26" s="1466">
        <f t="shared" si="41"/>
        <v>51043.400559289759</v>
      </c>
      <c r="AU26" s="1384"/>
      <c r="AV26" s="1382">
        <f t="shared" si="42"/>
        <v>45729.066351073867</v>
      </c>
      <c r="AW26" s="1384">
        <f t="shared" si="43"/>
        <v>1397.1658867042397</v>
      </c>
      <c r="AX26" s="1384">
        <f t="shared" si="44"/>
        <v>337.42328896055699</v>
      </c>
      <c r="AY26" s="1384">
        <f t="shared" si="45"/>
        <v>3579.7450325510972</v>
      </c>
      <c r="AZ26" s="1466">
        <f t="shared" si="46"/>
        <v>51043.400559289759</v>
      </c>
      <c r="BA26" s="1465"/>
      <c r="BB26" s="1382">
        <f t="shared" si="47"/>
        <v>45729.066351073867</v>
      </c>
      <c r="BC26" s="1384">
        <f t="shared" si="48"/>
        <v>1397.1658867042397</v>
      </c>
      <c r="BD26" s="1384">
        <f t="shared" si="49"/>
        <v>337.42328896055699</v>
      </c>
      <c r="BE26" s="1384">
        <f t="shared" si="50"/>
        <v>3579.7450325510972</v>
      </c>
      <c r="BF26" s="1466">
        <f t="shared" si="51"/>
        <v>51043.400559289759</v>
      </c>
      <c r="BG26" s="3"/>
      <c r="BH26" s="752">
        <f t="shared" si="52"/>
        <v>2016</v>
      </c>
      <c r="BI26" s="1384">
        <f>'Baseline data (from input)'!AR73</f>
        <v>109.87635423856575</v>
      </c>
      <c r="BJ26" s="510">
        <f>'Baseline data (from input)'!AS73</f>
        <v>0.29713182575222147</v>
      </c>
      <c r="BK26" s="1383">
        <f>'Baseline data (from input)'!AT73</f>
        <v>49.995050999999997</v>
      </c>
      <c r="BL26" s="1384">
        <f>'Baseline data (from input)'!AR73</f>
        <v>109.87635423856575</v>
      </c>
      <c r="BM26" s="510">
        <f>'Baseline data (from input)'!AS73</f>
        <v>0.29713182575222147</v>
      </c>
      <c r="BN26" s="1383">
        <f>'Baseline data (from input)'!AT73</f>
        <v>49.995050999999997</v>
      </c>
      <c r="BO26" s="1386">
        <f t="shared" si="6"/>
        <v>109.87635423856575</v>
      </c>
      <c r="BP26" s="510">
        <f t="shared" si="7"/>
        <v>0.29713182575222147</v>
      </c>
      <c r="BQ26" s="1383">
        <f t="shared" si="8"/>
        <v>49.995050999999997</v>
      </c>
      <c r="BR26" s="1386">
        <f>'Baseline data (from input)'!AR73</f>
        <v>109.87635423856575</v>
      </c>
      <c r="BS26" s="510">
        <f>'Baseline data (from input)'!AS73</f>
        <v>0.29713182575222147</v>
      </c>
      <c r="BT26" s="1383">
        <f>'Baseline data (from input)'!AT73</f>
        <v>49.995050999999997</v>
      </c>
      <c r="BU26" s="1384">
        <f t="shared" si="9"/>
        <v>109.87635423856575</v>
      </c>
      <c r="BV26" s="510">
        <f t="shared" si="10"/>
        <v>0.29713182575222147</v>
      </c>
      <c r="BW26" s="1383">
        <f t="shared" si="11"/>
        <v>49.995050999999997</v>
      </c>
      <c r="BX26" s="1384">
        <f>'Baseline data (from input)'!AR73</f>
        <v>109.87635423856575</v>
      </c>
      <c r="BY26" s="510">
        <f>'Baseline data (from input)'!AS73</f>
        <v>0.29713182575222147</v>
      </c>
      <c r="BZ26" s="1385">
        <f>'Baseline data (from input)'!AT73</f>
        <v>49.995050999999997</v>
      </c>
      <c r="CB26" s="805">
        <v>0</v>
      </c>
      <c r="CC26" s="510">
        <v>0</v>
      </c>
      <c r="CD26" s="510">
        <v>0</v>
      </c>
      <c r="CE26" s="510">
        <v>0</v>
      </c>
      <c r="CF26" s="510">
        <v>0</v>
      </c>
      <c r="CG26" s="510">
        <v>0</v>
      </c>
      <c r="CH26" s="510">
        <v>0</v>
      </c>
      <c r="CI26" s="510">
        <v>0</v>
      </c>
      <c r="CJ26" s="510">
        <v>0</v>
      </c>
      <c r="CK26" s="510">
        <v>0</v>
      </c>
      <c r="CL26" s="510">
        <v>0</v>
      </c>
      <c r="CM26" s="658">
        <v>0</v>
      </c>
    </row>
    <row r="27" spans="1:91">
      <c r="A27" s="501">
        <f>'Input data'!A115</f>
        <v>2017</v>
      </c>
      <c r="B27" s="501"/>
      <c r="C27" s="583">
        <f>'4A SWD Case 1'!BG85</f>
        <v>2216.4378269410986</v>
      </c>
      <c r="D27" s="3">
        <f>'4B Biological treatment '!T80</f>
        <v>0.38101561127954453</v>
      </c>
      <c r="E27" s="584">
        <f>'4B Biological treatment '!U80</f>
        <v>36.196483071556727</v>
      </c>
      <c r="F27" s="584">
        <f>'4B Biological treatment '!W80</f>
        <v>2.1717889842934035</v>
      </c>
      <c r="G27" s="646">
        <f>'4C2 Open-burning '!R87</f>
        <v>46.129201907388399</v>
      </c>
      <c r="H27" s="646">
        <f>'4C2 Open-burning '!Z87</f>
        <v>11.360051712019839</v>
      </c>
      <c r="I27" s="646">
        <f>'4C2 Open-burning '!AH87</f>
        <v>0.17501681269852692</v>
      </c>
      <c r="J27" s="1219">
        <f>'4D Wastewater treatment and dis'!AV124</f>
        <v>131.15828584227123</v>
      </c>
      <c r="K27" s="646">
        <f>'4D Wastewater treatment and dis'!AW124</f>
        <v>2.8499175105475834</v>
      </c>
      <c r="L27" s="583">
        <f t="shared" si="12"/>
        <v>46545.194365763069</v>
      </c>
      <c r="M27" s="3">
        <f t="shared" si="53"/>
        <v>8.0013278368704359</v>
      </c>
      <c r="N27" s="583">
        <f t="shared" si="13"/>
        <v>1433.3807296336463</v>
      </c>
      <c r="O27" s="645">
        <f t="shared" si="14"/>
        <v>338.94549979634837</v>
      </c>
      <c r="P27" s="583">
        <f t="shared" si="15"/>
        <v>3637.7984309574467</v>
      </c>
      <c r="Q27" s="583">
        <f t="shared" si="16"/>
        <v>46545.194365763069</v>
      </c>
      <c r="R27" s="648">
        <f t="shared" si="17"/>
        <v>1441.3820574705167</v>
      </c>
      <c r="S27" s="645">
        <f t="shared" si="18"/>
        <v>338.94549979634837</v>
      </c>
      <c r="T27" s="583">
        <f t="shared" si="19"/>
        <v>3637.7984309574467</v>
      </c>
      <c r="U27" s="583">
        <f t="shared" si="20"/>
        <v>51963.320353987379</v>
      </c>
      <c r="V27" s="3"/>
      <c r="W27" s="752">
        <f t="shared" si="21"/>
        <v>2017</v>
      </c>
      <c r="X27" s="1382">
        <f t="shared" si="22"/>
        <v>46545.194365763069</v>
      </c>
      <c r="Y27" s="1384">
        <f t="shared" si="23"/>
        <v>1441.3820574705167</v>
      </c>
      <c r="Z27" s="1384">
        <f t="shared" si="24"/>
        <v>338.94549979634837</v>
      </c>
      <c r="AA27" s="1384">
        <f t="shared" si="25"/>
        <v>3637.7984309574467</v>
      </c>
      <c r="AB27" s="1466">
        <f t="shared" si="26"/>
        <v>51963.320353987379</v>
      </c>
      <c r="AC27" s="1384"/>
      <c r="AD27" s="1382">
        <f>Q27</f>
        <v>46545.194365763069</v>
      </c>
      <c r="AE27" s="1384">
        <f t="shared" si="28"/>
        <v>1441.3820574705167</v>
      </c>
      <c r="AF27" s="1384">
        <f t="shared" si="29"/>
        <v>338.94549979634837</v>
      </c>
      <c r="AG27" s="1384">
        <f t="shared" si="30"/>
        <v>3637.7984309574467</v>
      </c>
      <c r="AH27" s="1466">
        <f>SUM(AD27:AG27)</f>
        <v>51963.320353987379</v>
      </c>
      <c r="AI27" s="118"/>
      <c r="AJ27" s="1382">
        <f t="shared" si="32"/>
        <v>46545.194365763069</v>
      </c>
      <c r="AK27" s="1384">
        <f t="shared" si="33"/>
        <v>1441.3820574705167</v>
      </c>
      <c r="AL27" s="1384">
        <f t="shared" si="34"/>
        <v>338.94549979634837</v>
      </c>
      <c r="AM27" s="1384">
        <f t="shared" si="35"/>
        <v>3637.7984309574467</v>
      </c>
      <c r="AN27" s="1466">
        <f t="shared" si="36"/>
        <v>51963.320353987379</v>
      </c>
      <c r="AO27" s="118"/>
      <c r="AP27" s="1382">
        <f t="shared" ref="AP27" si="54">Q27</f>
        <v>46545.194365763069</v>
      </c>
      <c r="AQ27" s="1384">
        <f t="shared" ref="AQ27" si="55">R27</f>
        <v>1441.3820574705167</v>
      </c>
      <c r="AR27" s="1384">
        <f t="shared" ref="AR27" si="56">S27</f>
        <v>338.94549979634837</v>
      </c>
      <c r="AS27" s="1384">
        <f t="shared" ref="AS27" si="57">T27</f>
        <v>3637.7984309574467</v>
      </c>
      <c r="AT27" s="1466">
        <f t="shared" si="41"/>
        <v>51963.320353987379</v>
      </c>
      <c r="AU27" s="1384"/>
      <c r="AV27" s="1382">
        <f t="shared" si="42"/>
        <v>46545.194365763069</v>
      </c>
      <c r="AW27" s="1384">
        <f t="shared" si="43"/>
        <v>1441.3820574705167</v>
      </c>
      <c r="AX27" s="1384">
        <f t="shared" si="44"/>
        <v>338.94549979634837</v>
      </c>
      <c r="AY27" s="1384">
        <f t="shared" si="45"/>
        <v>3637.7984309574467</v>
      </c>
      <c r="AZ27" s="1466">
        <f t="shared" si="46"/>
        <v>51963.320353987379</v>
      </c>
      <c r="BA27" s="1465"/>
      <c r="BB27" s="1382">
        <f t="shared" si="47"/>
        <v>46545.194365763069</v>
      </c>
      <c r="BC27" s="1384">
        <f t="shared" si="48"/>
        <v>1441.3820574705167</v>
      </c>
      <c r="BD27" s="1384">
        <f t="shared" si="49"/>
        <v>338.94549979634837</v>
      </c>
      <c r="BE27" s="1384">
        <f t="shared" si="50"/>
        <v>3637.7984309574467</v>
      </c>
      <c r="BF27" s="1466">
        <f t="shared" si="51"/>
        <v>51963.320353987379</v>
      </c>
      <c r="BG27" s="3"/>
      <c r="BH27" s="752">
        <f t="shared" si="52"/>
        <v>2017</v>
      </c>
      <c r="BI27" s="1384">
        <f>'Recycling - Case 1'!BV95</f>
        <v>109.87635423856577</v>
      </c>
      <c r="BJ27" s="510">
        <f>'Recycling - Case 1'!BW95</f>
        <v>0.29713182575222163</v>
      </c>
      <c r="BK27" s="1383">
        <f>'Recycling - Case 1'!BX95</f>
        <v>49.995050999999997</v>
      </c>
      <c r="BL27" s="1384">
        <f>'Recycling - Case 1'!BY95</f>
        <v>109.87635423856577</v>
      </c>
      <c r="BM27" s="510">
        <f>'Recycling - Case 1'!BZ95</f>
        <v>0.29713182575222163</v>
      </c>
      <c r="BN27" s="1383">
        <f>'Recycling - Case 1'!CA95</f>
        <v>49.995050999999997</v>
      </c>
      <c r="BO27" s="1386">
        <f>'Recycling - Case 2'!BV95</f>
        <v>109.87635423856577</v>
      </c>
      <c r="BP27" s="510">
        <f>'Recycling - Case 2'!BW95</f>
        <v>0.29713182575222163</v>
      </c>
      <c r="BQ27" s="1383">
        <f>'Recycling - Case 2'!BX95</f>
        <v>49.995050999999997</v>
      </c>
      <c r="BR27" s="1386">
        <f>'Recycling - Case 2'!BY95</f>
        <v>109.87635423856577</v>
      </c>
      <c r="BS27" s="510">
        <f>'Recycling - Case 2'!BZ95</f>
        <v>0.29713182575222163</v>
      </c>
      <c r="BT27" s="1383">
        <f>'Recycling - Case 2'!CA95</f>
        <v>49.995050999999997</v>
      </c>
      <c r="BU27" s="1386">
        <f>'Recycling - Case 3'!BV95</f>
        <v>109.87635423856577</v>
      </c>
      <c r="BV27" s="510">
        <f>'Recycling - Case 3'!BW95</f>
        <v>0.29713182575222163</v>
      </c>
      <c r="BW27" s="1383">
        <f>'Recycling - Case 3'!BX95</f>
        <v>49.995050999999997</v>
      </c>
      <c r="BX27" s="1386">
        <f>'Recycling - Case 3'!BY95</f>
        <v>109.87635423856577</v>
      </c>
      <c r="BY27" s="510">
        <f>'Recycling - Case 3'!BZ95</f>
        <v>0.29713182575222163</v>
      </c>
      <c r="BZ27" s="1385">
        <f>'Recycling - Case 3'!CA95</f>
        <v>49.995050999999997</v>
      </c>
      <c r="CB27" s="805">
        <f>'Recycling - Case 1'!CB95</f>
        <v>0</v>
      </c>
      <c r="CC27" s="510">
        <f>'Recycling - Case 1'!CC95</f>
        <v>0</v>
      </c>
      <c r="CD27" s="510">
        <f>'Recycling - Case 1'!CD95</f>
        <v>0</v>
      </c>
      <c r="CE27" s="510">
        <f>'Recycling - Case 1'!CE95</f>
        <v>0</v>
      </c>
      <c r="CF27" s="510">
        <f>'Recycling - Case 2'!CB95</f>
        <v>0</v>
      </c>
      <c r="CG27" s="510">
        <f>'Recycling - Case 2'!CC95</f>
        <v>0</v>
      </c>
      <c r="CH27" s="510">
        <f>'Recycling - Case 2'!CD95</f>
        <v>0</v>
      </c>
      <c r="CI27" s="510">
        <f>'Recycling - Case 2'!CE95</f>
        <v>0</v>
      </c>
      <c r="CJ27" s="510">
        <f>'Recycling - Case 3'!CB95</f>
        <v>0</v>
      </c>
      <c r="CK27" s="510">
        <f>'Recycling - Case 3'!CC95</f>
        <v>0</v>
      </c>
      <c r="CL27" s="510">
        <f>'Recycling - Case 3'!CD95</f>
        <v>0</v>
      </c>
      <c r="CM27" s="658">
        <f>'Recycling - Case 3'!CE95</f>
        <v>0</v>
      </c>
    </row>
    <row r="28" spans="1:91" ht="13.9" customHeight="1">
      <c r="A28" s="501" t="s">
        <v>748</v>
      </c>
      <c r="B28" s="501"/>
      <c r="C28" s="583"/>
      <c r="D28" s="3">
        <f>'4B Biological treatment '!T81</f>
        <v>0</v>
      </c>
      <c r="E28" s="584">
        <f>'4B Biological treatment '!U81</f>
        <v>0</v>
      </c>
      <c r="F28" s="584">
        <f>'4B Biological treatment '!W81</f>
        <v>0</v>
      </c>
      <c r="G28" s="646"/>
      <c r="H28" s="646"/>
      <c r="I28" s="646"/>
      <c r="J28" s="1219"/>
      <c r="K28" s="646"/>
      <c r="L28" s="583"/>
      <c r="M28" s="3"/>
      <c r="N28" s="583"/>
      <c r="O28" s="645"/>
      <c r="P28" s="583"/>
      <c r="Q28" s="583"/>
      <c r="R28" s="648"/>
      <c r="S28" s="645"/>
      <c r="T28" s="583"/>
      <c r="U28" s="583"/>
      <c r="V28" s="3"/>
      <c r="W28" s="752">
        <f>A29</f>
        <v>2018</v>
      </c>
      <c r="X28" s="1382">
        <f>Q29</f>
        <v>47312.398709717942</v>
      </c>
      <c r="Y28" s="1384">
        <f t="shared" ref="Y28:AA28" si="58">R29</f>
        <v>1469.0837304506297</v>
      </c>
      <c r="Z28" s="1384">
        <f t="shared" si="58"/>
        <v>335.68046841413388</v>
      </c>
      <c r="AA28" s="1384">
        <f t="shared" si="58"/>
        <v>3728.7332085559019</v>
      </c>
      <c r="AB28" s="1466">
        <f t="shared" si="26"/>
        <v>52845.896117138604</v>
      </c>
      <c r="AC28" s="1502" t="str">
        <f>'Recycling - Case 1'!T136</f>
        <v>Policies met</v>
      </c>
      <c r="AD28" s="1382">
        <f>Q63</f>
        <v>47312.398709717942</v>
      </c>
      <c r="AE28" s="1384">
        <f t="shared" ref="AE28:AG28" si="59">R63</f>
        <v>1469.0837304506297</v>
      </c>
      <c r="AF28" s="1384">
        <f t="shared" si="59"/>
        <v>335.68046841413388</v>
      </c>
      <c r="AG28" s="1384">
        <f t="shared" si="59"/>
        <v>3728.7332085559019</v>
      </c>
      <c r="AH28" s="1466">
        <f t="shared" ref="AH28:AH60" si="60">SUM(AD28:AG28)</f>
        <v>52845.896117138604</v>
      </c>
      <c r="AI28" s="1502" t="str">
        <f>'Recycling - Case 1'!T176</f>
        <v>Policies met</v>
      </c>
      <c r="AJ28" s="1382">
        <f>Q97</f>
        <v>47312.398709717942</v>
      </c>
      <c r="AK28" s="1384">
        <f t="shared" ref="AK28:AN28" si="61">R97</f>
        <v>1483.7031765110592</v>
      </c>
      <c r="AL28" s="1384">
        <f t="shared" si="61"/>
        <v>335.95278128317591</v>
      </c>
      <c r="AM28" s="1384">
        <f t="shared" si="61"/>
        <v>3778.1317472739725</v>
      </c>
      <c r="AN28" s="1466">
        <f t="shared" si="61"/>
        <v>52910.186414786149</v>
      </c>
      <c r="AO28" s="1502" t="str">
        <f>'Recycling - Case 2'!T136</f>
        <v>Policies met</v>
      </c>
      <c r="AP28" s="1382">
        <f>Q131</f>
        <v>47312.398709717942</v>
      </c>
      <c r="AQ28" s="1384">
        <f t="shared" ref="AQ28:AS28" si="62">R131</f>
        <v>1371.5821551672841</v>
      </c>
      <c r="AR28" s="1384">
        <f t="shared" si="62"/>
        <v>335.95278128317591</v>
      </c>
      <c r="AS28" s="1384">
        <f t="shared" si="62"/>
        <v>3778.1317472739725</v>
      </c>
      <c r="AT28" s="1466">
        <f t="shared" si="41"/>
        <v>52798.065393442375</v>
      </c>
      <c r="AU28" s="1502" t="str">
        <f>'Recycling - Case 2'!T176</f>
        <v>Policies met</v>
      </c>
      <c r="AV28" s="1382">
        <f t="shared" ref="AV28:AV60" si="63">Q165</f>
        <v>47312.398709717942</v>
      </c>
      <c r="AW28" s="1384">
        <f t="shared" ref="AW28:AW60" si="64">R165</f>
        <v>1371.5821551672836</v>
      </c>
      <c r="AX28" s="1384">
        <f t="shared" ref="AX28:AX60" si="65">S165</f>
        <v>335.95278128317591</v>
      </c>
      <c r="AY28" s="1384">
        <f t="shared" ref="AY28:AY60" si="66">T165</f>
        <v>3778.1317472739725</v>
      </c>
      <c r="AZ28" s="1466">
        <f t="shared" ref="AZ28:AZ60" si="67">U165</f>
        <v>52798.065393442375</v>
      </c>
      <c r="BA28" s="1502" t="str">
        <f>'Recycling - Case 2'!T136</f>
        <v>Policies met</v>
      </c>
      <c r="BB28" s="1382">
        <f>Q199</f>
        <v>47312.398709717942</v>
      </c>
      <c r="BC28" s="1384">
        <f t="shared" ref="BC28:BE28" si="68">R199</f>
        <v>1371.5821551672841</v>
      </c>
      <c r="BD28" s="1384">
        <f t="shared" si="68"/>
        <v>335.95278128317591</v>
      </c>
      <c r="BE28" s="1384">
        <f t="shared" si="68"/>
        <v>3778.1317472739725</v>
      </c>
      <c r="BF28" s="1466">
        <f t="shared" si="51"/>
        <v>52798.065393442375</v>
      </c>
      <c r="BG28" s="1502" t="str">
        <f>'Recycling - Case 2'!T176</f>
        <v>Policies met</v>
      </c>
      <c r="BH28" s="752">
        <f t="shared" si="52"/>
        <v>2018</v>
      </c>
      <c r="BI28" s="1384">
        <f>'Recycling - Case 1'!BV96</f>
        <v>106.59508714320488</v>
      </c>
      <c r="BJ28" s="510">
        <f>'Recycling - Case 1'!BW96</f>
        <v>0.31293665086500594</v>
      </c>
      <c r="BK28" s="1383">
        <f>'Recycling - Case 1'!BX96</f>
        <v>48.694518386230293</v>
      </c>
      <c r="BL28" s="1384">
        <f>'Recycling - Case 1'!BY96</f>
        <v>106.59508714320488</v>
      </c>
      <c r="BM28" s="510">
        <f>'Recycling - Case 1'!BZ96</f>
        <v>0.31293665086500594</v>
      </c>
      <c r="BN28" s="1383">
        <f>'Recycling - Case 1'!CA96</f>
        <v>48.694518386230293</v>
      </c>
      <c r="BO28" s="1386">
        <f>'Recycling - Case 2'!BV96</f>
        <v>107.13689986433511</v>
      </c>
      <c r="BP28" s="510">
        <f>'Recycling - Case 2'!BW96</f>
        <v>0.33094972611810003</v>
      </c>
      <c r="BQ28" s="1383">
        <f>'Recycling - Case 2'!BX96</f>
        <v>48.694518386230293</v>
      </c>
      <c r="BR28" s="1386">
        <f>'Recycling - Case 2'!BY96</f>
        <v>107.13689986433511</v>
      </c>
      <c r="BS28" s="510">
        <f>'Recycling - Case 2'!BZ96</f>
        <v>0.33094972611810003</v>
      </c>
      <c r="BT28" s="1383">
        <f>'Recycling - Case 2'!CA96</f>
        <v>48.694518386230293</v>
      </c>
      <c r="BU28" s="1386">
        <f>'Recycling - Case 3'!BV96</f>
        <v>107.13689986433511</v>
      </c>
      <c r="BV28" s="510">
        <f>'Recycling - Case 3'!BW96</f>
        <v>0.33094972611810003</v>
      </c>
      <c r="BW28" s="1383">
        <f>'Recycling - Case 3'!BX96</f>
        <v>48.694518386230293</v>
      </c>
      <c r="BX28" s="1386">
        <f>'Recycling - Case 3'!BY96</f>
        <v>107.13689986433511</v>
      </c>
      <c r="BY28" s="510">
        <f>'Recycling - Case 3'!BZ96</f>
        <v>0.33094972611810003</v>
      </c>
      <c r="BZ28" s="1385">
        <f>'Recycling - Case 3'!CA96</f>
        <v>48.694518386230293</v>
      </c>
      <c r="CB28" s="805">
        <f>'Recycling - Case 1'!CB96</f>
        <v>2.5392982107126535E-2</v>
      </c>
      <c r="CC28" s="510">
        <f>'Recycling - Case 1'!CC96</f>
        <v>5.8303868748956621E-2</v>
      </c>
      <c r="CD28" s="510">
        <f>'Recycling - Case 1'!CD96</f>
        <v>2.5392982107126535E-2</v>
      </c>
      <c r="CE28" s="510">
        <f>'Recycling - Case 1'!CE96</f>
        <v>5.8303868748956621E-2</v>
      </c>
      <c r="CF28" s="510">
        <f>'Recycling - Case 2'!CB96</f>
        <v>2.4602355132358533E-2</v>
      </c>
      <c r="CG28" s="510">
        <f>'Recycling - Case 2'!CC96</f>
        <v>4.389506794913843E-2</v>
      </c>
      <c r="CH28" s="510">
        <f>'Recycling - Case 2'!CD96</f>
        <v>2.4602355132358533E-2</v>
      </c>
      <c r="CI28" s="510">
        <f>'Recycling - Case 2'!CE96</f>
        <v>4.389506794913843E-2</v>
      </c>
      <c r="CJ28" s="510">
        <f>'Recycling - Case 3'!CB96</f>
        <v>2.4602355132358533E-2</v>
      </c>
      <c r="CK28" s="510">
        <f>'Recycling - Case 3'!CC96</f>
        <v>4.389506794913843E-2</v>
      </c>
      <c r="CL28" s="510">
        <f>'Recycling - Case 3'!CD96</f>
        <v>2.4602355132358533E-2</v>
      </c>
      <c r="CM28" s="658">
        <f>'Recycling - Case 3'!CE96</f>
        <v>4.389506794913843E-2</v>
      </c>
    </row>
    <row r="29" spans="1:91">
      <c r="A29" s="4">
        <f>'Input data'!A116</f>
        <v>2018</v>
      </c>
      <c r="B29" s="4"/>
      <c r="C29" s="980">
        <f>'4A SWD Case 1'!BG86</f>
        <v>2252.9713671294257</v>
      </c>
      <c r="D29" s="3">
        <f>'4B Biological treatment '!T82</f>
        <v>0.4704078547712553</v>
      </c>
      <c r="E29" s="1495">
        <f>'4B Biological treatment '!U82</f>
        <v>36.848615290414983</v>
      </c>
      <c r="F29" s="1495">
        <f>'4B Biological treatment '!W82</f>
        <v>2.2109169174248993</v>
      </c>
      <c r="G29" s="1184">
        <f>'4C2 Open-burning '!R89</f>
        <v>45.684843472316594</v>
      </c>
      <c r="H29" s="1184">
        <f>'4C2 Open-burning '!Z89</f>
        <v>11.25062136004405</v>
      </c>
      <c r="I29" s="1184">
        <f>'4C2 Open-burning '!AH89</f>
        <v>0.17333089155126519</v>
      </c>
      <c r="J29" s="1220">
        <f>'4D Wastewater treatment and dis'!AV126</f>
        <v>134.80820881535828</v>
      </c>
      <c r="K29" s="981">
        <f>'4D Wastewater treatment and dis'!AW126</f>
        <v>2.8960026562367029</v>
      </c>
      <c r="L29" s="982">
        <f t="shared" ref="L29:L61" si="69">C29*$B$3</f>
        <v>47312.398709717942</v>
      </c>
      <c r="M29" s="983">
        <f t="shared" ref="M29:M61" si="70">D29*$B$3</f>
        <v>9.8785649501963615</v>
      </c>
      <c r="N29" s="982">
        <f t="shared" ref="N29:N61" si="71">E29*$B$3+F29*$C$3</f>
        <v>1459.2051655004334</v>
      </c>
      <c r="O29" s="984">
        <f t="shared" ref="O29:O61" si="72">G29+H29*$B$3+I29*$C$3</f>
        <v>335.68046841413388</v>
      </c>
      <c r="P29" s="982">
        <f t="shared" ref="P29:P61" si="73">J29*$B$3+K29*$C$3</f>
        <v>3728.7332085559019</v>
      </c>
      <c r="Q29" s="583">
        <f t="shared" ref="Q29:Q125" si="74">L29</f>
        <v>47312.398709717942</v>
      </c>
      <c r="R29" s="648">
        <f t="shared" ref="R29:R125" si="75">M29+N29</f>
        <v>1469.0837304506297</v>
      </c>
      <c r="S29" s="645">
        <f t="shared" ref="S29:S125" si="76">O29</f>
        <v>335.68046841413388</v>
      </c>
      <c r="T29" s="583">
        <f t="shared" ref="T29:T125" si="77">P29</f>
        <v>3728.7332085559019</v>
      </c>
      <c r="U29" s="583">
        <f t="shared" ref="U29:U125" si="78">SUM(Q29:T29)</f>
        <v>52845.896117138604</v>
      </c>
      <c r="V29" s="3"/>
      <c r="W29" s="752">
        <f t="shared" ref="W29:W60" si="79">A30</f>
        <v>2019</v>
      </c>
      <c r="X29" s="1382">
        <f t="shared" ref="X29:X60" si="80">Q30</f>
        <v>47916.691555070058</v>
      </c>
      <c r="Y29" s="1384">
        <f t="shared" ref="Y29:Y60" si="81">R30</f>
        <v>1471.4884695340345</v>
      </c>
      <c r="Z29" s="1384">
        <f t="shared" ref="Z29:Z60" si="82">S30</f>
        <v>332.70865797642222</v>
      </c>
      <c r="AA29" s="1384">
        <f t="shared" ref="AA29:AA60" si="83">T30</f>
        <v>3821.6720946853429</v>
      </c>
      <c r="AB29" s="1466">
        <f t="shared" si="26"/>
        <v>53542.560777265862</v>
      </c>
      <c r="AC29" s="1502" t="str">
        <f>'Recycling - Case 1'!T137</f>
        <v>Policies met</v>
      </c>
      <c r="AD29" s="1382">
        <f t="shared" ref="AD29:AD60" si="84">Q64</f>
        <v>47916.691555070058</v>
      </c>
      <c r="AE29" s="1384">
        <f t="shared" ref="AE29:AE60" si="85">R64</f>
        <v>1444.2576908017475</v>
      </c>
      <c r="AF29" s="1384">
        <f t="shared" ref="AF29:AF60" si="86">S64</f>
        <v>332.70865797642222</v>
      </c>
      <c r="AG29" s="1384">
        <f t="shared" ref="AG29:AG60" si="87">T64</f>
        <v>3821.6720946853429</v>
      </c>
      <c r="AH29" s="1466">
        <f t="shared" si="60"/>
        <v>53515.329998533576</v>
      </c>
      <c r="AI29" s="1502" t="str">
        <f>'Recycling - Case 1'!T177</f>
        <v>Policies met</v>
      </c>
      <c r="AJ29" s="1382">
        <f t="shared" ref="AJ29:AJ60" si="88">Q98</f>
        <v>47572.048703910252</v>
      </c>
      <c r="AK29" s="1384">
        <f t="shared" ref="AK29:AK60" si="89">R98</f>
        <v>1525.5397374307915</v>
      </c>
      <c r="AL29" s="1384">
        <f t="shared" ref="AL29:AL60" si="90">S98</f>
        <v>335.91758162413396</v>
      </c>
      <c r="AM29" s="1384">
        <f t="shared" ref="AM29:AM60" si="91">T98</f>
        <v>3922.0671678896119</v>
      </c>
      <c r="AN29" s="1466">
        <f t="shared" ref="AN29:AN60" si="92">U98</f>
        <v>53355.57319085479</v>
      </c>
      <c r="AO29" s="1502" t="str">
        <f>'Recycling - Case 2'!T137</f>
        <v>Policies met</v>
      </c>
      <c r="AP29" s="1382">
        <f t="shared" ref="AP29:AP60" si="93">Q132</f>
        <v>47572.048703910252</v>
      </c>
      <c r="AQ29" s="1384">
        <f t="shared" ref="AQ29:AQ60" si="94">R132</f>
        <v>1270.6924477496029</v>
      </c>
      <c r="AR29" s="1384">
        <f t="shared" ref="AR29:AR60" si="95">S132</f>
        <v>335.91758162413396</v>
      </c>
      <c r="AS29" s="1384">
        <f t="shared" ref="AS29:AS60" si="96">T132</f>
        <v>3922.0671678896119</v>
      </c>
      <c r="AT29" s="1466">
        <f t="shared" si="41"/>
        <v>53100.725901173595</v>
      </c>
      <c r="AU29" s="1502" t="str">
        <f>'Recycling - Case 2'!T177</f>
        <v>Policies met</v>
      </c>
      <c r="AV29" s="1382">
        <f t="shared" si="63"/>
        <v>47572.056283588638</v>
      </c>
      <c r="AW29" s="1384">
        <f t="shared" si="64"/>
        <v>1292.775956578251</v>
      </c>
      <c r="AX29" s="1384">
        <f t="shared" si="65"/>
        <v>335.87589480850568</v>
      </c>
      <c r="AY29" s="1384">
        <f t="shared" si="66"/>
        <v>3922.0671678896119</v>
      </c>
      <c r="AZ29" s="1466">
        <f t="shared" si="67"/>
        <v>53122.775302865011</v>
      </c>
      <c r="BA29" s="1502" t="str">
        <f>'Recycling - Case 2'!T137</f>
        <v>Policies met</v>
      </c>
      <c r="BB29" s="1382">
        <f t="shared" ref="BB29:BB60" si="97">Q200</f>
        <v>47572.056283588638</v>
      </c>
      <c r="BC29" s="1384">
        <f t="shared" ref="BC29:BC60" si="98">R200</f>
        <v>1292.775956578251</v>
      </c>
      <c r="BD29" s="1384">
        <f t="shared" ref="BD29:BD60" si="99">S200</f>
        <v>335.87589480850568</v>
      </c>
      <c r="BE29" s="1384">
        <f t="shared" ref="BE29:BE60" si="100">T200</f>
        <v>3922.0671678896119</v>
      </c>
      <c r="BF29" s="1466">
        <f t="shared" si="51"/>
        <v>53122.775302865011</v>
      </c>
      <c r="BG29" s="1502" t="str">
        <f>'Recycling - Case 2'!T177</f>
        <v>Policies met</v>
      </c>
      <c r="BH29" s="752">
        <f t="shared" si="52"/>
        <v>2019</v>
      </c>
      <c r="BI29" s="1384">
        <f>'Recycling - Case 1'!BV97</f>
        <v>103.19020379288857</v>
      </c>
      <c r="BJ29" s="510">
        <f>'Recycling - Case 1'!BW97</f>
        <v>0.32787799383091415</v>
      </c>
      <c r="BK29" s="1383">
        <f>'Recycling - Case 1'!BX97</f>
        <v>47.93997208489062</v>
      </c>
      <c r="BL29" s="1384">
        <f>'Recycling - Case 1'!BY97</f>
        <v>102.97967922835515</v>
      </c>
      <c r="BM29" s="510">
        <f>'Recycling - Case 1'!BZ97</f>
        <v>0.32516890976935087</v>
      </c>
      <c r="BN29" s="1383">
        <f>'Recycling - Case 1'!CA97</f>
        <v>48.694518386230293</v>
      </c>
      <c r="BO29" s="1386">
        <f>'Recycling - Case 2'!BV97</f>
        <v>105.13531555556591</v>
      </c>
      <c r="BP29" s="510">
        <f>'Recycling - Case 2'!BW97</f>
        <v>0.36636274579971234</v>
      </c>
      <c r="BQ29" s="1383">
        <f>'Recycling - Case 2'!BX97</f>
        <v>47.93997208489062</v>
      </c>
      <c r="BR29" s="1386">
        <f>'Recycling - Case 2'!BY97</f>
        <v>104.96629682486173</v>
      </c>
      <c r="BS29" s="510">
        <f>'Recycling - Case 2'!BZ97</f>
        <v>0.36416613949519694</v>
      </c>
      <c r="BT29" s="1383">
        <f>'Recycling - Case 2'!CA97</f>
        <v>48.694518386230293</v>
      </c>
      <c r="BU29" s="1386">
        <f>'Recycling - Case 3'!BV97</f>
        <v>105.13531555556591</v>
      </c>
      <c r="BV29" s="510">
        <f>'Recycling - Case 3'!BW97</f>
        <v>0.36636274579971234</v>
      </c>
      <c r="BW29" s="1383">
        <f>'Recycling - Case 3'!BX97</f>
        <v>47.93997208489062</v>
      </c>
      <c r="BX29" s="1386">
        <f>'Recycling - Case 3'!BY97</f>
        <v>104.96629682486173</v>
      </c>
      <c r="BY29" s="510">
        <f>'Recycling - Case 3'!BZ97</f>
        <v>0.36416613949519694</v>
      </c>
      <c r="BZ29" s="1385">
        <f>'Recycling - Case 3'!CA97</f>
        <v>48.694518386230293</v>
      </c>
      <c r="CB29" s="805">
        <f>'Recycling - Case 1'!CB97</f>
        <v>4.9396823319553002E-2</v>
      </c>
      <c r="CC29" s="510">
        <f>'Recycling - Case 1'!CC97</f>
        <v>0.1330268439826485</v>
      </c>
      <c r="CD29" s="510">
        <f>'Recycling - Case 1'!CD97</f>
        <v>4.9396823319553002E-2</v>
      </c>
      <c r="CE29" s="510">
        <f>'Recycling - Case 1'!CE97</f>
        <v>0.15941147533803918</v>
      </c>
      <c r="CF29" s="510">
        <f>'Recycling - Case 2'!CB97</f>
        <v>4.0347508485998995E-2</v>
      </c>
      <c r="CG29" s="510">
        <f>'Recycling - Case 2'!CC97</f>
        <v>8.597456529739074E-2</v>
      </c>
      <c r="CH29" s="510">
        <f>'Recycling - Case 2'!CD97</f>
        <v>4.0347508485998995E-2</v>
      </c>
      <c r="CI29" s="510">
        <f>'Recycling - Case 2'!CE97</f>
        <v>0.11122444462222213</v>
      </c>
      <c r="CJ29" s="510">
        <f>'Recycling - Case 3'!CB97</f>
        <v>4.0347508485998995E-2</v>
      </c>
      <c r="CK29" s="510">
        <f>'Recycling - Case 3'!CC97</f>
        <v>8.597456529739074E-2</v>
      </c>
      <c r="CL29" s="510">
        <f>'Recycling - Case 3'!CD97</f>
        <v>4.0347508485998995E-2</v>
      </c>
      <c r="CM29" s="658">
        <f>'Recycling - Case 3'!CE97</f>
        <v>0.11122444462222213</v>
      </c>
    </row>
    <row r="30" spans="1:91">
      <c r="A30" s="4">
        <f>'Input data'!A117</f>
        <v>2019</v>
      </c>
      <c r="B30" s="4"/>
      <c r="C30" s="980">
        <f>'4A SWD Case 1'!BG87</f>
        <v>2281.7472169080979</v>
      </c>
      <c r="D30" s="3">
        <f>'4B Biological treatment '!T83</f>
        <v>0.55494958713098663</v>
      </c>
      <c r="E30" s="1495">
        <f>'4B Biological treatment '!U83</f>
        <v>36.864508287986965</v>
      </c>
      <c r="F30" s="1495">
        <f>'4B Biological treatment '!W83</f>
        <v>2.2118704972792176</v>
      </c>
      <c r="G30" s="1184">
        <f>'4C2 Open-burning '!R90</f>
        <v>45.280391299934749</v>
      </c>
      <c r="H30" s="1184">
        <f>'4C2 Open-burning '!Z90</f>
        <v>11.151018561744593</v>
      </c>
      <c r="I30" s="1184">
        <f>'4C2 Open-burning '!AH90</f>
        <v>0.1717963770317775</v>
      </c>
      <c r="J30" s="1220">
        <f>'4D Wastewater treatment and dis'!AV127</f>
        <v>138.54240079281473</v>
      </c>
      <c r="K30" s="981">
        <f>'4D Wastewater treatment and dis'!AW127</f>
        <v>2.9428441226975277</v>
      </c>
      <c r="L30" s="982">
        <f t="shared" si="69"/>
        <v>47916.691555070058</v>
      </c>
      <c r="M30" s="983">
        <f t="shared" si="70"/>
        <v>11.653941329750719</v>
      </c>
      <c r="N30" s="982">
        <f t="shared" si="71"/>
        <v>1459.8345282042837</v>
      </c>
      <c r="O30" s="984">
        <f t="shared" si="72"/>
        <v>332.70865797642222</v>
      </c>
      <c r="P30" s="982">
        <f t="shared" si="73"/>
        <v>3821.6720946853429</v>
      </c>
      <c r="Q30" s="650">
        <f t="shared" si="74"/>
        <v>47916.691555070058</v>
      </c>
      <c r="R30" s="652">
        <f t="shared" si="75"/>
        <v>1471.4884695340345</v>
      </c>
      <c r="S30" s="649">
        <f t="shared" si="76"/>
        <v>332.70865797642222</v>
      </c>
      <c r="T30" s="650">
        <f t="shared" si="77"/>
        <v>3821.6720946853429</v>
      </c>
      <c r="U30" s="650">
        <f t="shared" si="78"/>
        <v>53542.560777265862</v>
      </c>
      <c r="V30" s="3"/>
      <c r="W30" s="752">
        <f t="shared" si="79"/>
        <v>2020</v>
      </c>
      <c r="X30" s="1382">
        <f t="shared" si="80"/>
        <v>48367.055088757734</v>
      </c>
      <c r="Y30" s="1384">
        <f t="shared" si="81"/>
        <v>1327.2267663940122</v>
      </c>
      <c r="Z30" s="1384">
        <f t="shared" si="82"/>
        <v>330.03652894956588</v>
      </c>
      <c r="AA30" s="1384">
        <f t="shared" si="83"/>
        <v>3916.6402461682742</v>
      </c>
      <c r="AB30" s="1466">
        <f t="shared" si="26"/>
        <v>53940.95863026959</v>
      </c>
      <c r="AC30" s="1502" t="str">
        <f>'Recycling - Case 1'!T138</f>
        <v>Policies met</v>
      </c>
      <c r="AD30" s="1382">
        <f t="shared" si="84"/>
        <v>48367.055088757734</v>
      </c>
      <c r="AE30" s="1384">
        <f t="shared" si="85"/>
        <v>1202.7616822133684</v>
      </c>
      <c r="AF30" s="1384">
        <f t="shared" si="86"/>
        <v>330.03652894956588</v>
      </c>
      <c r="AG30" s="1384">
        <f t="shared" si="87"/>
        <v>3916.6402461682742</v>
      </c>
      <c r="AH30" s="1466">
        <f t="shared" si="60"/>
        <v>53816.493546088946</v>
      </c>
      <c r="AI30" s="1502" t="str">
        <f>'Recycling - Case 1'!T178</f>
        <v>Policies met</v>
      </c>
      <c r="AJ30" s="1382">
        <f t="shared" si="88"/>
        <v>47704.137824690857</v>
      </c>
      <c r="AK30" s="1384">
        <f t="shared" si="89"/>
        <v>1408.1870660601253</v>
      </c>
      <c r="AL30" s="1384">
        <f t="shared" si="90"/>
        <v>333.46522438893732</v>
      </c>
      <c r="AM30" s="1384">
        <f t="shared" si="91"/>
        <v>4069.6685524307268</v>
      </c>
      <c r="AN30" s="1466">
        <f t="shared" si="92"/>
        <v>53515.458667570645</v>
      </c>
      <c r="AO30" s="1502" t="str">
        <f>'Recycling - Case 2'!T138</f>
        <v>Policies met</v>
      </c>
      <c r="AP30" s="1382">
        <f t="shared" si="93"/>
        <v>47704.137824690857</v>
      </c>
      <c r="AQ30" s="1384">
        <f t="shared" si="94"/>
        <v>987.97308916417569</v>
      </c>
      <c r="AR30" s="1384">
        <f t="shared" si="95"/>
        <v>333.46522438893732</v>
      </c>
      <c r="AS30" s="1384">
        <f t="shared" si="96"/>
        <v>4069.6685524307268</v>
      </c>
      <c r="AT30" s="1466">
        <f t="shared" si="41"/>
        <v>53095.244690674692</v>
      </c>
      <c r="AU30" s="1502" t="str">
        <f>'Recycling - Case 2'!T178</f>
        <v>Policies met</v>
      </c>
      <c r="AV30" s="1382">
        <f t="shared" si="63"/>
        <v>47704.160367515295</v>
      </c>
      <c r="AW30" s="1384">
        <f t="shared" si="64"/>
        <v>1082.7965821271721</v>
      </c>
      <c r="AX30" s="1384">
        <f t="shared" si="65"/>
        <v>333.46522438893732</v>
      </c>
      <c r="AY30" s="1384">
        <f t="shared" si="66"/>
        <v>4069.6685524307268</v>
      </c>
      <c r="AZ30" s="1466">
        <f t="shared" si="67"/>
        <v>53190.090726462127</v>
      </c>
      <c r="BA30" s="1502" t="str">
        <f>'Recycling - Case 2'!T138</f>
        <v>Policies met</v>
      </c>
      <c r="BB30" s="1382">
        <f t="shared" si="97"/>
        <v>47704.160367515295</v>
      </c>
      <c r="BC30" s="1384">
        <f t="shared" si="98"/>
        <v>1082.7965821271719</v>
      </c>
      <c r="BD30" s="1384">
        <f t="shared" si="99"/>
        <v>333.46522438893732</v>
      </c>
      <c r="BE30" s="1384">
        <f t="shared" si="100"/>
        <v>4069.6685524307268</v>
      </c>
      <c r="BF30" s="1466">
        <f t="shared" si="51"/>
        <v>53190.090726462127</v>
      </c>
      <c r="BG30" s="1502" t="str">
        <f>'Recycling - Case 2'!T178</f>
        <v>Policies met</v>
      </c>
      <c r="BH30" s="752">
        <f t="shared" si="52"/>
        <v>2020</v>
      </c>
      <c r="BI30" s="1384">
        <f>'Recycling - Case 1'!BV98</f>
        <v>93.236247574788607</v>
      </c>
      <c r="BJ30" s="510">
        <f>'Recycling - Case 1'!BW98</f>
        <v>0.34722106446039624</v>
      </c>
      <c r="BK30" s="1383">
        <f>'Recycling - Case 1'!BX98</f>
        <v>45.386383927997286</v>
      </c>
      <c r="BL30" s="1384">
        <f>'Recycling - Case 1'!BY98</f>
        <v>92.292350340185109</v>
      </c>
      <c r="BM30" s="510">
        <f>'Recycling - Case 1'!BZ98</f>
        <v>0.33358218183458371</v>
      </c>
      <c r="BN30" s="1383">
        <f>'Recycling - Case 1'!CA98</f>
        <v>48.694518386230293</v>
      </c>
      <c r="BO30" s="1386">
        <f>'Recycling - Case 2'!BV98</f>
        <v>93.422486520701057</v>
      </c>
      <c r="BP30" s="510">
        <f>'Recycling - Case 2'!BW98</f>
        <v>0.42020821693168348</v>
      </c>
      <c r="BQ30" s="1383">
        <f>'Recycling - Case 2'!BX98</f>
        <v>45.386383927997286</v>
      </c>
      <c r="BR30" s="1386">
        <f>'Recycling - Case 2'!BY98</f>
        <v>92.700137974946699</v>
      </c>
      <c r="BS30" s="510">
        <f>'Recycling - Case 2'!BZ98</f>
        <v>0.40922707761099464</v>
      </c>
      <c r="BT30" s="1383">
        <f>'Recycling - Case 2'!CA98</f>
        <v>48.694518386230293</v>
      </c>
      <c r="BU30" s="1386">
        <f>'Recycling - Case 3'!BV98</f>
        <v>93.422486520701057</v>
      </c>
      <c r="BV30" s="510">
        <f>'Recycling - Case 3'!BW98</f>
        <v>0.42020821693168348</v>
      </c>
      <c r="BW30" s="1383">
        <f>'Recycling - Case 3'!BX98</f>
        <v>45.386383927997286</v>
      </c>
      <c r="BX30" s="1386">
        <f>'Recycling - Case 3'!BY98</f>
        <v>92.700137974946699</v>
      </c>
      <c r="BY30" s="510">
        <f>'Recycling - Case 3'!BZ98</f>
        <v>0.40922707761099464</v>
      </c>
      <c r="BZ30" s="1385">
        <f>'Recycling - Case 3'!CA98</f>
        <v>48.694518386230293</v>
      </c>
      <c r="CB30" s="805">
        <f>'Recycling - Case 1'!CB98</f>
        <v>7.2040423567521938E-2</v>
      </c>
      <c r="CC30" s="510">
        <f>'Recycling - Case 1'!CC98</f>
        <v>0.27785487274421622</v>
      </c>
      <c r="CD30" s="510">
        <f>'Recycling - Case 1'!CD98</f>
        <v>7.2040423567521938E-2</v>
      </c>
      <c r="CE30" s="510">
        <f>'Recycling - Case 1'!CE98</f>
        <v>0.40318499738108626</v>
      </c>
      <c r="CF30" s="510">
        <f>'Recycling - Case 2'!CB98</f>
        <v>6.2400003527468412E-2</v>
      </c>
      <c r="CG30" s="510">
        <f>'Recycling - Case 2'!CC98</f>
        <v>0.27951549340438347</v>
      </c>
      <c r="CH30" s="510">
        <f>'Recycling - Case 2'!CD98</f>
        <v>6.2400003527468412E-2</v>
      </c>
      <c r="CI30" s="510">
        <f>'Recycling - Case 2'!CE98</f>
        <v>0.39831539277661704</v>
      </c>
      <c r="CJ30" s="510">
        <f>'Recycling - Case 3'!CB98</f>
        <v>6.2400003527468412E-2</v>
      </c>
      <c r="CK30" s="510">
        <f>'Recycling - Case 3'!CC98</f>
        <v>0.27951549340438347</v>
      </c>
      <c r="CL30" s="510">
        <f>'Recycling - Case 3'!CD98</f>
        <v>6.2400003527468412E-2</v>
      </c>
      <c r="CM30" s="658">
        <f>'Recycling - Case 3'!CE98</f>
        <v>0.39831539277661704</v>
      </c>
    </row>
    <row r="31" spans="1:91">
      <c r="A31" s="4">
        <f>'Input data'!A118</f>
        <v>2020</v>
      </c>
      <c r="B31" s="4"/>
      <c r="C31" s="980">
        <f>'4A SWD Case 1'!BG88</f>
        <v>2303.1930994646541</v>
      </c>
      <c r="D31" s="3">
        <f>'4B Biological treatment '!T84</f>
        <v>0.57755733959704614</v>
      </c>
      <c r="E31" s="1495">
        <f>'4B Biological treatment '!U84</f>
        <v>33.209547026830158</v>
      </c>
      <c r="F31" s="1495">
        <f>'4B Biological treatment '!W84</f>
        <v>1.9925728216098093</v>
      </c>
      <c r="G31" s="1184">
        <f>'4C2 Open-burning '!R91</f>
        <v>44.916724635304277</v>
      </c>
      <c r="H31" s="1184">
        <f>'4C2 Open-burning '!Z91</f>
        <v>11.061459845241448</v>
      </c>
      <c r="I31" s="1184">
        <f>'4C2 Open-burning '!AH91</f>
        <v>0.17041660504577799</v>
      </c>
      <c r="J31" s="1220">
        <f>'4D Wastewater treatment and dis'!AV128</f>
        <v>142.36205971856938</v>
      </c>
      <c r="K31" s="981">
        <f>'4D Wastewater treatment and dis'!AW128</f>
        <v>2.9904419099300554</v>
      </c>
      <c r="L31" s="982">
        <f t="shared" si="69"/>
        <v>48367.055088757734</v>
      </c>
      <c r="M31" s="983">
        <f t="shared" si="70"/>
        <v>12.128704131537969</v>
      </c>
      <c r="N31" s="982">
        <f t="shared" si="71"/>
        <v>1315.0980622624743</v>
      </c>
      <c r="O31" s="984">
        <f t="shared" si="72"/>
        <v>330.03652894956588</v>
      </c>
      <c r="P31" s="982">
        <f t="shared" si="73"/>
        <v>3916.6402461682742</v>
      </c>
      <c r="Q31" s="650">
        <f t="shared" si="74"/>
        <v>48367.055088757734</v>
      </c>
      <c r="R31" s="652">
        <f t="shared" si="75"/>
        <v>1327.2267663940122</v>
      </c>
      <c r="S31" s="649">
        <f t="shared" si="76"/>
        <v>330.03652894956588</v>
      </c>
      <c r="T31" s="650">
        <f t="shared" si="77"/>
        <v>3916.6402461682742</v>
      </c>
      <c r="U31" s="650">
        <f t="shared" si="78"/>
        <v>53940.95863026959</v>
      </c>
      <c r="V31" s="3"/>
      <c r="W31" s="752">
        <f t="shared" si="79"/>
        <v>2021</v>
      </c>
      <c r="X31" s="1382">
        <f t="shared" si="80"/>
        <v>48486.494274091812</v>
      </c>
      <c r="Y31" s="1384">
        <f t="shared" si="81"/>
        <v>1320.3775094404903</v>
      </c>
      <c r="Z31" s="1384">
        <f t="shared" si="82"/>
        <v>326.17170830589566</v>
      </c>
      <c r="AA31" s="1384">
        <f t="shared" si="83"/>
        <v>3995.2820715317216</v>
      </c>
      <c r="AB31" s="1466">
        <f t="shared" si="26"/>
        <v>54128.325563369923</v>
      </c>
      <c r="AC31" s="1502" t="str">
        <f>'Recycling - Case 1'!T139</f>
        <v>Policies met</v>
      </c>
      <c r="AD31" s="1382">
        <f t="shared" si="84"/>
        <v>48486.494274091812</v>
      </c>
      <c r="AE31" s="1384">
        <f t="shared" si="85"/>
        <v>1198.5384862649321</v>
      </c>
      <c r="AF31" s="1384">
        <f t="shared" si="86"/>
        <v>326.17170830589566</v>
      </c>
      <c r="AG31" s="1384">
        <f t="shared" si="87"/>
        <v>3995.2820715317216</v>
      </c>
      <c r="AH31" s="1466">
        <f t="shared" si="60"/>
        <v>54006.486540194361</v>
      </c>
      <c r="AI31" s="1502" t="str">
        <f>'Recycling - Case 1'!T179</f>
        <v>Policies met</v>
      </c>
      <c r="AJ31" s="1382">
        <f t="shared" si="88"/>
        <v>47449.562596576608</v>
      </c>
      <c r="AK31" s="1384">
        <f t="shared" si="89"/>
        <v>1211.1639961309927</v>
      </c>
      <c r="AL31" s="1384">
        <f t="shared" si="90"/>
        <v>313.47743956132365</v>
      </c>
      <c r="AM31" s="1384">
        <f t="shared" si="91"/>
        <v>4201.6695034402455</v>
      </c>
      <c r="AN31" s="1466">
        <f t="shared" si="92"/>
        <v>53175.873535709165</v>
      </c>
      <c r="AO31" s="1502" t="str">
        <f>'Recycling - Case 2'!T139</f>
        <v>Policies met</v>
      </c>
      <c r="AP31" s="1382">
        <f t="shared" si="93"/>
        <v>47449.562596576608</v>
      </c>
      <c r="AQ31" s="1384">
        <f t="shared" si="94"/>
        <v>739.41056744553646</v>
      </c>
      <c r="AR31" s="1384">
        <f t="shared" si="95"/>
        <v>313.47743956132365</v>
      </c>
      <c r="AS31" s="1384">
        <f t="shared" si="96"/>
        <v>4201.6695034402455</v>
      </c>
      <c r="AT31" s="1466">
        <f t="shared" si="41"/>
        <v>52704.120107023708</v>
      </c>
      <c r="AU31" s="1502" t="str">
        <f>'Recycling - Case 2'!T179</f>
        <v>Policies met</v>
      </c>
      <c r="AV31" s="1382">
        <f t="shared" si="63"/>
        <v>47449.607307169012</v>
      </c>
      <c r="AW31" s="1384">
        <f t="shared" si="64"/>
        <v>834.38402831169572</v>
      </c>
      <c r="AX31" s="1384">
        <f t="shared" si="65"/>
        <v>313.47743956132365</v>
      </c>
      <c r="AY31" s="1384">
        <f t="shared" si="66"/>
        <v>4201.6695034402455</v>
      </c>
      <c r="AZ31" s="1466">
        <f t="shared" si="67"/>
        <v>52799.138278482271</v>
      </c>
      <c r="BA31" s="1502" t="str">
        <f>'Recycling - Case 2'!T139</f>
        <v>Policies met</v>
      </c>
      <c r="BB31" s="1382">
        <f t="shared" si="97"/>
        <v>47449.607307169026</v>
      </c>
      <c r="BC31" s="1384">
        <f t="shared" si="98"/>
        <v>834.38402831169549</v>
      </c>
      <c r="BD31" s="1384">
        <f t="shared" si="99"/>
        <v>313.47743956132365</v>
      </c>
      <c r="BE31" s="1384">
        <f t="shared" si="100"/>
        <v>4201.6695034402455</v>
      </c>
      <c r="BF31" s="1466">
        <f t="shared" si="51"/>
        <v>52799.138278482285</v>
      </c>
      <c r="BG31" s="1502" t="str">
        <f>'Recycling - Case 2'!T179</f>
        <v>Policies met</v>
      </c>
      <c r="BH31" s="752">
        <f t="shared" si="52"/>
        <v>2021</v>
      </c>
      <c r="BI31" s="1384">
        <f>'Recycling - Case 1'!BV99</f>
        <v>91.121395955279723</v>
      </c>
      <c r="BJ31" s="510">
        <f>'Recycling - Case 1'!BW99</f>
        <v>0.36065982190439488</v>
      </c>
      <c r="BK31" s="1383">
        <f>'Recycling - Case 1'!BX99</f>
        <v>45.579683429913523</v>
      </c>
      <c r="BL31" s="1384">
        <f>'Recycling - Case 1'!BY99</f>
        <v>90.215401040041939</v>
      </c>
      <c r="BM31" s="510">
        <f>'Recycling - Case 1'!BZ99</f>
        <v>0.34713115646758858</v>
      </c>
      <c r="BN31" s="1383">
        <f>'Recycling - Case 1'!CA99</f>
        <v>48.694518386230293</v>
      </c>
      <c r="BO31" s="1386">
        <f>'Recycling - Case 2'!BV99</f>
        <v>79.937207640918672</v>
      </c>
      <c r="BP31" s="510">
        <f>'Recycling - Case 2'!BW99</f>
        <v>0.48367985270671349</v>
      </c>
      <c r="BQ31" s="1383">
        <f>'Recycling - Case 2'!BX99</f>
        <v>45.579683429913523</v>
      </c>
      <c r="BR31" s="1386">
        <f>'Recycling - Case 2'!BY99</f>
        <v>79.174058172908445</v>
      </c>
      <c r="BS31" s="510">
        <f>'Recycling - Case 2'!BZ99</f>
        <v>0.46951536630913004</v>
      </c>
      <c r="BT31" s="1383">
        <f>'Recycling - Case 2'!CA99</f>
        <v>48.694518386230293</v>
      </c>
      <c r="BU31" s="1386">
        <f>'Recycling - Case 3'!BV99</f>
        <v>79.937207640918672</v>
      </c>
      <c r="BV31" s="510">
        <f>'Recycling - Case 3'!BW99</f>
        <v>0.48367985270671349</v>
      </c>
      <c r="BW31" s="1383">
        <f>'Recycling - Case 3'!BX99</f>
        <v>45.579683429913523</v>
      </c>
      <c r="BX31" s="1386">
        <f>'Recycling - Case 3'!BY99</f>
        <v>79.174058172908445</v>
      </c>
      <c r="BY31" s="510">
        <f>'Recycling - Case 3'!BZ99</f>
        <v>0.46951536630913004</v>
      </c>
      <c r="BZ31" s="1385">
        <f>'Recycling - Case 3'!CA99</f>
        <v>48.694518386230293</v>
      </c>
      <c r="CB31" s="805">
        <f>'Recycling - Case 1'!CB99</f>
        <v>9.33480577895337E-2</v>
      </c>
      <c r="CC31" s="510">
        <f>'Recycling - Case 1'!CC99</f>
        <v>0.35220852480952181</v>
      </c>
      <c r="CD31" s="510">
        <f>'Recycling - Case 1'!CD99</f>
        <v>9.33480577895337E-2</v>
      </c>
      <c r="CE31" s="510">
        <f>'Recycling - Case 1'!CE99</f>
        <v>0.46815022580110577</v>
      </c>
      <c r="CF31" s="510">
        <f>'Recycling - Case 2'!CB99</f>
        <v>0.12863402257166001</v>
      </c>
      <c r="CG31" s="510">
        <f>'Recycling - Case 2'!CC99</f>
        <v>0.64881026886200277</v>
      </c>
      <c r="CH31" s="510">
        <f>'Recycling - Case 2'!CD99</f>
        <v>0.12863402257166001</v>
      </c>
      <c r="CI31" s="510">
        <f>'Recycling - Case 2'!CE99</f>
        <v>0.76063298331112372</v>
      </c>
      <c r="CJ31" s="510">
        <f>'Recycling - Case 3'!CB99</f>
        <v>0.12863402257166001</v>
      </c>
      <c r="CK31" s="510">
        <f>'Recycling - Case 3'!CC99</f>
        <v>0.64881026886200277</v>
      </c>
      <c r="CL31" s="510">
        <f>'Recycling - Case 3'!CD99</f>
        <v>0.12863402257166001</v>
      </c>
      <c r="CM31" s="658">
        <f>'Recycling - Case 3'!CE99</f>
        <v>0.76063298331112372</v>
      </c>
    </row>
    <row r="32" spans="1:91">
      <c r="A32" s="4">
        <f>'Input data'!A119</f>
        <v>2021</v>
      </c>
      <c r="B32" s="4"/>
      <c r="C32" s="980">
        <f>'4A SWD Case 1'!BG89</f>
        <v>2308.8806797186576</v>
      </c>
      <c r="D32" s="3">
        <f>'4B Biological treatment '!T85</f>
        <v>0.65268290135466633</v>
      </c>
      <c r="E32" s="1495">
        <f>'4B Biological treatment '!U85</f>
        <v>32.996746679597024</v>
      </c>
      <c r="F32" s="1495">
        <f>'4B Biological treatment '!W85</f>
        <v>1.9798048007758213</v>
      </c>
      <c r="G32" s="1184">
        <f>'4C2 Open-burning '!R92</f>
        <v>44.39073714789162</v>
      </c>
      <c r="H32" s="1184">
        <f>'4C2 Open-burning '!Z92</f>
        <v>10.931927037175978</v>
      </c>
      <c r="I32" s="1184">
        <f>'4C2 Open-burning '!AH92</f>
        <v>0.16842097863647904</v>
      </c>
      <c r="J32" s="1220">
        <f>'4D Wastewater treatment and dis'!AV129</f>
        <v>145.59854093589945</v>
      </c>
      <c r="K32" s="981">
        <f>'4D Wastewater treatment and dis'!AW129</f>
        <v>3.024879715734945</v>
      </c>
      <c r="L32" s="982">
        <f t="shared" si="69"/>
        <v>48486.494274091812</v>
      </c>
      <c r="M32" s="983">
        <f t="shared" si="70"/>
        <v>13.706340928447993</v>
      </c>
      <c r="N32" s="982">
        <f t="shared" si="71"/>
        <v>1306.6711685120422</v>
      </c>
      <c r="O32" s="984">
        <f t="shared" si="72"/>
        <v>326.17170830589566</v>
      </c>
      <c r="P32" s="982">
        <f t="shared" si="73"/>
        <v>3995.2820715317216</v>
      </c>
      <c r="Q32" s="650">
        <f t="shared" si="74"/>
        <v>48486.494274091812</v>
      </c>
      <c r="R32" s="652">
        <f t="shared" si="75"/>
        <v>1320.3775094404903</v>
      </c>
      <c r="S32" s="649">
        <f t="shared" si="76"/>
        <v>326.17170830589566</v>
      </c>
      <c r="T32" s="650">
        <f t="shared" si="77"/>
        <v>3995.2820715317216</v>
      </c>
      <c r="U32" s="650">
        <f t="shared" si="78"/>
        <v>54128.325563369923</v>
      </c>
      <c r="V32" s="3"/>
      <c r="W32" s="752">
        <f t="shared" si="79"/>
        <v>2022</v>
      </c>
      <c r="X32" s="1382">
        <f t="shared" si="80"/>
        <v>48520.386688570368</v>
      </c>
      <c r="Y32" s="1384">
        <f t="shared" si="81"/>
        <v>1319.6894839077916</v>
      </c>
      <c r="Z32" s="1384">
        <f t="shared" si="82"/>
        <v>322.64861312523112</v>
      </c>
      <c r="AA32" s="1384">
        <f t="shared" si="83"/>
        <v>4075.1576379006751</v>
      </c>
      <c r="AB32" s="1466">
        <f t="shared" si="26"/>
        <v>54237.882423504067</v>
      </c>
      <c r="AC32" s="1502" t="str">
        <f>'Recycling - Case 1'!T140</f>
        <v>Policies met</v>
      </c>
      <c r="AD32" s="1382">
        <f t="shared" si="84"/>
        <v>48520.386688570368</v>
      </c>
      <c r="AE32" s="1384">
        <f t="shared" si="85"/>
        <v>1188.545184495051</v>
      </c>
      <c r="AF32" s="1384">
        <f t="shared" si="86"/>
        <v>322.64861312523112</v>
      </c>
      <c r="AG32" s="1384">
        <f t="shared" si="87"/>
        <v>4075.1576379006751</v>
      </c>
      <c r="AH32" s="1466">
        <f t="shared" si="60"/>
        <v>54106.738124091324</v>
      </c>
      <c r="AI32" s="1502" t="str">
        <f>'Recycling - Case 1'!T180</f>
        <v>Policies met</v>
      </c>
      <c r="AJ32" s="1382">
        <f t="shared" si="88"/>
        <v>46837.221976393514</v>
      </c>
      <c r="AK32" s="1384">
        <f t="shared" si="89"/>
        <v>924.99475711373179</v>
      </c>
      <c r="AL32" s="1384">
        <f t="shared" si="90"/>
        <v>266.60924533734647</v>
      </c>
      <c r="AM32" s="1384">
        <f t="shared" si="91"/>
        <v>4336.1091427486772</v>
      </c>
      <c r="AN32" s="1466">
        <f t="shared" si="92"/>
        <v>52364.935121593269</v>
      </c>
      <c r="AO32" s="1502" t="str">
        <f>'Recycling - Case 2'!T140</f>
        <v>Policies not met</v>
      </c>
      <c r="AP32" s="1382">
        <f t="shared" si="93"/>
        <v>46837.221976393514</v>
      </c>
      <c r="AQ32" s="1384">
        <f t="shared" si="94"/>
        <v>561.7688624733978</v>
      </c>
      <c r="AR32" s="1384">
        <f t="shared" si="95"/>
        <v>266.60924533734647</v>
      </c>
      <c r="AS32" s="1384">
        <f t="shared" si="96"/>
        <v>4336.1091427486772</v>
      </c>
      <c r="AT32" s="1466">
        <f t="shared" si="41"/>
        <v>52001.709226952938</v>
      </c>
      <c r="AU32" s="1502" t="str">
        <f>'Recycling - Case 2'!T180</f>
        <v>Policies not met</v>
      </c>
      <c r="AV32" s="1382">
        <f t="shared" si="63"/>
        <v>46837.295751191741</v>
      </c>
      <c r="AW32" s="1384">
        <f t="shared" si="64"/>
        <v>561.7688624733978</v>
      </c>
      <c r="AX32" s="1384">
        <f t="shared" si="65"/>
        <v>266.60924533734647</v>
      </c>
      <c r="AY32" s="1384">
        <f t="shared" si="66"/>
        <v>4336.1091427486772</v>
      </c>
      <c r="AZ32" s="1466">
        <f t="shared" si="67"/>
        <v>52001.783001751166</v>
      </c>
      <c r="BA32" s="1502" t="str">
        <f>'Recycling - Case 2'!T140</f>
        <v>Policies not met</v>
      </c>
      <c r="BB32" s="1382">
        <f t="shared" si="97"/>
        <v>46837.295751191748</v>
      </c>
      <c r="BC32" s="1384">
        <f t="shared" si="98"/>
        <v>561.7688624733978</v>
      </c>
      <c r="BD32" s="1384">
        <f t="shared" si="99"/>
        <v>266.60924533734647</v>
      </c>
      <c r="BE32" s="1384">
        <f t="shared" si="100"/>
        <v>4336.1091427486772</v>
      </c>
      <c r="BF32" s="1466">
        <f t="shared" si="51"/>
        <v>52001.783001751173</v>
      </c>
      <c r="BG32" s="1502" t="str">
        <f>'Recycling - Case 2'!T180</f>
        <v>Policies not met</v>
      </c>
      <c r="BH32" s="752">
        <f t="shared" si="52"/>
        <v>2022</v>
      </c>
      <c r="BI32" s="1384">
        <f>'Recycling - Case 1'!BV100</f>
        <v>89.097350466517042</v>
      </c>
      <c r="BJ32" s="510">
        <f>'Recycling - Case 1'!BW100</f>
        <v>0.37644770728971494</v>
      </c>
      <c r="BK32" s="1383">
        <f>'Recycling - Case 1'!BX100</f>
        <v>45.46099075329829</v>
      </c>
      <c r="BL32" s="1384">
        <f>'Recycling - Case 1'!BY100</f>
        <v>88.141834686702154</v>
      </c>
      <c r="BM32" s="510">
        <f>'Recycling - Case 1'!BZ100</f>
        <v>0.36168612911125242</v>
      </c>
      <c r="BN32" s="1383">
        <f>'Recycling - Case 1'!CA100</f>
        <v>48.694518386230293</v>
      </c>
      <c r="BO32" s="1386">
        <f>'Recycling - Case 2'!BV100</f>
        <v>69.633815680742345</v>
      </c>
      <c r="BP32" s="510">
        <f>'Recycling - Case 2'!BW100</f>
        <v>0.50754435711610713</v>
      </c>
      <c r="BQ32" s="1383">
        <f>'Recycling - Case 2'!BX100</f>
        <v>45.46099075329829</v>
      </c>
      <c r="BR32" s="1386">
        <f>'Recycling - Case 2'!BY100</f>
        <v>72.86734331367434</v>
      </c>
      <c r="BS32" s="510">
        <f>'Recycling - Case 2'!BZ100</f>
        <v>0.49306648085014837</v>
      </c>
      <c r="BT32" s="1383">
        <f>'Recycling - Case 2'!CA100</f>
        <v>48.694518386230293</v>
      </c>
      <c r="BU32" s="1386">
        <f>'Recycling - Case 3'!BV100</f>
        <v>69.633815680742345</v>
      </c>
      <c r="BV32" s="510">
        <f>'Recycling - Case 3'!BW100</f>
        <v>0.50754435711610713</v>
      </c>
      <c r="BW32" s="1383">
        <f>'Recycling - Case 3'!BX100</f>
        <v>45.46099075329829</v>
      </c>
      <c r="BX32" s="1386">
        <f>'Recycling - Case 3'!BY100</f>
        <v>72.86734331367434</v>
      </c>
      <c r="BY32" s="510">
        <f>'Recycling - Case 3'!BZ100</f>
        <v>0.49306648085014837</v>
      </c>
      <c r="BZ32" s="1385">
        <f>'Recycling - Case 3'!CA100</f>
        <v>48.694518386230293</v>
      </c>
      <c r="CB32" s="805">
        <f>'Recycling - Case 1'!CB100</f>
        <v>0.11333908411575319</v>
      </c>
      <c r="CC32" s="510">
        <f>'Recycling - Case 1'!CC100</f>
        <v>0.41221205302353037</v>
      </c>
      <c r="CD32" s="510">
        <f>'Recycling - Case 1'!CD100</f>
        <v>0.11333908411575319</v>
      </c>
      <c r="CE32" s="510">
        <f>'Recycling - Case 1'!CE100</f>
        <v>0.53053830463206186</v>
      </c>
      <c r="CF32" s="510">
        <f>'Recycling - Case 2'!CB100</f>
        <v>0.26733917941166707</v>
      </c>
      <c r="CG32" s="510">
        <f>'Recycling - Case 2'!CC100</f>
        <v>0.85</v>
      </c>
      <c r="CH32" s="510">
        <f>'Recycling - Case 2'!CD100</f>
        <v>0.26733917941166707</v>
      </c>
      <c r="CI32" s="510">
        <f>'Recycling - Case 2'!CE100</f>
        <v>0.85</v>
      </c>
      <c r="CJ32" s="510">
        <f>'Recycling - Case 3'!CB100</f>
        <v>0.26733917941166707</v>
      </c>
      <c r="CK32" s="510">
        <f>'Recycling - Case 3'!CC100</f>
        <v>0.85</v>
      </c>
      <c r="CL32" s="510">
        <f>'Recycling - Case 3'!CD100</f>
        <v>0.26733917941166707</v>
      </c>
      <c r="CM32" s="658">
        <f>'Recycling - Case 3'!CE100</f>
        <v>0.85</v>
      </c>
    </row>
    <row r="33" spans="1:91">
      <c r="A33" s="4">
        <f>'Input data'!A120</f>
        <v>2022</v>
      </c>
      <c r="B33" s="4"/>
      <c r="C33" s="980">
        <f>'4A SWD Case 1'!BG90</f>
        <v>2310.4946042176366</v>
      </c>
      <c r="D33" s="3">
        <f>'4B Biological treatment '!T86</f>
        <v>0.73194092285512569</v>
      </c>
      <c r="E33" s="1495">
        <f>'4B Biological treatment '!U86</f>
        <v>32.937341528480658</v>
      </c>
      <c r="F33" s="1495">
        <f>'4B Biological treatment '!W86</f>
        <v>1.9762404917088392</v>
      </c>
      <c r="G33" s="1184">
        <f>'4C2 Open-burning '!R93</f>
        <v>43.91125720487581</v>
      </c>
      <c r="H33" s="1184">
        <f>'4C2 Open-burning '!Z93</f>
        <v>10.813847453694965</v>
      </c>
      <c r="I33" s="1184">
        <f>'4C2 Open-burning '!AH93</f>
        <v>0.16660180449277767</v>
      </c>
      <c r="J33" s="1220">
        <f>'4D Wastewater treatment and dis'!AV130</f>
        <v>148.88856151515967</v>
      </c>
      <c r="K33" s="981">
        <f>'4D Wastewater treatment and dis'!AW130</f>
        <v>3.0596704712332969</v>
      </c>
      <c r="L33" s="982">
        <f t="shared" si="69"/>
        <v>48520.386688570368</v>
      </c>
      <c r="M33" s="983">
        <f t="shared" si="70"/>
        <v>15.37075937995764</v>
      </c>
      <c r="N33" s="982">
        <f t="shared" si="71"/>
        <v>1304.3187245278339</v>
      </c>
      <c r="O33" s="984">
        <f t="shared" si="72"/>
        <v>322.64861312523112</v>
      </c>
      <c r="P33" s="982">
        <f t="shared" si="73"/>
        <v>4075.1576379006751</v>
      </c>
      <c r="Q33" s="650">
        <f t="shared" si="74"/>
        <v>48520.386688570368</v>
      </c>
      <c r="R33" s="652">
        <f t="shared" si="75"/>
        <v>1319.6894839077916</v>
      </c>
      <c r="S33" s="649">
        <f t="shared" si="76"/>
        <v>322.64861312523112</v>
      </c>
      <c r="T33" s="650">
        <f t="shared" si="77"/>
        <v>4075.1576379006751</v>
      </c>
      <c r="U33" s="650">
        <f t="shared" si="78"/>
        <v>54237.882423504067</v>
      </c>
      <c r="V33" s="3"/>
      <c r="W33" s="752">
        <f t="shared" si="79"/>
        <v>2023</v>
      </c>
      <c r="X33" s="1382">
        <f t="shared" si="80"/>
        <v>48472.424916666474</v>
      </c>
      <c r="Y33" s="1384">
        <f t="shared" si="81"/>
        <v>1320.372220608718</v>
      </c>
      <c r="Z33" s="1384">
        <f t="shared" si="82"/>
        <v>319.48630069981971</v>
      </c>
      <c r="AA33" s="1384">
        <f t="shared" si="83"/>
        <v>4156.4141151158683</v>
      </c>
      <c r="AB33" s="1466">
        <f t="shared" si="26"/>
        <v>54268.697553090882</v>
      </c>
      <c r="AC33" s="1502" t="str">
        <f>'Recycling - Case 1'!T141</f>
        <v>Policies met</v>
      </c>
      <c r="AD33" s="1382">
        <f t="shared" si="84"/>
        <v>48472.424916666474</v>
      </c>
      <c r="AE33" s="1384">
        <f t="shared" si="85"/>
        <v>1187.8590665189836</v>
      </c>
      <c r="AF33" s="1384">
        <f t="shared" si="86"/>
        <v>319.48630069981971</v>
      </c>
      <c r="AG33" s="1384">
        <f t="shared" si="87"/>
        <v>4156.4141151158683</v>
      </c>
      <c r="AH33" s="1466">
        <f t="shared" si="60"/>
        <v>54136.184399001148</v>
      </c>
      <c r="AI33" s="1502" t="str">
        <f>'Recycling - Case 1'!T181</f>
        <v>Policies met</v>
      </c>
      <c r="AJ33" s="1382">
        <f t="shared" si="88"/>
        <v>46036.135749814741</v>
      </c>
      <c r="AK33" s="1384">
        <f t="shared" si="89"/>
        <v>902.79376274868412</v>
      </c>
      <c r="AL33" s="1384">
        <f t="shared" si="90"/>
        <v>256.91392969227348</v>
      </c>
      <c r="AM33" s="1384">
        <f t="shared" si="91"/>
        <v>4473.1630222529147</v>
      </c>
      <c r="AN33" s="1466">
        <f t="shared" si="92"/>
        <v>51669.006464508609</v>
      </c>
      <c r="AO33" s="1502" t="str">
        <f>'Recycling - Case 2'!T141</f>
        <v>Policies not met</v>
      </c>
      <c r="AP33" s="1382">
        <f t="shared" si="93"/>
        <v>46131.831075574533</v>
      </c>
      <c r="AQ33" s="1384">
        <f t="shared" si="94"/>
        <v>548.28572945635563</v>
      </c>
      <c r="AR33" s="1384">
        <f t="shared" si="95"/>
        <v>256.91392969227348</v>
      </c>
      <c r="AS33" s="1384">
        <f t="shared" si="96"/>
        <v>4473.1630222529147</v>
      </c>
      <c r="AT33" s="1466">
        <f t="shared" si="41"/>
        <v>51410.193756976078</v>
      </c>
      <c r="AU33" s="1502" t="str">
        <f>'Recycling - Case 2'!T181</f>
        <v>Policies not met</v>
      </c>
      <c r="AV33" s="1382">
        <f t="shared" si="63"/>
        <v>46036.245268525687</v>
      </c>
      <c r="AW33" s="1384">
        <f t="shared" si="64"/>
        <v>548.28572945635563</v>
      </c>
      <c r="AX33" s="1384">
        <f t="shared" si="65"/>
        <v>256.91392969227354</v>
      </c>
      <c r="AY33" s="1384">
        <f t="shared" si="66"/>
        <v>4473.1630222529147</v>
      </c>
      <c r="AZ33" s="1466">
        <f t="shared" si="67"/>
        <v>51314.607949927231</v>
      </c>
      <c r="BA33" s="1502" t="str">
        <f>'Recycling - Case 2'!T141</f>
        <v>Policies not met</v>
      </c>
      <c r="BB33" s="1382">
        <f t="shared" si="97"/>
        <v>46131.940594285479</v>
      </c>
      <c r="BC33" s="1384">
        <f t="shared" si="98"/>
        <v>548.28572945635563</v>
      </c>
      <c r="BD33" s="1384">
        <f t="shared" si="99"/>
        <v>256.91392969227354</v>
      </c>
      <c r="BE33" s="1384">
        <f t="shared" si="100"/>
        <v>4473.1630222529147</v>
      </c>
      <c r="BF33" s="1466">
        <f t="shared" si="51"/>
        <v>51410.303275687023</v>
      </c>
      <c r="BG33" s="1502" t="str">
        <f>'Recycling - Case 2'!T181</f>
        <v>Policies not met</v>
      </c>
      <c r="BH33" s="752">
        <f t="shared" si="52"/>
        <v>2023</v>
      </c>
      <c r="BI33" s="1384">
        <f>'Recycling - Case 1'!BV101</f>
        <v>87.106535810773579</v>
      </c>
      <c r="BJ33" s="510">
        <f>'Recycling - Case 1'!BW101</f>
        <v>0.39248765828826759</v>
      </c>
      <c r="BK33" s="1383">
        <f>'Recycling - Case 1'!BX101</f>
        <v>45.566118552586069</v>
      </c>
      <c r="BL33" s="1384">
        <f>'Recycling - Case 1'!BY101</f>
        <v>86.170816576376239</v>
      </c>
      <c r="BM33" s="510">
        <f>'Recycling - Case 1'!BZ101</f>
        <v>0.37752922292640523</v>
      </c>
      <c r="BN33" s="1383">
        <f>'Recycling - Case 1'!CA101</f>
        <v>48.694518386230293</v>
      </c>
      <c r="BO33" s="1386">
        <f>'Recycling - Case 2'!BV101</f>
        <v>69.162433068559082</v>
      </c>
      <c r="BP33" s="510">
        <f>'Recycling - Case 2'!BW101</f>
        <v>0.54152982615731027</v>
      </c>
      <c r="BQ33" s="1383">
        <f>'Recycling - Case 2'!BX101</f>
        <v>45.566118552586069</v>
      </c>
      <c r="BR33" s="1386">
        <f>'Recycling - Case 2'!BY101</f>
        <v>72.290832902203306</v>
      </c>
      <c r="BS33" s="510">
        <f>'Recycling - Case 2'!BZ101</f>
        <v>0.52791870855660539</v>
      </c>
      <c r="BT33" s="1383">
        <f>'Recycling - Case 2'!CA101</f>
        <v>48.694518386230293</v>
      </c>
      <c r="BU33" s="1386">
        <f>'Recycling - Case 3'!BV101</f>
        <v>69.162433068559082</v>
      </c>
      <c r="BV33" s="510">
        <f>'Recycling - Case 3'!BW101</f>
        <v>0.54152982615731027</v>
      </c>
      <c r="BW33" s="1383">
        <f>'Recycling - Case 3'!BX101</f>
        <v>45.566118552586069</v>
      </c>
      <c r="BX33" s="1386">
        <f>'Recycling - Case 3'!BY101</f>
        <v>72.290832902203306</v>
      </c>
      <c r="BY33" s="510">
        <f>'Recycling - Case 3'!BZ101</f>
        <v>0.52791870855660539</v>
      </c>
      <c r="BZ33" s="1385">
        <f>'Recycling - Case 3'!CA101</f>
        <v>48.694518386230293</v>
      </c>
      <c r="CB33" s="805">
        <f>'Recycling - Case 1'!CB101</f>
        <v>0.13202757166760198</v>
      </c>
      <c r="CC33" s="510">
        <f>'Recycling - Case 1'!CC101</f>
        <v>0.47589555004266321</v>
      </c>
      <c r="CD33" s="510">
        <f>'Recycling - Case 1'!CD101</f>
        <v>0.13202757166760198</v>
      </c>
      <c r="CE33" s="510">
        <f>'Recycling - Case 1'!CE101</f>
        <v>0.58837531069560167</v>
      </c>
      <c r="CF33" s="510">
        <f>'Recycling - Case 2'!CB101</f>
        <v>0.30202263152140379</v>
      </c>
      <c r="CG33" s="510">
        <f>'Recycling - Case 2'!CC101</f>
        <v>0.85</v>
      </c>
      <c r="CH33" s="510">
        <f>'Recycling - Case 2'!CD101</f>
        <v>0.30202263152140379</v>
      </c>
      <c r="CI33" s="510">
        <f>'Recycling - Case 2'!CE101</f>
        <v>0.85</v>
      </c>
      <c r="CJ33" s="510">
        <f>'Recycling - Case 3'!CB101</f>
        <v>0.30202263152140379</v>
      </c>
      <c r="CK33" s="510">
        <f>'Recycling - Case 3'!CC101</f>
        <v>0.85</v>
      </c>
      <c r="CL33" s="510">
        <f>'Recycling - Case 3'!CD101</f>
        <v>0.30202263152140379</v>
      </c>
      <c r="CM33" s="658">
        <f>'Recycling - Case 3'!CE101</f>
        <v>0.85</v>
      </c>
    </row>
    <row r="34" spans="1:91">
      <c r="A34" s="4">
        <f>'Input data'!A121</f>
        <v>2023</v>
      </c>
      <c r="B34" s="4"/>
      <c r="C34" s="980">
        <f>'4A SWD Case 1'!BG91</f>
        <v>2308.2107103174512</v>
      </c>
      <c r="D34" s="3">
        <f>'4B Biological treatment '!T87</f>
        <v>0.73231958991054791</v>
      </c>
      <c r="E34" s="1495">
        <f>'4B Biological treatment '!U87</f>
        <v>32.954381545974655</v>
      </c>
      <c r="F34" s="1495">
        <f>'4B Biological treatment '!W87</f>
        <v>1.9772628927584792</v>
      </c>
      <c r="G34" s="1184">
        <f>'4C2 Open-burning '!R94</f>
        <v>43.480878431728819</v>
      </c>
      <c r="H34" s="1184">
        <f>'4C2 Open-burning '!Z94</f>
        <v>10.707859816438173</v>
      </c>
      <c r="I34" s="1184">
        <f>'4C2 Open-burning '!AH94</f>
        <v>0.164968922977062</v>
      </c>
      <c r="J34" s="1220">
        <f>'4D Wastewater treatment and dis'!AV131</f>
        <v>152.2376409126438</v>
      </c>
      <c r="K34" s="981">
        <f>'4D Wastewater treatment and dis'!AW131</f>
        <v>3.0949150191946715</v>
      </c>
      <c r="L34" s="982">
        <f t="shared" si="69"/>
        <v>48472.424916666474</v>
      </c>
      <c r="M34" s="983">
        <f t="shared" si="70"/>
        <v>15.378711388121506</v>
      </c>
      <c r="N34" s="982">
        <f t="shared" si="71"/>
        <v>1304.9935092205965</v>
      </c>
      <c r="O34" s="984">
        <f t="shared" si="72"/>
        <v>319.48630069981971</v>
      </c>
      <c r="P34" s="982">
        <f t="shared" si="73"/>
        <v>4156.4141151158683</v>
      </c>
      <c r="Q34" s="650">
        <f t="shared" si="74"/>
        <v>48472.424916666474</v>
      </c>
      <c r="R34" s="652">
        <f t="shared" si="75"/>
        <v>1320.372220608718</v>
      </c>
      <c r="S34" s="649">
        <f t="shared" si="76"/>
        <v>319.48630069981971</v>
      </c>
      <c r="T34" s="650">
        <f t="shared" si="77"/>
        <v>4156.4141151158683</v>
      </c>
      <c r="U34" s="650">
        <f t="shared" si="78"/>
        <v>54268.697553090882</v>
      </c>
      <c r="V34" s="3"/>
      <c r="W34" s="752">
        <f t="shared" si="79"/>
        <v>2024</v>
      </c>
      <c r="X34" s="1382">
        <f t="shared" si="80"/>
        <v>48348.480504554595</v>
      </c>
      <c r="Y34" s="1384">
        <f t="shared" si="81"/>
        <v>1321.9674510257091</v>
      </c>
      <c r="Z34" s="1384">
        <f t="shared" si="82"/>
        <v>316.68993002332849</v>
      </c>
      <c r="AA34" s="1384">
        <f t="shared" si="83"/>
        <v>4238.9983232351897</v>
      </c>
      <c r="AB34" s="1466">
        <f t="shared" si="26"/>
        <v>54226.13620883882</v>
      </c>
      <c r="AC34" s="1502" t="str">
        <f>'Recycling - Case 1'!T142</f>
        <v>Policies met</v>
      </c>
      <c r="AD34" s="1382">
        <f t="shared" si="84"/>
        <v>48348.480504554595</v>
      </c>
      <c r="AE34" s="1384">
        <f t="shared" si="85"/>
        <v>1183.2450687564121</v>
      </c>
      <c r="AF34" s="1384">
        <f t="shared" si="86"/>
        <v>316.68993002332849</v>
      </c>
      <c r="AG34" s="1384">
        <f t="shared" si="87"/>
        <v>4238.9983232351897</v>
      </c>
      <c r="AH34" s="1466">
        <f t="shared" si="60"/>
        <v>54087.413826569522</v>
      </c>
      <c r="AI34" s="1502" t="str">
        <f>'Recycling - Case 1'!T182</f>
        <v>Policies met</v>
      </c>
      <c r="AJ34" s="1382">
        <f t="shared" si="88"/>
        <v>45236.757100448012</v>
      </c>
      <c r="AK34" s="1384">
        <f t="shared" si="89"/>
        <v>878.78467051363373</v>
      </c>
      <c r="AL34" s="1384">
        <f t="shared" si="90"/>
        <v>246.60705482792568</v>
      </c>
      <c r="AM34" s="1384">
        <f t="shared" si="91"/>
        <v>4612.7951632570066</v>
      </c>
      <c r="AN34" s="1466">
        <f t="shared" si="92"/>
        <v>50974.943989046573</v>
      </c>
      <c r="AO34" s="1502" t="str">
        <f>'Recycling - Case 2'!T142</f>
        <v>Policies not met</v>
      </c>
      <c r="AP34" s="1382">
        <f t="shared" si="93"/>
        <v>45417.387258291652</v>
      </c>
      <c r="AQ34" s="1384">
        <f t="shared" si="94"/>
        <v>533.70450039513526</v>
      </c>
      <c r="AR34" s="1384">
        <f t="shared" si="95"/>
        <v>246.60705482792568</v>
      </c>
      <c r="AS34" s="1384">
        <f t="shared" si="96"/>
        <v>4612.7951632570066</v>
      </c>
      <c r="AT34" s="1466">
        <f t="shared" si="41"/>
        <v>50810.493976771715</v>
      </c>
      <c r="AU34" s="1502" t="str">
        <f>'Recycling - Case 2'!T182</f>
        <v>Policies not met</v>
      </c>
      <c r="AV34" s="1382">
        <f t="shared" si="63"/>
        <v>45236.908843023914</v>
      </c>
      <c r="AW34" s="1384">
        <f t="shared" si="64"/>
        <v>533.70450039513526</v>
      </c>
      <c r="AX34" s="1384">
        <f t="shared" si="65"/>
        <v>246.60705482792577</v>
      </c>
      <c r="AY34" s="1384">
        <f t="shared" si="66"/>
        <v>4612.7951632570066</v>
      </c>
      <c r="AZ34" s="1466">
        <f t="shared" si="67"/>
        <v>50630.015561503977</v>
      </c>
      <c r="BA34" s="1502" t="str">
        <f>'Recycling - Case 2'!T142</f>
        <v>Policies not met</v>
      </c>
      <c r="BB34" s="1382">
        <f t="shared" si="97"/>
        <v>45417.539000867568</v>
      </c>
      <c r="BC34" s="1384">
        <f t="shared" si="98"/>
        <v>533.70450039513526</v>
      </c>
      <c r="BD34" s="1384">
        <f t="shared" si="99"/>
        <v>246.60705482792577</v>
      </c>
      <c r="BE34" s="1384">
        <f t="shared" si="100"/>
        <v>4612.7951632570066</v>
      </c>
      <c r="BF34" s="1466">
        <f t="shared" si="51"/>
        <v>50810.645719347631</v>
      </c>
      <c r="BG34" s="1502" t="str">
        <f>'Recycling - Case 2'!T182</f>
        <v>Policies not met</v>
      </c>
      <c r="BH34" s="752">
        <f t="shared" si="52"/>
        <v>2024</v>
      </c>
      <c r="BI34" s="1384">
        <f>'Recycling - Case 1'!BV102</f>
        <v>85.190551830809383</v>
      </c>
      <c r="BJ34" s="510">
        <f>'Recycling - Case 1'!BW102</f>
        <v>0.41055002483566649</v>
      </c>
      <c r="BK34" s="1383">
        <f>'Recycling - Case 1'!BX102</f>
        <v>45.550858065592685</v>
      </c>
      <c r="BL34" s="1384">
        <f>'Recycling - Case 1'!BY102</f>
        <v>84.242680137700347</v>
      </c>
      <c r="BM34" s="510">
        <f>'Recycling - Case 1'!BZ102</f>
        <v>0.39485555624117569</v>
      </c>
      <c r="BN34" s="1383">
        <f>'Recycling - Case 1'!CA102</f>
        <v>48.694518386230293</v>
      </c>
      <c r="BO34" s="1386">
        <f>'Recycling - Case 2'!BV102</f>
        <v>68.523511843347535</v>
      </c>
      <c r="BP34" s="510">
        <f>'Recycling - Case 2'!BW102</f>
        <v>0.57759757175005877</v>
      </c>
      <c r="BQ34" s="1383">
        <f>'Recycling - Case 2'!BX102</f>
        <v>45.550858065592685</v>
      </c>
      <c r="BR34" s="1386">
        <f>'Recycling - Case 2'!BY102</f>
        <v>71.667172163985128</v>
      </c>
      <c r="BS34" s="510">
        <f>'Recycling - Case 2'!BZ102</f>
        <v>0.56435439435945745</v>
      </c>
      <c r="BT34" s="1383">
        <f>'Recycling - Case 2'!CA102</f>
        <v>48.694518386230293</v>
      </c>
      <c r="BU34" s="1386">
        <f>'Recycling - Case 3'!BV102</f>
        <v>68.523511843347535</v>
      </c>
      <c r="BV34" s="510">
        <f>'Recycling - Case 3'!BW102</f>
        <v>0.57759757175005877</v>
      </c>
      <c r="BW34" s="1383">
        <f>'Recycling - Case 3'!BX102</f>
        <v>45.550858065592685</v>
      </c>
      <c r="BX34" s="1386">
        <f>'Recycling - Case 3'!BY102</f>
        <v>71.667172163985128</v>
      </c>
      <c r="BY34" s="510">
        <f>'Recycling - Case 3'!BZ102</f>
        <v>0.56435439435945745</v>
      </c>
      <c r="BZ34" s="1385">
        <f>'Recycling - Case 3'!CA102</f>
        <v>48.694518386230293</v>
      </c>
      <c r="CB34" s="805">
        <f>'Recycling - Case 1'!CB102</f>
        <v>0.14942183030813608</v>
      </c>
      <c r="CC34" s="510">
        <f>'Recycling - Case 1'!CC102</f>
        <v>0.53213615667573488</v>
      </c>
      <c r="CD34" s="510">
        <f>'Recycling - Case 1'!CD102</f>
        <v>0.14942183030813608</v>
      </c>
      <c r="CE34" s="510">
        <f>'Recycling - Case 1'!CE102</f>
        <v>0.64321153270212195</v>
      </c>
      <c r="CF34" s="510">
        <f>'Recycling - Case 2'!CB102</f>
        <v>0.33765315078636471</v>
      </c>
      <c r="CG34" s="510">
        <f>'Recycling - Case 2'!CC102</f>
        <v>0.85</v>
      </c>
      <c r="CH34" s="510">
        <f>'Recycling - Case 2'!CD102</f>
        <v>0.33765315078636471</v>
      </c>
      <c r="CI34" s="510">
        <f>'Recycling - Case 2'!CE102</f>
        <v>0.85</v>
      </c>
      <c r="CJ34" s="510">
        <f>'Recycling - Case 3'!CB102</f>
        <v>0.33765315078636471</v>
      </c>
      <c r="CK34" s="510">
        <f>'Recycling - Case 3'!CC102</f>
        <v>0.85</v>
      </c>
      <c r="CL34" s="510">
        <f>'Recycling - Case 3'!CD102</f>
        <v>0.33765315078636471</v>
      </c>
      <c r="CM34" s="658">
        <f>'Recycling - Case 3'!CE102</f>
        <v>0.85</v>
      </c>
    </row>
    <row r="35" spans="1:91">
      <c r="A35" s="4">
        <f>'Input data'!A122</f>
        <v>2024</v>
      </c>
      <c r="B35" s="4"/>
      <c r="C35" s="980">
        <f>'4A SWD Case 1'!BG92</f>
        <v>2302.3085954549806</v>
      </c>
      <c r="D35" s="3">
        <f>'4B Biological treatment '!T88</f>
        <v>0.73320435442357712</v>
      </c>
      <c r="E35" s="1495">
        <f>'4B Biological treatment '!U88</f>
        <v>32.994195949060966</v>
      </c>
      <c r="F35" s="1495">
        <f>'4B Biological treatment '!W88</f>
        <v>1.9796517569436576</v>
      </c>
      <c r="G35" s="1184">
        <f>'4C2 Open-burning '!R95</f>
        <v>43.100302947996852</v>
      </c>
      <c r="H35" s="1184">
        <f>'4C2 Open-burning '!Z95</f>
        <v>10.61413703354239</v>
      </c>
      <c r="I35" s="1184">
        <f>'4C2 Open-burning '!AH95</f>
        <v>0.16352499797077877</v>
      </c>
      <c r="J35" s="1220">
        <f>'4D Wastewater treatment and dis'!AV132</f>
        <v>155.64399106583625</v>
      </c>
      <c r="K35" s="981">
        <f>'4D Wastewater treatment and dis'!AW132</f>
        <v>3.1305629382342866</v>
      </c>
      <c r="L35" s="982">
        <f t="shared" si="69"/>
        <v>48348.480504554595</v>
      </c>
      <c r="M35" s="983">
        <f t="shared" si="70"/>
        <v>15.397291442895119</v>
      </c>
      <c r="N35" s="982">
        <f t="shared" si="71"/>
        <v>1306.5701595828141</v>
      </c>
      <c r="O35" s="984">
        <f t="shared" si="72"/>
        <v>316.68993002332849</v>
      </c>
      <c r="P35" s="982">
        <f t="shared" si="73"/>
        <v>4238.9983232351897</v>
      </c>
      <c r="Q35" s="650">
        <f t="shared" si="74"/>
        <v>48348.480504554595</v>
      </c>
      <c r="R35" s="652">
        <f t="shared" si="75"/>
        <v>1321.9674510257091</v>
      </c>
      <c r="S35" s="649">
        <f t="shared" si="76"/>
        <v>316.68993002332849</v>
      </c>
      <c r="T35" s="650">
        <f t="shared" si="77"/>
        <v>4238.9983232351897</v>
      </c>
      <c r="U35" s="650">
        <f t="shared" si="78"/>
        <v>54226.13620883882</v>
      </c>
      <c r="V35" s="3"/>
      <c r="W35" s="752">
        <f t="shared" si="79"/>
        <v>2025</v>
      </c>
      <c r="X35" s="1382">
        <f t="shared" si="80"/>
        <v>48152.415682504587</v>
      </c>
      <c r="Y35" s="1384">
        <f t="shared" si="81"/>
        <v>1284.1931377763024</v>
      </c>
      <c r="Z35" s="1384">
        <f t="shared" si="82"/>
        <v>314.27272097227706</v>
      </c>
      <c r="AA35" s="1384">
        <f t="shared" si="83"/>
        <v>4322.9236792306456</v>
      </c>
      <c r="AB35" s="1466">
        <f t="shared" si="26"/>
        <v>54073.805220483817</v>
      </c>
      <c r="AC35" s="1502" t="str">
        <f>'Recycling - Case 1'!T143</f>
        <v>Policies met</v>
      </c>
      <c r="AD35" s="1382">
        <f t="shared" si="84"/>
        <v>48152.415682504587</v>
      </c>
      <c r="AE35" s="1384">
        <f t="shared" si="85"/>
        <v>1179.4595784310723</v>
      </c>
      <c r="AF35" s="1384">
        <f t="shared" si="86"/>
        <v>314.27272097227706</v>
      </c>
      <c r="AG35" s="1384">
        <f t="shared" si="87"/>
        <v>4322.9236792306456</v>
      </c>
      <c r="AH35" s="1466">
        <f t="shared" si="60"/>
        <v>53969.071661138587</v>
      </c>
      <c r="AI35" s="1502" t="str">
        <f>'Recycling - Case 1'!T183</f>
        <v>Policies met</v>
      </c>
      <c r="AJ35" s="1382">
        <f t="shared" si="88"/>
        <v>44435.383632165205</v>
      </c>
      <c r="AK35" s="1384">
        <f t="shared" si="89"/>
        <v>853.19763784267161</v>
      </c>
      <c r="AL35" s="1384">
        <f t="shared" si="90"/>
        <v>235.65663571118603</v>
      </c>
      <c r="AM35" s="1384">
        <f t="shared" si="91"/>
        <v>4755.0396242283468</v>
      </c>
      <c r="AN35" s="1466">
        <f t="shared" si="92"/>
        <v>50279.277529947409</v>
      </c>
      <c r="AO35" s="1502" t="str">
        <f>'Recycling - Case 2'!T143</f>
        <v>Policies not met</v>
      </c>
      <c r="AP35" s="1382">
        <f t="shared" si="93"/>
        <v>44694.246686646555</v>
      </c>
      <c r="AQ35" s="1384">
        <f t="shared" si="94"/>
        <v>518.16495476302021</v>
      </c>
      <c r="AR35" s="1384">
        <f t="shared" si="95"/>
        <v>235.65663571118603</v>
      </c>
      <c r="AS35" s="1384">
        <f t="shared" si="96"/>
        <v>4755.0396242283468</v>
      </c>
      <c r="AT35" s="1466">
        <f t="shared" si="41"/>
        <v>50203.107901349111</v>
      </c>
      <c r="AU35" s="1502" t="str">
        <f>'Recycling - Case 2'!T183</f>
        <v>Policies not met</v>
      </c>
      <c r="AV35" s="1382">
        <f t="shared" si="63"/>
        <v>44435.583893075869</v>
      </c>
      <c r="AW35" s="1384">
        <f t="shared" si="64"/>
        <v>518.16495476302021</v>
      </c>
      <c r="AX35" s="1384">
        <f t="shared" si="65"/>
        <v>235.65663571118603</v>
      </c>
      <c r="AY35" s="1384">
        <f t="shared" si="66"/>
        <v>4755.0396242283468</v>
      </c>
      <c r="AZ35" s="1466">
        <f t="shared" si="67"/>
        <v>49944.445107778425</v>
      </c>
      <c r="BA35" s="1502" t="str">
        <f>'Recycling - Case 2'!T143</f>
        <v>Policies not met</v>
      </c>
      <c r="BB35" s="1382">
        <f t="shared" si="97"/>
        <v>44694.446947557226</v>
      </c>
      <c r="BC35" s="1384">
        <f t="shared" si="98"/>
        <v>518.16495476302021</v>
      </c>
      <c r="BD35" s="1384">
        <f t="shared" si="99"/>
        <v>235.65663571118603</v>
      </c>
      <c r="BE35" s="1384">
        <f t="shared" si="100"/>
        <v>4755.0396242283468</v>
      </c>
      <c r="BF35" s="1466">
        <f t="shared" si="51"/>
        <v>50203.308162259782</v>
      </c>
      <c r="BG35" s="1502" t="str">
        <f>'Recycling - Case 2'!T183</f>
        <v>Policies not met</v>
      </c>
      <c r="BH35" s="752">
        <f t="shared" si="52"/>
        <v>2025</v>
      </c>
      <c r="BI35" s="1384">
        <f>'Recycling - Case 1'!BV103</f>
        <v>83.177711672744095</v>
      </c>
      <c r="BJ35" s="510">
        <f>'Recycling - Case 1'!BW103</f>
        <v>0.42591888123052163</v>
      </c>
      <c r="BK35" s="1383">
        <f>'Recycling - Case 1'!BX103</f>
        <v>46.410532166220129</v>
      </c>
      <c r="BL35" s="1384">
        <f>'Recycling - Case 1'!BY103</f>
        <v>82.48664045363644</v>
      </c>
      <c r="BM35" s="510">
        <f>'Recycling - Case 1'!BZ103</f>
        <v>0.41407181932194592</v>
      </c>
      <c r="BN35" s="1383">
        <f>'Recycling - Case 1'!CA103</f>
        <v>48.694518386230293</v>
      </c>
      <c r="BO35" s="1386">
        <f>'Recycling - Case 2'!BV103</f>
        <v>68.718498935214356</v>
      </c>
      <c r="BP35" s="510">
        <f>'Recycling - Case 2'!BW103</f>
        <v>0.61161672927982635</v>
      </c>
      <c r="BQ35" s="1383">
        <f>'Recycling - Case 2'!BX103</f>
        <v>46.410532166220129</v>
      </c>
      <c r="BR35" s="1386">
        <f>'Recycling - Case 2'!BY103</f>
        <v>71.00248515522452</v>
      </c>
      <c r="BS35" s="510">
        <f>'Recycling - Case 2'!BZ103</f>
        <v>0.60250491960245467</v>
      </c>
      <c r="BT35" s="1383">
        <f>'Recycling - Case 2'!CA103</f>
        <v>48.694518386230293</v>
      </c>
      <c r="BU35" s="1386">
        <f>'Recycling - Case 3'!BV103</f>
        <v>68.718498935214356</v>
      </c>
      <c r="BV35" s="510">
        <f>'Recycling - Case 3'!BW103</f>
        <v>0.61161672927982635</v>
      </c>
      <c r="BW35" s="1383">
        <f>'Recycling - Case 3'!BX103</f>
        <v>46.410532166220129</v>
      </c>
      <c r="BX35" s="1386">
        <f>'Recycling - Case 3'!BY103</f>
        <v>71.00248515522452</v>
      </c>
      <c r="BY35" s="510">
        <f>'Recycling - Case 3'!BZ103</f>
        <v>0.60250491960245467</v>
      </c>
      <c r="BZ35" s="1385">
        <f>'Recycling - Case 3'!CA103</f>
        <v>48.694518386230293</v>
      </c>
      <c r="CB35" s="805">
        <f>'Recycling - Case 1'!CB103</f>
        <v>0.16552381969241936</v>
      </c>
      <c r="CC35" s="510">
        <f>'Recycling - Case 1'!CC103</f>
        <v>0.61317975418608361</v>
      </c>
      <c r="CD35" s="510">
        <f>'Recycling - Case 1'!CD103</f>
        <v>0.16552381969241936</v>
      </c>
      <c r="CE35" s="510">
        <f>'Recycling - Case 1'!CE103</f>
        <v>0.69236829068387395</v>
      </c>
      <c r="CF35" s="510">
        <f>'Recycling - Case 2'!CB103</f>
        <v>0.37427006510771088</v>
      </c>
      <c r="CG35" s="510">
        <f>'Recycling - Case 2'!CC103</f>
        <v>0.85</v>
      </c>
      <c r="CH35" s="510">
        <f>'Recycling - Case 2'!CD103</f>
        <v>0.37427006510771088</v>
      </c>
      <c r="CI35" s="510">
        <f>'Recycling - Case 2'!CE103</f>
        <v>0.85</v>
      </c>
      <c r="CJ35" s="510">
        <f>'Recycling - Case 3'!CB103</f>
        <v>0.37427006510771088</v>
      </c>
      <c r="CK35" s="510">
        <f>'Recycling - Case 3'!CC103</f>
        <v>0.85</v>
      </c>
      <c r="CL35" s="510">
        <f>'Recycling - Case 3'!CD103</f>
        <v>0.37427006510771088</v>
      </c>
      <c r="CM35" s="658">
        <f>'Recycling - Case 3'!CE103</f>
        <v>0.85</v>
      </c>
    </row>
    <row r="36" spans="1:91">
      <c r="A36" s="4">
        <f>'Input data'!A123</f>
        <v>2025</v>
      </c>
      <c r="B36" s="4"/>
      <c r="C36" s="980">
        <f>'4A SWD Case 1'!BG93</f>
        <v>2292.9721753573613</v>
      </c>
      <c r="D36" s="3">
        <f>'4B Biological treatment '!T89</f>
        <v>0.71225354285984621</v>
      </c>
      <c r="E36" s="1495">
        <f>'4B Biological treatment '!U89</f>
        <v>32.05140942869307</v>
      </c>
      <c r="F36" s="1495">
        <f>'4B Biological treatment '!W89</f>
        <v>1.9230845657215845</v>
      </c>
      <c r="G36" s="1184">
        <f>'4C2 Open-burning '!R96</f>
        <v>42.771329928926491</v>
      </c>
      <c r="H36" s="1184">
        <f>'4C2 Open-burning '!Z96</f>
        <v>10.533122180608201</v>
      </c>
      <c r="I36" s="1184">
        <f>'4C2 Open-burning '!AH96</f>
        <v>0.16227685564702693</v>
      </c>
      <c r="J36" s="1220">
        <f>'4D Wastewater treatment and dis'!AV133</f>
        <v>159.10825087816576</v>
      </c>
      <c r="K36" s="981">
        <f>'4D Wastewater treatment and dis'!AW133</f>
        <v>3.166614228352143</v>
      </c>
      <c r="L36" s="982">
        <f t="shared" si="69"/>
        <v>48152.415682504587</v>
      </c>
      <c r="M36" s="983">
        <f t="shared" si="70"/>
        <v>14.95732440005677</v>
      </c>
      <c r="N36" s="982">
        <f t="shared" si="71"/>
        <v>1269.2358133762457</v>
      </c>
      <c r="O36" s="984">
        <f t="shared" si="72"/>
        <v>314.27272097227706</v>
      </c>
      <c r="P36" s="982">
        <f t="shared" si="73"/>
        <v>4322.9236792306456</v>
      </c>
      <c r="Q36" s="650">
        <f t="shared" si="74"/>
        <v>48152.415682504587</v>
      </c>
      <c r="R36" s="652">
        <f t="shared" si="75"/>
        <v>1284.1931377763024</v>
      </c>
      <c r="S36" s="649">
        <f t="shared" si="76"/>
        <v>314.27272097227706</v>
      </c>
      <c r="T36" s="650">
        <f t="shared" si="77"/>
        <v>4322.9236792306456</v>
      </c>
      <c r="U36" s="650">
        <f t="shared" si="78"/>
        <v>54073.805220483817</v>
      </c>
      <c r="V36" s="3"/>
      <c r="W36" s="752">
        <f t="shared" si="79"/>
        <v>2026</v>
      </c>
      <c r="X36" s="1382">
        <f t="shared" si="80"/>
        <v>47890.871408397164</v>
      </c>
      <c r="Y36" s="1384">
        <f t="shared" si="81"/>
        <v>1286.7618276623775</v>
      </c>
      <c r="Z36" s="1384">
        <f t="shared" si="82"/>
        <v>311.73482418219669</v>
      </c>
      <c r="AA36" s="1384">
        <f t="shared" si="83"/>
        <v>4400.9174278296796</v>
      </c>
      <c r="AB36" s="1466">
        <f t="shared" si="26"/>
        <v>53890.285488071415</v>
      </c>
      <c r="AC36" s="1502" t="str">
        <f>'Recycling - Case 1'!T144</f>
        <v>Policies met</v>
      </c>
      <c r="AD36" s="1382">
        <f t="shared" si="84"/>
        <v>47890.871408397164</v>
      </c>
      <c r="AE36" s="1384">
        <f t="shared" si="85"/>
        <v>1183.6044982590124</v>
      </c>
      <c r="AF36" s="1384">
        <f t="shared" si="86"/>
        <v>311.73482418219669</v>
      </c>
      <c r="AG36" s="1384">
        <f t="shared" si="87"/>
        <v>4400.9174278296796</v>
      </c>
      <c r="AH36" s="1466">
        <f t="shared" si="60"/>
        <v>53787.128158668049</v>
      </c>
      <c r="AI36" s="1502" t="str">
        <f>'Recycling - Case 1'!T184</f>
        <v>Policies met</v>
      </c>
      <c r="AJ36" s="1382">
        <f t="shared" si="88"/>
        <v>43655.648115742071</v>
      </c>
      <c r="AK36" s="1384">
        <f t="shared" si="89"/>
        <v>825.54560200453534</v>
      </c>
      <c r="AL36" s="1384">
        <f t="shared" si="90"/>
        <v>223.65860164513867</v>
      </c>
      <c r="AM36" s="1384">
        <f t="shared" si="91"/>
        <v>4891.8315325087806</v>
      </c>
      <c r="AN36" s="1466">
        <f t="shared" si="92"/>
        <v>49596.683851900532</v>
      </c>
      <c r="AO36" s="1502" t="str">
        <f>'Recycling - Case 2'!T144</f>
        <v>Policies not met</v>
      </c>
      <c r="AP36" s="1382">
        <f t="shared" si="93"/>
        <v>43962.94855248052</v>
      </c>
      <c r="AQ36" s="1384">
        <f t="shared" si="94"/>
        <v>501.371289070974</v>
      </c>
      <c r="AR36" s="1384">
        <f t="shared" si="95"/>
        <v>223.65860164513867</v>
      </c>
      <c r="AS36" s="1384">
        <f t="shared" si="96"/>
        <v>4891.8315325087806</v>
      </c>
      <c r="AT36" s="1466">
        <f t="shared" si="41"/>
        <v>49579.809975705415</v>
      </c>
      <c r="AU36" s="1502" t="str">
        <f>'Recycling - Case 2'!T184</f>
        <v>Policies not met</v>
      </c>
      <c r="AV36" s="1382">
        <f t="shared" si="63"/>
        <v>43655.903017943681</v>
      </c>
      <c r="AW36" s="1384">
        <f t="shared" si="64"/>
        <v>501.371289070974</v>
      </c>
      <c r="AX36" s="1384">
        <f t="shared" si="65"/>
        <v>223.65860164513867</v>
      </c>
      <c r="AY36" s="1384">
        <f t="shared" si="66"/>
        <v>4891.8315325087806</v>
      </c>
      <c r="AZ36" s="1466">
        <f t="shared" si="67"/>
        <v>49272.764441168576</v>
      </c>
      <c r="BA36" s="1502" t="str">
        <f>'Recycling - Case 2'!T144</f>
        <v>Policies not met</v>
      </c>
      <c r="BB36" s="1382">
        <f t="shared" si="97"/>
        <v>43963.203454682138</v>
      </c>
      <c r="BC36" s="1384">
        <f t="shared" si="98"/>
        <v>501.371289070974</v>
      </c>
      <c r="BD36" s="1384">
        <f t="shared" si="99"/>
        <v>223.65860164513867</v>
      </c>
      <c r="BE36" s="1384">
        <f t="shared" si="100"/>
        <v>4891.8315325087806</v>
      </c>
      <c r="BF36" s="1466">
        <f t="shared" si="51"/>
        <v>49580.064877907032</v>
      </c>
      <c r="BG36" s="1502" t="str">
        <f>'Recycling - Case 2'!T184</f>
        <v>Policies not met</v>
      </c>
      <c r="BH36" s="752">
        <f t="shared" si="52"/>
        <v>2026</v>
      </c>
      <c r="BI36" s="1384">
        <f>'Recycling - Case 1'!BV104</f>
        <v>81.733403090445265</v>
      </c>
      <c r="BJ36" s="510">
        <f>'Recycling - Case 1'!BW104</f>
        <v>0.44701083932551255</v>
      </c>
      <c r="BK36" s="1383">
        <f>'Recycling - Case 1'!BX104</f>
        <v>46.524138013837558</v>
      </c>
      <c r="BL36" s="1384">
        <f>'Recycling - Case 1'!BY104</f>
        <v>81.077787778031379</v>
      </c>
      <c r="BM36" s="510">
        <f>'Recycling - Case 1'!BZ104</f>
        <v>0.43540380440931165</v>
      </c>
      <c r="BN36" s="1383">
        <f>'Recycling - Case 1'!CA104</f>
        <v>48.694518386230293</v>
      </c>
      <c r="BO36" s="1386">
        <f>'Recycling - Case 2'!BV104</f>
        <v>68.113956432524475</v>
      </c>
      <c r="BP36" s="510">
        <f>'Recycling - Case 2'!BW104</f>
        <v>0.65039722727031157</v>
      </c>
      <c r="BQ36" s="1383">
        <f>'Recycling - Case 2'!BX104</f>
        <v>46.524138013837558</v>
      </c>
      <c r="BR36" s="1386">
        <f>'Recycling - Case 2'!BY104</f>
        <v>70.284336804917189</v>
      </c>
      <c r="BS36" s="510">
        <f>'Recycling - Case 2'!BZ104</f>
        <v>0.6421765968148021</v>
      </c>
      <c r="BT36" s="1383">
        <f>'Recycling - Case 2'!CA104</f>
        <v>48.694518386230293</v>
      </c>
      <c r="BU36" s="1386">
        <f>'Recycling - Case 3'!BV104</f>
        <v>68.113956432524475</v>
      </c>
      <c r="BV36" s="510">
        <f>'Recycling - Case 3'!BW104</f>
        <v>0.65039722727031157</v>
      </c>
      <c r="BW36" s="1383">
        <f>'Recycling - Case 3'!BX104</f>
        <v>46.524138013837558</v>
      </c>
      <c r="BX36" s="1386">
        <f>'Recycling - Case 3'!BY104</f>
        <v>70.284336804917189</v>
      </c>
      <c r="BY36" s="510">
        <f>'Recycling - Case 3'!BZ104</f>
        <v>0.6421765968148021</v>
      </c>
      <c r="BZ36" s="1385">
        <f>'Recycling - Case 3'!CA104</f>
        <v>48.694518386230293</v>
      </c>
      <c r="CB36" s="805">
        <f>'Recycling - Case 1'!CB104</f>
        <v>0.18032840836768446</v>
      </c>
      <c r="CC36" s="510">
        <f>'Recycling - Case 1'!CC104</f>
        <v>0.65780499060797182</v>
      </c>
      <c r="CD36" s="510">
        <f>'Recycling - Case 1'!CD104</f>
        <v>0.18032840836768446</v>
      </c>
      <c r="CE36" s="510">
        <f>'Recycling - Case 1'!CE104</f>
        <v>0.73132077456133915</v>
      </c>
      <c r="CF36" s="510">
        <f>'Recycling - Case 2'!CB104</f>
        <v>0.41191491045741591</v>
      </c>
      <c r="CG36" s="510">
        <f>'Recycling - Case 2'!CC104</f>
        <v>0.85</v>
      </c>
      <c r="CH36" s="510">
        <f>'Recycling - Case 2'!CD104</f>
        <v>0.41191491045741591</v>
      </c>
      <c r="CI36" s="510">
        <f>'Recycling - Case 2'!CE104</f>
        <v>0.85</v>
      </c>
      <c r="CJ36" s="510">
        <f>'Recycling - Case 3'!CB104</f>
        <v>0.41191491045741591</v>
      </c>
      <c r="CK36" s="510">
        <f>'Recycling - Case 3'!CC104</f>
        <v>0.85</v>
      </c>
      <c r="CL36" s="510">
        <f>'Recycling - Case 3'!CD104</f>
        <v>0.41191491045741591</v>
      </c>
      <c r="CM36" s="658">
        <f>'Recycling - Case 3'!CE104</f>
        <v>0.85</v>
      </c>
    </row>
    <row r="37" spans="1:91">
      <c r="A37" s="4">
        <f>'Input data'!A124</f>
        <v>2026</v>
      </c>
      <c r="B37" s="4"/>
      <c r="C37" s="980">
        <f>'4A SWD Case 1'!BG94</f>
        <v>2280.5176861141508</v>
      </c>
      <c r="D37" s="3">
        <f>'4B Biological treatment '!T90</f>
        <v>0.71367821833742529</v>
      </c>
      <c r="E37" s="1495">
        <f>'4B Biological treatment '!U90</f>
        <v>32.115519825184137</v>
      </c>
      <c r="F37" s="1495">
        <f>'4B Biological treatment '!W90</f>
        <v>1.9269311895110479</v>
      </c>
      <c r="G37" s="1184">
        <f>'4C2 Open-burning '!R97</f>
        <v>42.42593176456063</v>
      </c>
      <c r="H37" s="1184">
        <f>'4C2 Open-burning '!Z97</f>
        <v>10.448062373670492</v>
      </c>
      <c r="I37" s="1184">
        <f>'4C2 Open-burning '!AH97</f>
        <v>0.16096639538888938</v>
      </c>
      <c r="J37" s="1220">
        <f>'4D Wastewater treatment and dis'!AV134</f>
        <v>162.3622518163962</v>
      </c>
      <c r="K37" s="981">
        <f>'4D Wastewater treatment and dis'!AW134</f>
        <v>3.1977746441463193</v>
      </c>
      <c r="L37" s="982">
        <f t="shared" si="69"/>
        <v>47890.871408397164</v>
      </c>
      <c r="M37" s="983">
        <f t="shared" si="70"/>
        <v>14.98724258508593</v>
      </c>
      <c r="N37" s="982">
        <f t="shared" si="71"/>
        <v>1271.7745850772917</v>
      </c>
      <c r="O37" s="984">
        <f t="shared" si="72"/>
        <v>311.73482418219669</v>
      </c>
      <c r="P37" s="982">
        <f t="shared" si="73"/>
        <v>4400.9174278296796</v>
      </c>
      <c r="Q37" s="650">
        <f t="shared" si="74"/>
        <v>47890.871408397164</v>
      </c>
      <c r="R37" s="652">
        <f t="shared" si="75"/>
        <v>1286.7618276623775</v>
      </c>
      <c r="S37" s="649">
        <f t="shared" si="76"/>
        <v>311.73482418219669</v>
      </c>
      <c r="T37" s="650">
        <f t="shared" si="77"/>
        <v>4400.9174278296796</v>
      </c>
      <c r="U37" s="650">
        <f t="shared" si="78"/>
        <v>53890.285488071415</v>
      </c>
      <c r="V37" s="3"/>
      <c r="W37" s="752">
        <f t="shared" si="79"/>
        <v>2027</v>
      </c>
      <c r="X37" s="1382">
        <f t="shared" si="80"/>
        <v>47574.545146465563</v>
      </c>
      <c r="Y37" s="1384">
        <f t="shared" si="81"/>
        <v>1288.7601823010261</v>
      </c>
      <c r="Z37" s="1384">
        <f t="shared" si="82"/>
        <v>309.6243195621135</v>
      </c>
      <c r="AA37" s="1384">
        <f t="shared" si="83"/>
        <v>4480.0918085867052</v>
      </c>
      <c r="AB37" s="1466">
        <f t="shared" si="26"/>
        <v>53653.021456915405</v>
      </c>
      <c r="AC37" s="1502" t="str">
        <f>'Recycling - Case 1'!T145</f>
        <v>Policies met</v>
      </c>
      <c r="AD37" s="1382">
        <f t="shared" si="84"/>
        <v>47574.545146465563</v>
      </c>
      <c r="AE37" s="1384">
        <f t="shared" si="85"/>
        <v>1187.6163151444302</v>
      </c>
      <c r="AF37" s="1384">
        <f t="shared" si="86"/>
        <v>309.6243195621135</v>
      </c>
      <c r="AG37" s="1384">
        <f t="shared" si="87"/>
        <v>4480.0918085867052</v>
      </c>
      <c r="AH37" s="1466">
        <f t="shared" si="60"/>
        <v>53551.877589758806</v>
      </c>
      <c r="AI37" s="1502" t="str">
        <f>'Recycling - Case 1'!T185</f>
        <v>Policies met</v>
      </c>
      <c r="AJ37" s="1382">
        <f t="shared" si="88"/>
        <v>42876.099329576442</v>
      </c>
      <c r="AK37" s="1384">
        <f t="shared" si="89"/>
        <v>796.03182548136454</v>
      </c>
      <c r="AL37" s="1384">
        <f t="shared" si="90"/>
        <v>210.99299980947745</v>
      </c>
      <c r="AM37" s="1384">
        <f t="shared" si="91"/>
        <v>5030.9273143213595</v>
      </c>
      <c r="AN37" s="1466">
        <f t="shared" si="92"/>
        <v>48914.051469188635</v>
      </c>
      <c r="AO37" s="1502" t="str">
        <f>'Recycling - Case 2'!T145</f>
        <v>Policies not met</v>
      </c>
      <c r="AP37" s="1382">
        <f t="shared" si="93"/>
        <v>43224.368664310263</v>
      </c>
      <c r="AQ37" s="1384">
        <f t="shared" si="94"/>
        <v>483.44694891963064</v>
      </c>
      <c r="AR37" s="1384">
        <f t="shared" si="95"/>
        <v>210.99299980947745</v>
      </c>
      <c r="AS37" s="1384">
        <f t="shared" si="96"/>
        <v>5030.9273143213595</v>
      </c>
      <c r="AT37" s="1466">
        <f t="shared" si="41"/>
        <v>48949.735927360722</v>
      </c>
      <c r="AU37" s="1502" t="str">
        <f>'Recycling - Case 2'!T185</f>
        <v>Policies not met</v>
      </c>
      <c r="AV37" s="1382">
        <f t="shared" si="63"/>
        <v>42876.414712957812</v>
      </c>
      <c r="AW37" s="1384">
        <f t="shared" si="64"/>
        <v>483.44694891963064</v>
      </c>
      <c r="AX37" s="1384">
        <f t="shared" si="65"/>
        <v>210.99299980947745</v>
      </c>
      <c r="AY37" s="1384">
        <f t="shared" si="66"/>
        <v>5030.9273143213595</v>
      </c>
      <c r="AZ37" s="1466">
        <f t="shared" si="67"/>
        <v>48601.781976008271</v>
      </c>
      <c r="BA37" s="1502" t="str">
        <f>'Recycling - Case 2'!T145</f>
        <v>Policies not met</v>
      </c>
      <c r="BB37" s="1382">
        <f t="shared" si="97"/>
        <v>43224.68404769164</v>
      </c>
      <c r="BC37" s="1384">
        <f t="shared" si="98"/>
        <v>483.44694891963064</v>
      </c>
      <c r="BD37" s="1384">
        <f t="shared" si="99"/>
        <v>210.99299980947745</v>
      </c>
      <c r="BE37" s="1384">
        <f t="shared" si="100"/>
        <v>5030.9273143213595</v>
      </c>
      <c r="BF37" s="1466">
        <f t="shared" si="51"/>
        <v>48950.051310742099</v>
      </c>
      <c r="BG37" s="1502" t="str">
        <f>'Recycling - Case 2'!T185</f>
        <v>Policies not met</v>
      </c>
      <c r="BH37" s="752">
        <f t="shared" si="52"/>
        <v>2027</v>
      </c>
      <c r="BI37" s="1384">
        <f>'Recycling - Case 1'!BV105</f>
        <v>80.383908263295481</v>
      </c>
      <c r="BJ37" s="510">
        <f>'Recycling - Case 1'!BW105</f>
        <v>0.47058540476610006</v>
      </c>
      <c r="BK37" s="1383">
        <f>'Recycling - Case 1'!BX105</f>
        <v>46.636048251789063</v>
      </c>
      <c r="BL37" s="1384">
        <f>'Recycling - Case 1'!BY105</f>
        <v>79.766765360507492</v>
      </c>
      <c r="BM37" s="510">
        <f>'Recycling - Case 1'!BZ105</f>
        <v>0.45929506861421338</v>
      </c>
      <c r="BN37" s="1383">
        <f>'Recycling - Case 1'!CA105</f>
        <v>48.694518386230293</v>
      </c>
      <c r="BO37" s="1386">
        <f>'Recycling - Case 2'!BV105</f>
        <v>67.459211251362206</v>
      </c>
      <c r="BP37" s="510">
        <f>'Recycling - Case 2'!BW105</f>
        <v>0.6912032059073101</v>
      </c>
      <c r="BQ37" s="1383">
        <f>'Recycling - Case 2'!BX105</f>
        <v>46.636048251789063</v>
      </c>
      <c r="BR37" s="1386">
        <f>'Recycling - Case 2'!BY105</f>
        <v>69.517681385803414</v>
      </c>
      <c r="BS37" s="510">
        <f>'Recycling - Case 2'!BZ105</f>
        <v>0.68388299507550177</v>
      </c>
      <c r="BT37" s="1383">
        <f>'Recycling - Case 2'!CA105</f>
        <v>48.694518386230293</v>
      </c>
      <c r="BU37" s="1386">
        <f>'Recycling - Case 3'!BV105</f>
        <v>67.459211251362206</v>
      </c>
      <c r="BV37" s="510">
        <f>'Recycling - Case 3'!BW105</f>
        <v>0.6912032059073101</v>
      </c>
      <c r="BW37" s="1383">
        <f>'Recycling - Case 3'!BX105</f>
        <v>46.636048251789063</v>
      </c>
      <c r="BX37" s="1386">
        <f>'Recycling - Case 3'!BY105</f>
        <v>69.517681385803414</v>
      </c>
      <c r="BY37" s="510">
        <f>'Recycling - Case 3'!BZ105</f>
        <v>0.68388299507550177</v>
      </c>
      <c r="BZ37" s="1385">
        <f>'Recycling - Case 3'!CA105</f>
        <v>48.694518386230293</v>
      </c>
      <c r="CB37" s="805">
        <f>'Recycling - Case 1'!CB105</f>
        <v>0.193822444855763</v>
      </c>
      <c r="CC37" s="510">
        <f>'Recycling - Case 1'!CC105</f>
        <v>0.69870091009148583</v>
      </c>
      <c r="CD37" s="510">
        <f>'Recycling - Case 1'!CD105</f>
        <v>0.193822444855763</v>
      </c>
      <c r="CE37" s="510">
        <f>'Recycling - Case 1'!CE105</f>
        <v>0.7667765628782568</v>
      </c>
      <c r="CF37" s="510">
        <f>'Recycling - Case 2'!CB105</f>
        <v>0.45063158804995024</v>
      </c>
      <c r="CG37" s="510">
        <f>'Recycling - Case 2'!CC105</f>
        <v>0.85</v>
      </c>
      <c r="CH37" s="510">
        <f>'Recycling - Case 2'!CD105</f>
        <v>0.45063158804995024</v>
      </c>
      <c r="CI37" s="510">
        <f>'Recycling - Case 2'!CE105</f>
        <v>0.85</v>
      </c>
      <c r="CJ37" s="510">
        <f>'Recycling - Case 3'!CB105</f>
        <v>0.45063158804995024</v>
      </c>
      <c r="CK37" s="510">
        <f>'Recycling - Case 3'!CC105</f>
        <v>0.85</v>
      </c>
      <c r="CL37" s="510">
        <f>'Recycling - Case 3'!CD105</f>
        <v>0.45063158804995024</v>
      </c>
      <c r="CM37" s="658">
        <f>'Recycling - Case 3'!CE105</f>
        <v>0.85</v>
      </c>
    </row>
    <row r="38" spans="1:91">
      <c r="A38" s="4">
        <f>'Input data'!A125</f>
        <v>2027</v>
      </c>
      <c r="B38" s="4"/>
      <c r="C38" s="980">
        <f>'4A SWD Case 1'!BG95</f>
        <v>2265.4545307840744</v>
      </c>
      <c r="D38" s="3">
        <f>'4B Biological treatment '!T91</f>
        <v>0.71478656810927688</v>
      </c>
      <c r="E38" s="1495">
        <f>'4B Biological treatment '!U91</f>
        <v>32.165395564917461</v>
      </c>
      <c r="F38" s="1495">
        <f>'4B Biological treatment '!W91</f>
        <v>1.9299237338950475</v>
      </c>
      <c r="G38" s="1184">
        <f>'4C2 Open-burning '!R98</f>
        <v>42.138700059744401</v>
      </c>
      <c r="H38" s="1184">
        <f>'4C2 Open-burning '!Z98</f>
        <v>10.377326985128654</v>
      </c>
      <c r="I38" s="1184">
        <f>'4C2 Open-burning '!AH98</f>
        <v>0.15987662198279778</v>
      </c>
      <c r="J38" s="1220">
        <f>'4D Wastewater treatment and dis'!AV135</f>
        <v>165.66726312381803</v>
      </c>
      <c r="K38" s="981">
        <f>'4D Wastewater treatment and dis'!AW135</f>
        <v>3.2292880096339567</v>
      </c>
      <c r="L38" s="982">
        <f t="shared" si="69"/>
        <v>47574.545146465563</v>
      </c>
      <c r="M38" s="983">
        <f t="shared" si="70"/>
        <v>15.010517930294814</v>
      </c>
      <c r="N38" s="982">
        <f t="shared" si="71"/>
        <v>1273.7496643707314</v>
      </c>
      <c r="O38" s="984">
        <f t="shared" si="72"/>
        <v>309.6243195621135</v>
      </c>
      <c r="P38" s="982">
        <f t="shared" si="73"/>
        <v>4480.0918085867052</v>
      </c>
      <c r="Q38" s="650">
        <f t="shared" si="74"/>
        <v>47574.545146465563</v>
      </c>
      <c r="R38" s="652">
        <f t="shared" si="75"/>
        <v>1288.7601823010261</v>
      </c>
      <c r="S38" s="649">
        <f t="shared" si="76"/>
        <v>309.6243195621135</v>
      </c>
      <c r="T38" s="650">
        <f t="shared" si="77"/>
        <v>4480.0918085867052</v>
      </c>
      <c r="U38" s="650">
        <f t="shared" si="78"/>
        <v>53653.021456915405</v>
      </c>
      <c r="V38" s="3"/>
      <c r="W38" s="752">
        <f t="shared" si="79"/>
        <v>2028</v>
      </c>
      <c r="X38" s="1382">
        <f t="shared" si="80"/>
        <v>47206.618795147137</v>
      </c>
      <c r="Y38" s="1384">
        <f t="shared" si="81"/>
        <v>1204.141607387756</v>
      </c>
      <c r="Z38" s="1384">
        <f t="shared" si="82"/>
        <v>296.43539155301011</v>
      </c>
      <c r="AA38" s="1384">
        <f t="shared" si="83"/>
        <v>4560.3175409569985</v>
      </c>
      <c r="AB38" s="1466">
        <f t="shared" si="26"/>
        <v>53267.513335044896</v>
      </c>
      <c r="AC38" s="1502" t="str">
        <f>'Recycling - Case 1'!T146</f>
        <v>Policies met</v>
      </c>
      <c r="AD38" s="1382">
        <f t="shared" si="84"/>
        <v>47206.618795147137</v>
      </c>
      <c r="AE38" s="1384">
        <f t="shared" si="85"/>
        <v>1110.1280484448805</v>
      </c>
      <c r="AF38" s="1384">
        <f t="shared" si="86"/>
        <v>296.43539155301011</v>
      </c>
      <c r="AG38" s="1384">
        <f t="shared" si="87"/>
        <v>4560.3175409569985</v>
      </c>
      <c r="AH38" s="1466">
        <f t="shared" si="60"/>
        <v>53173.49977610202</v>
      </c>
      <c r="AI38" s="1502" t="str">
        <f>'Recycling - Case 1'!T186</f>
        <v>Policies met</v>
      </c>
      <c r="AJ38" s="1382">
        <f t="shared" si="88"/>
        <v>42096.445902108055</v>
      </c>
      <c r="AK38" s="1384">
        <f t="shared" si="89"/>
        <v>764.82792050529986</v>
      </c>
      <c r="AL38" s="1384">
        <f t="shared" si="90"/>
        <v>197.61878116539106</v>
      </c>
      <c r="AM38" s="1384">
        <f t="shared" si="91"/>
        <v>5172.1968290590494</v>
      </c>
      <c r="AN38" s="1466">
        <f t="shared" si="92"/>
        <v>48231.089432837798</v>
      </c>
      <c r="AO38" s="1502" t="str">
        <f>'Recycling - Case 2'!T146</f>
        <v>Policies not met</v>
      </c>
      <c r="AP38" s="1382">
        <f t="shared" si="93"/>
        <v>42478.838582011354</v>
      </c>
      <c r="AQ38" s="1384">
        <f t="shared" si="94"/>
        <v>464.49615804398422</v>
      </c>
      <c r="AR38" s="1384">
        <f t="shared" si="95"/>
        <v>197.61878116539106</v>
      </c>
      <c r="AS38" s="1384">
        <f t="shared" si="96"/>
        <v>5172.1968290590494</v>
      </c>
      <c r="AT38" s="1466">
        <f t="shared" si="41"/>
        <v>48313.150350279786</v>
      </c>
      <c r="AU38" s="1502" t="str">
        <f>'Recycling - Case 2'!T186</f>
        <v>Policies not met</v>
      </c>
      <c r="AV38" s="1382">
        <f t="shared" si="63"/>
        <v>42096.827438818735</v>
      </c>
      <c r="AW38" s="1384">
        <f t="shared" si="64"/>
        <v>464.49615804398422</v>
      </c>
      <c r="AX38" s="1384">
        <f t="shared" si="65"/>
        <v>197.61878116539108</v>
      </c>
      <c r="AY38" s="1384">
        <f t="shared" si="66"/>
        <v>5172.1968290590494</v>
      </c>
      <c r="AZ38" s="1466">
        <f t="shared" si="67"/>
        <v>47931.139207087166</v>
      </c>
      <c r="BA38" s="1502" t="str">
        <f>'Recycling - Case 2'!T146</f>
        <v>Policies not met</v>
      </c>
      <c r="BB38" s="1382">
        <f t="shared" si="97"/>
        <v>42479.220118722042</v>
      </c>
      <c r="BC38" s="1384">
        <f t="shared" si="98"/>
        <v>464.49615804398422</v>
      </c>
      <c r="BD38" s="1384">
        <f t="shared" si="99"/>
        <v>197.61878116539108</v>
      </c>
      <c r="BE38" s="1384">
        <f t="shared" si="100"/>
        <v>5172.1968290590494</v>
      </c>
      <c r="BF38" s="1466">
        <f t="shared" si="51"/>
        <v>48313.531886990473</v>
      </c>
      <c r="BG38" s="1502" t="str">
        <f>'Recycling - Case 2'!T186</f>
        <v>Policies not met</v>
      </c>
      <c r="BH38" s="752">
        <f t="shared" si="52"/>
        <v>2028</v>
      </c>
      <c r="BI38" s="1384">
        <f>'Recycling - Case 1'!BV106</f>
        <v>78.272028369031432</v>
      </c>
      <c r="BJ38" s="510">
        <f>'Recycling - Case 1'!BW106</f>
        <v>0.47898441413281045</v>
      </c>
      <c r="BK38" s="1383">
        <f>'Recycling - Case 1'!BX106</f>
        <v>46.747958489740554</v>
      </c>
      <c r="BL38" s="1384">
        <f>'Recycling - Case 1'!BY106</f>
        <v>77.731597100803057</v>
      </c>
      <c r="BM38" s="510">
        <f>'Recycling - Case 1'!BZ106</f>
        <v>0.46877272754087307</v>
      </c>
      <c r="BN38" s="1383">
        <f>'Recycling - Case 1'!CA106</f>
        <v>48.694518386230293</v>
      </c>
      <c r="BO38" s="1386">
        <f>'Recycling - Case 2'!BV106</f>
        <v>66.760544412118122</v>
      </c>
      <c r="BP38" s="510">
        <f>'Recycling - Case 2'!BW106</f>
        <v>0.73419845406543904</v>
      </c>
      <c r="BQ38" s="1383">
        <f>'Recycling - Case 2'!BX106</f>
        <v>46.747958489740554</v>
      </c>
      <c r="BR38" s="1383">
        <f>'Recycling - Case 2'!BY106</f>
        <v>68.707104308607867</v>
      </c>
      <c r="BS38" s="510">
        <f>'Recycling - Case 2'!BZ106</f>
        <v>0.72779482769232517</v>
      </c>
      <c r="BT38" s="1383">
        <f>'Recycling - Case 2'!CA106</f>
        <v>48.694518386230293</v>
      </c>
      <c r="BU38" s="1386">
        <f>'Recycling - Case 3'!BV106</f>
        <v>66.760544412118122</v>
      </c>
      <c r="BV38" s="510">
        <f>'Recycling - Case 3'!BW106</f>
        <v>0.73419845406543904</v>
      </c>
      <c r="BW38" s="1383">
        <f>'Recycling - Case 3'!BX106</f>
        <v>46.747958489740554</v>
      </c>
      <c r="BX38" s="1386">
        <f>'Recycling - Case 3'!BY106</f>
        <v>68.707104308607867</v>
      </c>
      <c r="BY38" s="510">
        <f>'Recycling - Case 3'!BZ106</f>
        <v>0.72779482769232517</v>
      </c>
      <c r="BZ38" s="1385">
        <f>'Recycling - Case 3'!CA106</f>
        <v>48.694518386230293</v>
      </c>
      <c r="CB38" s="805">
        <f>'Recycling - Case 1'!CB106</f>
        <v>0.23568118740282154</v>
      </c>
      <c r="CC38" s="510">
        <f>'Recycling - Case 1'!CC106</f>
        <v>0.73757740436590691</v>
      </c>
      <c r="CD38" s="510">
        <f>'Recycling - Case 1'!CD106</f>
        <v>0.23568118740282154</v>
      </c>
      <c r="CE38" s="510">
        <f>'Recycling - Case 1'!CE106</f>
        <v>0.79943085653917401</v>
      </c>
      <c r="CF38" s="510">
        <f>'Recycling - Case 2'!CB106</f>
        <v>0.49046653513292493</v>
      </c>
      <c r="CG38" s="510">
        <f>'Recycling - Case 2'!CC106</f>
        <v>0.85</v>
      </c>
      <c r="CH38" s="510">
        <f>'Recycling - Case 2'!CD106</f>
        <v>0.49046653513292493</v>
      </c>
      <c r="CI38" s="510">
        <f>'Recycling - Case 2'!CE106</f>
        <v>0.85</v>
      </c>
      <c r="CJ38" s="510">
        <f>'Recycling - Case 3'!CB106</f>
        <v>0.49046653513292493</v>
      </c>
      <c r="CK38" s="510">
        <f>'Recycling - Case 3'!CC106</f>
        <v>0.85</v>
      </c>
      <c r="CL38" s="510">
        <f>'Recycling - Case 3'!CD106</f>
        <v>0.49046653513292493</v>
      </c>
      <c r="CM38" s="658">
        <f>'Recycling - Case 3'!CE106</f>
        <v>0.85</v>
      </c>
    </row>
    <row r="39" spans="1:91">
      <c r="A39" s="4">
        <f>'Input data'!A126</f>
        <v>2028</v>
      </c>
      <c r="B39" s="4"/>
      <c r="C39" s="980">
        <f>'4A SWD Case 1'!BG96</f>
        <v>2247.9342283403398</v>
      </c>
      <c r="D39" s="3">
        <f>'4B Biological treatment '!T92</f>
        <v>0.66785446887840061</v>
      </c>
      <c r="E39" s="1495">
        <f>'4B Biological treatment '!U92</f>
        <v>30.053451099528022</v>
      </c>
      <c r="F39" s="1495">
        <f>'4B Biological treatment '!W92</f>
        <v>1.8032070659716812</v>
      </c>
      <c r="G39" s="1184">
        <f>'4C2 Open-burning '!R99</f>
        <v>40.343736788541548</v>
      </c>
      <c r="H39" s="1184">
        <f>'4C2 Open-burning '!Z99</f>
        <v>9.9352886506485021</v>
      </c>
      <c r="I39" s="1184">
        <f>'4C2 Open-burning '!AH99</f>
        <v>0.15306642935758075</v>
      </c>
      <c r="J39" s="1220">
        <f>'4D Wastewater treatment and dis'!AV136</f>
        <v>169.01861721537597</v>
      </c>
      <c r="K39" s="981">
        <f>'4D Wastewater treatment and dis'!AW136</f>
        <v>3.2610534820454951</v>
      </c>
      <c r="L39" s="982">
        <f t="shared" si="69"/>
        <v>47206.618795147137</v>
      </c>
      <c r="M39" s="983">
        <f t="shared" si="70"/>
        <v>14.024943846446412</v>
      </c>
      <c r="N39" s="982">
        <f t="shared" si="71"/>
        <v>1190.1166635413097</v>
      </c>
      <c r="O39" s="984">
        <f t="shared" si="72"/>
        <v>296.43539155301011</v>
      </c>
      <c r="P39" s="982">
        <f t="shared" si="73"/>
        <v>4560.3175409569985</v>
      </c>
      <c r="Q39" s="650">
        <f t="shared" si="74"/>
        <v>47206.618795147137</v>
      </c>
      <c r="R39" s="652">
        <f t="shared" si="75"/>
        <v>1204.141607387756</v>
      </c>
      <c r="S39" s="649">
        <f t="shared" si="76"/>
        <v>296.43539155301011</v>
      </c>
      <c r="T39" s="650">
        <f t="shared" si="77"/>
        <v>4560.3175409569985</v>
      </c>
      <c r="U39" s="650">
        <f t="shared" si="78"/>
        <v>53267.513335044896</v>
      </c>
      <c r="V39" s="3"/>
      <c r="W39" s="752">
        <f t="shared" si="79"/>
        <v>2029</v>
      </c>
      <c r="X39" s="1382">
        <f t="shared" si="80"/>
        <v>46798.250295088452</v>
      </c>
      <c r="Y39" s="1384">
        <f t="shared" si="81"/>
        <v>1127.9466672032588</v>
      </c>
      <c r="Z39" s="1384">
        <f t="shared" si="82"/>
        <v>283.81175527719768</v>
      </c>
      <c r="AA39" s="1384">
        <f t="shared" si="83"/>
        <v>4641.7451490242902</v>
      </c>
      <c r="AB39" s="1466">
        <f t="shared" si="26"/>
        <v>52851.753866593193</v>
      </c>
      <c r="AC39" s="1502" t="str">
        <f>'Recycling - Case 1'!T147</f>
        <v>Policies met</v>
      </c>
      <c r="AD39" s="1382">
        <f t="shared" si="84"/>
        <v>46798.250295088452</v>
      </c>
      <c r="AE39" s="1384">
        <f t="shared" si="85"/>
        <v>1041.1020715462557</v>
      </c>
      <c r="AF39" s="1384">
        <f t="shared" si="86"/>
        <v>283.81175527719768</v>
      </c>
      <c r="AG39" s="1384">
        <f t="shared" si="87"/>
        <v>4641.7451490242902</v>
      </c>
      <c r="AH39" s="1466">
        <f t="shared" si="60"/>
        <v>52764.909270936194</v>
      </c>
      <c r="AI39" s="1502" t="str">
        <f>'Recycling - Case 1'!T187</f>
        <v>Policies met</v>
      </c>
      <c r="AJ39" s="1382">
        <f t="shared" si="88"/>
        <v>41316.634509294461</v>
      </c>
      <c r="AK39" s="1384">
        <f t="shared" si="89"/>
        <v>731.78745086972197</v>
      </c>
      <c r="AL39" s="1384">
        <f t="shared" si="90"/>
        <v>183.50605443706078</v>
      </c>
      <c r="AM39" s="1384">
        <f t="shared" si="91"/>
        <v>5315.8241432355899</v>
      </c>
      <c r="AN39" s="1466">
        <f t="shared" si="92"/>
        <v>47547.752157836832</v>
      </c>
      <c r="AO39" s="1502" t="str">
        <f>'Recycling - Case 2'!T147</f>
        <v>Policies not met</v>
      </c>
      <c r="AP39" s="1382">
        <f t="shared" si="93"/>
        <v>41726.8522001944</v>
      </c>
      <c r="AQ39" s="1384">
        <f t="shared" si="94"/>
        <v>444.4299826413453</v>
      </c>
      <c r="AR39" s="1384">
        <f t="shared" si="95"/>
        <v>183.50605443706078</v>
      </c>
      <c r="AS39" s="1384">
        <f t="shared" si="96"/>
        <v>5315.8241432355899</v>
      </c>
      <c r="AT39" s="1466">
        <f t="shared" si="41"/>
        <v>47670.612380508392</v>
      </c>
      <c r="AU39" s="1502" t="str">
        <f>'Recycling - Case 2'!T187</f>
        <v>Policies not met</v>
      </c>
      <c r="AV39" s="1382">
        <f t="shared" si="63"/>
        <v>41317.087713381159</v>
      </c>
      <c r="AW39" s="1384">
        <f t="shared" si="64"/>
        <v>444.4299826413453</v>
      </c>
      <c r="AX39" s="1384">
        <f t="shared" si="65"/>
        <v>183.50605443706081</v>
      </c>
      <c r="AY39" s="1384">
        <f t="shared" si="66"/>
        <v>5315.8241432355899</v>
      </c>
      <c r="AZ39" s="1466">
        <f t="shared" si="67"/>
        <v>47260.847893695158</v>
      </c>
      <c r="BA39" s="1502" t="str">
        <f>'Recycling - Case 2'!T147</f>
        <v>Policies not met</v>
      </c>
      <c r="BB39" s="1382">
        <f t="shared" si="97"/>
        <v>41727.305404281113</v>
      </c>
      <c r="BC39" s="1384">
        <f t="shared" si="98"/>
        <v>444.4299826413453</v>
      </c>
      <c r="BD39" s="1384">
        <f t="shared" si="99"/>
        <v>183.50605443706081</v>
      </c>
      <c r="BE39" s="1384">
        <f t="shared" si="100"/>
        <v>5315.8241432355899</v>
      </c>
      <c r="BF39" s="1466">
        <f t="shared" si="51"/>
        <v>47671.065584595111</v>
      </c>
      <c r="BG39" s="1502" t="str">
        <f>'Recycling - Case 2'!T187</f>
        <v>Policies not met</v>
      </c>
      <c r="BH39" s="752">
        <f t="shared" si="52"/>
        <v>2029</v>
      </c>
      <c r="BI39" s="1384">
        <f>'Recycling - Case 1'!BV107</f>
        <v>76.384050225413262</v>
      </c>
      <c r="BJ39" s="510">
        <f>'Recycling - Case 1'!BW107</f>
        <v>0.49040050734563062</v>
      </c>
      <c r="BK39" s="1383">
        <f>'Recycling - Case 1'!BX107</f>
        <v>46.861564337357997</v>
      </c>
      <c r="BL39" s="1384">
        <f>'Recycling - Case 1'!BY107</f>
        <v>75.919657545461945</v>
      </c>
      <c r="BM39" s="510">
        <f>'Recycling - Case 1'!BZ107</f>
        <v>0.4813393082633019</v>
      </c>
      <c r="BN39" s="1383">
        <f>'Recycling - Case 1'!CA107</f>
        <v>48.694518386230293</v>
      </c>
      <c r="BO39" s="1386">
        <f>'Recycling - Case 2'!BV107</f>
        <v>66.015811017881035</v>
      </c>
      <c r="BP39" s="510">
        <f>'Recycling - Case 2'!BW107</f>
        <v>0.77960419067645326</v>
      </c>
      <c r="BQ39" s="1383">
        <f>'Recycling - Case 2'!BX107</f>
        <v>46.861564337357997</v>
      </c>
      <c r="BR39" s="1383">
        <f>'Recycling - Case 2'!BY107</f>
        <v>67.848765066753316</v>
      </c>
      <c r="BS39" s="510">
        <f>'Recycling - Case 2'!BZ107</f>
        <v>0.77413579655733455</v>
      </c>
      <c r="BT39" s="1383">
        <f>'Recycling - Case 2'!CA107</f>
        <v>48.694518386230293</v>
      </c>
      <c r="BU39" s="1386">
        <f>'Recycling - Case 3'!BV107</f>
        <v>66.015811017881035</v>
      </c>
      <c r="BV39" s="510">
        <f>'Recycling - Case 3'!BW107</f>
        <v>0.77960419067645326</v>
      </c>
      <c r="BW39" s="1383">
        <f>'Recycling - Case 3'!BX107</f>
        <v>46.861564337357997</v>
      </c>
      <c r="BX39" s="1386">
        <f>'Recycling - Case 3'!BY107</f>
        <v>67.848765066753316</v>
      </c>
      <c r="BY39" s="510">
        <f>'Recycling - Case 3'!BZ107</f>
        <v>0.77413579655733455</v>
      </c>
      <c r="BZ39" s="1385">
        <f>'Recycling - Case 3'!CA107</f>
        <v>48.694518386230293</v>
      </c>
      <c r="CB39" s="805">
        <f>'Recycling - Case 1'!CB107</f>
        <v>0.27536651999019995</v>
      </c>
      <c r="CC39" s="510">
        <f>'Recycling - Case 1'!CC107</f>
        <v>0.77047860710346061</v>
      </c>
      <c r="CD39" s="510">
        <f>'Recycling - Case 1'!CD107</f>
        <v>0.27536651999019995</v>
      </c>
      <c r="CE39" s="510">
        <f>'Recycling - Case 1'!CE107</f>
        <v>0.82631807744251118</v>
      </c>
      <c r="CF39" s="510">
        <f>'Recycling - Case 2'!CB107</f>
        <v>0.53146891079363701</v>
      </c>
      <c r="CG39" s="510">
        <f>'Recycling - Case 2'!CC107</f>
        <v>0.85</v>
      </c>
      <c r="CH39" s="510">
        <f>'Recycling - Case 2'!CD107</f>
        <v>0.53146891079363701</v>
      </c>
      <c r="CI39" s="510">
        <f>'Recycling - Case 2'!CE107</f>
        <v>0.85</v>
      </c>
      <c r="CJ39" s="510">
        <f>'Recycling - Case 3'!CB107</f>
        <v>0.53146891079363701</v>
      </c>
      <c r="CK39" s="510">
        <f>'Recycling - Case 3'!CC107</f>
        <v>0.85</v>
      </c>
      <c r="CL39" s="510">
        <f>'Recycling - Case 3'!CD107</f>
        <v>0.53146891079363701</v>
      </c>
      <c r="CM39" s="658">
        <f>'Recycling - Case 3'!CE107</f>
        <v>0.85</v>
      </c>
    </row>
    <row r="40" spans="1:91">
      <c r="A40" s="4">
        <f>'Input data'!A127</f>
        <v>2029</v>
      </c>
      <c r="B40" s="4"/>
      <c r="C40" s="980">
        <f>'4A SWD Case 1'!BG97</f>
        <v>2228.4881092899263</v>
      </c>
      <c r="D40" s="3">
        <f>'4B Biological treatment '!T93</f>
        <v>0.62559438003508538</v>
      </c>
      <c r="E40" s="1495">
        <f>'4B Biological treatment '!U93</f>
        <v>28.151747101578838</v>
      </c>
      <c r="F40" s="1495">
        <f>'4B Biological treatment '!W93</f>
        <v>1.6891048260947306</v>
      </c>
      <c r="G40" s="1184">
        <f>'4C2 Open-burning '!R100</f>
        <v>38.625707586436</v>
      </c>
      <c r="H40" s="1184">
        <f>'4C2 Open-burning '!Z100</f>
        <v>9.5121965577512011</v>
      </c>
      <c r="I40" s="1184">
        <f>'4C2 Open-burning '!AH100</f>
        <v>0.14654812896124664</v>
      </c>
      <c r="J40" s="1220">
        <f>'4D Wastewater treatment and dis'!AV137</f>
        <v>172.42199327322078</v>
      </c>
      <c r="K40" s="981">
        <f>'4D Wastewater treatment and dis'!AW137</f>
        <v>3.2931719041504954</v>
      </c>
      <c r="L40" s="982">
        <f t="shared" si="69"/>
        <v>46798.250295088452</v>
      </c>
      <c r="M40" s="983">
        <f t="shared" si="70"/>
        <v>13.137481980736792</v>
      </c>
      <c r="N40" s="982">
        <f t="shared" si="71"/>
        <v>1114.809185222522</v>
      </c>
      <c r="O40" s="984">
        <f t="shared" si="72"/>
        <v>283.81175527719768</v>
      </c>
      <c r="P40" s="982">
        <f t="shared" si="73"/>
        <v>4641.7451490242902</v>
      </c>
      <c r="Q40" s="650">
        <f t="shared" si="74"/>
        <v>46798.250295088452</v>
      </c>
      <c r="R40" s="652">
        <f t="shared" si="75"/>
        <v>1127.9466672032588</v>
      </c>
      <c r="S40" s="649">
        <f t="shared" si="76"/>
        <v>283.81175527719768</v>
      </c>
      <c r="T40" s="650">
        <f t="shared" si="77"/>
        <v>4641.7451490242902</v>
      </c>
      <c r="U40" s="650">
        <f t="shared" si="78"/>
        <v>52851.753866593193</v>
      </c>
      <c r="V40" s="3"/>
      <c r="W40" s="752">
        <f t="shared" si="79"/>
        <v>2030</v>
      </c>
      <c r="X40" s="1382">
        <f t="shared" si="80"/>
        <v>46353.515186207631</v>
      </c>
      <c r="Y40" s="1384">
        <f t="shared" si="81"/>
        <v>1060.6124998234311</v>
      </c>
      <c r="Z40" s="1384">
        <f t="shared" si="82"/>
        <v>271.72456549222932</v>
      </c>
      <c r="AA40" s="1384">
        <f t="shared" si="83"/>
        <v>4724.3147443604685</v>
      </c>
      <c r="AB40" s="1466">
        <f t="shared" si="26"/>
        <v>52410.166995883759</v>
      </c>
      <c r="AC40" s="1502" t="str">
        <f>'Recycling - Case 1'!T148</f>
        <v>Policies met</v>
      </c>
      <c r="AD40" s="1382">
        <f t="shared" si="84"/>
        <v>46353.515186207631</v>
      </c>
      <c r="AE40" s="1384">
        <f t="shared" si="85"/>
        <v>980.79944373335206</v>
      </c>
      <c r="AF40" s="1384">
        <f t="shared" si="86"/>
        <v>271.72456549222932</v>
      </c>
      <c r="AG40" s="1384">
        <f t="shared" si="87"/>
        <v>4724.3147443604685</v>
      </c>
      <c r="AH40" s="1466">
        <f t="shared" si="60"/>
        <v>52330.353939793684</v>
      </c>
      <c r="AI40" s="1502" t="str">
        <f>'Recycling - Case 1'!T188</f>
        <v>Policies met</v>
      </c>
      <c r="AJ40" s="1382">
        <f t="shared" si="88"/>
        <v>40536.612662170111</v>
      </c>
      <c r="AK40" s="1384">
        <f t="shared" si="89"/>
        <v>696.81279802361075</v>
      </c>
      <c r="AL40" s="1384">
        <f t="shared" si="90"/>
        <v>168.61312112362941</v>
      </c>
      <c r="AM40" s="1384">
        <f t="shared" si="91"/>
        <v>5461.7562489213324</v>
      </c>
      <c r="AN40" s="1466">
        <f t="shared" si="92"/>
        <v>46863.794830238679</v>
      </c>
      <c r="AO40" s="1502" t="str">
        <f>'Recycling - Case 2'!T148</f>
        <v>Policies not met</v>
      </c>
      <c r="AP40" s="1382">
        <f t="shared" si="93"/>
        <v>40968.83869368679</v>
      </c>
      <c r="AQ40" s="1384">
        <f t="shared" si="94"/>
        <v>423.18913690285854</v>
      </c>
      <c r="AR40" s="1384">
        <f t="shared" si="95"/>
        <v>168.61312112362941</v>
      </c>
      <c r="AS40" s="1384">
        <f t="shared" si="96"/>
        <v>5461.7562489213324</v>
      </c>
      <c r="AT40" s="1466">
        <f t="shared" si="41"/>
        <v>47022.397200634608</v>
      </c>
      <c r="AU40" s="1502" t="str">
        <f>'Recycling - Case 2'!T188</f>
        <v>Policies not met</v>
      </c>
      <c r="AV40" s="1382">
        <f t="shared" si="63"/>
        <v>40537.142903930631</v>
      </c>
      <c r="AW40" s="1384">
        <f t="shared" si="64"/>
        <v>423.18913690285854</v>
      </c>
      <c r="AX40" s="1384">
        <f t="shared" si="65"/>
        <v>168.61312112362944</v>
      </c>
      <c r="AY40" s="1384">
        <f t="shared" si="66"/>
        <v>5461.7562489213324</v>
      </c>
      <c r="AZ40" s="1466">
        <f t="shared" si="67"/>
        <v>46590.70141087845</v>
      </c>
      <c r="BA40" s="1502" t="str">
        <f>'Recycling - Case 2'!T148</f>
        <v>Policies not met</v>
      </c>
      <c r="BB40" s="1382">
        <f t="shared" si="97"/>
        <v>40969.368935447317</v>
      </c>
      <c r="BC40" s="1384">
        <f t="shared" si="98"/>
        <v>423.18913690285854</v>
      </c>
      <c r="BD40" s="1384">
        <f t="shared" si="99"/>
        <v>168.61312112362944</v>
      </c>
      <c r="BE40" s="1384">
        <f t="shared" si="100"/>
        <v>5461.7562489213324</v>
      </c>
      <c r="BF40" s="1466">
        <f t="shared" si="51"/>
        <v>47022.927442395136</v>
      </c>
      <c r="BG40" s="1502" t="str">
        <f>'Recycling - Case 2'!T188</f>
        <v>Policies not met</v>
      </c>
      <c r="BH40" s="752">
        <f t="shared" si="52"/>
        <v>2030</v>
      </c>
      <c r="BI40" s="1384">
        <f>'Recycling - Case 1'!BV108</f>
        <v>74.728178546899031</v>
      </c>
      <c r="BJ40" s="510">
        <f>'Recycling - Case 1'!BW108</f>
        <v>0.50529375985273739</v>
      </c>
      <c r="BK40" s="1383">
        <f>'Recycling - Case 1'!BX108</f>
        <v>46.973474575309503</v>
      </c>
      <c r="BL40" s="1384">
        <f>'Recycling - Case 1'!BY108</f>
        <v>74.337884721449896</v>
      </c>
      <c r="BM40" s="510">
        <f>'Recycling - Case 1'!BZ108</f>
        <v>0.49743184121131157</v>
      </c>
      <c r="BN40" s="1383">
        <f>'Recycling - Case 1'!CA108</f>
        <v>48.694518386230293</v>
      </c>
      <c r="BO40" s="1386">
        <f>'Recycling - Case 2'!BV108</f>
        <v>65.219083875964103</v>
      </c>
      <c r="BP40" s="510">
        <f>'Recycling - Case 2'!BW108</f>
        <v>0.82767825110083648</v>
      </c>
      <c r="BQ40" s="1383">
        <f>'Recycling - Case 2'!BX108</f>
        <v>46.973474575309503</v>
      </c>
      <c r="BR40" s="1383">
        <f>'Recycling - Case 2'!BY108</f>
        <v>66.940127686884878</v>
      </c>
      <c r="BS40" s="510">
        <f>'Recycling - Case 2'!BZ108</f>
        <v>0.8231499410897829</v>
      </c>
      <c r="BT40" s="1383">
        <f>'Recycling - Case 2'!CA108</f>
        <v>48.694518386230293</v>
      </c>
      <c r="BU40" s="1386">
        <f>'Recycling - Case 3'!BV108</f>
        <v>65.219083875964103</v>
      </c>
      <c r="BV40" s="510">
        <f>'Recycling - Case 3'!BW108</f>
        <v>0.82767825110083648</v>
      </c>
      <c r="BW40" s="1383">
        <f>'Recycling - Case 3'!BX108</f>
        <v>46.973474575309503</v>
      </c>
      <c r="BX40" s="1386">
        <f>'Recycling - Case 3'!BY108</f>
        <v>66.940127686884878</v>
      </c>
      <c r="BY40" s="510">
        <f>'Recycling - Case 3'!BZ108</f>
        <v>0.8231499410897829</v>
      </c>
      <c r="BZ40" s="1385">
        <f>'Recycling - Case 3'!CA108</f>
        <v>48.694518386230293</v>
      </c>
      <c r="CB40" s="805">
        <f>'Recycling - Case 1'!CB108</f>
        <v>0.31299129146536464</v>
      </c>
      <c r="CC40" s="510">
        <f>'Recycling - Case 1'!CC108</f>
        <v>0.79742153000227645</v>
      </c>
      <c r="CD40" s="510">
        <f>'Recycling - Case 1'!CD108</f>
        <v>0.31299129146536464</v>
      </c>
      <c r="CE40" s="510">
        <f>'Recycling - Case 1'!CE108</f>
        <v>0.84756153058672967</v>
      </c>
      <c r="CF40" s="510">
        <f>'Recycling - Case 2'!CB108</f>
        <v>0.57369079834465153</v>
      </c>
      <c r="CG40" s="510">
        <f>'Recycling - Case 2'!CC108</f>
        <v>0.85</v>
      </c>
      <c r="CH40" s="510">
        <f>'Recycling - Case 2'!CD108</f>
        <v>0.57369079834465153</v>
      </c>
      <c r="CI40" s="510">
        <f>'Recycling - Case 2'!CE108</f>
        <v>0.85</v>
      </c>
      <c r="CJ40" s="510">
        <f>'Recycling - Case 3'!CB108</f>
        <v>0.57369079834465153</v>
      </c>
      <c r="CK40" s="510">
        <f>'Recycling - Case 3'!CC108</f>
        <v>0.85</v>
      </c>
      <c r="CL40" s="510">
        <f>'Recycling - Case 3'!CD108</f>
        <v>0.57369079834465153</v>
      </c>
      <c r="CM40" s="658">
        <f>'Recycling - Case 3'!CE108</f>
        <v>0.85</v>
      </c>
    </row>
    <row r="41" spans="1:91">
      <c r="A41" s="4">
        <f>'Input data'!A128</f>
        <v>2030</v>
      </c>
      <c r="B41" s="4"/>
      <c r="C41" s="980">
        <f>'4A SWD Case 1'!BG98</f>
        <v>2207.3102469622681</v>
      </c>
      <c r="D41" s="3">
        <f>'4B Biological treatment '!T94</f>
        <v>0.58824875198193638</v>
      </c>
      <c r="E41" s="1495">
        <f>'4B Biological treatment '!U94</f>
        <v>26.471193839187137</v>
      </c>
      <c r="F41" s="1495">
        <f>'4B Biological treatment '!W94</f>
        <v>1.5882716303512279</v>
      </c>
      <c r="G41" s="1184">
        <f>'4C2 Open-burning '!R101</f>
        <v>36.980686724914783</v>
      </c>
      <c r="H41" s="1184">
        <f>'4C2 Open-burning '!Z101</f>
        <v>9.1070839331766287</v>
      </c>
      <c r="I41" s="1184">
        <f>'4C2 Open-burning '!AH101</f>
        <v>0.14030682635679131</v>
      </c>
      <c r="J41" s="1220">
        <f>'4D Wastewater treatment and dis'!AV138</f>
        <v>175.87528378312254</v>
      </c>
      <c r="K41" s="981">
        <f>'4D Wastewater treatment and dis'!AW138</f>
        <v>3.3255928545641762</v>
      </c>
      <c r="L41" s="982">
        <f t="shared" si="69"/>
        <v>46353.515186207631</v>
      </c>
      <c r="M41" s="983">
        <f t="shared" si="70"/>
        <v>12.353223791620664</v>
      </c>
      <c r="N41" s="982">
        <f t="shared" si="71"/>
        <v>1048.2592760318105</v>
      </c>
      <c r="O41" s="984">
        <f t="shared" si="72"/>
        <v>271.72456549222932</v>
      </c>
      <c r="P41" s="982">
        <f t="shared" si="73"/>
        <v>4724.3147443604685</v>
      </c>
      <c r="Q41" s="650">
        <f t="shared" si="74"/>
        <v>46353.515186207631</v>
      </c>
      <c r="R41" s="652">
        <f t="shared" si="75"/>
        <v>1060.6124998234311</v>
      </c>
      <c r="S41" s="649">
        <f t="shared" si="76"/>
        <v>271.72456549222932</v>
      </c>
      <c r="T41" s="650">
        <f t="shared" si="77"/>
        <v>4724.3147443604685</v>
      </c>
      <c r="U41" s="650">
        <f t="shared" si="78"/>
        <v>52410.166995883759</v>
      </c>
      <c r="V41" s="3"/>
      <c r="W41" s="752">
        <f t="shared" si="79"/>
        <v>2031</v>
      </c>
      <c r="X41" s="1382">
        <f t="shared" si="80"/>
        <v>45876.266303000804</v>
      </c>
      <c r="Y41" s="1384">
        <f t="shared" si="81"/>
        <v>1097.6198208011454</v>
      </c>
      <c r="Z41" s="1384">
        <f t="shared" si="82"/>
        <v>261.06910461820985</v>
      </c>
      <c r="AA41" s="1384">
        <f t="shared" si="83"/>
        <v>4801.8282802505955</v>
      </c>
      <c r="AB41" s="1466">
        <f t="shared" si="26"/>
        <v>52036.783508670756</v>
      </c>
      <c r="AC41" s="1502" t="str">
        <f>'Recycling - Case 1'!T149</f>
        <v>Policies met</v>
      </c>
      <c r="AD41" s="1382">
        <f t="shared" si="84"/>
        <v>45876.266303000804</v>
      </c>
      <c r="AE41" s="1384">
        <f t="shared" si="85"/>
        <v>954.55496285520292</v>
      </c>
      <c r="AF41" s="1384">
        <f t="shared" si="86"/>
        <v>261.06910461820985</v>
      </c>
      <c r="AG41" s="1384">
        <f t="shared" si="87"/>
        <v>4801.8282802505955</v>
      </c>
      <c r="AH41" s="1466">
        <f t="shared" si="60"/>
        <v>51893.718650724812</v>
      </c>
      <c r="AI41" s="1502" t="str">
        <f>'Recycling - Case 1'!T189</f>
        <v>Policies not met</v>
      </c>
      <c r="AJ41" s="1382">
        <f t="shared" si="88"/>
        <v>39756.260870383543</v>
      </c>
      <c r="AK41" s="1384">
        <f t="shared" si="89"/>
        <v>654.0034230553689</v>
      </c>
      <c r="AL41" s="1384">
        <f t="shared" si="90"/>
        <v>150.43097070105136</v>
      </c>
      <c r="AM41" s="1384">
        <f t="shared" si="91"/>
        <v>5508.3777658135459</v>
      </c>
      <c r="AN41" s="1466">
        <f t="shared" si="92"/>
        <v>46069.073029953513</v>
      </c>
      <c r="AO41" s="1502" t="str">
        <f>'Recycling - Case 2'!T149</f>
        <v>Policies not met</v>
      </c>
      <c r="AP41" s="1382">
        <f t="shared" si="93"/>
        <v>40205.216094634226</v>
      </c>
      <c r="AQ41" s="1384">
        <f t="shared" si="94"/>
        <v>397.19009886058177</v>
      </c>
      <c r="AR41" s="1384">
        <f t="shared" si="95"/>
        <v>150.43097070105136</v>
      </c>
      <c r="AS41" s="1384">
        <f t="shared" si="96"/>
        <v>5508.3777658135459</v>
      </c>
      <c r="AT41" s="1466">
        <f t="shared" si="41"/>
        <v>46261.21493000941</v>
      </c>
      <c r="AU41" s="1502" t="str">
        <f>'Recycling - Case 2'!T189</f>
        <v>Policies not met</v>
      </c>
      <c r="AV41" s="1382">
        <f t="shared" si="63"/>
        <v>39756.873385793748</v>
      </c>
      <c r="AW41" s="1384">
        <f t="shared" si="64"/>
        <v>397.19009886058177</v>
      </c>
      <c r="AX41" s="1384">
        <f t="shared" si="65"/>
        <v>150.43097070105136</v>
      </c>
      <c r="AY41" s="1384">
        <f t="shared" si="66"/>
        <v>5508.3777658135459</v>
      </c>
      <c r="AZ41" s="1466">
        <f t="shared" si="67"/>
        <v>45812.872221168931</v>
      </c>
      <c r="BA41" s="1502" t="str">
        <f>'Recycling - Case 2'!T149</f>
        <v>Policies not met</v>
      </c>
      <c r="BB41" s="1382">
        <f t="shared" si="97"/>
        <v>40205.828610044446</v>
      </c>
      <c r="BC41" s="1384">
        <f t="shared" si="98"/>
        <v>397.19009886058177</v>
      </c>
      <c r="BD41" s="1384">
        <f t="shared" si="99"/>
        <v>150.43097070105136</v>
      </c>
      <c r="BE41" s="1384">
        <f t="shared" si="100"/>
        <v>5508.3777658135459</v>
      </c>
      <c r="BF41" s="1466">
        <f t="shared" si="51"/>
        <v>46261.827445419629</v>
      </c>
      <c r="BG41" s="1502" t="str">
        <f>'Recycling - Case 2'!T189</f>
        <v>Policies not met</v>
      </c>
      <c r="BH41" s="752">
        <f t="shared" si="52"/>
        <v>2031</v>
      </c>
      <c r="BI41" s="1384">
        <f>'Recycling - Case 1'!BV109</f>
        <v>73.841965599666878</v>
      </c>
      <c r="BJ41" s="510">
        <f>'Recycling - Case 1'!BW109</f>
        <v>0.50621894254080169</v>
      </c>
      <c r="BK41" s="1383">
        <f>'Recycling - Case 1'!BX109</f>
        <v>45.096434675122964</v>
      </c>
      <c r="BL41" s="1384">
        <f>'Recycling - Case 1'!BY109</f>
        <v>73.65547779051721</v>
      </c>
      <c r="BM41" s="510">
        <f>'Recycling - Case 1'!BZ109</f>
        <v>0.48993951424004017</v>
      </c>
      <c r="BN41" s="1383">
        <f>'Recycling - Case 1'!CA109</f>
        <v>48.694518386230293</v>
      </c>
      <c r="BO41" s="1386">
        <f>'Recycling - Case 2'!BV109</f>
        <v>62.22980918734369</v>
      </c>
      <c r="BP41" s="510">
        <f>'Recycling - Case 2'!BW109</f>
        <v>0.81391728164353938</v>
      </c>
      <c r="BQ41" s="1383">
        <f>'Recycling - Case 2'!BX109</f>
        <v>45.096434675122964</v>
      </c>
      <c r="BR41" s="1383">
        <f>'Recycling - Case 2'!BY109</f>
        <v>65.827892898451012</v>
      </c>
      <c r="BS41" s="510">
        <f>'Recycling - Case 2'!BZ109</f>
        <v>0.8051997218498429</v>
      </c>
      <c r="BT41" s="1383">
        <f>'Recycling - Case 2'!CA109</f>
        <v>48.694518386230293</v>
      </c>
      <c r="BU41" s="1386">
        <f>'Recycling - Case 3'!BV109</f>
        <v>62.22980918734369</v>
      </c>
      <c r="BV41" s="510">
        <f>'Recycling - Case 3'!BW109</f>
        <v>0.81391728164353938</v>
      </c>
      <c r="BW41" s="1383">
        <f>'Recycling - Case 3'!BX109</f>
        <v>45.096434675122964</v>
      </c>
      <c r="BX41" s="1386">
        <f>'Recycling - Case 3'!BY109</f>
        <v>65.827892898451012</v>
      </c>
      <c r="BY41" s="510">
        <f>'Recycling - Case 3'!BZ109</f>
        <v>0.8051997218498429</v>
      </c>
      <c r="BZ41" s="1385">
        <f>'Recycling - Case 3'!CA109</f>
        <v>48.694518386230293</v>
      </c>
      <c r="CB41" s="805">
        <f>'Recycling - Case 1'!CB109</f>
        <v>0.34551843738236382</v>
      </c>
      <c r="CC41" s="510">
        <f>'Recycling - Case 1'!CC109</f>
        <v>0.76253548568931517</v>
      </c>
      <c r="CD41" s="510">
        <f>'Recycling - Case 1'!CD109</f>
        <v>0.34551843738236382</v>
      </c>
      <c r="CE41" s="510">
        <f>'Recycling - Case 1'!CE109</f>
        <v>0.85</v>
      </c>
      <c r="CF41" s="510">
        <f>'Recycling - Case 2'!CB109</f>
        <v>0.62288032161257645</v>
      </c>
      <c r="CG41" s="510">
        <f>'Recycling - Case 2'!CC109</f>
        <v>0.85</v>
      </c>
      <c r="CH41" s="510">
        <f>'Recycling - Case 2'!CD109</f>
        <v>0.62288032161257645</v>
      </c>
      <c r="CI41" s="510">
        <f>'Recycling - Case 2'!CE109</f>
        <v>0.85</v>
      </c>
      <c r="CJ41" s="510">
        <f>'Recycling - Case 3'!CB109</f>
        <v>0.62288032161257645</v>
      </c>
      <c r="CK41" s="510">
        <f>'Recycling - Case 3'!CC109</f>
        <v>0.85</v>
      </c>
      <c r="CL41" s="510">
        <f>'Recycling - Case 3'!CD109</f>
        <v>0.62288032161257645</v>
      </c>
      <c r="CM41" s="658">
        <f>'Recycling - Case 3'!CE109</f>
        <v>0.85</v>
      </c>
    </row>
    <row r="42" spans="1:91">
      <c r="A42" s="4">
        <f>'Input data'!A129</f>
        <v>2031</v>
      </c>
      <c r="B42" s="4"/>
      <c r="C42" s="980">
        <f>'4A SWD Case 1'!BG99</f>
        <v>2184.584109666705</v>
      </c>
      <c r="D42" s="3">
        <f>'4B Biological treatment '!T95</f>
        <v>0.608774165724429</v>
      </c>
      <c r="E42" s="1495">
        <f>'4B Biological treatment '!U95</f>
        <v>27.394837457599301</v>
      </c>
      <c r="F42" s="1495">
        <f>'4B Biological treatment '!W95</f>
        <v>1.6436902474559583</v>
      </c>
      <c r="G42" s="1184">
        <f>'4C2 Open-burning '!R102</f>
        <v>35.530518758769055</v>
      </c>
      <c r="H42" s="1184">
        <f>'4C2 Open-burning '!Z102</f>
        <v>8.7499569419140357</v>
      </c>
      <c r="I42" s="1184">
        <f>'4C2 Open-burning '!AH102</f>
        <v>0.13480480670724521</v>
      </c>
      <c r="J42" s="1220">
        <f>'4D Wastewater treatment and dis'!AV139</f>
        <v>179.14735481190519</v>
      </c>
      <c r="K42" s="981">
        <f>'4D Wastewater treatment and dis'!AW139</f>
        <v>3.3539800941954407</v>
      </c>
      <c r="L42" s="982">
        <f t="shared" si="69"/>
        <v>45876.266303000804</v>
      </c>
      <c r="M42" s="983">
        <f t="shared" si="70"/>
        <v>12.784257480213009</v>
      </c>
      <c r="N42" s="982">
        <f t="shared" si="71"/>
        <v>1084.8355633209324</v>
      </c>
      <c r="O42" s="984">
        <f t="shared" si="72"/>
        <v>261.06910461820985</v>
      </c>
      <c r="P42" s="982">
        <f t="shared" si="73"/>
        <v>4801.8282802505955</v>
      </c>
      <c r="Q42" s="650">
        <f t="shared" si="74"/>
        <v>45876.266303000804</v>
      </c>
      <c r="R42" s="652">
        <f t="shared" si="75"/>
        <v>1097.6198208011454</v>
      </c>
      <c r="S42" s="649">
        <f t="shared" si="76"/>
        <v>261.06910461820985</v>
      </c>
      <c r="T42" s="650">
        <f t="shared" si="77"/>
        <v>4801.8282802505955</v>
      </c>
      <c r="U42" s="650">
        <f t="shared" si="78"/>
        <v>52036.783508670756</v>
      </c>
      <c r="V42" s="3"/>
      <c r="W42" s="752">
        <f t="shared" si="79"/>
        <v>2032</v>
      </c>
      <c r="X42" s="1382">
        <f t="shared" si="80"/>
        <v>45403.048288364451</v>
      </c>
      <c r="Y42" s="1384">
        <f t="shared" si="81"/>
        <v>1129.6305911463169</v>
      </c>
      <c r="Z42" s="1384">
        <f t="shared" si="82"/>
        <v>250.21265956771691</v>
      </c>
      <c r="AA42" s="1384">
        <f t="shared" si="83"/>
        <v>4880.3350275419698</v>
      </c>
      <c r="AB42" s="1466">
        <f t="shared" si="26"/>
        <v>51663.226566620462</v>
      </c>
      <c r="AC42" s="1502" t="str">
        <f>'Recycling - Case 1'!T150</f>
        <v>Policies met</v>
      </c>
      <c r="AD42" s="1382">
        <f t="shared" si="84"/>
        <v>45418.078212149136</v>
      </c>
      <c r="AE42" s="1384">
        <f t="shared" si="85"/>
        <v>931.33685104505025</v>
      </c>
      <c r="AF42" s="1384">
        <f t="shared" si="86"/>
        <v>250.21265956771691</v>
      </c>
      <c r="AG42" s="1384">
        <f t="shared" si="87"/>
        <v>4880.3350275419698</v>
      </c>
      <c r="AH42" s="1466">
        <f t="shared" si="60"/>
        <v>51479.962750303879</v>
      </c>
      <c r="AI42" s="1502" t="str">
        <f>'Recycling - Case 1'!T190</f>
        <v>Policies not met</v>
      </c>
      <c r="AJ42" s="1382">
        <f t="shared" si="88"/>
        <v>38977.005210097908</v>
      </c>
      <c r="AK42" s="1384">
        <f t="shared" si="89"/>
        <v>610.00926897905742</v>
      </c>
      <c r="AL42" s="1384">
        <f t="shared" si="90"/>
        <v>131.92651111021476</v>
      </c>
      <c r="AM42" s="1384">
        <f t="shared" si="91"/>
        <v>5555.4133281488503</v>
      </c>
      <c r="AN42" s="1466">
        <f t="shared" si="92"/>
        <v>45274.354318336031</v>
      </c>
      <c r="AO42" s="1502" t="str">
        <f>'Recycling - Case 2'!T150</f>
        <v>Policies not met</v>
      </c>
      <c r="AP42" s="1382">
        <f t="shared" si="93"/>
        <v>39483.109871942841</v>
      </c>
      <c r="AQ42" s="1384">
        <f t="shared" si="94"/>
        <v>370.47151942987688</v>
      </c>
      <c r="AR42" s="1384">
        <f t="shared" si="95"/>
        <v>131.92651111021476</v>
      </c>
      <c r="AS42" s="1384">
        <f t="shared" si="96"/>
        <v>5555.4133281488503</v>
      </c>
      <c r="AT42" s="1466">
        <f t="shared" si="41"/>
        <v>45540.921230631779</v>
      </c>
      <c r="AU42" s="1502" t="str">
        <f>'Recycling - Case 2'!T190</f>
        <v>Policies not met</v>
      </c>
      <c r="AV42" s="1382">
        <f t="shared" si="63"/>
        <v>38977.696173782693</v>
      </c>
      <c r="AW42" s="1384">
        <f t="shared" si="64"/>
        <v>370.47151942987688</v>
      </c>
      <c r="AX42" s="1384">
        <f t="shared" si="65"/>
        <v>131.92651111021479</v>
      </c>
      <c r="AY42" s="1384">
        <f t="shared" si="66"/>
        <v>5555.4133281488503</v>
      </c>
      <c r="AZ42" s="1466">
        <f t="shared" si="67"/>
        <v>45035.507532471631</v>
      </c>
      <c r="BA42" s="1502" t="str">
        <f>'Recycling - Case 2'!T150</f>
        <v>Policies not met</v>
      </c>
      <c r="BB42" s="1382">
        <f t="shared" si="97"/>
        <v>39483.800835627648</v>
      </c>
      <c r="BC42" s="1384">
        <f t="shared" si="98"/>
        <v>370.47151942987688</v>
      </c>
      <c r="BD42" s="1384">
        <f t="shared" si="99"/>
        <v>131.92651111021479</v>
      </c>
      <c r="BE42" s="1384">
        <f t="shared" si="100"/>
        <v>5555.4133281488503</v>
      </c>
      <c r="BF42" s="1466">
        <f t="shared" si="51"/>
        <v>45541.612194316593</v>
      </c>
      <c r="BG42" s="1502" t="str">
        <f>'Recycling - Case 2'!T190</f>
        <v>Policies not met</v>
      </c>
      <c r="BH42" s="752">
        <f t="shared" si="52"/>
        <v>2032</v>
      </c>
      <c r="BI42" s="1384">
        <f>'Recycling - Case 1'!BV110</f>
        <v>72.820408557070181</v>
      </c>
      <c r="BJ42" s="510">
        <f>'Recycling - Case 1'!BW110</f>
        <v>0.50699616289955629</v>
      </c>
      <c r="BK42" s="1383">
        <f>'Recycling - Case 1'!BX110</f>
        <v>43.216003555604551</v>
      </c>
      <c r="BL42" s="1384">
        <f>'Recycling - Case 1'!BY110</f>
        <v>73.053352587101003</v>
      </c>
      <c r="BM42" s="510">
        <f>'Recycling - Case 1'!BZ110</f>
        <v>0.48230377411684699</v>
      </c>
      <c r="BN42" s="1383">
        <f>'Recycling - Case 1'!CA110</f>
        <v>48.694518386230293</v>
      </c>
      <c r="BO42" s="1386">
        <f>'Recycling - Case 2'!BV110</f>
        <v>59.20616019635014</v>
      </c>
      <c r="BP42" s="510">
        <f>'Recycling - Case 2'!BW110</f>
        <v>0.7987169009839189</v>
      </c>
      <c r="BQ42" s="1383">
        <f>'Recycling - Case 2'!BX110</f>
        <v>43.216003555604551</v>
      </c>
      <c r="BR42" s="1383">
        <f>'Recycling - Case 2'!BY110</f>
        <v>64.684675026975881</v>
      </c>
      <c r="BS42" s="510">
        <f>'Recycling - Case 2'!BZ110</f>
        <v>0.78672715161729612</v>
      </c>
      <c r="BT42" s="1383">
        <f>'Recycling - Case 2'!CA110</f>
        <v>48.694518386230293</v>
      </c>
      <c r="BU42" s="1386">
        <f>'Recycling - Case 3'!BV110</f>
        <v>59.20616019635014</v>
      </c>
      <c r="BV42" s="510">
        <f>'Recycling - Case 3'!BW110</f>
        <v>0.7987169009839189</v>
      </c>
      <c r="BW42" s="1383">
        <f>'Recycling - Case 3'!BX110</f>
        <v>43.216003555604551</v>
      </c>
      <c r="BX42" s="1386">
        <f>'Recycling - Case 3'!BY110</f>
        <v>64.684675026975881</v>
      </c>
      <c r="BY42" s="510">
        <f>'Recycling - Case 3'!BZ110</f>
        <v>0.78672715161729612</v>
      </c>
      <c r="BZ42" s="1385">
        <f>'Recycling - Case 3'!CA110</f>
        <v>48.694518386230293</v>
      </c>
      <c r="CB42" s="805">
        <f>'Recycling - Case 1'!CB110</f>
        <v>0.37804558329936305</v>
      </c>
      <c r="CC42" s="510">
        <f>'Recycling - Case 1'!CC110</f>
        <v>0.73179317168375246</v>
      </c>
      <c r="CD42" s="510">
        <f>'Recycling - Case 1'!CD110</f>
        <v>0.37804558329936305</v>
      </c>
      <c r="CE42" s="510">
        <f>'Recycling - Case 1'!CE110</f>
        <v>0.85</v>
      </c>
      <c r="CF42" s="510">
        <f>'Recycling - Case 2'!CB110</f>
        <v>0.67206984488050125</v>
      </c>
      <c r="CG42" s="510">
        <f>'Recycling - Case 2'!CC110</f>
        <v>0.85</v>
      </c>
      <c r="CH42" s="510">
        <f>'Recycling - Case 2'!CD110</f>
        <v>0.67206984488050125</v>
      </c>
      <c r="CI42" s="510">
        <f>'Recycling - Case 2'!CE110</f>
        <v>0.85</v>
      </c>
      <c r="CJ42" s="510">
        <f>'Recycling - Case 3'!CB110</f>
        <v>0.67206984488050125</v>
      </c>
      <c r="CK42" s="510">
        <f>'Recycling - Case 3'!CC110</f>
        <v>0.85</v>
      </c>
      <c r="CL42" s="510">
        <f>'Recycling - Case 3'!CD110</f>
        <v>0.67206984488050125</v>
      </c>
      <c r="CM42" s="658">
        <f>'Recycling - Case 3'!CE110</f>
        <v>0.85</v>
      </c>
    </row>
    <row r="43" spans="1:91">
      <c r="A43" s="4">
        <f>'Input data'!A130</f>
        <v>2032</v>
      </c>
      <c r="B43" s="4"/>
      <c r="C43" s="980">
        <f>'4A SWD Case 1'!BG100</f>
        <v>2162.0499184935452</v>
      </c>
      <c r="D43" s="3">
        <f>'4B Biological treatment '!T96</f>
        <v>0.62652833674227226</v>
      </c>
      <c r="E43" s="1495">
        <f>'4B Biological treatment '!U96</f>
        <v>28.19377515340225</v>
      </c>
      <c r="F43" s="1495">
        <f>'4B Biological treatment '!W96</f>
        <v>1.6916265092041352</v>
      </c>
      <c r="G43" s="1184">
        <f>'4C2 Open-burning '!R103</f>
        <v>34.052997605570212</v>
      </c>
      <c r="H43" s="1184">
        <f>'4C2 Open-burning '!Z103</f>
        <v>8.3860937920672249</v>
      </c>
      <c r="I43" s="1184">
        <f>'4C2 Open-burning '!AH103</f>
        <v>0.12919900751204833</v>
      </c>
      <c r="J43" s="1220">
        <f>'4D Wastewater treatment and dis'!AV140</f>
        <v>182.46300004329916</v>
      </c>
      <c r="K43" s="981">
        <f>'4D Wastewater treatment and dis'!AW140</f>
        <v>3.3826194407506049</v>
      </c>
      <c r="L43" s="982">
        <f t="shared" si="69"/>
        <v>45403.048288364451</v>
      </c>
      <c r="M43" s="983">
        <f t="shared" si="70"/>
        <v>13.157095071587717</v>
      </c>
      <c r="N43" s="982">
        <f t="shared" si="71"/>
        <v>1116.4734960747292</v>
      </c>
      <c r="O43" s="984">
        <f t="shared" si="72"/>
        <v>250.21265956771691</v>
      </c>
      <c r="P43" s="982">
        <f t="shared" si="73"/>
        <v>4880.3350275419698</v>
      </c>
      <c r="Q43" s="650">
        <f t="shared" si="74"/>
        <v>45403.048288364451</v>
      </c>
      <c r="R43" s="652">
        <f t="shared" si="75"/>
        <v>1129.6305911463169</v>
      </c>
      <c r="S43" s="649">
        <f t="shared" si="76"/>
        <v>250.21265956771691</v>
      </c>
      <c r="T43" s="650">
        <f t="shared" si="77"/>
        <v>4880.3350275419698</v>
      </c>
      <c r="U43" s="650">
        <f t="shared" si="78"/>
        <v>51663.226566620462</v>
      </c>
      <c r="V43" s="3"/>
      <c r="W43" s="752">
        <f t="shared" si="79"/>
        <v>2033</v>
      </c>
      <c r="X43" s="1382">
        <f t="shared" si="80"/>
        <v>44930.494894036361</v>
      </c>
      <c r="Y43" s="1384">
        <f t="shared" si="81"/>
        <v>1166.2881406157899</v>
      </c>
      <c r="Z43" s="1384">
        <f t="shared" si="82"/>
        <v>239.14876988876989</v>
      </c>
      <c r="AA43" s="1384">
        <f t="shared" si="83"/>
        <v>4959.7700664419835</v>
      </c>
      <c r="AB43" s="1466">
        <f t="shared" si="26"/>
        <v>51295.701870982906</v>
      </c>
      <c r="AC43" s="1502" t="str">
        <f>'Recycling - Case 1'!T151</f>
        <v>Policies met</v>
      </c>
      <c r="AD43" s="1382">
        <f t="shared" si="84"/>
        <v>44980.018480243234</v>
      </c>
      <c r="AE43" s="1384">
        <f t="shared" si="85"/>
        <v>908.24931837440704</v>
      </c>
      <c r="AF43" s="1384">
        <f t="shared" si="86"/>
        <v>239.14876988876989</v>
      </c>
      <c r="AG43" s="1384">
        <f t="shared" si="87"/>
        <v>4959.7700664419835</v>
      </c>
      <c r="AH43" s="1466">
        <f t="shared" si="60"/>
        <v>51087.186634948397</v>
      </c>
      <c r="AI43" s="1502" t="str">
        <f>'Recycling - Case 1'!T191</f>
        <v>Policies not met</v>
      </c>
      <c r="AJ43" s="1382">
        <f t="shared" si="88"/>
        <v>38198.525793261993</v>
      </c>
      <c r="AK43" s="1384">
        <f t="shared" si="89"/>
        <v>620.03274922754008</v>
      </c>
      <c r="AL43" s="1384">
        <f t="shared" si="90"/>
        <v>133.05134847594945</v>
      </c>
      <c r="AM43" s="1384">
        <f t="shared" si="91"/>
        <v>5602.7801268386283</v>
      </c>
      <c r="AN43" s="1466">
        <f t="shared" si="92"/>
        <v>44554.390017804108</v>
      </c>
      <c r="AO43" s="1502" t="str">
        <f>'Recycling - Case 2'!T151</f>
        <v>Policies not met</v>
      </c>
      <c r="AP43" s="1382">
        <f t="shared" si="93"/>
        <v>38800.303319657345</v>
      </c>
      <c r="AQ43" s="1384">
        <f t="shared" si="94"/>
        <v>376.5589907954278</v>
      </c>
      <c r="AR43" s="1384">
        <f t="shared" si="95"/>
        <v>133.05134847594945</v>
      </c>
      <c r="AS43" s="1384">
        <f t="shared" si="96"/>
        <v>5602.7801268386283</v>
      </c>
      <c r="AT43" s="1466">
        <f t="shared" si="41"/>
        <v>44912.693785767347</v>
      </c>
      <c r="AU43" s="1502" t="str">
        <f>'Recycling - Case 2'!T191</f>
        <v>Policies not met</v>
      </c>
      <c r="AV43" s="1382">
        <f t="shared" si="63"/>
        <v>38199.291611196641</v>
      </c>
      <c r="AW43" s="1384">
        <f t="shared" si="64"/>
        <v>376.55899079542786</v>
      </c>
      <c r="AX43" s="1384">
        <f t="shared" si="65"/>
        <v>133.05134847594948</v>
      </c>
      <c r="AY43" s="1384">
        <f t="shared" si="66"/>
        <v>5602.7801268386283</v>
      </c>
      <c r="AZ43" s="1466">
        <f t="shared" si="67"/>
        <v>44311.682077306643</v>
      </c>
      <c r="BA43" s="1502" t="str">
        <f>'Recycling - Case 2'!T151</f>
        <v>Policies not met</v>
      </c>
      <c r="BB43" s="1382">
        <f t="shared" si="97"/>
        <v>38801.069137592007</v>
      </c>
      <c r="BC43" s="1384">
        <f t="shared" si="98"/>
        <v>376.5589907954278</v>
      </c>
      <c r="BD43" s="1384">
        <f t="shared" si="99"/>
        <v>133.05134847594948</v>
      </c>
      <c r="BE43" s="1384">
        <f t="shared" si="100"/>
        <v>5602.7801268386283</v>
      </c>
      <c r="BF43" s="1466">
        <f t="shared" si="51"/>
        <v>44913.459603702009</v>
      </c>
      <c r="BG43" s="1502" t="str">
        <f>'Recycling - Case 2'!T191</f>
        <v>Policies not met</v>
      </c>
      <c r="BH43" s="752">
        <f t="shared" si="52"/>
        <v>2033</v>
      </c>
      <c r="BI43" s="1384">
        <f>'Recycling - Case 1'!BV111</f>
        <v>71.923701615288195</v>
      </c>
      <c r="BJ43" s="510">
        <f>'Recycling - Case 1'!BW111</f>
        <v>0.50768662049917834</v>
      </c>
      <c r="BK43" s="1383">
        <f>'Recycling - Case 1'!BX111</f>
        <v>41.33726804575209</v>
      </c>
      <c r="BL43" s="1384">
        <f>'Recycling - Case 1'!BY111</f>
        <v>72.454912411209662</v>
      </c>
      <c r="BM43" s="510">
        <f>'Recycling - Case 1'!BZ111</f>
        <v>0.47448555510858836</v>
      </c>
      <c r="BN43" s="1383">
        <f>'Recycling - Case 1'!CA111</f>
        <v>48.694518386230293</v>
      </c>
      <c r="BO43" s="1386">
        <f>'Recycling - Case 2'!BV111</f>
        <v>57.591329999368007</v>
      </c>
      <c r="BP43" s="510">
        <f>'Recycling - Case 2'!BW111</f>
        <v>0.80360178668353943</v>
      </c>
      <c r="BQ43" s="1383">
        <f>'Recycling - Case 2'!BX111</f>
        <v>41.33726804575209</v>
      </c>
      <c r="BR43" s="1383">
        <f>'Recycling - Case 2'!BY111</f>
        <v>64.948580339846202</v>
      </c>
      <c r="BS43" s="510">
        <f>'Recycling - Case 2'!BZ111</f>
        <v>0.78697036714436519</v>
      </c>
      <c r="BT43" s="1383">
        <f>'Recycling - Case 2'!CA111</f>
        <v>48.694518386230293</v>
      </c>
      <c r="BU43" s="1386">
        <f>'Recycling - Case 3'!BV111</f>
        <v>57.591329999368007</v>
      </c>
      <c r="BV43" s="510">
        <f>'Recycling - Case 3'!BW111</f>
        <v>0.80360178668353943</v>
      </c>
      <c r="BW43" s="1383">
        <f>'Recycling - Case 3'!BX111</f>
        <v>41.33726804575209</v>
      </c>
      <c r="BX43" s="1386">
        <f>'Recycling - Case 3'!BY111</f>
        <v>64.948580339846202</v>
      </c>
      <c r="BY43" s="510">
        <f>'Recycling - Case 3'!BZ111</f>
        <v>0.78697036714436519</v>
      </c>
      <c r="BZ43" s="1385">
        <f>'Recycling - Case 3'!CA111</f>
        <v>48.694518386230293</v>
      </c>
      <c r="CB43" s="805">
        <f>'Recycling - Case 1'!CB111</f>
        <v>0.41057272921636223</v>
      </c>
      <c r="CC43" s="510">
        <f>'Recycling - Case 1'!CC111</f>
        <v>0.70032266978933944</v>
      </c>
      <c r="CD43" s="510">
        <f>'Recycling - Case 1'!CD111</f>
        <v>0.41057272921636223</v>
      </c>
      <c r="CE43" s="510">
        <f>'Recycling - Case 1'!CE111</f>
        <v>0.85</v>
      </c>
      <c r="CF43" s="510">
        <f>'Recycling - Case 2'!CB111</f>
        <v>0.67206984488050125</v>
      </c>
      <c r="CG43" s="510">
        <f>'Recycling - Case 2'!CC111</f>
        <v>0.85</v>
      </c>
      <c r="CH43" s="510">
        <f>'Recycling - Case 2'!CD111</f>
        <v>0.67206984488050125</v>
      </c>
      <c r="CI43" s="510">
        <f>'Recycling - Case 2'!CE111</f>
        <v>0.85</v>
      </c>
      <c r="CJ43" s="510">
        <f>'Recycling - Case 3'!CB111</f>
        <v>0.67206984488050125</v>
      </c>
      <c r="CK43" s="510">
        <f>'Recycling - Case 3'!CC111</f>
        <v>0.85</v>
      </c>
      <c r="CL43" s="510">
        <f>'Recycling - Case 3'!CD111</f>
        <v>0.67206984488050125</v>
      </c>
      <c r="CM43" s="658">
        <f>'Recycling - Case 3'!CE111</f>
        <v>0.85</v>
      </c>
    </row>
    <row r="44" spans="1:91">
      <c r="A44" s="4">
        <f>'Input data'!A131</f>
        <v>2033</v>
      </c>
      <c r="B44" s="4"/>
      <c r="C44" s="980">
        <f>'4A SWD Case 1'!BG101</f>
        <v>2139.5473759064935</v>
      </c>
      <c r="D44" s="3">
        <f>'4B Biological treatment '!T97</f>
        <v>0.64685975630382142</v>
      </c>
      <c r="E44" s="1495">
        <f>'4B Biological treatment '!U97</f>
        <v>29.108689033671961</v>
      </c>
      <c r="F44" s="1495">
        <f>'4B Biological treatment '!W97</f>
        <v>1.7465213420203176</v>
      </c>
      <c r="G44" s="1184">
        <f>'4C2 Open-burning '!R104</f>
        <v>32.547244022212809</v>
      </c>
      <c r="H44" s="1184">
        <f>'4C2 Open-burning '!Z104</f>
        <v>8.0152779559978917</v>
      </c>
      <c r="I44" s="1184">
        <f>'4C2 Open-burning '!AH104</f>
        <v>0.12348609287290757</v>
      </c>
      <c r="J44" s="1220">
        <f>'4D Wastewater treatment and dis'!AV141</f>
        <v>185.81987237428893</v>
      </c>
      <c r="K44" s="981">
        <f>'4D Wastewater treatment and dis'!AW141</f>
        <v>3.4114604728448907</v>
      </c>
      <c r="L44" s="982">
        <f t="shared" si="69"/>
        <v>44930.494894036361</v>
      </c>
      <c r="M44" s="983">
        <f t="shared" si="70"/>
        <v>13.584054882380251</v>
      </c>
      <c r="N44" s="982">
        <f t="shared" si="71"/>
        <v>1152.7040857334096</v>
      </c>
      <c r="O44" s="984">
        <f t="shared" si="72"/>
        <v>239.14876988876989</v>
      </c>
      <c r="P44" s="982">
        <f t="shared" si="73"/>
        <v>4959.7700664419835</v>
      </c>
      <c r="Q44" s="650">
        <f t="shared" si="74"/>
        <v>44930.494894036361</v>
      </c>
      <c r="R44" s="652">
        <f t="shared" si="75"/>
        <v>1166.2881406157899</v>
      </c>
      <c r="S44" s="649">
        <f t="shared" si="76"/>
        <v>239.14876988876989</v>
      </c>
      <c r="T44" s="650">
        <f t="shared" si="77"/>
        <v>4959.7700664419835</v>
      </c>
      <c r="U44" s="650">
        <f t="shared" si="78"/>
        <v>51295.701870982906</v>
      </c>
      <c r="V44" s="3"/>
      <c r="W44" s="752">
        <f t="shared" si="79"/>
        <v>2034</v>
      </c>
      <c r="X44" s="1382">
        <f t="shared" si="80"/>
        <v>44461.646909414798</v>
      </c>
      <c r="Y44" s="1384">
        <f t="shared" si="81"/>
        <v>1205.1954733411487</v>
      </c>
      <c r="Z44" s="1384">
        <f t="shared" si="82"/>
        <v>227.88177404118193</v>
      </c>
      <c r="AA44" s="1384">
        <f t="shared" si="83"/>
        <v>5040.2878343178654</v>
      </c>
      <c r="AB44" s="1466">
        <f t="shared" si="26"/>
        <v>50935.011991114996</v>
      </c>
      <c r="AC44" s="1502" t="str">
        <f>'Recycling - Case 1'!T152</f>
        <v>Policies met</v>
      </c>
      <c r="AD44" s="1382">
        <f t="shared" si="84"/>
        <v>44561.276414634645</v>
      </c>
      <c r="AE44" s="1384">
        <f t="shared" si="85"/>
        <v>885.09278661690985</v>
      </c>
      <c r="AF44" s="1384">
        <f t="shared" si="86"/>
        <v>227.88177404118193</v>
      </c>
      <c r="AG44" s="1384">
        <f t="shared" si="87"/>
        <v>5040.2878343178654</v>
      </c>
      <c r="AH44" s="1466">
        <f t="shared" si="60"/>
        <v>50714.538809610603</v>
      </c>
      <c r="AI44" s="1502" t="str">
        <f>'Recycling - Case 1'!T192</f>
        <v>Policies not met</v>
      </c>
      <c r="AJ44" s="1382">
        <f t="shared" si="88"/>
        <v>37421.22987985675</v>
      </c>
      <c r="AK44" s="1384">
        <f t="shared" si="89"/>
        <v>630.57102618415809</v>
      </c>
      <c r="AL44" s="1384">
        <f t="shared" si="90"/>
        <v>134.18798483503096</v>
      </c>
      <c r="AM44" s="1384">
        <f t="shared" si="91"/>
        <v>5650.6437800601161</v>
      </c>
      <c r="AN44" s="1466">
        <f t="shared" si="92"/>
        <v>43836.632670936058</v>
      </c>
      <c r="AO44" s="1502" t="str">
        <f>'Recycling - Case 2'!T152</f>
        <v>Policies not met</v>
      </c>
      <c r="AP44" s="1382">
        <f t="shared" si="93"/>
        <v>38155.28763770606</v>
      </c>
      <c r="AQ44" s="1384">
        <f t="shared" si="94"/>
        <v>382.95910908022915</v>
      </c>
      <c r="AR44" s="1384">
        <f t="shared" si="95"/>
        <v>134.18798483503096</v>
      </c>
      <c r="AS44" s="1384">
        <f t="shared" si="96"/>
        <v>5650.6437800601161</v>
      </c>
      <c r="AT44" s="1466">
        <f t="shared" si="41"/>
        <v>44323.078511681437</v>
      </c>
      <c r="AU44" s="1502" t="str">
        <f>'Recycling - Case 2'!T192</f>
        <v>Policies not met</v>
      </c>
      <c r="AV44" s="1382">
        <f t="shared" si="63"/>
        <v>37422.067174178526</v>
      </c>
      <c r="AW44" s="1384">
        <f t="shared" si="64"/>
        <v>382.95910908022921</v>
      </c>
      <c r="AX44" s="1384">
        <f t="shared" si="65"/>
        <v>134.18798483503099</v>
      </c>
      <c r="AY44" s="1384">
        <f t="shared" si="66"/>
        <v>5650.6437800601161</v>
      </c>
      <c r="AZ44" s="1466">
        <f t="shared" si="67"/>
        <v>43589.858048153896</v>
      </c>
      <c r="BA44" s="1502" t="str">
        <f>'Recycling - Case 2'!T152</f>
        <v>Policies not met</v>
      </c>
      <c r="BB44" s="1382">
        <f t="shared" si="97"/>
        <v>38156.124932027844</v>
      </c>
      <c r="BC44" s="1384">
        <f t="shared" si="98"/>
        <v>382.95910908022915</v>
      </c>
      <c r="BD44" s="1384">
        <f t="shared" si="99"/>
        <v>134.18798483503099</v>
      </c>
      <c r="BE44" s="1384">
        <f t="shared" si="100"/>
        <v>5650.6437800601161</v>
      </c>
      <c r="BF44" s="1466">
        <f t="shared" si="51"/>
        <v>44323.91580600322</v>
      </c>
      <c r="BG44" s="1502" t="str">
        <f>'Recycling - Case 2'!T192</f>
        <v>Policies not met</v>
      </c>
      <c r="BH44" s="752">
        <f t="shared" si="52"/>
        <v>2034</v>
      </c>
      <c r="BI44" s="1384">
        <f>'Recycling - Case 1'!BV112</f>
        <v>71.086735319830382</v>
      </c>
      <c r="BJ44" s="510">
        <f>'Recycling - Case 1'!BW112</f>
        <v>0.5082715397766957</v>
      </c>
      <c r="BK44" s="1383">
        <f>'Recycling - Case 1'!BX112</f>
        <v>39.458532535899622</v>
      </c>
      <c r="BL44" s="1384">
        <f>'Recycling - Case 1'!BY112</f>
        <v>71.854872887027454</v>
      </c>
      <c r="BM44" s="510">
        <f>'Recycling - Case 1'!BZ112</f>
        <v>0.46648477033242713</v>
      </c>
      <c r="BN44" s="1383">
        <f>'Recycling - Case 1'!CA112</f>
        <v>48.694518386230293</v>
      </c>
      <c r="BO44" s="1386">
        <f>'Recycling - Case 2'!BV112</f>
        <v>55.990104871773084</v>
      </c>
      <c r="BP44" s="510">
        <f>'Recycling - Case 2'!BW112</f>
        <v>0.80873654338819967</v>
      </c>
      <c r="BQ44" s="1383">
        <f>'Recycling - Case 2'!BX112</f>
        <v>39.458532535899622</v>
      </c>
      <c r="BR44" s="1383">
        <f>'Recycling - Case 2'!BY112</f>
        <v>65.226090722103748</v>
      </c>
      <c r="BS44" s="510">
        <f>'Recycling - Case 2'!BZ112</f>
        <v>0.78716506898172134</v>
      </c>
      <c r="BT44" s="1383">
        <f>'Recycling - Case 2'!CA112</f>
        <v>48.694518386230293</v>
      </c>
      <c r="BU44" s="1386">
        <f>'Recycling - Case 3'!BV112</f>
        <v>55.990104871773084</v>
      </c>
      <c r="BV44" s="510">
        <f>'Recycling - Case 3'!BW112</f>
        <v>0.80873654338819967</v>
      </c>
      <c r="BW44" s="1383">
        <f>'Recycling - Case 3'!BX112</f>
        <v>39.458532535899622</v>
      </c>
      <c r="BX44" s="1386">
        <f>'Recycling - Case 3'!BY112</f>
        <v>65.226090722103748</v>
      </c>
      <c r="BY44" s="510">
        <f>'Recycling - Case 3'!BZ112</f>
        <v>0.78716506898172134</v>
      </c>
      <c r="BZ44" s="1385">
        <f>'Recycling - Case 3'!CA112</f>
        <v>48.694518386230293</v>
      </c>
      <c r="CB44" s="805">
        <f>'Recycling - Case 1'!CB112</f>
        <v>0.44309987513336141</v>
      </c>
      <c r="CC44" s="510">
        <f>'Recycling - Case 1'!CC112</f>
        <v>0.66952195093610889</v>
      </c>
      <c r="CD44" s="510">
        <f>'Recycling - Case 1'!CD112</f>
        <v>0.44309987513336141</v>
      </c>
      <c r="CE44" s="510">
        <f>'Recycling - Case 1'!CE112</f>
        <v>0.85</v>
      </c>
      <c r="CF44" s="510">
        <f>'Recycling - Case 2'!CB112</f>
        <v>0.67206984488050125</v>
      </c>
      <c r="CG44" s="510">
        <f>'Recycling - Case 2'!CC112</f>
        <v>0.85</v>
      </c>
      <c r="CH44" s="510">
        <f>'Recycling - Case 2'!CD112</f>
        <v>0.67206984488050125</v>
      </c>
      <c r="CI44" s="510">
        <f>'Recycling - Case 2'!CE112</f>
        <v>0.85</v>
      </c>
      <c r="CJ44" s="510">
        <f>'Recycling - Case 3'!CB112</f>
        <v>0.67206984488050125</v>
      </c>
      <c r="CK44" s="510">
        <f>'Recycling - Case 3'!CC112</f>
        <v>0.85</v>
      </c>
      <c r="CL44" s="510">
        <f>'Recycling - Case 3'!CD112</f>
        <v>0.67206984488050125</v>
      </c>
      <c r="CM44" s="658">
        <f>'Recycling - Case 3'!CE112</f>
        <v>0.85</v>
      </c>
    </row>
    <row r="45" spans="1:91">
      <c r="A45" s="4">
        <f>'Input data'!A132</f>
        <v>2034</v>
      </c>
      <c r="B45" s="4"/>
      <c r="C45" s="980">
        <f>'4A SWD Case 1'!BG102</f>
        <v>2117.2212814007048</v>
      </c>
      <c r="D45" s="3">
        <f>'4B Biological treatment '!T98</f>
        <v>0.66843897578544031</v>
      </c>
      <c r="E45" s="1495">
        <f>'4B Biological treatment '!U98</f>
        <v>30.079753910344806</v>
      </c>
      <c r="F45" s="1495">
        <f>'4B Biological treatment '!W98</f>
        <v>1.8047852346206885</v>
      </c>
      <c r="G45" s="1184">
        <f>'4C2 Open-burning '!R105</f>
        <v>31.013848456685704</v>
      </c>
      <c r="H45" s="1184">
        <f>'4C2 Open-burning '!Z105</f>
        <v>7.637654840940705</v>
      </c>
      <c r="I45" s="1184">
        <f>'4C2 Open-burning '!AH105</f>
        <v>0.11766830298303682</v>
      </c>
      <c r="J45" s="1220">
        <f>'4D Wastewater treatment and dis'!AV142</f>
        <v>189.22383733385854</v>
      </c>
      <c r="K45" s="981">
        <f>'4D Wastewater treatment and dis'!AW142</f>
        <v>3.4406040332478574</v>
      </c>
      <c r="L45" s="982">
        <f t="shared" si="69"/>
        <v>44461.646909414798</v>
      </c>
      <c r="M45" s="983">
        <f t="shared" si="70"/>
        <v>14.037218491494247</v>
      </c>
      <c r="N45" s="982">
        <f t="shared" si="71"/>
        <v>1191.1582548496544</v>
      </c>
      <c r="O45" s="984">
        <f t="shared" si="72"/>
        <v>227.88177404118193</v>
      </c>
      <c r="P45" s="982">
        <f t="shared" si="73"/>
        <v>5040.2878343178654</v>
      </c>
      <c r="Q45" s="650">
        <f t="shared" si="74"/>
        <v>44461.646909414798</v>
      </c>
      <c r="R45" s="652">
        <f t="shared" si="75"/>
        <v>1205.1954733411487</v>
      </c>
      <c r="S45" s="649">
        <f t="shared" si="76"/>
        <v>227.88177404118193</v>
      </c>
      <c r="T45" s="650">
        <f t="shared" si="77"/>
        <v>5040.2878343178654</v>
      </c>
      <c r="U45" s="650">
        <f t="shared" si="78"/>
        <v>50935.011991114996</v>
      </c>
      <c r="V45" s="3"/>
      <c r="W45" s="752">
        <f t="shared" si="79"/>
        <v>2035</v>
      </c>
      <c r="X45" s="1382">
        <f t="shared" si="80"/>
        <v>43997.825833398994</v>
      </c>
      <c r="Y45" s="1384">
        <f t="shared" si="81"/>
        <v>1246.2640618634086</v>
      </c>
      <c r="Z45" s="1384">
        <f t="shared" si="82"/>
        <v>216.40187200977346</v>
      </c>
      <c r="AA45" s="1384">
        <f t="shared" si="83"/>
        <v>5121.7495469363903</v>
      </c>
      <c r="AB45" s="1466">
        <f t="shared" si="26"/>
        <v>50582.241314208572</v>
      </c>
      <c r="AC45" s="1502" t="str">
        <f>'Recycling - Case 1'!T153</f>
        <v>Policies met</v>
      </c>
      <c r="AD45" s="1382">
        <f t="shared" si="84"/>
        <v>44160.947488238678</v>
      </c>
      <c r="AE45" s="1384">
        <f t="shared" si="85"/>
        <v>861.87064219801698</v>
      </c>
      <c r="AF45" s="1384">
        <f t="shared" si="86"/>
        <v>216.40187200977346</v>
      </c>
      <c r="AG45" s="1384">
        <f t="shared" si="87"/>
        <v>5121.7495469363903</v>
      </c>
      <c r="AH45" s="1466">
        <f t="shared" si="60"/>
        <v>50360.969549382862</v>
      </c>
      <c r="AI45" s="1502" t="str">
        <f>'Recycling - Case 1'!T193</f>
        <v>Policies not met</v>
      </c>
      <c r="AJ45" s="1382">
        <f t="shared" si="88"/>
        <v>36645.367518438463</v>
      </c>
      <c r="AK45" s="1384">
        <f t="shared" si="89"/>
        <v>641.64342418881563</v>
      </c>
      <c r="AL45" s="1384">
        <f t="shared" si="90"/>
        <v>135.33248718967712</v>
      </c>
      <c r="AM45" s="1384">
        <f t="shared" si="91"/>
        <v>5698.8386696360794</v>
      </c>
      <c r="AN45" s="1466">
        <f t="shared" si="92"/>
        <v>43121.182099453028</v>
      </c>
      <c r="AO45" s="1502" t="str">
        <f>'Recycling - Case 2'!T153</f>
        <v>Policies not met</v>
      </c>
      <c r="AP45" s="1382">
        <f t="shared" si="93"/>
        <v>37546.52751229384</v>
      </c>
      <c r="AQ45" s="1384">
        <f t="shared" si="94"/>
        <v>389.68361036425586</v>
      </c>
      <c r="AR45" s="1384">
        <f t="shared" si="95"/>
        <v>135.33248718967712</v>
      </c>
      <c r="AS45" s="1384">
        <f t="shared" si="96"/>
        <v>5698.8386696360794</v>
      </c>
      <c r="AT45" s="1466">
        <f t="shared" si="41"/>
        <v>43770.382279483849</v>
      </c>
      <c r="AU45" s="1502" t="str">
        <f>'Recycling - Case 2'!T193</f>
        <v>Policies not met</v>
      </c>
      <c r="AV45" s="1382">
        <f t="shared" si="63"/>
        <v>36646.273118289508</v>
      </c>
      <c r="AW45" s="1384">
        <f t="shared" si="64"/>
        <v>389.68361036425586</v>
      </c>
      <c r="AX45" s="1384">
        <f t="shared" si="65"/>
        <v>135.33248718967712</v>
      </c>
      <c r="AY45" s="1384">
        <f t="shared" si="66"/>
        <v>5698.8386696360794</v>
      </c>
      <c r="AZ45" s="1466">
        <f t="shared" si="67"/>
        <v>42870.127885479524</v>
      </c>
      <c r="BA45" s="1502" t="str">
        <f>'Recycling - Case 2'!T153</f>
        <v>Policies not met</v>
      </c>
      <c r="BB45" s="1382">
        <f t="shared" si="97"/>
        <v>37547.433112144899</v>
      </c>
      <c r="BC45" s="1384">
        <f t="shared" si="98"/>
        <v>389.68361036425586</v>
      </c>
      <c r="BD45" s="1384">
        <f t="shared" si="99"/>
        <v>135.33248718967712</v>
      </c>
      <c r="BE45" s="1384">
        <f t="shared" si="100"/>
        <v>5698.8386696360794</v>
      </c>
      <c r="BF45" s="1466">
        <f t="shared" si="51"/>
        <v>43771.287879334908</v>
      </c>
      <c r="BG45" s="1502" t="str">
        <f>'Recycling - Case 2'!T193</f>
        <v>Policies not met</v>
      </c>
      <c r="BH45" s="752">
        <f t="shared" si="52"/>
        <v>2035</v>
      </c>
      <c r="BI45" s="1384">
        <f>'Recycling - Case 1'!BV113</f>
        <v>70.307178707156766</v>
      </c>
      <c r="BJ45" s="510">
        <f>'Recycling - Case 1'!BW113</f>
        <v>0.50873753514314179</v>
      </c>
      <c r="BK45" s="1383">
        <f>'Recycling - Case 1'!BX113</f>
        <v>37.57979702604716</v>
      </c>
      <c r="BL45" s="1384">
        <f>'Recycling - Case 1'!BY113</f>
        <v>71.253334498361909</v>
      </c>
      <c r="BM45" s="510">
        <f>'Recycling - Case 1'!BZ113</f>
        <v>0.45829514698282509</v>
      </c>
      <c r="BN45" s="1383">
        <f>'Recycling - Case 1'!CA113</f>
        <v>48.694518386230293</v>
      </c>
      <c r="BO45" s="1386">
        <f>'Recycling - Case 2'!BV113</f>
        <v>54.403000385508605</v>
      </c>
      <c r="BP45" s="510">
        <f>'Recycling - Case 2'!BW113</f>
        <v>0.81413181409276203</v>
      </c>
      <c r="BQ45" s="1383">
        <f>'Recycling - Case 2'!BX113</f>
        <v>37.57979702604716</v>
      </c>
      <c r="BR45" s="1383">
        <f>'Recycling - Case 2'!BY113</f>
        <v>65.51772174569173</v>
      </c>
      <c r="BS45" s="510">
        <f>'Recycling - Case 2'!BZ113</f>
        <v>0.78730439124828855</v>
      </c>
      <c r="BT45" s="1383">
        <f>'Recycling - Case 2'!CA113</f>
        <v>48.694518386230293</v>
      </c>
      <c r="BU45" s="1386">
        <f>'Recycling - Case 3'!BV113</f>
        <v>54.403000385508605</v>
      </c>
      <c r="BV45" s="510">
        <f>'Recycling - Case 3'!BW113</f>
        <v>0.81413181409276203</v>
      </c>
      <c r="BW45" s="1383">
        <f>'Recycling - Case 3'!BX113</f>
        <v>37.57979702604716</v>
      </c>
      <c r="BX45" s="1386">
        <f>'Recycling - Case 3'!BY113</f>
        <v>65.51772174569173</v>
      </c>
      <c r="BY45" s="510">
        <f>'Recycling - Case 3'!BZ113</f>
        <v>0.78730439124828855</v>
      </c>
      <c r="BZ45" s="1385">
        <f>'Recycling - Case 3'!CA113</f>
        <v>48.694518386230293</v>
      </c>
      <c r="CB45" s="805">
        <f>'Recycling - Case 1'!CB113</f>
        <v>0.47562702105036059</v>
      </c>
      <c r="CC45" s="510">
        <f>'Recycling - Case 1'!CC113</f>
        <v>0.63957255278633918</v>
      </c>
      <c r="CD45" s="510">
        <f>'Recycling - Case 1'!CD113</f>
        <v>0.47562702105036059</v>
      </c>
      <c r="CE45" s="510">
        <f>'Recycling - Case 1'!CE113</f>
        <v>0.85</v>
      </c>
      <c r="CF45" s="510">
        <f>'Recycling - Case 2'!CB113</f>
        <v>0.67206984488050125</v>
      </c>
      <c r="CG45" s="510">
        <f>'Recycling - Case 2'!CC113</f>
        <v>0.85</v>
      </c>
      <c r="CH45" s="510">
        <f>'Recycling - Case 2'!CD113</f>
        <v>0.67206984488050125</v>
      </c>
      <c r="CI45" s="510">
        <f>'Recycling - Case 2'!CE113</f>
        <v>0.85</v>
      </c>
      <c r="CJ45" s="510">
        <f>'Recycling - Case 3'!CB113</f>
        <v>0.67206984488050125</v>
      </c>
      <c r="CK45" s="510">
        <f>'Recycling - Case 3'!CC113</f>
        <v>0.85</v>
      </c>
      <c r="CL45" s="510">
        <f>'Recycling - Case 3'!CD113</f>
        <v>0.67206984488050125</v>
      </c>
      <c r="CM45" s="658">
        <f>'Recycling - Case 3'!CE113</f>
        <v>0.85</v>
      </c>
    </row>
    <row r="46" spans="1:91">
      <c r="A46" s="4">
        <f>'Input data'!A133</f>
        <v>2035</v>
      </c>
      <c r="B46" s="4"/>
      <c r="C46" s="980">
        <f>'4A SWD Case 1'!BG103</f>
        <v>2095.1345634951904</v>
      </c>
      <c r="D46" s="3">
        <f>'4B Biological treatment '!T99</f>
        <v>0.69121689509895101</v>
      </c>
      <c r="E46" s="1495">
        <f>'4B Biological treatment '!U99</f>
        <v>31.10476027945279</v>
      </c>
      <c r="F46" s="1495">
        <f>'4B Biological treatment '!W99</f>
        <v>1.8662856167671675</v>
      </c>
      <c r="G46" s="1184">
        <f>'4C2 Open-burning '!R106</f>
        <v>29.451477163949669</v>
      </c>
      <c r="H46" s="1184">
        <f>'4C2 Open-burning '!Z106</f>
        <v>7.2528959909070609</v>
      </c>
      <c r="I46" s="1184">
        <f>'4C2 Open-burning '!AH106</f>
        <v>0.1117405775379855</v>
      </c>
      <c r="J46" s="1220">
        <f>'4D Wastewater treatment and dis'!AV143</f>
        <v>192.66977478035747</v>
      </c>
      <c r="K46" s="981">
        <f>'4D Wastewater treatment and dis'!AW143</f>
        <v>3.4699492791899456</v>
      </c>
      <c r="L46" s="982">
        <f t="shared" si="69"/>
        <v>43997.825833398994</v>
      </c>
      <c r="M46" s="983">
        <f t="shared" si="70"/>
        <v>14.515554797077971</v>
      </c>
      <c r="N46" s="982">
        <f t="shared" si="71"/>
        <v>1231.7485070663306</v>
      </c>
      <c r="O46" s="984">
        <f t="shared" si="72"/>
        <v>216.40187200977346</v>
      </c>
      <c r="P46" s="982">
        <f t="shared" si="73"/>
        <v>5121.7495469363903</v>
      </c>
      <c r="Q46" s="650">
        <f t="shared" si="74"/>
        <v>43997.825833398994</v>
      </c>
      <c r="R46" s="652">
        <f t="shared" si="75"/>
        <v>1246.2640618634086</v>
      </c>
      <c r="S46" s="649">
        <f t="shared" si="76"/>
        <v>216.40187200977346</v>
      </c>
      <c r="T46" s="650">
        <f t="shared" si="77"/>
        <v>5121.7495469363903</v>
      </c>
      <c r="U46" s="650">
        <f t="shared" si="78"/>
        <v>50582.241314208572</v>
      </c>
      <c r="V46" s="3"/>
      <c r="W46" s="752">
        <f t="shared" si="79"/>
        <v>2036</v>
      </c>
      <c r="X46" s="1382">
        <f t="shared" si="80"/>
        <v>43540.238631072258</v>
      </c>
      <c r="Y46" s="1384">
        <f t="shared" si="81"/>
        <v>1354.7267497986973</v>
      </c>
      <c r="Z46" s="1384">
        <f t="shared" si="82"/>
        <v>204.46486805560784</v>
      </c>
      <c r="AA46" s="1384">
        <f t="shared" si="83"/>
        <v>5198.0133460110155</v>
      </c>
      <c r="AB46" s="1466">
        <f t="shared" si="26"/>
        <v>50297.443594937577</v>
      </c>
      <c r="AC46" s="1502" t="str">
        <f>'Recycling - Case 1'!T154</f>
        <v>Policies met</v>
      </c>
      <c r="AD46" s="1382">
        <f t="shared" si="84"/>
        <v>43778.179260081954</v>
      </c>
      <c r="AE46" s="1384">
        <f t="shared" si="85"/>
        <v>837.64226880182457</v>
      </c>
      <c r="AF46" s="1384">
        <f t="shared" si="86"/>
        <v>204.46486805560784</v>
      </c>
      <c r="AG46" s="1384">
        <f t="shared" si="87"/>
        <v>5198.0133460110155</v>
      </c>
      <c r="AH46" s="1466">
        <f t="shared" si="60"/>
        <v>50018.299742950396</v>
      </c>
      <c r="AI46" s="1502" t="str">
        <f>'Recycling - Case 1'!T194</f>
        <v>Policies not met</v>
      </c>
      <c r="AJ46" s="1382">
        <f t="shared" si="88"/>
        <v>35871.194948141259</v>
      </c>
      <c r="AK46" s="1384">
        <f t="shared" si="89"/>
        <v>652.53464340870664</v>
      </c>
      <c r="AL46" s="1384">
        <f t="shared" si="90"/>
        <v>136.32360263081392</v>
      </c>
      <c r="AM46" s="1384">
        <f t="shared" si="91"/>
        <v>5740.5744502998004</v>
      </c>
      <c r="AN46" s="1466">
        <f t="shared" si="92"/>
        <v>42400.627644480577</v>
      </c>
      <c r="AO46" s="1502" t="str">
        <f>'Recycling - Case 2'!T154</f>
        <v>Policies not met</v>
      </c>
      <c r="AP46" s="1382">
        <f t="shared" si="93"/>
        <v>36972.580893352795</v>
      </c>
      <c r="AQ46" s="1384">
        <f t="shared" si="94"/>
        <v>396.29807794372368</v>
      </c>
      <c r="AR46" s="1384">
        <f t="shared" si="95"/>
        <v>136.32360263081392</v>
      </c>
      <c r="AS46" s="1384">
        <f t="shared" si="96"/>
        <v>5740.5744502998004</v>
      </c>
      <c r="AT46" s="1466">
        <f t="shared" si="41"/>
        <v>43245.777024227129</v>
      </c>
      <c r="AU46" s="1502" t="str">
        <f>'Recycling - Case 2'!T194</f>
        <v>Policies not met</v>
      </c>
      <c r="AV46" s="1382">
        <f t="shared" si="63"/>
        <v>35872.165874182421</v>
      </c>
      <c r="AW46" s="1384">
        <f t="shared" si="64"/>
        <v>396.29807794372368</v>
      </c>
      <c r="AX46" s="1384">
        <f t="shared" si="65"/>
        <v>136.32360263081401</v>
      </c>
      <c r="AY46" s="1384">
        <f t="shared" si="66"/>
        <v>5740.5744502998004</v>
      </c>
      <c r="AZ46" s="1466">
        <f t="shared" si="67"/>
        <v>42145.362005056755</v>
      </c>
      <c r="BA46" s="1502" t="str">
        <f>'Recycling - Case 2'!T154</f>
        <v>Policies not met</v>
      </c>
      <c r="BB46" s="1382">
        <f t="shared" si="97"/>
        <v>36973.551819393964</v>
      </c>
      <c r="BC46" s="1384">
        <f t="shared" si="98"/>
        <v>396.29807794372368</v>
      </c>
      <c r="BD46" s="1384">
        <f t="shared" si="99"/>
        <v>136.32360263081401</v>
      </c>
      <c r="BE46" s="1384">
        <f t="shared" si="100"/>
        <v>5740.5744502998004</v>
      </c>
      <c r="BF46" s="1466">
        <f t="shared" si="51"/>
        <v>43246.747950268298</v>
      </c>
      <c r="BG46" s="1502" t="str">
        <f>'Recycling - Case 2'!T194</f>
        <v>Policies not met</v>
      </c>
      <c r="BH46" s="752">
        <f t="shared" si="52"/>
        <v>2036</v>
      </c>
      <c r="BI46" s="1384">
        <f>'Recycling - Case 1'!BV114</f>
        <v>69.832371220942605</v>
      </c>
      <c r="BJ46" s="510">
        <f>'Recycling - Case 1'!BW114</f>
        <v>0.51615109550716909</v>
      </c>
      <c r="BK46" s="1383">
        <f>'Recycling - Case 1'!BX114</f>
        <v>34.222489887502142</v>
      </c>
      <c r="BL46" s="1384">
        <f>'Recycling - Case 1'!BY114</f>
        <v>70.625686243527866</v>
      </c>
      <c r="BM46" s="510">
        <f>'Recycling - Case 1'!BZ114</f>
        <v>0.4497280493346551</v>
      </c>
      <c r="BN46" s="1383">
        <f>'Recycling - Case 1'!CA114</f>
        <v>48.694518386230293</v>
      </c>
      <c r="BO46" s="1386">
        <f>'Recycling - Case 2'!BV114</f>
        <v>51.332702068118067</v>
      </c>
      <c r="BP46" s="510">
        <f>'Recycling - Case 2'!BW114</f>
        <v>0.82448969342990841</v>
      </c>
      <c r="BQ46" s="1383">
        <f>'Recycling - Case 2'!BX114</f>
        <v>34.222489887502142</v>
      </c>
      <c r="BR46" s="1383">
        <f>'Recycling - Case 2'!BY114</f>
        <v>65.804730566846203</v>
      </c>
      <c r="BS46" s="510">
        <f>'Recycling - Case 2'!BZ114</f>
        <v>0.78726905246652079</v>
      </c>
      <c r="BT46" s="1383">
        <f>'Recycling - Case 2'!CA114</f>
        <v>48.694518386230293</v>
      </c>
      <c r="BU46" s="1386">
        <f>'Recycling - Case 3'!BV114</f>
        <v>51.332702068118067</v>
      </c>
      <c r="BV46" s="510">
        <f>'Recycling - Case 3'!BW114</f>
        <v>0.82448969342990841</v>
      </c>
      <c r="BW46" s="1383">
        <f>'Recycling - Case 3'!BX114</f>
        <v>34.222489887502142</v>
      </c>
      <c r="BX46" s="1386">
        <f>'Recycling - Case 3'!BY114</f>
        <v>65.804730566846203</v>
      </c>
      <c r="BY46" s="510">
        <f>'Recycling - Case 3'!BZ114</f>
        <v>0.78726905246652079</v>
      </c>
      <c r="BZ46" s="1385">
        <f>'Recycling - Case 3'!CA114</f>
        <v>48.694518386230293</v>
      </c>
      <c r="CB46" s="805">
        <f>'Recycling - Case 1'!CB114</f>
        <v>0.50815416696735982</v>
      </c>
      <c r="CC46" s="510">
        <f>'Recycling - Case 1'!CC114</f>
        <v>0.57515760849439213</v>
      </c>
      <c r="CD46" s="510">
        <f>'Recycling - Case 1'!CD114</f>
        <v>0.50815416696735982</v>
      </c>
      <c r="CE46" s="510">
        <f>'Recycling - Case 1'!CE114</f>
        <v>0.85</v>
      </c>
      <c r="CF46" s="510">
        <f>'Recycling - Case 2'!CB114</f>
        <v>0.67206984488050125</v>
      </c>
      <c r="CG46" s="510">
        <f>'Recycling - Case 2'!CC114</f>
        <v>0.85</v>
      </c>
      <c r="CH46" s="510">
        <f>'Recycling - Case 2'!CD114</f>
        <v>0.67206984488050125</v>
      </c>
      <c r="CI46" s="510">
        <f>'Recycling - Case 2'!CE114</f>
        <v>0.85</v>
      </c>
      <c r="CJ46" s="510">
        <f>'Recycling - Case 3'!CB114</f>
        <v>0.67206984488050125</v>
      </c>
      <c r="CK46" s="510">
        <f>'Recycling - Case 3'!CC114</f>
        <v>0.85</v>
      </c>
      <c r="CL46" s="510">
        <f>'Recycling - Case 3'!CD114</f>
        <v>0.67206984488050125</v>
      </c>
      <c r="CM46" s="658">
        <f>'Recycling - Case 3'!CE114</f>
        <v>0.85</v>
      </c>
    </row>
    <row r="47" spans="1:91">
      <c r="A47" s="4">
        <f>'Input data'!A134</f>
        <v>2036</v>
      </c>
      <c r="B47" s="4"/>
      <c r="C47" s="980">
        <f>'4A SWD Case 1'!BG104</f>
        <v>2073.3446967177265</v>
      </c>
      <c r="D47" s="3">
        <f>'4B Biological treatment '!T100</f>
        <v>0.7513736826393218</v>
      </c>
      <c r="E47" s="1495">
        <f>'4B Biological treatment '!U100</f>
        <v>33.811815718769481</v>
      </c>
      <c r="F47" s="1495">
        <f>'4B Biological treatment '!W100</f>
        <v>2.0287089431261687</v>
      </c>
      <c r="G47" s="1184">
        <f>'4C2 Open-burning '!R107</f>
        <v>27.826896026563723</v>
      </c>
      <c r="H47" s="1184">
        <f>'4C2 Open-burning '!Z107</f>
        <v>6.8528169744062257</v>
      </c>
      <c r="I47" s="1184">
        <f>'4C2 Open-burning '!AH107</f>
        <v>0.10557682440810756</v>
      </c>
      <c r="J47" s="1220">
        <f>'4D Wastewater treatment and dis'!AV144</f>
        <v>195.92624915733671</v>
      </c>
      <c r="K47" s="981">
        <f>'4D Wastewater treatment and dis'!AW144</f>
        <v>3.4953616571191763</v>
      </c>
      <c r="L47" s="982">
        <f t="shared" si="69"/>
        <v>43540.238631072258</v>
      </c>
      <c r="M47" s="983">
        <f t="shared" si="70"/>
        <v>15.778847335425757</v>
      </c>
      <c r="N47" s="982">
        <f t="shared" si="71"/>
        <v>1338.9479024632715</v>
      </c>
      <c r="O47" s="984">
        <f t="shared" si="72"/>
        <v>204.46486805560784</v>
      </c>
      <c r="P47" s="982">
        <f t="shared" si="73"/>
        <v>5198.0133460110155</v>
      </c>
      <c r="Q47" s="650">
        <f t="shared" si="74"/>
        <v>43540.238631072258</v>
      </c>
      <c r="R47" s="652">
        <f t="shared" si="75"/>
        <v>1354.7267497986973</v>
      </c>
      <c r="S47" s="649">
        <f t="shared" si="76"/>
        <v>204.46486805560784</v>
      </c>
      <c r="T47" s="650">
        <f t="shared" si="77"/>
        <v>5198.0133460110155</v>
      </c>
      <c r="U47" s="650">
        <f t="shared" si="78"/>
        <v>50297.443594937577</v>
      </c>
      <c r="V47" s="3"/>
      <c r="W47" s="752">
        <f t="shared" si="79"/>
        <v>2037</v>
      </c>
      <c r="X47" s="1382">
        <f t="shared" si="80"/>
        <v>43088.144102931379</v>
      </c>
      <c r="Y47" s="1384">
        <f t="shared" si="81"/>
        <v>1488.1717608184845</v>
      </c>
      <c r="Z47" s="1384">
        <f t="shared" si="82"/>
        <v>201.37922987788298</v>
      </c>
      <c r="AA47" s="1384">
        <f t="shared" si="83"/>
        <v>5275.0672825961447</v>
      </c>
      <c r="AB47" s="1466">
        <f t="shared" si="26"/>
        <v>50052.762376223895</v>
      </c>
      <c r="AC47" s="1502" t="str">
        <f>'Recycling - Case 1'!T155</f>
        <v>Policies met</v>
      </c>
      <c r="AD47" s="1382">
        <f t="shared" si="84"/>
        <v>43411.78431025958</v>
      </c>
      <c r="AE47" s="1384">
        <f t="shared" si="85"/>
        <v>837.80788563386659</v>
      </c>
      <c r="AF47" s="1384">
        <f t="shared" si="86"/>
        <v>201.37922987788298</v>
      </c>
      <c r="AG47" s="1384">
        <f t="shared" si="87"/>
        <v>5275.0672825961447</v>
      </c>
      <c r="AH47" s="1466">
        <f t="shared" si="60"/>
        <v>49726.03870836748</v>
      </c>
      <c r="AI47" s="1502" t="str">
        <f>'Recycling - Case 1'!T195</f>
        <v>Policies not met</v>
      </c>
      <c r="AJ47" s="1382">
        <f t="shared" si="88"/>
        <v>35066.279056242078</v>
      </c>
      <c r="AK47" s="1384">
        <f t="shared" si="89"/>
        <v>663.79089994063224</v>
      </c>
      <c r="AL47" s="1384">
        <f t="shared" si="90"/>
        <v>137.32061756862427</v>
      </c>
      <c r="AM47" s="1384">
        <f t="shared" si="91"/>
        <v>5782.5586582293754</v>
      </c>
      <c r="AN47" s="1466">
        <f t="shared" si="92"/>
        <v>41649.94923198071</v>
      </c>
      <c r="AO47" s="1502" t="str">
        <f>'Recycling - Case 2'!T155</f>
        <v>Policies not met</v>
      </c>
      <c r="AP47" s="1382">
        <f t="shared" si="93"/>
        <v>36431.881510516425</v>
      </c>
      <c r="AQ47" s="1384">
        <f t="shared" si="94"/>
        <v>403.13424039655706</v>
      </c>
      <c r="AR47" s="1384">
        <f t="shared" si="95"/>
        <v>137.32061756862427</v>
      </c>
      <c r="AS47" s="1384">
        <f t="shared" si="96"/>
        <v>5782.5586582293754</v>
      </c>
      <c r="AT47" s="1466">
        <f t="shared" si="41"/>
        <v>42754.895026710976</v>
      </c>
      <c r="AU47" s="1502" t="str">
        <f>'Recycling - Case 2'!T195</f>
        <v>Policies not met</v>
      </c>
      <c r="AV47" s="1382">
        <f t="shared" si="63"/>
        <v>35067.312368822466</v>
      </c>
      <c r="AW47" s="1384">
        <f t="shared" si="64"/>
        <v>403.13424039655706</v>
      </c>
      <c r="AX47" s="1384">
        <f t="shared" si="65"/>
        <v>137.3206175686243</v>
      </c>
      <c r="AY47" s="1384">
        <f t="shared" si="66"/>
        <v>5782.5586582293754</v>
      </c>
      <c r="AZ47" s="1466">
        <f t="shared" si="67"/>
        <v>41390.325885017017</v>
      </c>
      <c r="BA47" s="1502" t="str">
        <f>'Recycling - Case 2'!T155</f>
        <v>Policies not met</v>
      </c>
      <c r="BB47" s="1382">
        <f t="shared" si="97"/>
        <v>36432.91482309682</v>
      </c>
      <c r="BC47" s="1384">
        <f t="shared" si="98"/>
        <v>403.13424039655706</v>
      </c>
      <c r="BD47" s="1384">
        <f t="shared" si="99"/>
        <v>137.3206175686243</v>
      </c>
      <c r="BE47" s="1384">
        <f t="shared" si="100"/>
        <v>5782.5586582293754</v>
      </c>
      <c r="BF47" s="1466">
        <f t="shared" si="51"/>
        <v>42755.928339291371</v>
      </c>
      <c r="BG47" s="1502" t="str">
        <f>'Recycling - Case 2'!T195</f>
        <v>Policies not met</v>
      </c>
      <c r="BH47" s="752">
        <f t="shared" si="52"/>
        <v>2037</v>
      </c>
      <c r="BI47" s="1384">
        <f>'Recycling - Case 1'!BV115</f>
        <v>70.008588881467503</v>
      </c>
      <c r="BJ47" s="510">
        <f>'Recycling - Case 1'!BW115</f>
        <v>0.53037873809503877</v>
      </c>
      <c r="BK47" s="1383">
        <f>'Recycling - Case 1'!BX115</f>
        <v>30.865182748957114</v>
      </c>
      <c r="BL47" s="1384">
        <f>'Recycling - Case 1'!BY115</f>
        <v>70.633499650421825</v>
      </c>
      <c r="BM47" s="510">
        <f>'Recycling - Case 1'!BZ115</f>
        <v>0.44770064969808981</v>
      </c>
      <c r="BN47" s="1383">
        <f>'Recycling - Case 1'!CA115</f>
        <v>48.694518386230293</v>
      </c>
      <c r="BO47" s="1386">
        <f>'Recycling - Case 2'!BV115</f>
        <v>48.272053716583756</v>
      </c>
      <c r="BP47" s="510">
        <f>'Recycling - Case 2'!BW115</f>
        <v>0.83624642618945766</v>
      </c>
      <c r="BQ47" s="1383">
        <f>'Recycling - Case 2'!BX115</f>
        <v>30.865182748957114</v>
      </c>
      <c r="BR47" s="1383">
        <f>'Recycling - Case 2'!BY115</f>
        <v>66.101389353856931</v>
      </c>
      <c r="BS47" s="510">
        <f>'Recycling - Case 2'!BZ115</f>
        <v>0.78719828235836653</v>
      </c>
      <c r="BT47" s="1383">
        <f>'Recycling - Case 2'!CA115</f>
        <v>48.694518386230293</v>
      </c>
      <c r="BU47" s="1386">
        <f>'Recycling - Case 3'!BV115</f>
        <v>48.272053716583756</v>
      </c>
      <c r="BV47" s="510">
        <f>'Recycling - Case 3'!BW115</f>
        <v>0.83624642618945766</v>
      </c>
      <c r="BW47" s="1383">
        <f>'Recycling - Case 3'!BX115</f>
        <v>30.865182748957114</v>
      </c>
      <c r="BX47" s="1386">
        <f>'Recycling - Case 3'!BY115</f>
        <v>66.101389353856931</v>
      </c>
      <c r="BY47" s="510">
        <f>'Recycling - Case 3'!BZ115</f>
        <v>0.78719828235836653</v>
      </c>
      <c r="BZ47" s="1385">
        <f>'Recycling - Case 3'!CA115</f>
        <v>48.694518386230293</v>
      </c>
      <c r="CB47" s="805">
        <f>'Recycling - Case 1'!CB115</f>
        <v>0.51909390402575539</v>
      </c>
      <c r="CC47" s="510">
        <f>'Recycling - Case 1'!CC115</f>
        <v>0.51447916454170328</v>
      </c>
      <c r="CD47" s="510">
        <f>'Recycling - Case 1'!CD115</f>
        <v>0.51909390402575539</v>
      </c>
      <c r="CE47" s="510">
        <f>'Recycling - Case 1'!CE115</f>
        <v>0.85</v>
      </c>
      <c r="CF47" s="510">
        <f>'Recycling - Case 2'!CB115</f>
        <v>0.67206984488050125</v>
      </c>
      <c r="CG47" s="510">
        <f>'Recycling - Case 2'!CC115</f>
        <v>0.85</v>
      </c>
      <c r="CH47" s="510">
        <f>'Recycling - Case 2'!CD115</f>
        <v>0.67206984488050125</v>
      </c>
      <c r="CI47" s="510">
        <f>'Recycling - Case 2'!CE115</f>
        <v>0.85</v>
      </c>
      <c r="CJ47" s="510">
        <f>'Recycling - Case 3'!CB115</f>
        <v>0.67206984488050125</v>
      </c>
      <c r="CK47" s="510">
        <f>'Recycling - Case 3'!CC115</f>
        <v>0.85</v>
      </c>
      <c r="CL47" s="510">
        <f>'Recycling - Case 3'!CD115</f>
        <v>0.67206984488050125</v>
      </c>
      <c r="CM47" s="658">
        <f>'Recycling - Case 3'!CE115</f>
        <v>0.85</v>
      </c>
    </row>
    <row r="48" spans="1:91">
      <c r="A48" s="4">
        <f>'Input data'!A135</f>
        <v>2037</v>
      </c>
      <c r="B48" s="4"/>
      <c r="C48" s="980">
        <f>'4A SWD Case 1'!BG105</f>
        <v>2051.8163858538751</v>
      </c>
      <c r="D48" s="3">
        <f>'4B Biological treatment '!T101</f>
        <v>0.82538644526815563</v>
      </c>
      <c r="E48" s="1495">
        <f>'4B Biological treatment '!U101</f>
        <v>37.142390037067003</v>
      </c>
      <c r="F48" s="1495">
        <f>'4B Biological treatment '!W101</f>
        <v>2.22854340222402</v>
      </c>
      <c r="G48" s="1184">
        <f>'4C2 Open-burning '!R108</f>
        <v>27.406952328833746</v>
      </c>
      <c r="H48" s="1184">
        <f>'4C2 Open-burning '!Z108</f>
        <v>6.7493991409061564</v>
      </c>
      <c r="I48" s="1184">
        <f>'4C2 Open-burning '!AH108</f>
        <v>0.10398353416135472</v>
      </c>
      <c r="J48" s="1220">
        <f>'4D Wastewater treatment and dis'!AV145</f>
        <v>199.21811618301393</v>
      </c>
      <c r="K48" s="981">
        <f>'4D Wastewater treatment and dis'!AW145</f>
        <v>3.5209252992027475</v>
      </c>
      <c r="L48" s="982">
        <f t="shared" si="69"/>
        <v>43088.144102931379</v>
      </c>
      <c r="M48" s="983">
        <f t="shared" si="70"/>
        <v>17.333115350631267</v>
      </c>
      <c r="N48" s="982">
        <f t="shared" si="71"/>
        <v>1470.8386454678532</v>
      </c>
      <c r="O48" s="984">
        <f t="shared" si="72"/>
        <v>201.37922987788298</v>
      </c>
      <c r="P48" s="982">
        <f t="shared" si="73"/>
        <v>5275.0672825961447</v>
      </c>
      <c r="Q48" s="650">
        <f t="shared" si="74"/>
        <v>43088.144102931379</v>
      </c>
      <c r="R48" s="652">
        <f t="shared" si="75"/>
        <v>1488.1717608184845</v>
      </c>
      <c r="S48" s="649">
        <f t="shared" si="76"/>
        <v>201.37922987788298</v>
      </c>
      <c r="T48" s="650">
        <f t="shared" si="77"/>
        <v>5275.0672825961447</v>
      </c>
      <c r="U48" s="650">
        <f t="shared" si="78"/>
        <v>50052.762376223895</v>
      </c>
      <c r="V48" s="3"/>
      <c r="W48" s="752">
        <f t="shared" si="79"/>
        <v>2038</v>
      </c>
      <c r="X48" s="1382">
        <f t="shared" si="80"/>
        <v>42648.33917554182</v>
      </c>
      <c r="Y48" s="1384">
        <f t="shared" si="81"/>
        <v>1609.4623396132426</v>
      </c>
      <c r="Z48" s="1384">
        <f t="shared" si="82"/>
        <v>194.16194263633992</v>
      </c>
      <c r="AA48" s="1384">
        <f t="shared" si="83"/>
        <v>5353.0685892615111</v>
      </c>
      <c r="AB48" s="1466">
        <f t="shared" si="26"/>
        <v>49805.032047052911</v>
      </c>
      <c r="AC48" s="1502" t="str">
        <f>'Recycling - Case 1'!T156</f>
        <v>Policies met</v>
      </c>
      <c r="AD48" s="1382">
        <f t="shared" si="84"/>
        <v>43067.657304659951</v>
      </c>
      <c r="AE48" s="1384">
        <f t="shared" si="85"/>
        <v>826.88023538646416</v>
      </c>
      <c r="AF48" s="1384">
        <f t="shared" si="86"/>
        <v>194.16194263633992</v>
      </c>
      <c r="AG48" s="1384">
        <f t="shared" si="87"/>
        <v>5353.0685892615111</v>
      </c>
      <c r="AH48" s="1466">
        <f t="shared" si="60"/>
        <v>49441.768071944272</v>
      </c>
      <c r="AI48" s="1502" t="str">
        <f>'Recycling - Case 1'!T196</f>
        <v>Policies not met</v>
      </c>
      <c r="AJ48" s="1382">
        <f t="shared" si="88"/>
        <v>34232.341716076829</v>
      </c>
      <c r="AK48" s="1384">
        <f t="shared" si="89"/>
        <v>675.20433817891671</v>
      </c>
      <c r="AL48" s="1384">
        <f t="shared" si="90"/>
        <v>138.3274650008903</v>
      </c>
      <c r="AM48" s="1384">
        <f t="shared" si="91"/>
        <v>5824.9569116020448</v>
      </c>
      <c r="AN48" s="1466">
        <f t="shared" si="92"/>
        <v>40870.830430858681</v>
      </c>
      <c r="AO48" s="1502" t="str">
        <f>'Recycling - Case 2'!T156</f>
        <v>Policies not met</v>
      </c>
      <c r="AP48" s="1382">
        <f t="shared" si="93"/>
        <v>35923.030380794771</v>
      </c>
      <c r="AQ48" s="1384">
        <f t="shared" si="94"/>
        <v>410.0658626211391</v>
      </c>
      <c r="AR48" s="1384">
        <f t="shared" si="95"/>
        <v>138.3274650008903</v>
      </c>
      <c r="AS48" s="1384">
        <f t="shared" si="96"/>
        <v>5824.9569116020448</v>
      </c>
      <c r="AT48" s="1466">
        <f t="shared" si="41"/>
        <v>42296.380620018841</v>
      </c>
      <c r="AU48" s="1502" t="str">
        <f>'Recycling - Case 2'!T196</f>
        <v>Policies not met</v>
      </c>
      <c r="AV48" s="1382">
        <f t="shared" si="63"/>
        <v>34233.434651884221</v>
      </c>
      <c r="AW48" s="1384">
        <f t="shared" si="64"/>
        <v>410.0658626211391</v>
      </c>
      <c r="AX48" s="1384">
        <f t="shared" si="65"/>
        <v>138.32746500089033</v>
      </c>
      <c r="AY48" s="1384">
        <f t="shared" si="66"/>
        <v>5824.9569116020448</v>
      </c>
      <c r="AZ48" s="1466">
        <f t="shared" si="67"/>
        <v>40606.784891108291</v>
      </c>
      <c r="BA48" s="1502" t="str">
        <f>'Recycling - Case 2'!T156</f>
        <v>Policies not met</v>
      </c>
      <c r="BB48" s="1382">
        <f t="shared" si="97"/>
        <v>35924.12331660217</v>
      </c>
      <c r="BC48" s="1384">
        <f t="shared" si="98"/>
        <v>410.0658626211391</v>
      </c>
      <c r="BD48" s="1384">
        <f t="shared" si="99"/>
        <v>138.32746500089033</v>
      </c>
      <c r="BE48" s="1384">
        <f t="shared" si="100"/>
        <v>5824.9569116020448</v>
      </c>
      <c r="BF48" s="1466">
        <f t="shared" si="51"/>
        <v>42297.47355582624</v>
      </c>
      <c r="BG48" s="1502" t="str">
        <f>'Recycling - Case 2'!T196</f>
        <v>Policies not met</v>
      </c>
      <c r="BH48" s="752">
        <f t="shared" si="52"/>
        <v>2038</v>
      </c>
      <c r="BI48" s="1384">
        <f>'Recycling - Case 1'!BV116</f>
        <v>69.867874586687819</v>
      </c>
      <c r="BJ48" s="510">
        <f>'Recycling - Case 1'!BW116</f>
        <v>0.54172635302405558</v>
      </c>
      <c r="BK48" s="1383">
        <f>'Recycling - Case 1'!BX116</f>
        <v>27.507875610412093</v>
      </c>
      <c r="BL48" s="1384">
        <f>'Recycling - Case 1'!BY116</f>
        <v>70.352452673506306</v>
      </c>
      <c r="BM48" s="510">
        <f>'Recycling - Case 1'!BZ116</f>
        <v>0.44262019563431099</v>
      </c>
      <c r="BN48" s="1383">
        <f>'Recycling - Case 1'!CA116</f>
        <v>48.694518386230293</v>
      </c>
      <c r="BO48" s="1386">
        <f>'Recycling - Case 2'!BV116</f>
        <v>45.215552440138261</v>
      </c>
      <c r="BP48" s="510">
        <f>'Recycling - Case 2'!BW116</f>
        <v>0.84976438030340973</v>
      </c>
      <c r="BQ48" s="1383">
        <f>'Recycling - Case 2'!BX116</f>
        <v>27.507875610412093</v>
      </c>
      <c r="BR48" s="1383">
        <f>'Recycling - Case 2'!BY116</f>
        <v>66.402195215956453</v>
      </c>
      <c r="BS48" s="510">
        <f>'Recycling - Case 2'!BZ116</f>
        <v>0.78712202397753595</v>
      </c>
      <c r="BT48" s="1383">
        <f>'Recycling - Case 2'!CA116</f>
        <v>48.694518386230293</v>
      </c>
      <c r="BU48" s="1386">
        <f>'Recycling - Case 3'!BV116</f>
        <v>45.215552440138261</v>
      </c>
      <c r="BV48" s="510">
        <f>'Recycling - Case 3'!BW116</f>
        <v>0.84976438030340973</v>
      </c>
      <c r="BW48" s="1383">
        <f>'Recycling - Case 3'!BX116</f>
        <v>27.507875610412093</v>
      </c>
      <c r="BX48" s="1386">
        <f>'Recycling - Case 3'!BY116</f>
        <v>66.402195215956453</v>
      </c>
      <c r="BY48" s="510">
        <f>'Recycling - Case 3'!BZ116</f>
        <v>0.78712202397753595</v>
      </c>
      <c r="BZ48" s="1385">
        <f>'Recycling - Case 3'!CA116</f>
        <v>48.694518386230293</v>
      </c>
      <c r="CB48" s="805">
        <f>'Recycling - Case 1'!CB116</f>
        <v>0.53970416528179432</v>
      </c>
      <c r="CC48" s="510">
        <f>'Recycling - Case 1'!CC116</f>
        <v>0.45796927400312193</v>
      </c>
      <c r="CD48" s="510">
        <f>'Recycling - Case 1'!CD116</f>
        <v>0.53970416528179432</v>
      </c>
      <c r="CE48" s="510">
        <f>'Recycling - Case 1'!CE116</f>
        <v>0.85</v>
      </c>
      <c r="CF48" s="510">
        <f>'Recycling - Case 2'!CB116</f>
        <v>0.67206984488050125</v>
      </c>
      <c r="CG48" s="510">
        <f>'Recycling - Case 2'!CC116</f>
        <v>0.85</v>
      </c>
      <c r="CH48" s="510">
        <f>'Recycling - Case 2'!CD116</f>
        <v>0.67206984488050125</v>
      </c>
      <c r="CI48" s="510">
        <f>'Recycling - Case 2'!CE116</f>
        <v>0.85</v>
      </c>
      <c r="CJ48" s="510">
        <f>'Recycling - Case 3'!CB116</f>
        <v>0.67206984488050125</v>
      </c>
      <c r="CK48" s="510">
        <f>'Recycling - Case 3'!CC116</f>
        <v>0.85</v>
      </c>
      <c r="CL48" s="510">
        <f>'Recycling - Case 3'!CD116</f>
        <v>0.67206984488050125</v>
      </c>
      <c r="CM48" s="658">
        <f>'Recycling - Case 3'!CE116</f>
        <v>0.85</v>
      </c>
    </row>
    <row r="49" spans="1:91">
      <c r="A49" s="4">
        <f>'Input data'!A136</f>
        <v>2038</v>
      </c>
      <c r="B49" s="4"/>
      <c r="C49" s="980">
        <f>'4A SWD Case 1'!BG106</f>
        <v>2030.8732940734199</v>
      </c>
      <c r="D49" s="3">
        <f>'4B Biological treatment '!T102</f>
        <v>0.89265798092803283</v>
      </c>
      <c r="E49" s="1495">
        <f>'4B Biological treatment '!U102</f>
        <v>40.16960914176147</v>
      </c>
      <c r="F49" s="1495">
        <f>'4B Biological treatment '!W102</f>
        <v>2.4101765485056879</v>
      </c>
      <c r="G49" s="1184">
        <f>'4C2 Open-burning '!R109</f>
        <v>26.424706803848768</v>
      </c>
      <c r="H49" s="1184">
        <f>'4C2 Open-burning '!Z109</f>
        <v>6.5075055139552376</v>
      </c>
      <c r="I49" s="1184">
        <f>'4C2 Open-burning '!AH109</f>
        <v>0.10025683883687464</v>
      </c>
      <c r="J49" s="1220">
        <f>'4D Wastewater treatment and dis'!AV146</f>
        <v>202.55137449125439</v>
      </c>
      <c r="K49" s="981">
        <f>'4D Wastewater treatment and dis'!AW146</f>
        <v>3.5467410482102202</v>
      </c>
      <c r="L49" s="982">
        <f t="shared" si="69"/>
        <v>42648.33917554182</v>
      </c>
      <c r="M49" s="983">
        <f t="shared" si="70"/>
        <v>18.745817599488689</v>
      </c>
      <c r="N49" s="982">
        <f t="shared" si="71"/>
        <v>1590.716522013754</v>
      </c>
      <c r="O49" s="984">
        <f t="shared" si="72"/>
        <v>194.16194263633992</v>
      </c>
      <c r="P49" s="982">
        <f t="shared" si="73"/>
        <v>5353.0685892615111</v>
      </c>
      <c r="Q49" s="650">
        <f t="shared" si="74"/>
        <v>42648.33917554182</v>
      </c>
      <c r="R49" s="652">
        <f t="shared" si="75"/>
        <v>1609.4623396132426</v>
      </c>
      <c r="S49" s="649">
        <f t="shared" si="76"/>
        <v>194.16194263633992</v>
      </c>
      <c r="T49" s="650">
        <f t="shared" si="77"/>
        <v>5353.0685892615111</v>
      </c>
      <c r="U49" s="650">
        <f t="shared" si="78"/>
        <v>49805.032047052911</v>
      </c>
      <c r="V49" s="3"/>
      <c r="W49" s="752">
        <f t="shared" si="79"/>
        <v>2039</v>
      </c>
      <c r="X49" s="1382">
        <f t="shared" si="80"/>
        <v>42216.500585255373</v>
      </c>
      <c r="Y49" s="1384">
        <f t="shared" si="81"/>
        <v>1731.1874534282022</v>
      </c>
      <c r="Z49" s="1384">
        <f t="shared" si="82"/>
        <v>186.82600557542969</v>
      </c>
      <c r="AA49" s="1384">
        <f t="shared" si="83"/>
        <v>5431.872332328383</v>
      </c>
      <c r="AB49" s="1466">
        <f t="shared" si="26"/>
        <v>49566.38637658739</v>
      </c>
      <c r="AC49" s="1502" t="str">
        <f>'Recycling - Case 1'!T157</f>
        <v>Policies met</v>
      </c>
      <c r="AD49" s="1382">
        <f t="shared" si="84"/>
        <v>42741.658591421365</v>
      </c>
      <c r="AE49" s="1384">
        <f t="shared" si="85"/>
        <v>815.98710908953979</v>
      </c>
      <c r="AF49" s="1384">
        <f t="shared" si="86"/>
        <v>186.82600557542969</v>
      </c>
      <c r="AG49" s="1384">
        <f t="shared" si="87"/>
        <v>5431.872332328383</v>
      </c>
      <c r="AH49" s="1466">
        <f t="shared" si="60"/>
        <v>49176.344038414718</v>
      </c>
      <c r="AI49" s="1502" t="str">
        <f>'Recycling - Case 1'!T197</f>
        <v>Policies not met</v>
      </c>
      <c r="AJ49" s="1382">
        <f t="shared" si="88"/>
        <v>33370.883175089803</v>
      </c>
      <c r="AK49" s="1384">
        <f t="shared" si="89"/>
        <v>830.82453933528404</v>
      </c>
      <c r="AL49" s="1384">
        <f t="shared" si="90"/>
        <v>139.34021192982971</v>
      </c>
      <c r="AM49" s="1384">
        <f t="shared" si="91"/>
        <v>5867.6035922405699</v>
      </c>
      <c r="AN49" s="1466">
        <f t="shared" si="92"/>
        <v>40208.651518595485</v>
      </c>
      <c r="AO49" s="1502" t="str">
        <f>'Recycling - Case 2'!T157</f>
        <v>Policies met</v>
      </c>
      <c r="AP49" s="1382">
        <f t="shared" si="93"/>
        <v>35444.559101265302</v>
      </c>
      <c r="AQ49" s="1384">
        <f t="shared" si="94"/>
        <v>417.22393400372238</v>
      </c>
      <c r="AR49" s="1384">
        <f t="shared" si="95"/>
        <v>139.34021192982971</v>
      </c>
      <c r="AS49" s="1384">
        <f t="shared" si="96"/>
        <v>5867.6035922405699</v>
      </c>
      <c r="AT49" s="1466">
        <f t="shared" si="41"/>
        <v>41868.72683943942</v>
      </c>
      <c r="AU49" s="1502" t="str">
        <f>'Recycling - Case 2'!T197</f>
        <v>Policies not met</v>
      </c>
      <c r="AV49" s="1382">
        <f t="shared" si="63"/>
        <v>33372.033140312647</v>
      </c>
      <c r="AW49" s="1384">
        <f t="shared" si="64"/>
        <v>504.57729926352522</v>
      </c>
      <c r="AX49" s="1384">
        <f t="shared" si="65"/>
        <v>139.34021192982974</v>
      </c>
      <c r="AY49" s="1384">
        <f t="shared" si="66"/>
        <v>5867.6035922405699</v>
      </c>
      <c r="AZ49" s="1466">
        <f t="shared" si="67"/>
        <v>39883.55424374657</v>
      </c>
      <c r="BA49" s="1502" t="str">
        <f>'Recycling - Case 2'!T157</f>
        <v>Policies met</v>
      </c>
      <c r="BB49" s="1382">
        <f t="shared" si="97"/>
        <v>35445.709066488162</v>
      </c>
      <c r="BC49" s="1384">
        <f t="shared" si="98"/>
        <v>504.57729926352522</v>
      </c>
      <c r="BD49" s="1384">
        <f t="shared" si="99"/>
        <v>139.34021192982974</v>
      </c>
      <c r="BE49" s="1384">
        <f t="shared" si="100"/>
        <v>5867.6035922405699</v>
      </c>
      <c r="BF49" s="1466">
        <f t="shared" si="51"/>
        <v>41957.230169922084</v>
      </c>
      <c r="BG49" s="1502" t="str">
        <f>'Recycling - Case 2'!T197</f>
        <v>Policies not met</v>
      </c>
      <c r="BH49" s="752">
        <f t="shared" si="52"/>
        <v>2039</v>
      </c>
      <c r="BI49" s="1384">
        <f>'Recycling - Case 1'!BV117</f>
        <v>69.740482867890861</v>
      </c>
      <c r="BJ49" s="510">
        <f>'Recycling - Case 1'!BW117</f>
        <v>0.55318668023921835</v>
      </c>
      <c r="BK49" s="1383">
        <f>'Recycling - Case 1'!BX117</f>
        <v>24.152264081533001</v>
      </c>
      <c r="BL49" s="1384">
        <f>'Recycling - Case 1'!BY117</f>
        <v>70.072450955254197</v>
      </c>
      <c r="BM49" s="510">
        <f>'Recycling - Case 1'!BZ117</f>
        <v>0.43745858606897259</v>
      </c>
      <c r="BN49" s="1383">
        <f>'Recycling - Case 1'!CA117</f>
        <v>48.694518386230293</v>
      </c>
      <c r="BO49" s="1386">
        <f>'Recycling - Case 2'!BV117</f>
        <v>45.975519156901633</v>
      </c>
      <c r="BP49" s="510">
        <f>'Recycling - Case 2'!BW117</f>
        <v>0.83257020027781348</v>
      </c>
      <c r="BQ49" s="1383">
        <f>'Recycling - Case 2'!BX117</f>
        <v>24.152264081533001</v>
      </c>
      <c r="BR49" s="1383">
        <f>'Recycling - Case 2'!BY117</f>
        <v>66.712858129814961</v>
      </c>
      <c r="BS49" s="510">
        <f>'Recycling - Case 2'!BZ117</f>
        <v>0.78701016505842702</v>
      </c>
      <c r="BT49" s="1383">
        <f>'Recycling - Case 2'!CA117</f>
        <v>48.694518386230293</v>
      </c>
      <c r="BU49" s="1386">
        <f>'Recycling - Case 3'!BV117</f>
        <v>45.975519156901633</v>
      </c>
      <c r="BV49" s="510">
        <f>'Recycling - Case 3'!BW117</f>
        <v>0.83257020027781348</v>
      </c>
      <c r="BW49" s="1383">
        <f>'Recycling - Case 3'!BX117</f>
        <v>24.152264081533001</v>
      </c>
      <c r="BX49" s="1386">
        <f>'Recycling - Case 3'!BY117</f>
        <v>66.712858129814961</v>
      </c>
      <c r="BY49" s="510">
        <f>'Recycling - Case 3'!BZ117</f>
        <v>0.78701016505842702</v>
      </c>
      <c r="BZ49" s="1385">
        <f>'Recycling - Case 3'!CA117</f>
        <v>48.694518386230293</v>
      </c>
      <c r="CB49" s="805">
        <f>'Recycling - Case 1'!CB117</f>
        <v>0.56031442653783348</v>
      </c>
      <c r="CC49" s="510">
        <f>'Recycling - Case 1'!CC117</f>
        <v>0.40496338404203602</v>
      </c>
      <c r="CD49" s="510">
        <f>'Recycling - Case 1'!CD117</f>
        <v>0.56031442653783348</v>
      </c>
      <c r="CE49" s="510">
        <f>'Recycling - Case 1'!CE117</f>
        <v>0.85</v>
      </c>
      <c r="CF49" s="510">
        <f>'Recycling - Case 2'!CB117</f>
        <v>0.67206984488050125</v>
      </c>
      <c r="CG49" s="510">
        <f>'Recycling - Case 2'!CC117</f>
        <v>0.78005755371651353</v>
      </c>
      <c r="CH49" s="510">
        <f>'Recycling - Case 2'!CD117</f>
        <v>0.67206984488050125</v>
      </c>
      <c r="CI49" s="510">
        <f>'Recycling - Case 2'!CE117</f>
        <v>0.85</v>
      </c>
      <c r="CJ49" s="510">
        <f>'Recycling - Case 3'!CB117</f>
        <v>0.67206984488050125</v>
      </c>
      <c r="CK49" s="510">
        <f>'Recycling - Case 3'!CC117</f>
        <v>0.78005755371651353</v>
      </c>
      <c r="CL49" s="510">
        <f>'Recycling - Case 3'!CD117</f>
        <v>0.67206984488050125</v>
      </c>
      <c r="CM49" s="658">
        <f>'Recycling - Case 3'!CE117</f>
        <v>0.85</v>
      </c>
    </row>
    <row r="50" spans="1:91">
      <c r="A50" s="4">
        <f>'Input data'!A137</f>
        <v>2039</v>
      </c>
      <c r="B50" s="4"/>
      <c r="C50" s="980">
        <f>'4A SWD Case 1'!BG107</f>
        <v>2010.3095516788273</v>
      </c>
      <c r="D50" s="3">
        <f>'4B Biological treatment '!T103</f>
        <v>0.96017052325468777</v>
      </c>
      <c r="E50" s="1495">
        <f>'4B Biological treatment '!U103</f>
        <v>43.207673546460946</v>
      </c>
      <c r="F50" s="1495">
        <f>'4B Biological treatment '!W103</f>
        <v>2.5924604127876569</v>
      </c>
      <c r="G50" s="1184">
        <f>'4C2 Open-burning '!R110</f>
        <v>25.426313486734525</v>
      </c>
      <c r="H50" s="1184">
        <f>'4C2 Open-burning '!Z110</f>
        <v>6.2616352356416609</v>
      </c>
      <c r="I50" s="1184">
        <f>'4C2 Open-burning '!AH110</f>
        <v>9.6468877871678377E-2</v>
      </c>
      <c r="J50" s="1220">
        <f>'4D Wastewater treatment and dis'!AV147</f>
        <v>205.92061110966921</v>
      </c>
      <c r="K50" s="981">
        <f>'4D Wastewater treatment and dis'!AW147</f>
        <v>3.5727080613720332</v>
      </c>
      <c r="L50" s="982">
        <f t="shared" si="69"/>
        <v>42216.500585255373</v>
      </c>
      <c r="M50" s="983">
        <f t="shared" si="70"/>
        <v>20.163580988348443</v>
      </c>
      <c r="N50" s="982">
        <f t="shared" si="71"/>
        <v>1711.0238724398537</v>
      </c>
      <c r="O50" s="984">
        <f t="shared" si="72"/>
        <v>186.82600557542969</v>
      </c>
      <c r="P50" s="982">
        <f t="shared" si="73"/>
        <v>5431.872332328383</v>
      </c>
      <c r="Q50" s="650">
        <f t="shared" si="74"/>
        <v>42216.500585255373</v>
      </c>
      <c r="R50" s="652">
        <f t="shared" si="75"/>
        <v>1731.1874534282022</v>
      </c>
      <c r="S50" s="649">
        <f t="shared" si="76"/>
        <v>186.82600557542969</v>
      </c>
      <c r="T50" s="650">
        <f t="shared" si="77"/>
        <v>5431.872332328383</v>
      </c>
      <c r="U50" s="650">
        <f t="shared" si="78"/>
        <v>49566.38637658739</v>
      </c>
      <c r="V50" s="3"/>
      <c r="W50" s="752">
        <f t="shared" si="79"/>
        <v>2040</v>
      </c>
      <c r="X50" s="1382">
        <f t="shared" si="80"/>
        <v>41792.600256012054</v>
      </c>
      <c r="Y50" s="1384">
        <f t="shared" si="81"/>
        <v>1854.8056177199858</v>
      </c>
      <c r="Z50" s="1384">
        <f t="shared" si="82"/>
        <v>179.37030635309591</v>
      </c>
      <c r="AA50" s="1384">
        <f t="shared" si="83"/>
        <v>5511.4835431612637</v>
      </c>
      <c r="AB50" s="1466">
        <f t="shared" si="26"/>
        <v>49338.259723246403</v>
      </c>
      <c r="AC50" s="1502" t="str">
        <f>'Recycling - Case 1'!T158</f>
        <v>Policies met</v>
      </c>
      <c r="AD50" s="1382">
        <f t="shared" si="84"/>
        <v>42432.962164857665</v>
      </c>
      <c r="AE50" s="1384">
        <f t="shared" si="85"/>
        <v>805.32184458886684</v>
      </c>
      <c r="AF50" s="1384">
        <f t="shared" si="86"/>
        <v>179.37030635309591</v>
      </c>
      <c r="AG50" s="1384">
        <f t="shared" si="87"/>
        <v>5511.4835431612637</v>
      </c>
      <c r="AH50" s="1466">
        <f t="shared" si="60"/>
        <v>48929.137858960894</v>
      </c>
      <c r="AI50" s="1502" t="str">
        <f>'Recycling - Case 1'!T198</f>
        <v>Policies not met</v>
      </c>
      <c r="AJ50" s="1382">
        <f t="shared" si="88"/>
        <v>32574.359666255052</v>
      </c>
      <c r="AK50" s="1384">
        <f t="shared" si="89"/>
        <v>990.533361791978</v>
      </c>
      <c r="AL50" s="1384">
        <f t="shared" si="90"/>
        <v>140.35885835544261</v>
      </c>
      <c r="AM50" s="1384">
        <f t="shared" si="91"/>
        <v>5910.4987001449481</v>
      </c>
      <c r="AN50" s="1466">
        <f t="shared" si="92"/>
        <v>39615.750586547423</v>
      </c>
      <c r="AO50" s="1502" t="str">
        <f>'Recycling - Case 2'!T158</f>
        <v>Policies met</v>
      </c>
      <c r="AP50" s="1382">
        <f t="shared" si="93"/>
        <v>34995.213307819045</v>
      </c>
      <c r="AQ50" s="1384">
        <f t="shared" si="94"/>
        <v>424.72770785058401</v>
      </c>
      <c r="AR50" s="1384">
        <f t="shared" si="95"/>
        <v>140.35885835544261</v>
      </c>
      <c r="AS50" s="1384">
        <f t="shared" si="96"/>
        <v>5910.4987001449481</v>
      </c>
      <c r="AT50" s="1466">
        <f t="shared" si="41"/>
        <v>41470.798574170025</v>
      </c>
      <c r="AU50" s="1502" t="str">
        <f>'Recycling - Case 2'!T198</f>
        <v>Policies not met</v>
      </c>
      <c r="AV50" s="1382">
        <f t="shared" si="63"/>
        <v>32575.564223280337</v>
      </c>
      <c r="AW50" s="1384">
        <f t="shared" si="64"/>
        <v>601.57184202008659</v>
      </c>
      <c r="AX50" s="1384">
        <f t="shared" si="65"/>
        <v>140.35885835544264</v>
      </c>
      <c r="AY50" s="1384">
        <f t="shared" si="66"/>
        <v>5910.4987001449481</v>
      </c>
      <c r="AZ50" s="1466">
        <f t="shared" si="67"/>
        <v>39227.993623800816</v>
      </c>
      <c r="BA50" s="1502" t="str">
        <f>'Recycling - Case 2'!T158</f>
        <v>Policies met</v>
      </c>
      <c r="BB50" s="1382">
        <f t="shared" si="97"/>
        <v>34996.417864844349</v>
      </c>
      <c r="BC50" s="1384">
        <f t="shared" si="98"/>
        <v>601.57184202008648</v>
      </c>
      <c r="BD50" s="1384">
        <f t="shared" si="99"/>
        <v>140.35885835544264</v>
      </c>
      <c r="BE50" s="1384">
        <f t="shared" si="100"/>
        <v>5910.4987001449481</v>
      </c>
      <c r="BF50" s="1466">
        <f t="shared" si="51"/>
        <v>41648.847265364828</v>
      </c>
      <c r="BG50" s="1502" t="str">
        <f>'Recycling - Case 2'!T198</f>
        <v>Policies not met</v>
      </c>
      <c r="BH50" s="752">
        <f t="shared" si="52"/>
        <v>2040</v>
      </c>
      <c r="BI50" s="1384">
        <f>'Recycling - Case 1'!BV118</f>
        <v>69.661606635709248</v>
      </c>
      <c r="BJ50" s="510">
        <f>'Recycling - Case 1'!BW118</f>
        <v>0.56475457421010911</v>
      </c>
      <c r="BK50" s="1383">
        <f>'Recycling - Case 1'!BX118</f>
        <v>20.794956942987973</v>
      </c>
      <c r="BL50" s="1384">
        <f>'Recycling - Case 1'!BY118</f>
        <v>69.798610202826168</v>
      </c>
      <c r="BM50" s="510">
        <f>'Recycling - Case 1'!BZ118</f>
        <v>0.43222298183341767</v>
      </c>
      <c r="BN50" s="1383">
        <f>'Recycling - Case 1'!CA118</f>
        <v>48.694518386230293</v>
      </c>
      <c r="BO50" s="1386">
        <f>'Recycling - Case 2'!BV118</f>
        <v>46.841942196849203</v>
      </c>
      <c r="BP50" s="510">
        <f>'Recycling - Case 2'!BW118</f>
        <v>0.81548052429422202</v>
      </c>
      <c r="BQ50" s="1383">
        <f>'Recycling - Case 2'!BX118</f>
        <v>20.794956942987973</v>
      </c>
      <c r="BR50" s="1383">
        <f>'Recycling - Case 2'!BY118</f>
        <v>67.038572500159361</v>
      </c>
      <c r="BS50" s="510">
        <f>'Recycling - Case 2'!BZ118</f>
        <v>0.78684038553282265</v>
      </c>
      <c r="BT50" s="1383">
        <f>'Recycling - Case 2'!CA118</f>
        <v>48.694518386230293</v>
      </c>
      <c r="BU50" s="1386">
        <f>'Recycling - Case 3'!BV118</f>
        <v>46.841942196849203</v>
      </c>
      <c r="BV50" s="510">
        <f>'Recycling - Case 3'!BW118</f>
        <v>0.81548052429422202</v>
      </c>
      <c r="BW50" s="1383">
        <f>'Recycling - Case 3'!BX118</f>
        <v>20.794956942987973</v>
      </c>
      <c r="BX50" s="1386">
        <f>'Recycling - Case 3'!BY118</f>
        <v>67.038572500159361</v>
      </c>
      <c r="BY50" s="510">
        <f>'Recycling - Case 3'!BZ118</f>
        <v>0.78684038553282265</v>
      </c>
      <c r="BZ50" s="1385">
        <f>'Recycling - Case 3'!CA118</f>
        <v>48.694518386230293</v>
      </c>
      <c r="CB50" s="805">
        <f>'Recycling - Case 1'!CB118</f>
        <v>0.58092468779387252</v>
      </c>
      <c r="CC50" s="510">
        <f>'Recycling - Case 1'!CC118</f>
        <v>0.35504992436548627</v>
      </c>
      <c r="CD50" s="510">
        <f>'Recycling - Case 1'!CD118</f>
        <v>0.58092468779387252</v>
      </c>
      <c r="CE50" s="510">
        <f>'Recycling - Case 1'!CE118</f>
        <v>0.85</v>
      </c>
      <c r="CF50" s="510">
        <f>'Recycling - Case 2'!CB118</f>
        <v>0.67206984488050125</v>
      </c>
      <c r="CG50" s="510">
        <f>'Recycling - Case 2'!CC118</f>
        <v>0.71267236731830419</v>
      </c>
      <c r="CH50" s="510">
        <f>'Recycling - Case 2'!CD118</f>
        <v>0.67206984488050125</v>
      </c>
      <c r="CI50" s="510">
        <f>'Recycling - Case 2'!CE118</f>
        <v>0.85</v>
      </c>
      <c r="CJ50" s="510">
        <f>'Recycling - Case 3'!CB118</f>
        <v>0.67206984488050125</v>
      </c>
      <c r="CK50" s="510">
        <f>'Recycling - Case 3'!CC118</f>
        <v>0.71267236731830419</v>
      </c>
      <c r="CL50" s="510">
        <f>'Recycling - Case 3'!CD118</f>
        <v>0.67206984488050125</v>
      </c>
      <c r="CM50" s="658">
        <f>'Recycling - Case 3'!CE118</f>
        <v>0.85</v>
      </c>
    </row>
    <row r="51" spans="1:91">
      <c r="A51" s="4">
        <f>'Input data'!A138</f>
        <v>2040</v>
      </c>
      <c r="B51" s="4"/>
      <c r="C51" s="980">
        <f>'4A SWD Case 1'!BG108</f>
        <v>1990.1238217148596</v>
      </c>
      <c r="D51" s="3">
        <f>'4B Biological treatment '!T104</f>
        <v>1.0287330103826879</v>
      </c>
      <c r="E51" s="1495">
        <f>'4B Biological treatment '!U104</f>
        <v>46.292985467220944</v>
      </c>
      <c r="F51" s="1495">
        <f>'4B Biological treatment '!W104</f>
        <v>2.7775791280332562</v>
      </c>
      <c r="G51" s="1184">
        <f>'4C2 Open-burning '!R111</f>
        <v>24.411620991939824</v>
      </c>
      <c r="H51" s="1184">
        <f>'4C2 Open-burning '!Z111</f>
        <v>6.0117510248589028</v>
      </c>
      <c r="I51" s="1184">
        <f>'4C2 Open-burning '!AH111</f>
        <v>9.2619076900384276E-2</v>
      </c>
      <c r="J51" s="1220">
        <f>'4D Wastewater treatment and dis'!AV148</f>
        <v>209.32606562704407</v>
      </c>
      <c r="K51" s="981">
        <f>'4D Wastewater treatment and dis'!AW148</f>
        <v>3.5988263386881876</v>
      </c>
      <c r="L51" s="982">
        <f t="shared" si="69"/>
        <v>41792.600256012054</v>
      </c>
      <c r="M51" s="983">
        <f t="shared" si="70"/>
        <v>21.603393218036448</v>
      </c>
      <c r="N51" s="982">
        <f t="shared" si="71"/>
        <v>1833.2022245019493</v>
      </c>
      <c r="O51" s="984">
        <f t="shared" si="72"/>
        <v>179.37030635309591</v>
      </c>
      <c r="P51" s="982">
        <f t="shared" si="73"/>
        <v>5511.4835431612637</v>
      </c>
      <c r="Q51" s="650">
        <f t="shared" si="74"/>
        <v>41792.600256012054</v>
      </c>
      <c r="R51" s="652">
        <f t="shared" si="75"/>
        <v>1854.8056177199858</v>
      </c>
      <c r="S51" s="649">
        <f t="shared" si="76"/>
        <v>179.37030635309591</v>
      </c>
      <c r="T51" s="650">
        <f t="shared" si="77"/>
        <v>5511.4835431612637</v>
      </c>
      <c r="U51" s="650">
        <f t="shared" si="78"/>
        <v>49338.259723246403</v>
      </c>
      <c r="V51" s="3"/>
      <c r="W51" s="752">
        <f t="shared" si="79"/>
        <v>2041</v>
      </c>
      <c r="X51" s="1382">
        <f t="shared" si="80"/>
        <v>41377.432470494998</v>
      </c>
      <c r="Y51" s="1384">
        <f t="shared" si="81"/>
        <v>1834.9953595104221</v>
      </c>
      <c r="Z51" s="1384">
        <f t="shared" si="82"/>
        <v>171.60974301155494</v>
      </c>
      <c r="AA51" s="1384">
        <f t="shared" si="83"/>
        <v>5585.9183683676356</v>
      </c>
      <c r="AB51" s="1466">
        <f t="shared" si="26"/>
        <v>48969.955941384615</v>
      </c>
      <c r="AC51" s="1502" t="str">
        <f>'Recycling - Case 1'!T159</f>
        <v>Policies met</v>
      </c>
      <c r="AD51" s="1382">
        <f t="shared" si="84"/>
        <v>42140.903506507013</v>
      </c>
      <c r="AE51" s="1384">
        <f t="shared" si="85"/>
        <v>794.22308448600052</v>
      </c>
      <c r="AF51" s="1384">
        <f t="shared" si="86"/>
        <v>171.60974301155494</v>
      </c>
      <c r="AG51" s="1384">
        <f t="shared" si="87"/>
        <v>5585.9183683676356</v>
      </c>
      <c r="AH51" s="1466">
        <f t="shared" si="60"/>
        <v>48692.654702372209</v>
      </c>
      <c r="AI51" s="1502" t="str">
        <f>'Recycling - Case 1'!T199</f>
        <v>Policies not met</v>
      </c>
      <c r="AJ51" s="1382">
        <f t="shared" si="88"/>
        <v>31842.141198070894</v>
      </c>
      <c r="AK51" s="1384">
        <f t="shared" si="89"/>
        <v>1078.9609338399873</v>
      </c>
      <c r="AL51" s="1384">
        <f t="shared" si="90"/>
        <v>141.2319838631108</v>
      </c>
      <c r="AM51" s="1384">
        <f t="shared" si="91"/>
        <v>5947.2659354915595</v>
      </c>
      <c r="AN51" s="1466">
        <f t="shared" si="92"/>
        <v>39009.600051265552</v>
      </c>
      <c r="AO51" s="1502" t="str">
        <f>'Recycling - Case 2'!T159</f>
        <v>Policies met</v>
      </c>
      <c r="AP51" s="1382">
        <f t="shared" si="93"/>
        <v>34573.92376324832</v>
      </c>
      <c r="AQ51" s="1384">
        <f t="shared" si="94"/>
        <v>432.23109580273547</v>
      </c>
      <c r="AR51" s="1384">
        <f t="shared" si="95"/>
        <v>141.2319838631108</v>
      </c>
      <c r="AS51" s="1384">
        <f t="shared" si="96"/>
        <v>5947.2659354915595</v>
      </c>
      <c r="AT51" s="1466">
        <f t="shared" si="41"/>
        <v>41094.652778405725</v>
      </c>
      <c r="AU51" s="1502" t="str">
        <f>'Recycling - Case 2'!T199</f>
        <v>Policies not met</v>
      </c>
      <c r="AV51" s="1382">
        <f t="shared" si="63"/>
        <v>31843.398056387883</v>
      </c>
      <c r="AW51" s="1384">
        <f t="shared" si="64"/>
        <v>655.27577512744676</v>
      </c>
      <c r="AX51" s="1384">
        <f t="shared" si="65"/>
        <v>141.2319838631108</v>
      </c>
      <c r="AY51" s="1384">
        <f t="shared" si="66"/>
        <v>5947.2659354915595</v>
      </c>
      <c r="AZ51" s="1466">
        <f t="shared" si="67"/>
        <v>38587.171750870002</v>
      </c>
      <c r="BA51" s="1502" t="str">
        <f>'Recycling - Case 2'!T159</f>
        <v>Policies met</v>
      </c>
      <c r="BB51" s="1382">
        <f t="shared" si="97"/>
        <v>34575.18062156532</v>
      </c>
      <c r="BC51" s="1384">
        <f t="shared" si="98"/>
        <v>655.27577512744676</v>
      </c>
      <c r="BD51" s="1384">
        <f t="shared" si="99"/>
        <v>141.2319838631108</v>
      </c>
      <c r="BE51" s="1384">
        <f t="shared" si="100"/>
        <v>5947.2659354915595</v>
      </c>
      <c r="BF51" s="1466">
        <f t="shared" si="51"/>
        <v>41318.954316047435</v>
      </c>
      <c r="BG51" s="1502" t="str">
        <f>'Recycling - Case 2'!T199</f>
        <v>Policies not met</v>
      </c>
      <c r="BH51" s="752">
        <f t="shared" si="52"/>
        <v>2041</v>
      </c>
      <c r="BI51" s="1384">
        <f>'Recycling - Case 1'!BV119</f>
        <v>67.874480314224073</v>
      </c>
      <c r="BJ51" s="510">
        <f>'Recycling - Case 1'!BW119</f>
        <v>0.5661633859114642</v>
      </c>
      <c r="BK51" s="1383">
        <f>'Recycling - Case 1'!BX119</f>
        <v>19.523249693539103</v>
      </c>
      <c r="BL51" s="1384">
        <f>'Recycling - Case 1'!BY119</f>
        <v>69.513641068718314</v>
      </c>
      <c r="BM51" s="510">
        <f>'Recycling - Case 1'!BZ119</f>
        <v>0.42677042425305711</v>
      </c>
      <c r="BN51" s="1383">
        <f>'Recycling - Case 1'!CA119</f>
        <v>48.694518386230293</v>
      </c>
      <c r="BO51" s="1386">
        <f>'Recycling - Case 2'!BV119</f>
        <v>47.908485794879859</v>
      </c>
      <c r="BP51" s="510">
        <f>'Recycling - Case 2'!BW119</f>
        <v>0.80511470795873352</v>
      </c>
      <c r="BQ51" s="1383">
        <f>'Recycling - Case 2'!BX119</f>
        <v>19.523249693539103</v>
      </c>
      <c r="BR51" s="1383">
        <f>'Recycling - Case 2'!BY119</f>
        <v>67.364431929460494</v>
      </c>
      <c r="BS51" s="510">
        <f>'Recycling - Case 2'!BZ119</f>
        <v>0.78649178849059465</v>
      </c>
      <c r="BT51" s="1383">
        <f>'Recycling - Case 2'!CA119</f>
        <v>48.694518386230293</v>
      </c>
      <c r="BU51" s="1386">
        <f>'Recycling - Case 3'!BV119</f>
        <v>47.908485794879859</v>
      </c>
      <c r="BV51" s="510">
        <f>'Recycling - Case 3'!BW119</f>
        <v>0.80511470795873352</v>
      </c>
      <c r="BW51" s="1383">
        <f>'Recycling - Case 3'!BX119</f>
        <v>19.523249693539103</v>
      </c>
      <c r="BX51" s="1386">
        <f>'Recycling - Case 3'!BY119</f>
        <v>67.364431929460494</v>
      </c>
      <c r="BY51" s="510">
        <f>'Recycling - Case 3'!BZ119</f>
        <v>0.78649178849059465</v>
      </c>
      <c r="BZ51" s="1385">
        <f>'Recycling - Case 3'!CA119</f>
        <v>48.694518386230293</v>
      </c>
      <c r="CB51" s="805">
        <f>'Recycling - Case 1'!CB119</f>
        <v>0.60153494904991145</v>
      </c>
      <c r="CC51" s="510">
        <f>'Recycling - Case 1'!CC119</f>
        <v>0.37409581493084543</v>
      </c>
      <c r="CD51" s="510">
        <f>'Recycling - Case 1'!CD119</f>
        <v>0.60153494904991145</v>
      </c>
      <c r="CE51" s="510">
        <f>'Recycling - Case 1'!CE119</f>
        <v>0.85</v>
      </c>
      <c r="CF51" s="510">
        <f>'Recycling - Case 2'!CB119</f>
        <v>0.67206984488050125</v>
      </c>
      <c r="CG51" s="510">
        <f>'Recycling - Case 2'!CC119</f>
        <v>0.6820665212020679</v>
      </c>
      <c r="CH51" s="510">
        <f>'Recycling - Case 2'!CD119</f>
        <v>0.67206984488050125</v>
      </c>
      <c r="CI51" s="510">
        <f>'Recycling - Case 2'!CE119</f>
        <v>0.85</v>
      </c>
      <c r="CJ51" s="510">
        <f>'Recycling - Case 3'!CB119</f>
        <v>0.67206984488050125</v>
      </c>
      <c r="CK51" s="510">
        <f>'Recycling - Case 3'!CC119</f>
        <v>0.6820665212020679</v>
      </c>
      <c r="CL51" s="510">
        <f>'Recycling - Case 3'!CD119</f>
        <v>0.67206984488050125</v>
      </c>
      <c r="CM51" s="658">
        <f>'Recycling - Case 3'!CE119</f>
        <v>0.85</v>
      </c>
    </row>
    <row r="52" spans="1:91">
      <c r="A52" s="4">
        <f>'Input data'!A139</f>
        <v>2041</v>
      </c>
      <c r="B52" s="4"/>
      <c r="C52" s="980">
        <f>'4A SWD Case 1'!BG109</f>
        <v>1970.3539271664285</v>
      </c>
      <c r="D52" s="3">
        <f>'4B Biological treatment '!T105</f>
        <v>1.0177456236885316</v>
      </c>
      <c r="E52" s="1495">
        <f>'4B Biological treatment '!U105</f>
        <v>45.798553065983917</v>
      </c>
      <c r="F52" s="1495">
        <f>'4B Biological treatment '!W105</f>
        <v>2.7479131839590343</v>
      </c>
      <c r="G52" s="1184">
        <f>'4C2 Open-burning '!R112</f>
        <v>23.355437642368543</v>
      </c>
      <c r="H52" s="1184">
        <f>'4C2 Open-burning '!Z112</f>
        <v>5.7516490293248683</v>
      </c>
      <c r="I52" s="1184">
        <f>'4C2 Open-burning '!AH112</f>
        <v>8.8611857268916683E-2</v>
      </c>
      <c r="J52" s="1220">
        <f>'4D Wastewater treatment and dis'!AV149</f>
        <v>212.54010495110225</v>
      </c>
      <c r="K52" s="981">
        <f>'4D Wastewater treatment and dis'!AW149</f>
        <v>3.6212134335306052</v>
      </c>
      <c r="L52" s="982">
        <f t="shared" si="69"/>
        <v>41377.432470494998</v>
      </c>
      <c r="M52" s="983">
        <f t="shared" si="70"/>
        <v>21.372658097459166</v>
      </c>
      <c r="N52" s="982">
        <f t="shared" si="71"/>
        <v>1813.6227014129629</v>
      </c>
      <c r="O52" s="984">
        <f t="shared" si="72"/>
        <v>171.60974301155494</v>
      </c>
      <c r="P52" s="982">
        <f t="shared" si="73"/>
        <v>5585.9183683676356</v>
      </c>
      <c r="Q52" s="650">
        <f t="shared" si="74"/>
        <v>41377.432470494998</v>
      </c>
      <c r="R52" s="652">
        <f t="shared" si="75"/>
        <v>1834.9953595104221</v>
      </c>
      <c r="S52" s="649">
        <f t="shared" si="76"/>
        <v>171.60974301155494</v>
      </c>
      <c r="T52" s="650">
        <f t="shared" si="77"/>
        <v>5585.9183683676356</v>
      </c>
      <c r="U52" s="650">
        <f t="shared" si="78"/>
        <v>48969.955941384615</v>
      </c>
      <c r="V52" s="3"/>
      <c r="W52" s="752">
        <f t="shared" si="79"/>
        <v>2042</v>
      </c>
      <c r="X52" s="1382">
        <f t="shared" si="80"/>
        <v>40941.260773860318</v>
      </c>
      <c r="Y52" s="1384">
        <f t="shared" si="81"/>
        <v>1817.065608802915</v>
      </c>
      <c r="Z52" s="1384">
        <f t="shared" si="82"/>
        <v>163.74396035103354</v>
      </c>
      <c r="AA52" s="1384">
        <f t="shared" si="83"/>
        <v>5661.0062950673746</v>
      </c>
      <c r="AB52" s="1466">
        <f t="shared" si="26"/>
        <v>48583.076638081642</v>
      </c>
      <c r="AC52" s="1502" t="str">
        <f>'Recycling - Case 1'!T160</f>
        <v>Policies met</v>
      </c>
      <c r="AD52" s="1382">
        <f t="shared" si="84"/>
        <v>41864.589607687834</v>
      </c>
      <c r="AE52" s="1384">
        <f t="shared" si="85"/>
        <v>783.26448253406352</v>
      </c>
      <c r="AF52" s="1384">
        <f t="shared" si="86"/>
        <v>163.74396035103354</v>
      </c>
      <c r="AG52" s="1384">
        <f t="shared" si="87"/>
        <v>5661.0062950673746</v>
      </c>
      <c r="AH52" s="1466">
        <f t="shared" si="60"/>
        <v>48472.604345640306</v>
      </c>
      <c r="AI52" s="1502" t="str">
        <f>'Recycling - Case 1'!T200</f>
        <v>Policies not met</v>
      </c>
      <c r="AJ52" s="1382">
        <f t="shared" si="88"/>
        <v>31172.119560859035</v>
      </c>
      <c r="AK52" s="1384">
        <f t="shared" si="89"/>
        <v>1169.1838914747232</v>
      </c>
      <c r="AL52" s="1384">
        <f t="shared" si="90"/>
        <v>142.10904236856123</v>
      </c>
      <c r="AM52" s="1384">
        <f t="shared" si="91"/>
        <v>5984.1987890154069</v>
      </c>
      <c r="AN52" s="1466">
        <f t="shared" si="92"/>
        <v>38467.611283717728</v>
      </c>
      <c r="AO52" s="1502" t="str">
        <f>'Recycling - Case 2'!T160</f>
        <v>Policies met</v>
      </c>
      <c r="AP52" s="1382">
        <f t="shared" si="93"/>
        <v>34179.555015658858</v>
      </c>
      <c r="AQ52" s="1384">
        <f t="shared" si="94"/>
        <v>439.9996847549387</v>
      </c>
      <c r="AR52" s="1384">
        <f t="shared" si="95"/>
        <v>142.10904236856123</v>
      </c>
      <c r="AS52" s="1384">
        <f t="shared" si="96"/>
        <v>5984.1987890154069</v>
      </c>
      <c r="AT52" s="1466">
        <f t="shared" si="41"/>
        <v>40745.862531797764</v>
      </c>
      <c r="AU52" s="1502" t="str">
        <f>'Recycling - Case 2'!T200</f>
        <v>Policies not met</v>
      </c>
      <c r="AV52" s="1382">
        <f t="shared" si="63"/>
        <v>31173.426436393325</v>
      </c>
      <c r="AW52" s="1384">
        <f t="shared" si="64"/>
        <v>710.0700838407223</v>
      </c>
      <c r="AX52" s="1384">
        <f t="shared" si="65"/>
        <v>142.10904236856129</v>
      </c>
      <c r="AY52" s="1384">
        <f t="shared" si="66"/>
        <v>5984.1987890154069</v>
      </c>
      <c r="AZ52" s="1466">
        <f t="shared" si="67"/>
        <v>38009.804351618011</v>
      </c>
      <c r="BA52" s="1502" t="str">
        <f>'Recycling - Case 2'!T160</f>
        <v>Policies met</v>
      </c>
      <c r="BB52" s="1382">
        <f t="shared" si="97"/>
        <v>34180.861891193163</v>
      </c>
      <c r="BC52" s="1384">
        <f t="shared" si="98"/>
        <v>710.07008384072208</v>
      </c>
      <c r="BD52" s="1384">
        <f t="shared" si="99"/>
        <v>142.10904236856129</v>
      </c>
      <c r="BE52" s="1384">
        <f t="shared" si="100"/>
        <v>5984.1987890154069</v>
      </c>
      <c r="BF52" s="1466">
        <f t="shared" si="51"/>
        <v>41017.239806417849</v>
      </c>
      <c r="BG52" s="1502" t="str">
        <f>'Recycling - Case 2'!T200</f>
        <v>Policies not met</v>
      </c>
      <c r="BH52" s="752">
        <f t="shared" si="52"/>
        <v>2042</v>
      </c>
      <c r="BI52" s="1384">
        <f>'Recycling - Case 1'!BV120</f>
        <v>66.137217106494901</v>
      </c>
      <c r="BJ52" s="510">
        <f>'Recycling - Case 1'!BW120</f>
        <v>0.56753797761961333</v>
      </c>
      <c r="BK52" s="1383">
        <f>'Recycling - Case 1'!BX120</f>
        <v>18.25154244409023</v>
      </c>
      <c r="BL52" s="1384">
        <f>'Recycling - Case 1'!BY120</f>
        <v>69.232496652326034</v>
      </c>
      <c r="BM52" s="510">
        <f>'Recycling - Case 1'!BZ120</f>
        <v>0.42125241001352964</v>
      </c>
      <c r="BN52" s="1383">
        <f>'Recycling - Case 1'!CA120</f>
        <v>48.694518386230293</v>
      </c>
      <c r="BO52" s="1386">
        <f>'Recycling - Case 2'!BV120</f>
        <v>49.022519317246825</v>
      </c>
      <c r="BP52" s="510">
        <f>'Recycling - Case 2'!BW120</f>
        <v>0.79502034703665969</v>
      </c>
      <c r="BQ52" s="1383">
        <f>'Recycling - Case 2'!BX120</f>
        <v>18.25154244409023</v>
      </c>
      <c r="BR52" s="1383">
        <f>'Recycling - Case 2'!BY120</f>
        <v>67.701838540652787</v>
      </c>
      <c r="BS52" s="510">
        <f>'Recycling - Case 2'!BZ120</f>
        <v>0.78610132014633283</v>
      </c>
      <c r="BT52" s="1383">
        <f>'Recycling - Case 2'!CA120</f>
        <v>48.694518386230293</v>
      </c>
      <c r="BU52" s="1386">
        <f>'Recycling - Case 3'!BV120</f>
        <v>49.022519317246825</v>
      </c>
      <c r="BV52" s="510">
        <f>'Recycling - Case 3'!BW120</f>
        <v>0.79502034703665969</v>
      </c>
      <c r="BW52" s="1383">
        <f>'Recycling - Case 3'!BX120</f>
        <v>18.25154244409023</v>
      </c>
      <c r="BX52" s="1386">
        <f>'Recycling - Case 3'!BY120</f>
        <v>67.701838540652787</v>
      </c>
      <c r="BY52" s="510">
        <f>'Recycling - Case 3'!BZ120</f>
        <v>0.78610132014633283</v>
      </c>
      <c r="BZ52" s="1385">
        <f>'Recycling - Case 3'!CA120</f>
        <v>48.694518386230293</v>
      </c>
      <c r="CB52" s="805">
        <f>'Recycling - Case 1'!CB120</f>
        <v>0.6221452103059506</v>
      </c>
      <c r="CC52" s="510">
        <f>'Recycling - Case 1'!CC120</f>
        <v>0.39182184297682582</v>
      </c>
      <c r="CD52" s="510">
        <f>'Recycling - Case 1'!CD120</f>
        <v>0.6221452103059506</v>
      </c>
      <c r="CE52" s="510">
        <f>'Recycling - Case 1'!CE120</f>
        <v>0.85</v>
      </c>
      <c r="CF52" s="510">
        <f>'Recycling - Case 2'!CB120</f>
        <v>0.67206984488050125</v>
      </c>
      <c r="CG52" s="510">
        <f>'Recycling - Case 2'!CC120</f>
        <v>0.65291390992733356</v>
      </c>
      <c r="CH52" s="510">
        <f>'Recycling - Case 2'!CD120</f>
        <v>0.67206984488050125</v>
      </c>
      <c r="CI52" s="510">
        <f>'Recycling - Case 2'!CE120</f>
        <v>0.85</v>
      </c>
      <c r="CJ52" s="510">
        <f>'Recycling - Case 3'!CB120</f>
        <v>0.67206984488050125</v>
      </c>
      <c r="CK52" s="510">
        <f>'Recycling - Case 3'!CC120</f>
        <v>0.65291390992733356</v>
      </c>
      <c r="CL52" s="510">
        <f>'Recycling - Case 3'!CD120</f>
        <v>0.67206984488050125</v>
      </c>
      <c r="CM52" s="658">
        <f>'Recycling - Case 3'!CE120</f>
        <v>0.85</v>
      </c>
    </row>
    <row r="53" spans="1:91">
      <c r="A53" s="4">
        <f>'Input data'!A140</f>
        <v>2042</v>
      </c>
      <c r="B53" s="4"/>
      <c r="C53" s="980">
        <f>'4A SWD Case 1'!BG110</f>
        <v>1949.5838463743007</v>
      </c>
      <c r="D53" s="3">
        <f>'4B Biological treatment '!T106</f>
        <v>1.0078012250709458</v>
      </c>
      <c r="E53" s="1495">
        <f>'4B Biological treatment '!U106</f>
        <v>45.351055128192556</v>
      </c>
      <c r="F53" s="1495">
        <f>'4B Biological treatment '!W106</f>
        <v>2.7210633076915531</v>
      </c>
      <c r="G53" s="1184">
        <f>'4C2 Open-burning '!R113</f>
        <v>22.284934341027064</v>
      </c>
      <c r="H53" s="1184">
        <f>'4C2 Open-burning '!Z113</f>
        <v>5.4880205172699199</v>
      </c>
      <c r="I53" s="1184">
        <f>'4C2 Open-burning '!AH113</f>
        <v>8.4550306926897259E-2</v>
      </c>
      <c r="J53" s="1220">
        <f>'4D Wastewater treatment and dis'!AV150</f>
        <v>215.78375571491307</v>
      </c>
      <c r="K53" s="981">
        <f>'4D Wastewater treatment and dis'!AW150</f>
        <v>3.643701371142583</v>
      </c>
      <c r="L53" s="982">
        <f t="shared" si="69"/>
        <v>40941.260773860318</v>
      </c>
      <c r="M53" s="983">
        <f t="shared" si="70"/>
        <v>21.163825726489861</v>
      </c>
      <c r="N53" s="982">
        <f t="shared" si="71"/>
        <v>1795.9017830764251</v>
      </c>
      <c r="O53" s="984">
        <f t="shared" si="72"/>
        <v>163.74396035103354</v>
      </c>
      <c r="P53" s="982">
        <f t="shared" si="73"/>
        <v>5661.0062950673746</v>
      </c>
      <c r="Q53" s="650">
        <f t="shared" si="74"/>
        <v>40941.260773860318</v>
      </c>
      <c r="R53" s="652">
        <f t="shared" si="75"/>
        <v>1817.065608802915</v>
      </c>
      <c r="S53" s="649">
        <f t="shared" si="76"/>
        <v>163.74396035103354</v>
      </c>
      <c r="T53" s="650">
        <f t="shared" si="77"/>
        <v>5661.0062950673746</v>
      </c>
      <c r="U53" s="650">
        <f t="shared" si="78"/>
        <v>48583.076638081642</v>
      </c>
      <c r="V53" s="3"/>
      <c r="W53" s="752">
        <f t="shared" si="79"/>
        <v>2043</v>
      </c>
      <c r="X53" s="1382">
        <f t="shared" si="80"/>
        <v>40486.312702143812</v>
      </c>
      <c r="Y53" s="1384">
        <f t="shared" si="81"/>
        <v>1800.6415571194677</v>
      </c>
      <c r="Z53" s="1384">
        <f t="shared" si="82"/>
        <v>155.77435909856584</v>
      </c>
      <c r="AA53" s="1384">
        <f t="shared" si="83"/>
        <v>5736.8295733086024</v>
      </c>
      <c r="AB53" s="1466">
        <f t="shared" si="26"/>
        <v>48179.558191670447</v>
      </c>
      <c r="AC53" s="1502" t="str">
        <f>'Recycling - Case 1'!T161</f>
        <v>Policies met</v>
      </c>
      <c r="AD53" s="1382">
        <f t="shared" si="84"/>
        <v>41603.356497696288</v>
      </c>
      <c r="AE53" s="1384">
        <f t="shared" si="85"/>
        <v>772.42374955380535</v>
      </c>
      <c r="AF53" s="1384">
        <f t="shared" si="86"/>
        <v>155.77435909856584</v>
      </c>
      <c r="AG53" s="1384">
        <f t="shared" si="87"/>
        <v>5736.8295733086024</v>
      </c>
      <c r="AH53" s="1466">
        <f t="shared" si="60"/>
        <v>48268.38417965726</v>
      </c>
      <c r="AI53" s="1502" t="str">
        <f>'Recycling - Case 1'!T201</f>
        <v>Policies not met</v>
      </c>
      <c r="AJ53" s="1382">
        <f t="shared" si="88"/>
        <v>30562.390253398557</v>
      </c>
      <c r="AK53" s="1384">
        <f t="shared" si="89"/>
        <v>1261.0982535293099</v>
      </c>
      <c r="AL53" s="1384">
        <f t="shared" si="90"/>
        <v>142.99200037068516</v>
      </c>
      <c r="AM53" s="1384">
        <f t="shared" si="91"/>
        <v>6021.38006980511</v>
      </c>
      <c r="AN53" s="1466">
        <f t="shared" si="92"/>
        <v>37987.860577103667</v>
      </c>
      <c r="AO53" s="1502" t="str">
        <f>'Recycling - Case 2'!T161</f>
        <v>Policies met</v>
      </c>
      <c r="AP53" s="1382">
        <f t="shared" si="93"/>
        <v>33811.06479602163</v>
      </c>
      <c r="AQ53" s="1384">
        <f t="shared" si="94"/>
        <v>448.02087143063869</v>
      </c>
      <c r="AR53" s="1384">
        <f t="shared" si="95"/>
        <v>142.99200037068516</v>
      </c>
      <c r="AS53" s="1384">
        <f t="shared" si="96"/>
        <v>6021.38006980511</v>
      </c>
      <c r="AT53" s="1466">
        <f t="shared" si="41"/>
        <v>40423.457737628065</v>
      </c>
      <c r="AU53" s="1502" t="str">
        <f>'Recycling - Case 2'!T201</f>
        <v>Policies not met</v>
      </c>
      <c r="AV53" s="1382">
        <f t="shared" si="63"/>
        <v>30563.744998521037</v>
      </c>
      <c r="AW53" s="1384">
        <f t="shared" si="64"/>
        <v>765.89161819999686</v>
      </c>
      <c r="AX53" s="1384">
        <f t="shared" si="65"/>
        <v>142.99200037068519</v>
      </c>
      <c r="AY53" s="1384">
        <f t="shared" si="66"/>
        <v>6021.38006980511</v>
      </c>
      <c r="AZ53" s="1466">
        <f t="shared" si="67"/>
        <v>37494.008686896828</v>
      </c>
      <c r="BA53" s="1502" t="str">
        <f>'Recycling - Case 2'!T161</f>
        <v>Policies met</v>
      </c>
      <c r="BB53" s="1382">
        <f t="shared" si="97"/>
        <v>33812.419541144111</v>
      </c>
      <c r="BC53" s="1384">
        <f t="shared" si="98"/>
        <v>765.89161819999686</v>
      </c>
      <c r="BD53" s="1384">
        <f t="shared" si="99"/>
        <v>142.99200037068519</v>
      </c>
      <c r="BE53" s="1384">
        <f t="shared" si="100"/>
        <v>6021.38006980511</v>
      </c>
      <c r="BF53" s="1466">
        <f t="shared" si="51"/>
        <v>40742.683229519906</v>
      </c>
      <c r="BG53" s="1502" t="str">
        <f>'Recycling - Case 2'!T201</f>
        <v>Policies not met</v>
      </c>
      <c r="BH53" s="752">
        <f t="shared" si="52"/>
        <v>2043</v>
      </c>
      <c r="BI53" s="1384">
        <f>'Recycling - Case 1'!BV121</f>
        <v>64.439900444487918</v>
      </c>
      <c r="BJ53" s="510">
        <f>'Recycling - Case 1'!BW121</f>
        <v>0.56887874777242942</v>
      </c>
      <c r="BK53" s="1383">
        <f>'Recycling - Case 1'!BX121</f>
        <v>16.979835194641357</v>
      </c>
      <c r="BL53" s="1384">
        <f>'Recycling - Case 1'!BY121</f>
        <v>68.954585767945915</v>
      </c>
      <c r="BM53" s="510">
        <f>'Recycling - Case 1'!BZ121</f>
        <v>0.41567051776289005</v>
      </c>
      <c r="BN53" s="1383">
        <f>'Recycling - Case 1'!CA121</f>
        <v>48.694518386230293</v>
      </c>
      <c r="BO53" s="1386">
        <f>'Recycling - Case 2'!BV121</f>
        <v>50.181289906898819</v>
      </c>
      <c r="BP53" s="510">
        <f>'Recycling - Case 2'!BW121</f>
        <v>0.78522772456567103</v>
      </c>
      <c r="BQ53" s="1383">
        <f>'Recycling - Case 2'!BX121</f>
        <v>16.979835194641357</v>
      </c>
      <c r="BR53" s="1383">
        <f>'Recycling - Case 2'!BY121</f>
        <v>68.050241176069065</v>
      </c>
      <c r="BS53" s="510">
        <f>'Recycling - Case 2'!BZ121</f>
        <v>0.78567464074495208</v>
      </c>
      <c r="BT53" s="1383">
        <f>'Recycling - Case 2'!CA121</f>
        <v>48.694518386230293</v>
      </c>
      <c r="BU53" s="1386">
        <f>'Recycling - Case 3'!BV121</f>
        <v>50.181289906898819</v>
      </c>
      <c r="BV53" s="510">
        <f>'Recycling - Case 3'!BW121</f>
        <v>0.78522772456567103</v>
      </c>
      <c r="BW53" s="1383">
        <f>'Recycling - Case 3'!BX121</f>
        <v>16.979835194641357</v>
      </c>
      <c r="BX53" s="1386">
        <f>'Recycling - Case 3'!BY121</f>
        <v>68.050241176069065</v>
      </c>
      <c r="BY53" s="510">
        <f>'Recycling - Case 3'!BZ121</f>
        <v>0.78567464074495208</v>
      </c>
      <c r="BZ53" s="1385">
        <f>'Recycling - Case 3'!CA121</f>
        <v>48.694518386230293</v>
      </c>
      <c r="CB53" s="805">
        <f>'Recycling - Case 1'!CB121</f>
        <v>0.64275547156198976</v>
      </c>
      <c r="CC53" s="510">
        <f>'Recycling - Case 1'!CC121</f>
        <v>0.40839954988623911</v>
      </c>
      <c r="CD53" s="510">
        <f>'Recycling - Case 1'!CD121</f>
        <v>0.64275547156198976</v>
      </c>
      <c r="CE53" s="510">
        <f>'Recycling - Case 1'!CE121</f>
        <v>0.85</v>
      </c>
      <c r="CF53" s="510">
        <f>'Recycling - Case 2'!CB121</f>
        <v>0.67206984488050125</v>
      </c>
      <c r="CG53" s="510">
        <f>'Recycling - Case 2'!CC121</f>
        <v>0.62521022322364217</v>
      </c>
      <c r="CH53" s="510">
        <f>'Recycling - Case 2'!CD121</f>
        <v>0.67206984488050125</v>
      </c>
      <c r="CI53" s="510">
        <f>'Recycling - Case 2'!CE121</f>
        <v>0.85</v>
      </c>
      <c r="CJ53" s="510">
        <f>'Recycling - Case 3'!CB121</f>
        <v>0.67206984488050125</v>
      </c>
      <c r="CK53" s="510">
        <f>'Recycling - Case 3'!CC121</f>
        <v>0.62521022322364217</v>
      </c>
      <c r="CL53" s="510">
        <f>'Recycling - Case 3'!CD121</f>
        <v>0.67206984488050125</v>
      </c>
      <c r="CM53" s="658">
        <f>'Recycling - Case 3'!CE121</f>
        <v>0.85</v>
      </c>
    </row>
    <row r="54" spans="1:91">
      <c r="A54" s="4">
        <f>'Input data'!A141</f>
        <v>2043</v>
      </c>
      <c r="B54" s="4"/>
      <c r="C54" s="980">
        <f>'4A SWD Case 1'!BG111</f>
        <v>1927.9196524830388</v>
      </c>
      <c r="D54" s="3">
        <f>'4B Biological treatment '!T107</f>
        <v>0.99869193406515133</v>
      </c>
      <c r="E54" s="1495">
        <f>'4B Biological treatment '!U107</f>
        <v>44.941137032931806</v>
      </c>
      <c r="F54" s="1495">
        <f>'4B Biological treatment '!W107</f>
        <v>2.6964682219759082</v>
      </c>
      <c r="G54" s="1184">
        <f>'4C2 Open-burning '!R114</f>
        <v>21.200301721572483</v>
      </c>
      <c r="H54" s="1184">
        <f>'4C2 Open-burning '!Z114</f>
        <v>5.220912435272643</v>
      </c>
      <c r="I54" s="1184">
        <f>'4C2 Open-burning '!AH114</f>
        <v>8.0435149149251178E-2</v>
      </c>
      <c r="J54" s="1220">
        <f>'4D Wastewater treatment and dis'!AV151</f>
        <v>219.06019027175444</v>
      </c>
      <c r="K54" s="981">
        <f>'4D Wastewater treatment and dis'!AW151</f>
        <v>3.6663405729089016</v>
      </c>
      <c r="L54" s="982">
        <f t="shared" si="69"/>
        <v>40486.312702143812</v>
      </c>
      <c r="M54" s="983">
        <f t="shared" si="70"/>
        <v>20.972530615368179</v>
      </c>
      <c r="N54" s="982">
        <f t="shared" si="71"/>
        <v>1779.6690265040995</v>
      </c>
      <c r="O54" s="984">
        <f t="shared" si="72"/>
        <v>155.77435909856584</v>
      </c>
      <c r="P54" s="982">
        <f t="shared" si="73"/>
        <v>5736.8295733086024</v>
      </c>
      <c r="Q54" s="650">
        <f t="shared" si="74"/>
        <v>40486.312702143812</v>
      </c>
      <c r="R54" s="652">
        <f t="shared" si="75"/>
        <v>1800.6415571194677</v>
      </c>
      <c r="S54" s="649">
        <f t="shared" si="76"/>
        <v>155.77435909856584</v>
      </c>
      <c r="T54" s="650">
        <f t="shared" si="77"/>
        <v>5736.8295733086024</v>
      </c>
      <c r="U54" s="650">
        <f t="shared" si="78"/>
        <v>48179.558191670447</v>
      </c>
      <c r="V54" s="3"/>
      <c r="W54" s="752">
        <f t="shared" si="79"/>
        <v>2044</v>
      </c>
      <c r="X54" s="1382">
        <f t="shared" si="80"/>
        <v>40014.467561423313</v>
      </c>
      <c r="Y54" s="1384">
        <f t="shared" si="81"/>
        <v>1785.89000550277</v>
      </c>
      <c r="Z54" s="1384">
        <f t="shared" si="82"/>
        <v>147.69780821725215</v>
      </c>
      <c r="AA54" s="1384">
        <f t="shared" si="83"/>
        <v>5813.3137796102064</v>
      </c>
      <c r="AB54" s="1466">
        <f t="shared" si="26"/>
        <v>47761.369154753542</v>
      </c>
      <c r="AC54" s="1502" t="str">
        <f>'Recycling - Case 1'!T162</f>
        <v>Policies met</v>
      </c>
      <c r="AD54" s="1382">
        <f t="shared" si="84"/>
        <v>41356.555657285367</v>
      </c>
      <c r="AE54" s="1384">
        <f t="shared" si="85"/>
        <v>761.75043979877171</v>
      </c>
      <c r="AF54" s="1384">
        <f t="shared" si="86"/>
        <v>147.69780821725215</v>
      </c>
      <c r="AG54" s="1384">
        <f t="shared" si="87"/>
        <v>5813.3137796102064</v>
      </c>
      <c r="AH54" s="1466">
        <f t="shared" si="60"/>
        <v>48079.317684911599</v>
      </c>
      <c r="AI54" s="1502" t="str">
        <f>'Recycling - Case 1'!T202</f>
        <v>Policies not met</v>
      </c>
      <c r="AJ54" s="1382">
        <f t="shared" si="88"/>
        <v>30011.072771955787</v>
      </c>
      <c r="AK54" s="1384">
        <f t="shared" si="89"/>
        <v>1354.9419221093742</v>
      </c>
      <c r="AL54" s="1384">
        <f t="shared" si="90"/>
        <v>143.87889137059136</v>
      </c>
      <c r="AM54" s="1384">
        <f t="shared" si="91"/>
        <v>6058.7269687720527</v>
      </c>
      <c r="AN54" s="1466">
        <f t="shared" si="92"/>
        <v>37568.620554207802</v>
      </c>
      <c r="AO54" s="1502" t="str">
        <f>'Recycling - Case 2'!T162</f>
        <v>Policies met</v>
      </c>
      <c r="AP54" s="1382">
        <f t="shared" si="93"/>
        <v>33467.445350930633</v>
      </c>
      <c r="AQ54" s="1384">
        <f t="shared" si="94"/>
        <v>456.32667243531967</v>
      </c>
      <c r="AR54" s="1384">
        <f t="shared" si="95"/>
        <v>143.87889137059136</v>
      </c>
      <c r="AS54" s="1384">
        <f t="shared" si="96"/>
        <v>6058.7269687720527</v>
      </c>
      <c r="AT54" s="1466">
        <f t="shared" si="41"/>
        <v>40126.377883508598</v>
      </c>
      <c r="AU54" s="1502" t="str">
        <f>'Recycling - Case 2'!T202</f>
        <v>Policies not met</v>
      </c>
      <c r="AV54" s="1382">
        <f t="shared" si="63"/>
        <v>30012.473369252246</v>
      </c>
      <c r="AW54" s="1384">
        <f t="shared" si="64"/>
        <v>822.88486118123387</v>
      </c>
      <c r="AX54" s="1384">
        <f t="shared" si="65"/>
        <v>143.87889137059139</v>
      </c>
      <c r="AY54" s="1384">
        <f t="shared" si="66"/>
        <v>6058.7269687720527</v>
      </c>
      <c r="AZ54" s="1466">
        <f t="shared" si="67"/>
        <v>37037.964090576126</v>
      </c>
      <c r="BA54" s="1502" t="str">
        <f>'Recycling - Case 2'!T162</f>
        <v>Policies met</v>
      </c>
      <c r="BB54" s="1382">
        <f t="shared" si="97"/>
        <v>33468.845948227092</v>
      </c>
      <c r="BC54" s="1384">
        <f t="shared" si="98"/>
        <v>822.88486118123387</v>
      </c>
      <c r="BD54" s="1384">
        <f t="shared" si="99"/>
        <v>143.87889137059139</v>
      </c>
      <c r="BE54" s="1384">
        <f t="shared" si="100"/>
        <v>6058.7269687720527</v>
      </c>
      <c r="BF54" s="1466">
        <f t="shared" si="51"/>
        <v>40494.336669550976</v>
      </c>
      <c r="BG54" s="1502" t="str">
        <f>'Recycling - Case 2'!T202</f>
        <v>Policies not met</v>
      </c>
      <c r="BH54" s="752">
        <f t="shared" si="52"/>
        <v>2044</v>
      </c>
      <c r="BI54" s="1384">
        <f>'Recycling - Case 1'!BV122</f>
        <v>62.786946288520319</v>
      </c>
      <c r="BJ54" s="510">
        <f>'Recycling - Case 1'!BW122</f>
        <v>0.57017463307146632</v>
      </c>
      <c r="BK54" s="1383">
        <f>'Recycling - Case 1'!BX122</f>
        <v>15.70812794519248</v>
      </c>
      <c r="BL54" s="1384">
        <f>'Recycling - Case 1'!BY122</f>
        <v>68.681222783614487</v>
      </c>
      <c r="BM54" s="510">
        <f>'Recycling - Case 1'!BZ122</f>
        <v>0.41002640777845273</v>
      </c>
      <c r="BN54" s="1383">
        <f>'Recycling - Case 1'!CA122</f>
        <v>48.694518386230293</v>
      </c>
      <c r="BO54" s="1386">
        <f>'Recycling - Case 2'!BV122</f>
        <v>51.391093103402163</v>
      </c>
      <c r="BP54" s="510">
        <f>'Recycling - Case 2'!BW122</f>
        <v>0.7757037971396038</v>
      </c>
      <c r="BQ54" s="1383">
        <f>'Recycling - Case 2'!BX122</f>
        <v>15.70812794519248</v>
      </c>
      <c r="BR54" s="1383">
        <f>'Recycling - Case 2'!BY122</f>
        <v>68.411036594146012</v>
      </c>
      <c r="BS54" s="510">
        <f>'Recycling - Case 2'!BZ122</f>
        <v>0.7852041902626834</v>
      </c>
      <c r="BT54" s="1383">
        <f>'Recycling - Case 2'!CA122</f>
        <v>48.694518386230293</v>
      </c>
      <c r="BU54" s="1386">
        <f>'Recycling - Case 3'!BV122</f>
        <v>51.391093103402163</v>
      </c>
      <c r="BV54" s="510">
        <f>'Recycling - Case 3'!BW122</f>
        <v>0.7757037971396038</v>
      </c>
      <c r="BW54" s="1383">
        <f>'Recycling - Case 3'!BX122</f>
        <v>15.70812794519248</v>
      </c>
      <c r="BX54" s="1386">
        <f>'Recycling - Case 3'!BY122</f>
        <v>68.411036594146012</v>
      </c>
      <c r="BY54" s="510">
        <f>'Recycling - Case 3'!BZ122</f>
        <v>0.7852041902626834</v>
      </c>
      <c r="BZ54" s="1385">
        <f>'Recycling - Case 3'!CA122</f>
        <v>48.694518386230293</v>
      </c>
      <c r="CB54" s="805">
        <f>'Recycling - Case 1'!CB122</f>
        <v>0.66336573281802869</v>
      </c>
      <c r="CC54" s="510">
        <f>'Recycling - Case 1'!CC122</f>
        <v>0.42389690497160221</v>
      </c>
      <c r="CD54" s="510">
        <f>'Recycling - Case 1'!CD122</f>
        <v>0.66336573281802869</v>
      </c>
      <c r="CE54" s="510">
        <f>'Recycling - Case 1'!CE122</f>
        <v>0.85</v>
      </c>
      <c r="CF54" s="510">
        <f>'Recycling - Case 2'!CB122</f>
        <v>0.67206984488050125</v>
      </c>
      <c r="CG54" s="510">
        <f>'Recycling - Case 2'!CC122</f>
        <v>0.59888070839722707</v>
      </c>
      <c r="CH54" s="510">
        <f>'Recycling - Case 2'!CD122</f>
        <v>0.67206984488050125</v>
      </c>
      <c r="CI54" s="510">
        <f>'Recycling - Case 2'!CE122</f>
        <v>0.85</v>
      </c>
      <c r="CJ54" s="510">
        <f>'Recycling - Case 3'!CB122</f>
        <v>0.67206984488050125</v>
      </c>
      <c r="CK54" s="510">
        <f>'Recycling - Case 3'!CC122</f>
        <v>0.59888070839722707</v>
      </c>
      <c r="CL54" s="510">
        <f>'Recycling - Case 3'!CD122</f>
        <v>0.67206984488050125</v>
      </c>
      <c r="CM54" s="658">
        <f>'Recycling - Case 3'!CE122</f>
        <v>0.85</v>
      </c>
    </row>
    <row r="55" spans="1:91">
      <c r="A55" s="4">
        <f>'Input data'!A142</f>
        <v>2044</v>
      </c>
      <c r="B55" s="4"/>
      <c r="C55" s="980">
        <f>'4A SWD Case 1'!BG112</f>
        <v>1905.4508362582528</v>
      </c>
      <c r="D55" s="3">
        <f>'4B Biological treatment '!T108</f>
        <v>0.99051026372865791</v>
      </c>
      <c r="E55" s="1495">
        <f>'4B Biological treatment '!U108</f>
        <v>44.572961867789594</v>
      </c>
      <c r="F55" s="1495">
        <f>'4B Biological treatment '!W108</f>
        <v>2.674377712067376</v>
      </c>
      <c r="G55" s="1184">
        <f>'4C2 Open-burning '!R115</f>
        <v>20.101113661712514</v>
      </c>
      <c r="H55" s="1184">
        <f>'4C2 Open-burning '!Z115</f>
        <v>4.9502198439220866</v>
      </c>
      <c r="I55" s="1184">
        <f>'4C2 Open-burning '!AH115</f>
        <v>7.6264767203792966E-2</v>
      </c>
      <c r="J55" s="1220">
        <f>'4D Wastewater treatment and dis'!AV152</f>
        <v>222.36660896201545</v>
      </c>
      <c r="K55" s="981">
        <f>'4D Wastewater treatment and dis'!AW152</f>
        <v>3.6890806174447812</v>
      </c>
      <c r="L55" s="982">
        <f t="shared" si="69"/>
        <v>40014.467561423313</v>
      </c>
      <c r="M55" s="983">
        <f t="shared" si="70"/>
        <v>20.800715538301816</v>
      </c>
      <c r="N55" s="982">
        <f t="shared" si="71"/>
        <v>1765.0892899644682</v>
      </c>
      <c r="O55" s="984">
        <f t="shared" si="72"/>
        <v>147.69780821725215</v>
      </c>
      <c r="P55" s="982">
        <f t="shared" si="73"/>
        <v>5813.3137796102064</v>
      </c>
      <c r="Q55" s="650">
        <f t="shared" si="74"/>
        <v>40014.467561423313</v>
      </c>
      <c r="R55" s="652">
        <f t="shared" si="75"/>
        <v>1785.89000550277</v>
      </c>
      <c r="S55" s="649">
        <f t="shared" si="76"/>
        <v>147.69780821725215</v>
      </c>
      <c r="T55" s="650">
        <f t="shared" si="77"/>
        <v>5813.3137796102064</v>
      </c>
      <c r="U55" s="650">
        <f t="shared" si="78"/>
        <v>47761.369154753542</v>
      </c>
      <c r="V55" s="3"/>
      <c r="W55" s="752">
        <f t="shared" si="79"/>
        <v>2045</v>
      </c>
      <c r="X55" s="1382">
        <f t="shared" si="80"/>
        <v>39527.619322725164</v>
      </c>
      <c r="Y55" s="1384">
        <f t="shared" si="81"/>
        <v>1773.9564283005725</v>
      </c>
      <c r="Z55" s="1384">
        <f t="shared" si="82"/>
        <v>139.5173563482843</v>
      </c>
      <c r="AA55" s="1384">
        <f t="shared" si="83"/>
        <v>5890.622295987414</v>
      </c>
      <c r="AB55" s="1466">
        <f t="shared" si="26"/>
        <v>47331.715403361435</v>
      </c>
      <c r="AC55" s="1502" t="str">
        <f>'Recycling - Case 1'!T163</f>
        <v>Policies met</v>
      </c>
      <c r="AD55" s="1382">
        <f t="shared" si="84"/>
        <v>41123.602459328351</v>
      </c>
      <c r="AE55" s="1384">
        <f t="shared" si="85"/>
        <v>751.49420719554905</v>
      </c>
      <c r="AF55" s="1384">
        <f t="shared" si="86"/>
        <v>139.5173563482843</v>
      </c>
      <c r="AG55" s="1384">
        <f t="shared" si="87"/>
        <v>5890.622295987414</v>
      </c>
      <c r="AH55" s="1466">
        <f t="shared" si="60"/>
        <v>47905.236318859599</v>
      </c>
      <c r="AI55" s="1502" t="str">
        <f>'Recycling - Case 1'!T203</f>
        <v>Policies not met</v>
      </c>
      <c r="AJ55" s="1382">
        <f t="shared" si="88"/>
        <v>29516.53166139343</v>
      </c>
      <c r="AK55" s="1384">
        <f t="shared" si="89"/>
        <v>1451.7368210533505</v>
      </c>
      <c r="AL55" s="1384">
        <f t="shared" si="90"/>
        <v>144.77364836606213</v>
      </c>
      <c r="AM55" s="1384">
        <f t="shared" si="91"/>
        <v>6096.4051040934646</v>
      </c>
      <c r="AN55" s="1466">
        <f t="shared" si="92"/>
        <v>37209.447234906307</v>
      </c>
      <c r="AO55" s="1502" t="str">
        <f>'Recycling - Case 2'!T163</f>
        <v>Policies met</v>
      </c>
      <c r="AP55" s="1382">
        <f t="shared" si="93"/>
        <v>33147.774443466893</v>
      </c>
      <c r="AQ55" s="1384">
        <f t="shared" si="94"/>
        <v>465.0701668897085</v>
      </c>
      <c r="AR55" s="1384">
        <f t="shared" si="95"/>
        <v>144.77364836606213</v>
      </c>
      <c r="AS55" s="1384">
        <f t="shared" si="96"/>
        <v>6096.4051040934646</v>
      </c>
      <c r="AT55" s="1466">
        <f t="shared" si="41"/>
        <v>39854.02336281613</v>
      </c>
      <c r="AU55" s="1502" t="str">
        <f>'Recycling - Case 2'!T203</f>
        <v>Policies not met</v>
      </c>
      <c r="AV55" s="1382">
        <f t="shared" si="63"/>
        <v>29517.976214365874</v>
      </c>
      <c r="AW55" s="1384">
        <f t="shared" si="64"/>
        <v>881.67044872624456</v>
      </c>
      <c r="AX55" s="1384">
        <f t="shared" si="65"/>
        <v>144.77364836606216</v>
      </c>
      <c r="AY55" s="1384">
        <f t="shared" si="66"/>
        <v>6096.4051040934646</v>
      </c>
      <c r="AZ55" s="1466">
        <f t="shared" si="67"/>
        <v>36640.825415551648</v>
      </c>
      <c r="BA55" s="1502" t="str">
        <f>'Recycling - Case 2'!T163</f>
        <v>Policies met</v>
      </c>
      <c r="BB55" s="1382">
        <f t="shared" si="97"/>
        <v>33149.218996439333</v>
      </c>
      <c r="BC55" s="1384">
        <f t="shared" si="98"/>
        <v>881.67044872624456</v>
      </c>
      <c r="BD55" s="1384">
        <f t="shared" si="99"/>
        <v>144.77364836606216</v>
      </c>
      <c r="BE55" s="1384">
        <f t="shared" si="100"/>
        <v>6096.4051040934646</v>
      </c>
      <c r="BF55" s="1466">
        <f t="shared" si="51"/>
        <v>40272.068197625107</v>
      </c>
      <c r="BG55" s="1502" t="str">
        <f>'Recycling - Case 2'!T203</f>
        <v>Policies not met</v>
      </c>
      <c r="BH55" s="752">
        <f t="shared" si="52"/>
        <v>2045</v>
      </c>
      <c r="BI55" s="1384">
        <f>'Recycling - Case 1'!BV123</f>
        <v>61.208653095587522</v>
      </c>
      <c r="BJ55" s="510">
        <f>'Recycling - Case 1'!BW123</f>
        <v>0.57140223208186791</v>
      </c>
      <c r="BK55" s="1383">
        <f>'Recycling - Case 1'!BX123</f>
        <v>14.436420695743607</v>
      </c>
      <c r="BL55" s="1384">
        <f>'Recycling - Case 1'!BY123</f>
        <v>68.419008537625501</v>
      </c>
      <c r="BM55" s="510">
        <f>'Recycling - Case 1'!BZ123</f>
        <v>0.40433530283652841</v>
      </c>
      <c r="BN55" s="1383">
        <f>'Recycling - Case 1'!CA123</f>
        <v>48.694518386230293</v>
      </c>
      <c r="BO55" s="1386">
        <f>'Recycling - Case 2'!BV123</f>
        <v>52.678958032077809</v>
      </c>
      <c r="BP55" s="510">
        <f>'Recycling - Case 2'!BW123</f>
        <v>0.7663262452727585</v>
      </c>
      <c r="BQ55" s="1383">
        <f>'Recycling - Case 2'!BX123</f>
        <v>14.436420695743607</v>
      </c>
      <c r="BR55" s="1383">
        <f>'Recycling - Case 2'!BY123</f>
        <v>68.790888200901932</v>
      </c>
      <c r="BS55" s="510">
        <f>'Recycling - Case 2'!BZ123</f>
        <v>0.78466741329346978</v>
      </c>
      <c r="BT55" s="1383">
        <f>'Recycling - Case 2'!CA123</f>
        <v>48.694518386230293</v>
      </c>
      <c r="BU55" s="1386">
        <f>'Recycling - Case 3'!BV123</f>
        <v>52.678958032077809</v>
      </c>
      <c r="BV55" s="510">
        <f>'Recycling - Case 3'!BW123</f>
        <v>0.7663262452727585</v>
      </c>
      <c r="BW55" s="1383">
        <f>'Recycling - Case 3'!BX123</f>
        <v>14.436420695743607</v>
      </c>
      <c r="BX55" s="1386">
        <f>'Recycling - Case 3'!BY123</f>
        <v>68.790888200901932</v>
      </c>
      <c r="BY55" s="510">
        <f>'Recycling - Case 3'!BZ123</f>
        <v>0.78466741329346978</v>
      </c>
      <c r="BZ55" s="1385">
        <f>'Recycling - Case 3'!CA123</f>
        <v>48.694518386230293</v>
      </c>
      <c r="CB55" s="805">
        <f>'Recycling - Case 1'!CB123</f>
        <v>0.68397599407406773</v>
      </c>
      <c r="CC55" s="510">
        <f>'Recycling - Case 1'!CC123</f>
        <v>0.43826081112557785</v>
      </c>
      <c r="CD55" s="510">
        <f>'Recycling - Case 1'!CD123</f>
        <v>0.68397599407406773</v>
      </c>
      <c r="CE55" s="510">
        <f>'Recycling - Case 1'!CE123</f>
        <v>0.85</v>
      </c>
      <c r="CF55" s="510">
        <f>'Recycling - Case 2'!CB123</f>
        <v>0.67206984488050125</v>
      </c>
      <c r="CG55" s="510">
        <f>'Recycling - Case 2'!CC123</f>
        <v>0.57376665571865815</v>
      </c>
      <c r="CH55" s="510">
        <f>'Recycling - Case 2'!CD123</f>
        <v>0.67206984488050125</v>
      </c>
      <c r="CI55" s="510">
        <f>'Recycling - Case 2'!CE123</f>
        <v>0.85</v>
      </c>
      <c r="CJ55" s="510">
        <f>'Recycling - Case 3'!CB123</f>
        <v>0.67206984488050125</v>
      </c>
      <c r="CK55" s="510">
        <f>'Recycling - Case 3'!CC123</f>
        <v>0.57376665571865815</v>
      </c>
      <c r="CL55" s="510">
        <f>'Recycling - Case 3'!CD123</f>
        <v>0.67206984488050125</v>
      </c>
      <c r="CM55" s="658">
        <f>'Recycling - Case 3'!CE123</f>
        <v>0.85</v>
      </c>
    </row>
    <row r="56" spans="1:91">
      <c r="A56" s="4">
        <f>'Input data'!A143</f>
        <v>2045</v>
      </c>
      <c r="B56" s="4"/>
      <c r="C56" s="980">
        <f>'4A SWD Case 1'!BG113</f>
        <v>1882.2675867964365</v>
      </c>
      <c r="D56" s="3">
        <f>'4B Biological treatment '!T109</f>
        <v>0.98389152983947459</v>
      </c>
      <c r="E56" s="1495">
        <f>'4B Biological treatment '!U109</f>
        <v>44.275118842776351</v>
      </c>
      <c r="F56" s="1495">
        <f>'4B Biological treatment '!W109</f>
        <v>2.6565071305665811</v>
      </c>
      <c r="G56" s="1184">
        <f>'4C2 Open-burning '!R116</f>
        <v>18.987785069994899</v>
      </c>
      <c r="H56" s="1184">
        <f>'4C2 Open-burning '!Z116</f>
        <v>4.6760449210657562</v>
      </c>
      <c r="I56" s="1184">
        <f>'4C2 Open-burning '!AH116</f>
        <v>7.2040735277124263E-2</v>
      </c>
      <c r="J56" s="1220">
        <f>'4D Wastewater treatment and dis'!AV153</f>
        <v>225.70930325029914</v>
      </c>
      <c r="K56" s="981">
        <f>'4D Wastewater treatment and dis'!AW153</f>
        <v>3.7120223475197802</v>
      </c>
      <c r="L56" s="982">
        <f t="shared" si="69"/>
        <v>39527.619322725164</v>
      </c>
      <c r="M56" s="983">
        <f t="shared" si="70"/>
        <v>20.661722126628966</v>
      </c>
      <c r="N56" s="982">
        <f t="shared" si="71"/>
        <v>1753.2947061739435</v>
      </c>
      <c r="O56" s="984">
        <f t="shared" si="72"/>
        <v>139.5173563482843</v>
      </c>
      <c r="P56" s="982">
        <f t="shared" si="73"/>
        <v>5890.622295987414</v>
      </c>
      <c r="Q56" s="650">
        <f t="shared" si="74"/>
        <v>39527.619322725164</v>
      </c>
      <c r="R56" s="652">
        <f t="shared" si="75"/>
        <v>1773.9564283005725</v>
      </c>
      <c r="S56" s="649">
        <f t="shared" si="76"/>
        <v>139.5173563482843</v>
      </c>
      <c r="T56" s="650">
        <f t="shared" si="77"/>
        <v>5890.622295987414</v>
      </c>
      <c r="U56" s="650">
        <f t="shared" si="78"/>
        <v>47331.715403361435</v>
      </c>
      <c r="V56" s="3"/>
      <c r="W56" s="752">
        <f t="shared" si="79"/>
        <v>2046</v>
      </c>
      <c r="X56" s="1382">
        <f t="shared" si="80"/>
        <v>39028.28893681636</v>
      </c>
      <c r="Y56" s="1384">
        <f t="shared" si="81"/>
        <v>1763.5520944378718</v>
      </c>
      <c r="Z56" s="1384">
        <f t="shared" si="82"/>
        <v>131.082713720464</v>
      </c>
      <c r="AA56" s="1384">
        <f t="shared" si="83"/>
        <v>5961.9937050903318</v>
      </c>
      <c r="AB56" s="1466">
        <f t="shared" si="26"/>
        <v>46884.917450065026</v>
      </c>
      <c r="AC56" s="1502" t="str">
        <f>'Recycling - Case 1'!T164</f>
        <v>Policies met</v>
      </c>
      <c r="AD56" s="1382">
        <f t="shared" si="84"/>
        <v>40904.094314071532</v>
      </c>
      <c r="AE56" s="1384">
        <f t="shared" si="85"/>
        <v>741.13914648096022</v>
      </c>
      <c r="AF56" s="1384">
        <f t="shared" si="86"/>
        <v>131.082713720464</v>
      </c>
      <c r="AG56" s="1384">
        <f t="shared" si="87"/>
        <v>5961.9937050903318</v>
      </c>
      <c r="AH56" s="1466">
        <f t="shared" si="60"/>
        <v>47738.309879363282</v>
      </c>
      <c r="AI56" s="1502" t="str">
        <f>'Recycling - Case 1'!T204</f>
        <v>Policies not met</v>
      </c>
      <c r="AJ56" s="1382">
        <f t="shared" si="88"/>
        <v>29077.850365158949</v>
      </c>
      <c r="AK56" s="1384">
        <f t="shared" si="89"/>
        <v>1550.6422351944652</v>
      </c>
      <c r="AL56" s="1384">
        <f t="shared" si="90"/>
        <v>145.51108545024132</v>
      </c>
      <c r="AM56" s="1384">
        <f t="shared" si="91"/>
        <v>6127.4585123254001</v>
      </c>
      <c r="AN56" s="1466">
        <f t="shared" si="92"/>
        <v>36901.462198129055</v>
      </c>
      <c r="AO56" s="1502" t="str">
        <f>'Recycling - Case 2'!T164</f>
        <v>Policies met</v>
      </c>
      <c r="AP56" s="1382">
        <f t="shared" si="93"/>
        <v>32851.327681545226</v>
      </c>
      <c r="AQ56" s="1384">
        <f t="shared" si="94"/>
        <v>473.91345891266513</v>
      </c>
      <c r="AR56" s="1384">
        <f t="shared" si="95"/>
        <v>145.51108545024132</v>
      </c>
      <c r="AS56" s="1384">
        <f t="shared" si="96"/>
        <v>6127.4585123254001</v>
      </c>
      <c r="AT56" s="1466">
        <f t="shared" si="41"/>
        <v>39598.210738233531</v>
      </c>
      <c r="AU56" s="1502" t="str">
        <f>'Recycling - Case 2'!T204</f>
        <v>Policies not met</v>
      </c>
      <c r="AV56" s="1382">
        <f t="shared" si="63"/>
        <v>29079.33709461513</v>
      </c>
      <c r="AW56" s="1384">
        <f t="shared" si="64"/>
        <v>941.73779674871844</v>
      </c>
      <c r="AX56" s="1384">
        <f t="shared" si="65"/>
        <v>145.51108545024138</v>
      </c>
      <c r="AY56" s="1384">
        <f t="shared" si="66"/>
        <v>6127.4585123254001</v>
      </c>
      <c r="AZ56" s="1466">
        <f t="shared" si="67"/>
        <v>36294.044489139487</v>
      </c>
      <c r="BA56" s="1502" t="str">
        <f>'Recycling - Case 2'!T164</f>
        <v>Policies met</v>
      </c>
      <c r="BB56" s="1382">
        <f t="shared" si="97"/>
        <v>32852.814411001418</v>
      </c>
      <c r="BC56" s="1384">
        <f t="shared" si="98"/>
        <v>941.73779674871844</v>
      </c>
      <c r="BD56" s="1384">
        <f t="shared" si="99"/>
        <v>145.51108545024138</v>
      </c>
      <c r="BE56" s="1384">
        <f t="shared" si="100"/>
        <v>6127.4585123254001</v>
      </c>
      <c r="BF56" s="1466">
        <f t="shared" si="51"/>
        <v>40067.521805525779</v>
      </c>
      <c r="BG56" s="1502" t="str">
        <f>'Recycling - Case 2'!T204</f>
        <v>Policies not met</v>
      </c>
      <c r="BH56" s="752">
        <f t="shared" si="52"/>
        <v>2046</v>
      </c>
      <c r="BI56" s="1384">
        <f>'Recycling - Case 1'!BV124</f>
        <v>59.669400932992886</v>
      </c>
      <c r="BJ56" s="510">
        <f>'Recycling - Case 1'!BW124</f>
        <v>0.57244700888563183</v>
      </c>
      <c r="BK56" s="1383">
        <f>'Recycling - Case 1'!BX124</f>
        <v>13.163017836628802</v>
      </c>
      <c r="BL56" s="1384">
        <f>'Recycling - Case 1'!BY124</f>
        <v>68.154462683194851</v>
      </c>
      <c r="BM56" s="510">
        <f>'Recycling - Case 1'!BZ124</f>
        <v>0.39848047650501972</v>
      </c>
      <c r="BN56" s="1383">
        <f>'Recycling - Case 1'!CA124</f>
        <v>48.694518386230293</v>
      </c>
      <c r="BO56" s="1386">
        <f>'Recycling - Case 2'!BV124</f>
        <v>54.021132935113719</v>
      </c>
      <c r="BP56" s="510">
        <f>'Recycling - Case 2'!BW124</f>
        <v>0.75699021444823655</v>
      </c>
      <c r="BQ56" s="1383">
        <f>'Recycling - Case 2'!BX124</f>
        <v>13.163017836628802</v>
      </c>
      <c r="BR56" s="1383">
        <f>'Recycling - Case 2'!BY124</f>
        <v>69.175261756448222</v>
      </c>
      <c r="BS56" s="510">
        <f>'Recycling - Case 2'!BZ124</f>
        <v>0.78392897808228323</v>
      </c>
      <c r="BT56" s="1383">
        <f>'Recycling - Case 2'!CA124</f>
        <v>48.694518386230293</v>
      </c>
      <c r="BU56" s="1386">
        <f>'Recycling - Case 3'!BV124</f>
        <v>54.021132935113719</v>
      </c>
      <c r="BV56" s="510">
        <f>'Recycling - Case 3'!BW124</f>
        <v>0.75699021444823655</v>
      </c>
      <c r="BW56" s="1383">
        <f>'Recycling - Case 3'!BX124</f>
        <v>13.163017836628802</v>
      </c>
      <c r="BX56" s="1386">
        <f>'Recycling - Case 3'!BY124</f>
        <v>69.175261756448222</v>
      </c>
      <c r="BY56" s="510">
        <f>'Recycling - Case 3'!BZ124</f>
        <v>0.78392897808228323</v>
      </c>
      <c r="BZ56" s="1385">
        <f>'Recycling - Case 3'!CA124</f>
        <v>48.694518386230293</v>
      </c>
      <c r="CB56" s="805">
        <f>'Recycling - Case 1'!CB124</f>
        <v>0.70458625533010688</v>
      </c>
      <c r="CC56" s="510">
        <f>'Recycling - Case 1'!CC124</f>
        <v>0.45170833870949617</v>
      </c>
      <c r="CD56" s="510">
        <f>'Recycling - Case 1'!CD124</f>
        <v>0.70458625533010688</v>
      </c>
      <c r="CE56" s="510">
        <f>'Recycling - Case 1'!CE124</f>
        <v>0.85</v>
      </c>
      <c r="CF56" s="510">
        <f>'Recycling - Case 2'!CB124</f>
        <v>0.67206984488050125</v>
      </c>
      <c r="CG56" s="510">
        <f>'Recycling - Case 2'!CC124</f>
        <v>0.5499184514241563</v>
      </c>
      <c r="CH56" s="510">
        <f>'Recycling - Case 2'!CD124</f>
        <v>0.67206984488050125</v>
      </c>
      <c r="CI56" s="510">
        <f>'Recycling - Case 2'!CE124</f>
        <v>0.85</v>
      </c>
      <c r="CJ56" s="510">
        <f>'Recycling - Case 3'!CB124</f>
        <v>0.67206984488050125</v>
      </c>
      <c r="CK56" s="510">
        <f>'Recycling - Case 3'!CC124</f>
        <v>0.5499184514241563</v>
      </c>
      <c r="CL56" s="510">
        <f>'Recycling - Case 3'!CD124</f>
        <v>0.67206984488050125</v>
      </c>
      <c r="CM56" s="658">
        <f>'Recycling - Case 3'!CE124</f>
        <v>0.85</v>
      </c>
    </row>
    <row r="57" spans="1:91">
      <c r="A57" s="4">
        <f>'Input data'!A144</f>
        <v>2046</v>
      </c>
      <c r="B57" s="4"/>
      <c r="C57" s="980">
        <f>'4A SWD Case 1'!BG114</f>
        <v>1858.4899493722078</v>
      </c>
      <c r="D57" s="3">
        <f>'4B Biological treatment '!T110</f>
        <v>0.97812096197330689</v>
      </c>
      <c r="E57" s="1495">
        <f>'4B Biological treatment '!U110</f>
        <v>44.015443288798799</v>
      </c>
      <c r="F57" s="1495">
        <f>'4B Biological treatment '!W110</f>
        <v>2.6409265973279279</v>
      </c>
      <c r="G57" s="1184">
        <f>'4C2 Open-burning '!R117</f>
        <v>17.839862076389249</v>
      </c>
      <c r="H57" s="1184">
        <f>'4C2 Open-burning '!Z117</f>
        <v>4.3933505749776192</v>
      </c>
      <c r="I57" s="1184">
        <f>'4C2 Open-burning '!AH117</f>
        <v>6.768545022433789E-2</v>
      </c>
      <c r="J57" s="1220">
        <f>'4D Wastewater treatment and dis'!AV154</f>
        <v>228.82882339897614</v>
      </c>
      <c r="K57" s="981">
        <f>'4D Wastewater treatment and dis'!AW154</f>
        <v>3.7309303668123635</v>
      </c>
      <c r="L57" s="982">
        <f t="shared" si="69"/>
        <v>39028.28893681636</v>
      </c>
      <c r="M57" s="983">
        <f t="shared" si="70"/>
        <v>20.540540201439445</v>
      </c>
      <c r="N57" s="982">
        <f t="shared" si="71"/>
        <v>1743.0115542364324</v>
      </c>
      <c r="O57" s="984">
        <f t="shared" si="72"/>
        <v>131.082713720464</v>
      </c>
      <c r="P57" s="982">
        <f t="shared" si="73"/>
        <v>5961.9937050903318</v>
      </c>
      <c r="Q57" s="650">
        <f t="shared" si="74"/>
        <v>39028.28893681636</v>
      </c>
      <c r="R57" s="652">
        <f t="shared" si="75"/>
        <v>1763.5520944378718</v>
      </c>
      <c r="S57" s="649">
        <f t="shared" si="76"/>
        <v>131.082713720464</v>
      </c>
      <c r="T57" s="650">
        <f t="shared" si="77"/>
        <v>5961.9937050903318</v>
      </c>
      <c r="U57" s="650">
        <f t="shared" si="78"/>
        <v>46884.917450065026</v>
      </c>
      <c r="V57" s="3"/>
      <c r="W57" s="752">
        <f t="shared" si="79"/>
        <v>2047</v>
      </c>
      <c r="X57" s="1382">
        <f t="shared" si="80"/>
        <v>38518.128565636798</v>
      </c>
      <c r="Y57" s="1384">
        <f t="shared" si="81"/>
        <v>1754.7530568125294</v>
      </c>
      <c r="Z57" s="1384">
        <f t="shared" si="82"/>
        <v>122.56031966373671</v>
      </c>
      <c r="AA57" s="1384">
        <f t="shared" si="83"/>
        <v>6034.0277904697159</v>
      </c>
      <c r="AB57" s="1466">
        <f t="shared" si="26"/>
        <v>46429.46973258278</v>
      </c>
      <c r="AC57" s="1502" t="str">
        <f>'Recycling - Case 1'!T165</f>
        <v>Policies met</v>
      </c>
      <c r="AD57" s="1382">
        <f t="shared" si="84"/>
        <v>40697.440231039967</v>
      </c>
      <c r="AE57" s="1384">
        <f t="shared" si="85"/>
        <v>731.14522296946132</v>
      </c>
      <c r="AF57" s="1384">
        <f t="shared" si="86"/>
        <v>122.56031966373671</v>
      </c>
      <c r="AG57" s="1384">
        <f t="shared" si="87"/>
        <v>6034.0277904697159</v>
      </c>
      <c r="AH57" s="1466">
        <f t="shared" si="60"/>
        <v>47585.173564142882</v>
      </c>
      <c r="AI57" s="1502" t="str">
        <f>'Recycling - Case 1'!T205</f>
        <v>Policies not met</v>
      </c>
      <c r="AJ57" s="1382">
        <f t="shared" si="88"/>
        <v>28693.852311966082</v>
      </c>
      <c r="AK57" s="1384">
        <f t="shared" si="89"/>
        <v>1652.0164011879208</v>
      </c>
      <c r="AL57" s="1384">
        <f t="shared" si="90"/>
        <v>146.25442203109401</v>
      </c>
      <c r="AM57" s="1384">
        <f t="shared" si="91"/>
        <v>6158.7603478231922</v>
      </c>
      <c r="AN57" s="1466">
        <f t="shared" si="92"/>
        <v>36650.883483008292</v>
      </c>
      <c r="AO57" s="1502" t="str">
        <f>'Recycling - Case 2'!T165</f>
        <v>Policies met</v>
      </c>
      <c r="AP57" s="1382">
        <f t="shared" si="93"/>
        <v>32577.328136371081</v>
      </c>
      <c r="AQ57" s="1384">
        <f t="shared" si="94"/>
        <v>483.1305829173279</v>
      </c>
      <c r="AR57" s="1384">
        <f t="shared" si="95"/>
        <v>146.25442203109401</v>
      </c>
      <c r="AS57" s="1384">
        <f t="shared" si="96"/>
        <v>6158.7603478231922</v>
      </c>
      <c r="AT57" s="1466">
        <f t="shared" si="41"/>
        <v>39365.473489142692</v>
      </c>
      <c r="AU57" s="1502" t="str">
        <f>'Recycling - Case 2'!T205</f>
        <v>Policies not met</v>
      </c>
      <c r="AV57" s="1382">
        <f t="shared" si="63"/>
        <v>28695.37940507977</v>
      </c>
      <c r="AW57" s="1384">
        <f t="shared" si="64"/>
        <v>1003.3044699394193</v>
      </c>
      <c r="AX57" s="1384">
        <f t="shared" si="65"/>
        <v>146.25442203109404</v>
      </c>
      <c r="AY57" s="1384">
        <f t="shared" si="66"/>
        <v>6158.7603478231922</v>
      </c>
      <c r="AZ57" s="1466">
        <f t="shared" si="67"/>
        <v>36003.698644873475</v>
      </c>
      <c r="BA57" s="1502" t="str">
        <f>'Recycling - Case 2'!T165</f>
        <v>Policies met</v>
      </c>
      <c r="BB57" s="1382">
        <f t="shared" si="97"/>
        <v>32578.855229484776</v>
      </c>
      <c r="BC57" s="1384">
        <f t="shared" si="98"/>
        <v>1003.3044699394193</v>
      </c>
      <c r="BD57" s="1384">
        <f t="shared" si="99"/>
        <v>146.25442203109404</v>
      </c>
      <c r="BE57" s="1384">
        <f t="shared" si="100"/>
        <v>6158.7603478231922</v>
      </c>
      <c r="BF57" s="1466">
        <f t="shared" si="51"/>
        <v>39887.174469278478</v>
      </c>
      <c r="BG57" s="1502" t="str">
        <f>'Recycling - Case 2'!T205</f>
        <v>Policies not met</v>
      </c>
      <c r="BH57" s="752">
        <f t="shared" si="52"/>
        <v>2047</v>
      </c>
      <c r="BI57" s="1384">
        <f>'Recycling - Case 1'!BV125</f>
        <v>58.174407752329486</v>
      </c>
      <c r="BJ57" s="510">
        <f>'Recycling - Case 1'!BW125</f>
        <v>0.57342372303964817</v>
      </c>
      <c r="BK57" s="1383">
        <f>'Recycling - Case 1'!BX125</f>
        <v>11.891310587179929</v>
      </c>
      <c r="BL57" s="1384">
        <f>'Recycling - Case 1'!BY125</f>
        <v>67.899567793920085</v>
      </c>
      <c r="BM57" s="510">
        <f>'Recycling - Case 1'!BZ125</f>
        <v>0.39259172370221129</v>
      </c>
      <c r="BN57" s="1383">
        <f>'Recycling - Case 1'!CA125</f>
        <v>48.694518386230293</v>
      </c>
      <c r="BO57" s="1386">
        <f>'Recycling - Case 2'!BV125</f>
        <v>55.43030410420684</v>
      </c>
      <c r="BP57" s="510">
        <f>'Recycling - Case 2'!BW125</f>
        <v>0.74791555399401666</v>
      </c>
      <c r="BQ57" s="1383">
        <f>'Recycling - Case 2'!BX125</f>
        <v>11.891310587179929</v>
      </c>
      <c r="BR57" s="1383">
        <f>'Recycling - Case 2'!BY125</f>
        <v>69.57591202673828</v>
      </c>
      <c r="BS57" s="510">
        <f>'Recycling - Case 2'!BZ125</f>
        <v>0.78313840382997202</v>
      </c>
      <c r="BT57" s="1383">
        <f>'Recycling - Case 2'!CA125</f>
        <v>48.694518386230293</v>
      </c>
      <c r="BU57" s="1386">
        <f>'Recycling - Case 3'!BV125</f>
        <v>55.43030410420684</v>
      </c>
      <c r="BV57" s="510">
        <f>'Recycling - Case 3'!BW125</f>
        <v>0.74791555399401666</v>
      </c>
      <c r="BW57" s="1383">
        <f>'Recycling - Case 3'!BX125</f>
        <v>11.891310587179929</v>
      </c>
      <c r="BX57" s="1386">
        <f>'Recycling - Case 3'!BY125</f>
        <v>69.57591202673828</v>
      </c>
      <c r="BY57" s="510">
        <f>'Recycling - Case 3'!BZ125</f>
        <v>0.78313840382997202</v>
      </c>
      <c r="BZ57" s="1385">
        <f>'Recycling - Case 3'!CA125</f>
        <v>48.694518386230293</v>
      </c>
      <c r="CB57" s="805">
        <f>'Recycling - Case 1'!CB125</f>
        <v>0.72519651658614603</v>
      </c>
      <c r="CC57" s="510">
        <f>'Recycling - Case 1'!CC125</f>
        <v>0.4644184394750186</v>
      </c>
      <c r="CD57" s="510">
        <f>'Recycling - Case 1'!CD125</f>
        <v>0.72519651658614603</v>
      </c>
      <c r="CE57" s="510">
        <f>'Recycling - Case 1'!CE125</f>
        <v>0.85</v>
      </c>
      <c r="CF57" s="510">
        <f>'Recycling - Case 2'!CB125</f>
        <v>0.67206984488050125</v>
      </c>
      <c r="CG57" s="510">
        <f>'Recycling - Case 2'!CC125</f>
        <v>0.52736401101028396</v>
      </c>
      <c r="CH57" s="510">
        <f>'Recycling - Case 2'!CD125</f>
        <v>0.67206984488050125</v>
      </c>
      <c r="CI57" s="510">
        <f>'Recycling - Case 2'!CE125</f>
        <v>0.85</v>
      </c>
      <c r="CJ57" s="510">
        <f>'Recycling - Case 3'!CB125</f>
        <v>0.67206984488050125</v>
      </c>
      <c r="CK57" s="510">
        <f>'Recycling - Case 3'!CC125</f>
        <v>0.52736401101028396</v>
      </c>
      <c r="CL57" s="510">
        <f>'Recycling - Case 3'!CD125</f>
        <v>0.67206984488050125</v>
      </c>
      <c r="CM57" s="658">
        <f>'Recycling - Case 3'!CE125</f>
        <v>0.85</v>
      </c>
    </row>
    <row r="58" spans="1:91">
      <c r="A58" s="4">
        <f>'Input data'!A145</f>
        <v>2047</v>
      </c>
      <c r="B58" s="4"/>
      <c r="C58" s="980">
        <f>'4A SWD Case 1'!BG115</f>
        <v>1834.1965983636569</v>
      </c>
      <c r="D58" s="3">
        <f>'4B Biological treatment '!T111</f>
        <v>0.97324074143789763</v>
      </c>
      <c r="E58" s="1495">
        <f>'4B Biological treatment '!U111</f>
        <v>43.795833364705388</v>
      </c>
      <c r="F58" s="1495">
        <f>'4B Biological treatment '!W111</f>
        <v>2.6277500018823234</v>
      </c>
      <c r="G58" s="1184">
        <f>'4C2 Open-burning '!R118</f>
        <v>16.679996444854655</v>
      </c>
      <c r="H58" s="1184">
        <f>'4C2 Open-burning '!Z118</f>
        <v>4.1077151638191802</v>
      </c>
      <c r="I58" s="1184">
        <f>'4C2 Open-burning '!AH118</f>
        <v>6.3284854124771847E-2</v>
      </c>
      <c r="J58" s="1220">
        <f>'4D Wastewater treatment and dis'!AV155</f>
        <v>231.97766661377796</v>
      </c>
      <c r="K58" s="981">
        <f>'4D Wastewater treatment and dis'!AW155</f>
        <v>3.7499896502592862</v>
      </c>
      <c r="L58" s="982">
        <f t="shared" si="69"/>
        <v>38518.128565636798</v>
      </c>
      <c r="M58" s="983">
        <f t="shared" si="70"/>
        <v>20.43805557019585</v>
      </c>
      <c r="N58" s="982">
        <f t="shared" si="71"/>
        <v>1734.3150012423334</v>
      </c>
      <c r="O58" s="984">
        <f t="shared" si="72"/>
        <v>122.56031966373671</v>
      </c>
      <c r="P58" s="982">
        <f t="shared" si="73"/>
        <v>6034.0277904697159</v>
      </c>
      <c r="Q58" s="650">
        <f t="shared" si="74"/>
        <v>38518.128565636798</v>
      </c>
      <c r="R58" s="652">
        <f t="shared" si="75"/>
        <v>1754.7530568125294</v>
      </c>
      <c r="S58" s="649">
        <f t="shared" si="76"/>
        <v>122.56031966373671</v>
      </c>
      <c r="T58" s="650">
        <f t="shared" si="77"/>
        <v>6034.0277904697159</v>
      </c>
      <c r="U58" s="650">
        <f t="shared" si="78"/>
        <v>46429.46973258278</v>
      </c>
      <c r="V58" s="3"/>
      <c r="W58" s="752">
        <f t="shared" si="79"/>
        <v>2048</v>
      </c>
      <c r="X58" s="1382">
        <f t="shared" si="80"/>
        <v>37998.719159910361</v>
      </c>
      <c r="Y58" s="1384">
        <f t="shared" si="81"/>
        <v>1770.3957084774577</v>
      </c>
      <c r="Z58" s="1384">
        <f t="shared" si="82"/>
        <v>123.1865270437297</v>
      </c>
      <c r="AA58" s="1384">
        <f t="shared" si="83"/>
        <v>6106.6478924824532</v>
      </c>
      <c r="AB58" s="1466">
        <f t="shared" si="26"/>
        <v>45998.949287914002</v>
      </c>
      <c r="AC58" s="1502" t="str">
        <f>'Recycling - Case 1'!T166</f>
        <v>Policies met</v>
      </c>
      <c r="AD58" s="1382">
        <f t="shared" si="84"/>
        <v>40503.230563841935</v>
      </c>
      <c r="AE58" s="1384">
        <f t="shared" si="85"/>
        <v>746.15507428042997</v>
      </c>
      <c r="AF58" s="1384">
        <f t="shared" si="86"/>
        <v>123.1865270437297</v>
      </c>
      <c r="AG58" s="1384">
        <f t="shared" si="87"/>
        <v>6106.6478924824532</v>
      </c>
      <c r="AH58" s="1466">
        <f t="shared" si="60"/>
        <v>47479.220057648548</v>
      </c>
      <c r="AI58" s="1502" t="str">
        <f>'Recycling - Case 1'!T206</f>
        <v>Policies not met</v>
      </c>
      <c r="AJ58" s="1382">
        <f t="shared" si="88"/>
        <v>28363.458729843616</v>
      </c>
      <c r="AK58" s="1384">
        <f t="shared" si="89"/>
        <v>1754.0353259270112</v>
      </c>
      <c r="AL58" s="1384">
        <f t="shared" si="90"/>
        <v>147.00169160972888</v>
      </c>
      <c r="AM58" s="1384">
        <f t="shared" si="91"/>
        <v>6190.2278014982176</v>
      </c>
      <c r="AN58" s="1466">
        <f t="shared" si="92"/>
        <v>36454.723548878574</v>
      </c>
      <c r="AO58" s="1502" t="str">
        <f>'Recycling - Case 2'!T166</f>
        <v>Policies met</v>
      </c>
      <c r="AP58" s="1382">
        <f t="shared" si="93"/>
        <v>32325.06141676183</v>
      </c>
      <c r="AQ58" s="1384">
        <f t="shared" si="94"/>
        <v>492.44611176940845</v>
      </c>
      <c r="AR58" s="1384">
        <f t="shared" si="95"/>
        <v>147.00169160972888</v>
      </c>
      <c r="AS58" s="1384">
        <f t="shared" si="96"/>
        <v>6190.2278014982176</v>
      </c>
      <c r="AT58" s="1466">
        <f t="shared" si="41"/>
        <v>39154.737021639186</v>
      </c>
      <c r="AU58" s="1502" t="str">
        <f>'Recycling - Case 2'!T206</f>
        <v>Policies not met</v>
      </c>
      <c r="AV58" s="1382">
        <f t="shared" si="63"/>
        <v>28365.024484506095</v>
      </c>
      <c r="AW58" s="1384">
        <f t="shared" si="64"/>
        <v>1065.2627187410301</v>
      </c>
      <c r="AX58" s="1384">
        <f t="shared" si="65"/>
        <v>147.00169160972894</v>
      </c>
      <c r="AY58" s="1384">
        <f t="shared" si="66"/>
        <v>6190.2278014982176</v>
      </c>
      <c r="AZ58" s="1466">
        <f t="shared" si="67"/>
        <v>35767.516696355073</v>
      </c>
      <c r="BA58" s="1502" t="str">
        <f>'Recycling - Case 2'!T166</f>
        <v>Policies met</v>
      </c>
      <c r="BB58" s="1382">
        <f t="shared" si="97"/>
        <v>32326.627171424316</v>
      </c>
      <c r="BC58" s="1384">
        <f t="shared" si="98"/>
        <v>1065.2627187410301</v>
      </c>
      <c r="BD58" s="1384">
        <f t="shared" si="99"/>
        <v>147.00169160972894</v>
      </c>
      <c r="BE58" s="1384">
        <f t="shared" si="100"/>
        <v>6190.2278014982176</v>
      </c>
      <c r="BF58" s="1466">
        <f t="shared" si="51"/>
        <v>39729.11938327329</v>
      </c>
      <c r="BG58" s="1502" t="str">
        <f>'Recycling - Case 2'!T206</f>
        <v>Policies not met</v>
      </c>
      <c r="BH58" s="752">
        <f t="shared" si="52"/>
        <v>2048</v>
      </c>
      <c r="BI58" s="1384">
        <f>'Recycling - Case 1'!BV126</f>
        <v>57.315807417388541</v>
      </c>
      <c r="BJ58" s="510">
        <f>'Recycling - Case 1'!BW126</f>
        <v>0.58281745239792693</v>
      </c>
      <c r="BK58" s="1383">
        <f>'Recycling - Case 1'!BX126</f>
        <v>10.619603337731057</v>
      </c>
      <c r="BL58" s="1384">
        <f>'Recycling - Case 1'!BY126</f>
        <v>68.295934900819148</v>
      </c>
      <c r="BM58" s="510">
        <f>'Recycling - Case 1'!BZ126</f>
        <v>0.39373005338696981</v>
      </c>
      <c r="BN58" s="1383">
        <f>'Recycling - Case 1'!CA126</f>
        <v>48.694518386230293</v>
      </c>
      <c r="BO58" s="1386">
        <f>'Recycling - Case 2'!BV126</f>
        <v>56.856527047864482</v>
      </c>
      <c r="BP58" s="510">
        <f>'Recycling - Case 2'!BW126</f>
        <v>0.73931272849614882</v>
      </c>
      <c r="BQ58" s="1383">
        <f>'Recycling - Case 2'!BX126</f>
        <v>10.619603337731057</v>
      </c>
      <c r="BR58" s="1383">
        <f>'Recycling - Case 2'!BY126</f>
        <v>69.980844215165178</v>
      </c>
      <c r="BS58" s="510">
        <f>'Recycling - Case 2'!BZ126</f>
        <v>0.78234452786340936</v>
      </c>
      <c r="BT58" s="1383">
        <f>'Recycling - Case 2'!CA126</f>
        <v>48.694518386230293</v>
      </c>
      <c r="BU58" s="1386">
        <f>'Recycling - Case 3'!BV126</f>
        <v>56.856527047864482</v>
      </c>
      <c r="BV58" s="510">
        <f>'Recycling - Case 3'!BW126</f>
        <v>0.73931272849614882</v>
      </c>
      <c r="BW58" s="1383">
        <f>'Recycling - Case 3'!BX126</f>
        <v>10.619603337731057</v>
      </c>
      <c r="BX58" s="1386">
        <f>'Recycling - Case 3'!BY126</f>
        <v>69.980844215165178</v>
      </c>
      <c r="BY58" s="510">
        <f>'Recycling - Case 3'!BZ126</f>
        <v>0.78234452786340936</v>
      </c>
      <c r="BZ58" s="1385">
        <f>'Recycling - Case 3'!CA126</f>
        <v>48.694518386230293</v>
      </c>
      <c r="CB58" s="805">
        <f>'Recycling - Case 1'!CB126</f>
        <v>0.72519651658614603</v>
      </c>
      <c r="CC58" s="510">
        <f>'Recycling - Case 1'!CC126</f>
        <v>0.47665779765892713</v>
      </c>
      <c r="CD58" s="510">
        <f>'Recycling - Case 1'!CD126</f>
        <v>0.72519651658614603</v>
      </c>
      <c r="CE58" s="510">
        <f>'Recycling - Case 1'!CE126</f>
        <v>0.85</v>
      </c>
      <c r="CF58" s="510">
        <f>'Recycling - Case 2'!CB126</f>
        <v>0.67206984488050125</v>
      </c>
      <c r="CG58" s="510">
        <f>'Recycling - Case 2'!CC126</f>
        <v>0.50620283457389159</v>
      </c>
      <c r="CH58" s="510">
        <f>'Recycling - Case 2'!CD126</f>
        <v>0.67206984488050125</v>
      </c>
      <c r="CI58" s="510">
        <f>'Recycling - Case 2'!CE126</f>
        <v>0.85</v>
      </c>
      <c r="CJ58" s="510">
        <f>'Recycling - Case 3'!CB126</f>
        <v>0.67206984488050125</v>
      </c>
      <c r="CK58" s="510">
        <f>'Recycling - Case 3'!CC126</f>
        <v>0.50620283457389159</v>
      </c>
      <c r="CL58" s="510">
        <f>'Recycling - Case 3'!CD126</f>
        <v>0.67206984488050125</v>
      </c>
      <c r="CM58" s="658">
        <f>'Recycling - Case 3'!CE126</f>
        <v>0.85</v>
      </c>
    </row>
    <row r="59" spans="1:91">
      <c r="A59" s="4">
        <f>'Input data'!A146</f>
        <v>2048</v>
      </c>
      <c r="B59" s="4"/>
      <c r="C59" s="980">
        <f>'4A SWD Case 1'!BG116</f>
        <v>1809.4628171385887</v>
      </c>
      <c r="D59" s="3">
        <f>'4B Biological treatment '!T112</f>
        <v>0.98191664363697062</v>
      </c>
      <c r="E59" s="1495">
        <f>'4B Biological treatment '!U112</f>
        <v>44.186248963663672</v>
      </c>
      <c r="F59" s="1495">
        <f>'4B Biological treatment '!W112</f>
        <v>2.6511749378198202</v>
      </c>
      <c r="G59" s="1184">
        <f>'4C2 Open-burning '!R119</f>
        <v>16.765220903314642</v>
      </c>
      <c r="H59" s="1184">
        <f>'4C2 Open-burning '!Z119</f>
        <v>4.1287030460109868</v>
      </c>
      <c r="I59" s="1184">
        <f>'4C2 Open-burning '!AH119</f>
        <v>6.3608200561884959E-2</v>
      </c>
      <c r="J59" s="1220">
        <f>'4D Wastewater treatment and dis'!AV156</f>
        <v>235.1529267511888</v>
      </c>
      <c r="K59" s="981">
        <f>'4D Wastewater treatment and dis'!AW156</f>
        <v>3.76914977647577</v>
      </c>
      <c r="L59" s="982">
        <f t="shared" si="69"/>
        <v>37998.719159910361</v>
      </c>
      <c r="M59" s="983">
        <f t="shared" si="70"/>
        <v>20.620249516376383</v>
      </c>
      <c r="N59" s="982">
        <f t="shared" si="71"/>
        <v>1749.7754589610813</v>
      </c>
      <c r="O59" s="984">
        <f t="shared" si="72"/>
        <v>123.1865270437297</v>
      </c>
      <c r="P59" s="982">
        <f t="shared" si="73"/>
        <v>6106.6478924824532</v>
      </c>
      <c r="Q59" s="650">
        <f t="shared" si="74"/>
        <v>37998.719159910361</v>
      </c>
      <c r="R59" s="652">
        <f t="shared" si="75"/>
        <v>1770.3957084774577</v>
      </c>
      <c r="S59" s="649">
        <f t="shared" si="76"/>
        <v>123.1865270437297</v>
      </c>
      <c r="T59" s="650">
        <f t="shared" si="77"/>
        <v>6106.6478924824532</v>
      </c>
      <c r="U59" s="650">
        <f t="shared" si="78"/>
        <v>45998.949287914002</v>
      </c>
      <c r="V59" s="3"/>
      <c r="W59" s="752">
        <f t="shared" si="79"/>
        <v>2049</v>
      </c>
      <c r="X59" s="1382">
        <f t="shared" si="80"/>
        <v>37477.539450171542</v>
      </c>
      <c r="Y59" s="1384">
        <f t="shared" si="81"/>
        <v>1788.0075455557344</v>
      </c>
      <c r="Z59" s="1384">
        <f t="shared" si="82"/>
        <v>123.81438233788059</v>
      </c>
      <c r="AA59" s="1384">
        <f t="shared" si="83"/>
        <v>6179.775115323424</v>
      </c>
      <c r="AB59" s="1466">
        <f t="shared" si="26"/>
        <v>45569.136493388578</v>
      </c>
      <c r="AC59" s="1502" t="str">
        <f>'Recycling - Case 1'!T167</f>
        <v>Policies met</v>
      </c>
      <c r="AD59" s="1382">
        <f t="shared" si="84"/>
        <v>40328.241069765332</v>
      </c>
      <c r="AE59" s="1384">
        <f t="shared" si="85"/>
        <v>761.82567366055844</v>
      </c>
      <c r="AF59" s="1384">
        <f t="shared" si="86"/>
        <v>123.81438233788059</v>
      </c>
      <c r="AG59" s="1384">
        <f t="shared" si="87"/>
        <v>6179.775115323424</v>
      </c>
      <c r="AH59" s="1466">
        <f t="shared" si="60"/>
        <v>47393.656241087199</v>
      </c>
      <c r="AI59" s="1502" t="str">
        <f>'Recycling - Case 1'!T207</f>
        <v>Policies not met</v>
      </c>
      <c r="AJ59" s="1382">
        <f t="shared" si="88"/>
        <v>28084.457198084194</v>
      </c>
      <c r="AK59" s="1384">
        <f t="shared" si="89"/>
        <v>1858.8090715794674</v>
      </c>
      <c r="AL59" s="1384">
        <f t="shared" si="90"/>
        <v>147.750927687255</v>
      </c>
      <c r="AM59" s="1384">
        <f t="shared" si="91"/>
        <v>6221.7780642618636</v>
      </c>
      <c r="AN59" s="1466">
        <f t="shared" si="92"/>
        <v>36312.79526161278</v>
      </c>
      <c r="AO59" s="1502" t="str">
        <f>'Recycling - Case 2'!T167</f>
        <v>Policies met</v>
      </c>
      <c r="AP59" s="1382">
        <f t="shared" si="93"/>
        <v>32093.564596266722</v>
      </c>
      <c r="AQ59" s="1384">
        <f t="shared" si="94"/>
        <v>502.16345248900831</v>
      </c>
      <c r="AR59" s="1384">
        <f t="shared" si="95"/>
        <v>147.750927687255</v>
      </c>
      <c r="AS59" s="1384">
        <f t="shared" si="96"/>
        <v>6221.7780642618636</v>
      </c>
      <c r="AT59" s="1466">
        <f t="shared" si="41"/>
        <v>38965.257040704848</v>
      </c>
      <c r="AU59" s="1502" t="str">
        <f>'Recycling - Case 2'!T207</f>
        <v>Policies not met</v>
      </c>
      <c r="AV59" s="1382">
        <f t="shared" si="63"/>
        <v>28086.060014740993</v>
      </c>
      <c r="AW59" s="1384">
        <f t="shared" si="64"/>
        <v>1128.8940284966816</v>
      </c>
      <c r="AX59" s="1384">
        <f t="shared" si="65"/>
        <v>147.75092768725503</v>
      </c>
      <c r="AY59" s="1384">
        <f t="shared" si="66"/>
        <v>6221.7780642618636</v>
      </c>
      <c r="AZ59" s="1466">
        <f t="shared" si="67"/>
        <v>35584.483035186793</v>
      </c>
      <c r="BA59" s="1502" t="str">
        <f>'Recycling - Case 2'!T167</f>
        <v>Policies met</v>
      </c>
      <c r="BB59" s="1382">
        <f t="shared" si="97"/>
        <v>32095.167412923522</v>
      </c>
      <c r="BC59" s="1384">
        <f t="shared" si="98"/>
        <v>1128.8940284966816</v>
      </c>
      <c r="BD59" s="1384">
        <f t="shared" si="99"/>
        <v>147.75092768725503</v>
      </c>
      <c r="BE59" s="1384">
        <f t="shared" si="100"/>
        <v>6221.7780642618636</v>
      </c>
      <c r="BF59" s="1466">
        <f t="shared" si="51"/>
        <v>39593.590433369318</v>
      </c>
      <c r="BG59" s="1502" t="str">
        <f>'Recycling - Case 2'!T207</f>
        <v>Policies not met</v>
      </c>
      <c r="BH59" s="752">
        <f t="shared" si="52"/>
        <v>2049</v>
      </c>
      <c r="BI59" s="1384">
        <f>'Recycling - Case 1'!BV127</f>
        <v>56.509297168709736</v>
      </c>
      <c r="BJ59" s="510">
        <f>'Recycling - Case 1'!BW127</f>
        <v>0.59255998640258345</v>
      </c>
      <c r="BK59" s="1383">
        <f>'Recycling - Case 1'!BX127</f>
        <v>9.347896088282182</v>
      </c>
      <c r="BL59" s="1384">
        <f>'Recycling - Case 1'!BY127</f>
        <v>68.709779298217967</v>
      </c>
      <c r="BM59" s="510">
        <f>'Recycling - Case 1'!BZ127</f>
        <v>0.39489018524102854</v>
      </c>
      <c r="BN59" s="1383">
        <f>'Recycling - Case 1'!CA127</f>
        <v>48.694518386230293</v>
      </c>
      <c r="BO59" s="1386">
        <f>'Recycling - Case 2'!BV127</f>
        <v>58.355622561219775</v>
      </c>
      <c r="BP59" s="510">
        <f>'Recycling - Case 2'!BW127</f>
        <v>0.73093304892195665</v>
      </c>
      <c r="BQ59" s="1383">
        <f>'Recycling - Case 2'!BX127</f>
        <v>9.347896088282182</v>
      </c>
      <c r="BR59" s="1383">
        <f>'Recycling - Case 2'!BY127</f>
        <v>70.403276233780105</v>
      </c>
      <c r="BS59" s="510">
        <f>'Recycling - Case 2'!BZ127</f>
        <v>0.78149115310275541</v>
      </c>
      <c r="BT59" s="1383">
        <f>'Recycling - Case 2'!CA127</f>
        <v>48.694518386230293</v>
      </c>
      <c r="BU59" s="1386">
        <f>'Recycling - Case 3'!BV127</f>
        <v>58.355622561219775</v>
      </c>
      <c r="BV59" s="510">
        <f>'Recycling - Case 3'!BW127</f>
        <v>0.73093304892195665</v>
      </c>
      <c r="BW59" s="1383">
        <f>'Recycling - Case 3'!BX127</f>
        <v>9.347896088282182</v>
      </c>
      <c r="BX59" s="1386">
        <f>'Recycling - Case 3'!BY127</f>
        <v>70.403276233780105</v>
      </c>
      <c r="BY59" s="510">
        <f>'Recycling - Case 3'!BZ127</f>
        <v>0.78149115310275541</v>
      </c>
      <c r="BZ59" s="1385">
        <f>'Recycling - Case 3'!CA127</f>
        <v>48.694518386230293</v>
      </c>
      <c r="CB59" s="805">
        <f>'Recycling - Case 1'!CB127</f>
        <v>0.72519651658614603</v>
      </c>
      <c r="CC59" s="510">
        <f>'Recycling - Case 1'!CC127</f>
        <v>0.48822717207635696</v>
      </c>
      <c r="CD59" s="510">
        <f>'Recycling - Case 1'!CD127</f>
        <v>0.72519651658614603</v>
      </c>
      <c r="CE59" s="510">
        <f>'Recycling - Case 1'!CE127</f>
        <v>0.85</v>
      </c>
      <c r="CF59" s="510">
        <f>'Recycling - Case 2'!CB127</f>
        <v>0.67206984488050125</v>
      </c>
      <c r="CG59" s="510">
        <f>'Recycling - Case 2'!CC127</f>
        <v>0.48619044852324067</v>
      </c>
      <c r="CH59" s="510">
        <f>'Recycling - Case 2'!CD127</f>
        <v>0.67206984488050125</v>
      </c>
      <c r="CI59" s="510">
        <f>'Recycling - Case 2'!CE127</f>
        <v>0.85</v>
      </c>
      <c r="CJ59" s="510">
        <f>'Recycling - Case 3'!CB127</f>
        <v>0.67206984488050125</v>
      </c>
      <c r="CK59" s="510">
        <f>'Recycling - Case 3'!CC127</f>
        <v>0.48619044852324067</v>
      </c>
      <c r="CL59" s="510">
        <f>'Recycling - Case 3'!CD127</f>
        <v>0.67206984488050125</v>
      </c>
      <c r="CM59" s="658">
        <f>'Recycling - Case 3'!CE127</f>
        <v>0.85</v>
      </c>
    </row>
    <row r="60" spans="1:91" ht="15.75" thickBot="1">
      <c r="A60" s="4">
        <f>'Input data'!A147</f>
        <v>2049</v>
      </c>
      <c r="B60" s="4"/>
      <c r="C60" s="980">
        <f>'4A SWD Case 1'!BG117</f>
        <v>1784.6447357224545</v>
      </c>
      <c r="D60" s="3">
        <f>'4B Biological treatment '!T113</f>
        <v>0.99168471744633102</v>
      </c>
      <c r="E60" s="1495">
        <f>'4B Biological treatment '!U113</f>
        <v>44.625812285084891</v>
      </c>
      <c r="F60" s="1495">
        <f>'4B Biological treatment '!W113</f>
        <v>2.6775487371050932</v>
      </c>
      <c r="G60" s="1184">
        <f>'4C2 Open-burning '!R120</f>
        <v>16.850669636665316</v>
      </c>
      <c r="H60" s="1184">
        <f>'4C2 Open-burning '!Z120</f>
        <v>4.1497461594717198</v>
      </c>
      <c r="I60" s="1184">
        <f>'4C2 Open-burning '!AH120</f>
        <v>6.3932397910674676E-2</v>
      </c>
      <c r="J60" s="1220">
        <f>'4D Wastewater treatment and dis'!AV157</f>
        <v>238.35159118378778</v>
      </c>
      <c r="K60" s="981">
        <f>'4D Wastewater treatment and dis'!AW157</f>
        <v>3.7883603240770336</v>
      </c>
      <c r="L60" s="982">
        <f t="shared" si="69"/>
        <v>37477.539450171542</v>
      </c>
      <c r="M60" s="983">
        <f t="shared" si="70"/>
        <v>20.825379066372953</v>
      </c>
      <c r="N60" s="982">
        <f t="shared" si="71"/>
        <v>1767.1821664893614</v>
      </c>
      <c r="O60" s="984">
        <f t="shared" si="72"/>
        <v>123.81438233788059</v>
      </c>
      <c r="P60" s="982">
        <f t="shared" si="73"/>
        <v>6179.775115323424</v>
      </c>
      <c r="Q60" s="650">
        <f t="shared" si="74"/>
        <v>37477.539450171542</v>
      </c>
      <c r="R60" s="652">
        <f t="shared" si="75"/>
        <v>1788.0075455557344</v>
      </c>
      <c r="S60" s="649">
        <f t="shared" si="76"/>
        <v>123.81438233788059</v>
      </c>
      <c r="T60" s="650">
        <f t="shared" si="77"/>
        <v>6179.775115323424</v>
      </c>
      <c r="U60" s="650">
        <f t="shared" si="78"/>
        <v>45569.136493388578</v>
      </c>
      <c r="V60" s="3"/>
      <c r="W60" s="1467">
        <f t="shared" si="79"/>
        <v>2050</v>
      </c>
      <c r="X60" s="1471">
        <f t="shared" si="80"/>
        <v>36955.926488671204</v>
      </c>
      <c r="Y60" s="1468">
        <f t="shared" si="81"/>
        <v>1807.4988164545769</v>
      </c>
      <c r="Z60" s="1468">
        <f t="shared" si="82"/>
        <v>124.44718137450511</v>
      </c>
      <c r="AA60" s="1468">
        <f t="shared" si="83"/>
        <v>6253.5767542913654</v>
      </c>
      <c r="AB60" s="1469">
        <f t="shared" si="26"/>
        <v>45141.449240791655</v>
      </c>
      <c r="AC60" s="1502" t="str">
        <f>'Recycling - Case 1'!T168</f>
        <v>Policies met</v>
      </c>
      <c r="AD60" s="1471">
        <f t="shared" si="84"/>
        <v>40171.958638091724</v>
      </c>
      <c r="AE60" s="1468">
        <f t="shared" si="85"/>
        <v>778.21816290397464</v>
      </c>
      <c r="AF60" s="1468">
        <f t="shared" si="86"/>
        <v>124.44718137450511</v>
      </c>
      <c r="AG60" s="1468">
        <f t="shared" si="87"/>
        <v>6253.5767542913654</v>
      </c>
      <c r="AH60" s="1469">
        <f t="shared" si="60"/>
        <v>47328.200736661573</v>
      </c>
      <c r="AI60" s="1502" t="str">
        <f>'Recycling - Case 1'!T208</f>
        <v>Policies not met</v>
      </c>
      <c r="AJ60" s="1471">
        <f t="shared" si="88"/>
        <v>27856.079050645145</v>
      </c>
      <c r="AK60" s="1468">
        <f t="shared" si="89"/>
        <v>1966.507993508166</v>
      </c>
      <c r="AL60" s="1468">
        <f t="shared" si="90"/>
        <v>148.5060632614545</v>
      </c>
      <c r="AM60" s="1468">
        <f t="shared" si="91"/>
        <v>6253.5767542913654</v>
      </c>
      <c r="AN60" s="1469">
        <f t="shared" si="92"/>
        <v>36224.669861706134</v>
      </c>
      <c r="AO60" s="1502" t="str">
        <f>'Recycling - Case 2'!T168</f>
        <v>Policies met</v>
      </c>
      <c r="AP60" s="1471">
        <f t="shared" si="93"/>
        <v>31882.240340928136</v>
      </c>
      <c r="AQ60" s="1468">
        <f t="shared" si="94"/>
        <v>512.32078898482689</v>
      </c>
      <c r="AR60" s="1468">
        <f t="shared" si="95"/>
        <v>148.5060632614545</v>
      </c>
      <c r="AS60" s="1468">
        <f t="shared" si="96"/>
        <v>6253.5767542913654</v>
      </c>
      <c r="AT60" s="1469">
        <f t="shared" si="41"/>
        <v>38796.643947465782</v>
      </c>
      <c r="AU60" s="1502" t="str">
        <f>'Recycling - Case 2'!T208</f>
        <v>Policies not met</v>
      </c>
      <c r="AV60" s="1471">
        <f t="shared" si="63"/>
        <v>27857.717424608163</v>
      </c>
      <c r="AW60" s="1468">
        <f t="shared" si="64"/>
        <v>1194.3018596181046</v>
      </c>
      <c r="AX60" s="1468">
        <f t="shared" si="65"/>
        <v>148.50606326145453</v>
      </c>
      <c r="AY60" s="1468">
        <f t="shared" si="66"/>
        <v>6253.5767542913654</v>
      </c>
      <c r="AZ60" s="1469">
        <f t="shared" si="67"/>
        <v>35454.102101779092</v>
      </c>
      <c r="BA60" s="1502" t="str">
        <f>'Recycling - Case 2'!T168</f>
        <v>Policies met</v>
      </c>
      <c r="BB60" s="1471">
        <f t="shared" si="97"/>
        <v>31883.878714891154</v>
      </c>
      <c r="BC60" s="1468">
        <f t="shared" si="98"/>
        <v>1194.3018596181041</v>
      </c>
      <c r="BD60" s="1468">
        <f t="shared" si="99"/>
        <v>148.50606326145453</v>
      </c>
      <c r="BE60" s="1468">
        <f t="shared" si="100"/>
        <v>6253.5767542913654</v>
      </c>
      <c r="BF60" s="1469">
        <f t="shared" si="51"/>
        <v>39480.263392062079</v>
      </c>
      <c r="BG60" s="1502" t="str">
        <f>'Recycling - Case 2'!T208</f>
        <v>Policies not met</v>
      </c>
      <c r="BH60" s="1467">
        <f t="shared" si="52"/>
        <v>2050</v>
      </c>
      <c r="BI60" s="1468">
        <f>'Recycling - Case 1'!BV128</f>
        <v>55.754194702816761</v>
      </c>
      <c r="BJ60" s="807">
        <f>'Recycling - Case 1'!BW128</f>
        <v>0.60263741810996574</v>
      </c>
      <c r="BK60" s="1387">
        <f>'Recycling - Case 1'!BX128</f>
        <v>8.0778844484992423</v>
      </c>
      <c r="BL60" s="1468">
        <f>'Recycling - Case 1'!BY128</f>
        <v>69.142714736775588</v>
      </c>
      <c r="BM60" s="807">
        <f>'Recycling - Case 1'!BZ128</f>
        <v>0.39607596563955194</v>
      </c>
      <c r="BN60" s="1387">
        <f>'Recycling - Case 1'!CA128</f>
        <v>48.694518386230293</v>
      </c>
      <c r="BO60" s="1388">
        <f>'Recycling - Case 2'!BV128</f>
        <v>59.933788381040593</v>
      </c>
      <c r="BP60" s="807">
        <f>'Recycling - Case 2'!BW128</f>
        <v>0.72277857084154584</v>
      </c>
      <c r="BQ60" s="1387">
        <f>'Recycling - Case 2'!BX128</f>
        <v>8.0778844484992423</v>
      </c>
      <c r="BR60" s="1387">
        <f>'Recycling - Case 2'!BY128</f>
        <v>70.8448669126185</v>
      </c>
      <c r="BS60" s="807">
        <f>'Recycling - Case 2'!BZ128</f>
        <v>0.78057803150418648</v>
      </c>
      <c r="BT60" s="1387">
        <f>'Recycling - Case 2'!CA128</f>
        <v>48.694518386230293</v>
      </c>
      <c r="BU60" s="1388">
        <f>'Recycling - Case 3'!BV128</f>
        <v>59.933788381040593</v>
      </c>
      <c r="BV60" s="807">
        <f>'Recycling - Case 3'!BW128</f>
        <v>0.72277857084154584</v>
      </c>
      <c r="BW60" s="1387">
        <f>'Recycling - Case 3'!BX128</f>
        <v>8.0778844484992423</v>
      </c>
      <c r="BX60" s="1388">
        <f>'Recycling - Case 3'!BY128</f>
        <v>70.8448669126185</v>
      </c>
      <c r="BY60" s="807">
        <f>'Recycling - Case 3'!BZ128</f>
        <v>0.78057803150418648</v>
      </c>
      <c r="BZ60" s="1484">
        <f>'Recycling - Case 3'!CA128</f>
        <v>48.694518386230293</v>
      </c>
      <c r="CB60" s="806">
        <f>'Recycling - Case 1'!CB128</f>
        <v>0.72519651658614603</v>
      </c>
      <c r="CC60" s="807">
        <f>'Recycling - Case 1'!CC128</f>
        <v>0.49923160924652876</v>
      </c>
      <c r="CD60" s="807">
        <f>'Recycling - Case 1'!CD128</f>
        <v>0.72519651658614603</v>
      </c>
      <c r="CE60" s="807">
        <f>'Recycling - Case 1'!CE128</f>
        <v>0.85</v>
      </c>
      <c r="CF60" s="807">
        <f>'Recycling - Case 2'!CB128</f>
        <v>0.67206984488050125</v>
      </c>
      <c r="CG60" s="807">
        <f>'Recycling - Case 2'!CC128</f>
        <v>0.46731576769954508</v>
      </c>
      <c r="CH60" s="807">
        <f>'Recycling - Case 2'!CD128</f>
        <v>0.67206984488050125</v>
      </c>
      <c r="CI60" s="807">
        <f>'Recycling - Case 2'!CE128</f>
        <v>0.85</v>
      </c>
      <c r="CJ60" s="807">
        <f>'Recycling - Case 3'!CB128</f>
        <v>0.67206984488050125</v>
      </c>
      <c r="CK60" s="807">
        <f>'Recycling - Case 3'!CC128</f>
        <v>0.46731576769954508</v>
      </c>
      <c r="CL60" s="807">
        <f>'Recycling - Case 3'!CD128</f>
        <v>0.67206984488050125</v>
      </c>
      <c r="CM60" s="808">
        <f>'Recycling - Case 3'!CE128</f>
        <v>0.85</v>
      </c>
    </row>
    <row r="61" spans="1:91">
      <c r="A61" s="4">
        <f>'Input data'!A148</f>
        <v>2050</v>
      </c>
      <c r="B61" s="4"/>
      <c r="C61" s="980">
        <f>'4A SWD Case 1'!BG118</f>
        <v>1759.8060232700573</v>
      </c>
      <c r="D61" s="3">
        <f>'4B Biological treatment '!T114</f>
        <v>1.00249518383504</v>
      </c>
      <c r="E61" s="1495">
        <f>'4B Biological treatment '!U114</f>
        <v>45.112283272576789</v>
      </c>
      <c r="F61" s="1495">
        <f>'4B Biological treatment '!W114</f>
        <v>2.706736996354608</v>
      </c>
      <c r="G61" s="1184">
        <f>'4C2 Open-burning '!R121</f>
        <v>16.936791194688041</v>
      </c>
      <c r="H61" s="1184">
        <f>'4C2 Open-burning '!Z121</f>
        <v>4.1709549667392309</v>
      </c>
      <c r="I61" s="1184">
        <f>'4C2 Open-burning '!AH121</f>
        <v>6.425914799449424E-2</v>
      </c>
      <c r="J61" s="1220">
        <f>'4D Wastewater treatment and dis'!AV158</f>
        <v>241.58013772301177</v>
      </c>
      <c r="K61" s="981">
        <f>'4D Wastewater treatment and dis'!AW158</f>
        <v>3.8077221358326381</v>
      </c>
      <c r="L61" s="982">
        <f t="shared" si="69"/>
        <v>36955.926488671204</v>
      </c>
      <c r="M61" s="983">
        <f t="shared" si="70"/>
        <v>21.052398860535838</v>
      </c>
      <c r="N61" s="982">
        <f t="shared" si="71"/>
        <v>1786.4464175940411</v>
      </c>
      <c r="O61" s="984">
        <f t="shared" si="72"/>
        <v>124.44718137450511</v>
      </c>
      <c r="P61" s="982">
        <f t="shared" si="73"/>
        <v>6253.5767542913654</v>
      </c>
      <c r="Q61" s="583">
        <f t="shared" si="74"/>
        <v>36955.926488671204</v>
      </c>
      <c r="R61" s="648">
        <f t="shared" si="75"/>
        <v>1807.4988164545769</v>
      </c>
      <c r="S61" s="645">
        <f t="shared" si="76"/>
        <v>124.44718137450511</v>
      </c>
      <c r="T61" s="583">
        <f t="shared" si="77"/>
        <v>6253.5767542913654</v>
      </c>
      <c r="U61" s="583">
        <f t="shared" si="78"/>
        <v>45141.449240791655</v>
      </c>
      <c r="AJ61" s="53"/>
      <c r="AK61" s="53"/>
      <c r="AL61" s="53"/>
      <c r="AM61" s="53"/>
      <c r="AN61" s="53"/>
      <c r="AP61" s="650"/>
      <c r="AQ61" s="650"/>
      <c r="AR61" s="650"/>
      <c r="AS61" s="650"/>
      <c r="AT61" s="650"/>
      <c r="AU61" s="650"/>
      <c r="AV61" s="650"/>
      <c r="AW61" s="650"/>
      <c r="AX61" s="650"/>
      <c r="AY61" s="650"/>
      <c r="AZ61" s="650"/>
      <c r="BA61" s="53"/>
      <c r="BB61" s="650"/>
      <c r="BC61" s="650"/>
      <c r="BD61" s="650"/>
      <c r="BE61" s="650"/>
      <c r="BF61" s="650"/>
      <c r="BJ61" s="114"/>
      <c r="BM61" s="114"/>
      <c r="BP61" s="114"/>
    </row>
    <row r="62" spans="1:91">
      <c r="A62" s="501" t="s">
        <v>743</v>
      </c>
      <c r="B62" s="501"/>
      <c r="C62" s="583"/>
      <c r="D62" s="3">
        <f>'4B Biological treatment '!T115</f>
        <v>0</v>
      </c>
      <c r="E62" s="584">
        <f>'4B Biological treatment '!U115</f>
        <v>0</v>
      </c>
      <c r="F62" s="584">
        <f>'4B Biological treatment '!W115</f>
        <v>0</v>
      </c>
      <c r="G62" s="646"/>
      <c r="H62" s="646"/>
      <c r="I62" s="646"/>
      <c r="J62" s="1219"/>
      <c r="K62" s="646"/>
      <c r="L62" s="583"/>
      <c r="M62" s="3"/>
      <c r="N62" s="583"/>
      <c r="O62" s="645"/>
      <c r="P62" s="583"/>
      <c r="Q62" s="583"/>
      <c r="R62" s="648"/>
      <c r="S62" s="645"/>
      <c r="T62" s="583"/>
      <c r="U62" s="583"/>
      <c r="AP62" s="650"/>
      <c r="AQ62" s="650"/>
      <c r="AR62" s="650"/>
      <c r="AS62" s="650"/>
      <c r="AT62" s="650"/>
      <c r="AU62" s="650"/>
      <c r="AV62" s="650"/>
      <c r="AW62" s="650"/>
      <c r="AX62" s="650"/>
      <c r="AY62" s="650"/>
      <c r="AZ62" s="650"/>
      <c r="BB62" s="650"/>
      <c r="BC62" s="650"/>
      <c r="BD62" s="650"/>
      <c r="BE62" s="650"/>
      <c r="BF62" s="650"/>
    </row>
    <row r="63" spans="1:91">
      <c r="A63" s="4">
        <f>'Input data'!A116</f>
        <v>2018</v>
      </c>
      <c r="B63" s="4"/>
      <c r="C63" s="980">
        <f>'4A SWD Case 1'!BN86</f>
        <v>2252.9713671294257</v>
      </c>
      <c r="D63" s="3">
        <f>'4B Biological treatment '!T116</f>
        <v>0.4704078547712553</v>
      </c>
      <c r="E63" s="1495">
        <f>'4B Biological treatment '!U116</f>
        <v>36.848615290414983</v>
      </c>
      <c r="F63" s="1495">
        <f>'4B Biological treatment '!W116</f>
        <v>2.2109169174248993</v>
      </c>
      <c r="G63" s="1184">
        <f>'4C2 Open-burning '!R89</f>
        <v>45.684843472316594</v>
      </c>
      <c r="H63" s="1184">
        <f>'4C2 Open-burning '!Z89</f>
        <v>11.25062136004405</v>
      </c>
      <c r="I63" s="1184">
        <f>'4C2 Open-burning '!AH89</f>
        <v>0.17333089155126519</v>
      </c>
      <c r="J63" s="1220">
        <f>'4D Wastewater treatment and dis'!AV126</f>
        <v>134.80820881535828</v>
      </c>
      <c r="K63" s="981">
        <f>'4D Wastewater treatment and dis'!AW126</f>
        <v>2.8960026562367029</v>
      </c>
      <c r="L63" s="982">
        <f t="shared" ref="L63:L95" si="101">C63*$B$3</f>
        <v>47312.398709717942</v>
      </c>
      <c r="M63" s="983">
        <f t="shared" ref="M63:M95" si="102">D63*$B$3</f>
        <v>9.8785649501963615</v>
      </c>
      <c r="N63" s="982">
        <f t="shared" ref="N63:N95" si="103">E63*$B$3+F63*$C$3</f>
        <v>1459.2051655004334</v>
      </c>
      <c r="O63" s="984">
        <f t="shared" ref="O63:O95" si="104">G63+H63*$B$3+I63*$C$3</f>
        <v>335.68046841413388</v>
      </c>
      <c r="P63" s="982">
        <f t="shared" ref="P63:P95" si="105">J63*$B$3+K63*$C$3</f>
        <v>3728.7332085559019</v>
      </c>
      <c r="Q63" s="583">
        <f t="shared" ref="Q63:Q95" si="106">L63</f>
        <v>47312.398709717942</v>
      </c>
      <c r="R63" s="648">
        <f t="shared" ref="R63:R95" si="107">M63+N63</f>
        <v>1469.0837304506297</v>
      </c>
      <c r="S63" s="645">
        <f t="shared" ref="S63:S95" si="108">O63</f>
        <v>335.68046841413388</v>
      </c>
      <c r="T63" s="583">
        <f t="shared" ref="T63:T95" si="109">P63</f>
        <v>3728.7332085559019</v>
      </c>
      <c r="U63" s="583">
        <f t="shared" ref="U63:U95" si="110">SUM(Q63:T63)</f>
        <v>52845.896117138604</v>
      </c>
    </row>
    <row r="64" spans="1:91">
      <c r="A64" s="4">
        <f>'Input data'!A117</f>
        <v>2019</v>
      </c>
      <c r="B64" s="4"/>
      <c r="C64" s="980">
        <f>'4A SWD Case 1'!BN87</f>
        <v>2281.7472169080979</v>
      </c>
      <c r="D64" s="3">
        <f>'4B Biological treatment '!T117</f>
        <v>0.54467991140629457</v>
      </c>
      <c r="E64" s="1495">
        <f>'4B Biological treatment '!U117</f>
        <v>36.182308400560984</v>
      </c>
      <c r="F64" s="1495">
        <f>'4B Biological treatment '!W117</f>
        <v>2.1709385040336593</v>
      </c>
      <c r="G64" s="1184">
        <f>'4C2 Open-burning '!R90</f>
        <v>45.280391299934749</v>
      </c>
      <c r="H64" s="1184">
        <f>'4C2 Open-burning '!Z90</f>
        <v>11.151018561744593</v>
      </c>
      <c r="I64" s="1184">
        <f>'4C2 Open-burning '!AH90</f>
        <v>0.1717963770317775</v>
      </c>
      <c r="J64" s="1220">
        <f>'4D Wastewater treatment and dis'!AV127</f>
        <v>138.54240079281473</v>
      </c>
      <c r="K64" s="981">
        <f>'4D Wastewater treatment and dis'!AW127</f>
        <v>2.9428441226975277</v>
      </c>
      <c r="L64" s="982">
        <f t="shared" si="101"/>
        <v>47916.691555070058</v>
      </c>
      <c r="M64" s="983">
        <f t="shared" si="102"/>
        <v>11.438278139532185</v>
      </c>
      <c r="N64" s="982">
        <f t="shared" si="103"/>
        <v>1432.8194126622152</v>
      </c>
      <c r="O64" s="984">
        <f t="shared" si="104"/>
        <v>332.70865797642222</v>
      </c>
      <c r="P64" s="982">
        <f t="shared" si="105"/>
        <v>3821.6720946853429</v>
      </c>
      <c r="Q64" s="650">
        <f t="shared" si="106"/>
        <v>47916.691555070058</v>
      </c>
      <c r="R64" s="652">
        <f t="shared" si="107"/>
        <v>1444.2576908017475</v>
      </c>
      <c r="S64" s="649">
        <f t="shared" si="108"/>
        <v>332.70865797642222</v>
      </c>
      <c r="T64" s="650">
        <f t="shared" si="109"/>
        <v>3821.6720946853429</v>
      </c>
      <c r="U64" s="650">
        <f t="shared" si="110"/>
        <v>53515.329998533576</v>
      </c>
    </row>
    <row r="65" spans="1:21">
      <c r="A65" s="4">
        <f>'Input data'!A118</f>
        <v>2020</v>
      </c>
      <c r="B65" s="4"/>
      <c r="C65" s="980">
        <f>'4A SWD Case 1'!BN88</f>
        <v>2303.1930994646541</v>
      </c>
      <c r="D65" s="3">
        <f>'4B Biological treatment '!T118</f>
        <v>0.52339498790834127</v>
      </c>
      <c r="E65" s="1495">
        <f>'4B Biological treatment '!U118</f>
        <v>30.095211804729626</v>
      </c>
      <c r="F65" s="1495">
        <f>'4B Biological treatment '!W118</f>
        <v>1.8057127082837776</v>
      </c>
      <c r="G65" s="1184">
        <f>'4C2 Open-burning '!R91</f>
        <v>44.916724635304277</v>
      </c>
      <c r="H65" s="1184">
        <f>'4C2 Open-burning '!Z91</f>
        <v>11.061459845241448</v>
      </c>
      <c r="I65" s="1184">
        <f>'4C2 Open-burning '!AH91</f>
        <v>0.17041660504577799</v>
      </c>
      <c r="J65" s="1220">
        <f>'4D Wastewater treatment and dis'!AV128</f>
        <v>142.36205971856938</v>
      </c>
      <c r="K65" s="981">
        <f>'4D Wastewater treatment and dis'!AW128</f>
        <v>2.9904419099300554</v>
      </c>
      <c r="L65" s="982">
        <f t="shared" si="101"/>
        <v>48367.055088757734</v>
      </c>
      <c r="M65" s="983">
        <f t="shared" si="102"/>
        <v>10.991294746075166</v>
      </c>
      <c r="N65" s="982">
        <f t="shared" si="103"/>
        <v>1191.7703874672932</v>
      </c>
      <c r="O65" s="984">
        <f t="shared" si="104"/>
        <v>330.03652894956588</v>
      </c>
      <c r="P65" s="982">
        <f t="shared" si="105"/>
        <v>3916.6402461682742</v>
      </c>
      <c r="Q65" s="650">
        <f t="shared" si="106"/>
        <v>48367.055088757734</v>
      </c>
      <c r="R65" s="652">
        <f t="shared" si="107"/>
        <v>1202.7616822133684</v>
      </c>
      <c r="S65" s="649">
        <f t="shared" si="108"/>
        <v>330.03652894956588</v>
      </c>
      <c r="T65" s="650">
        <f t="shared" si="109"/>
        <v>3916.6402461682742</v>
      </c>
      <c r="U65" s="650">
        <f t="shared" si="110"/>
        <v>53816.493546088946</v>
      </c>
    </row>
    <row r="66" spans="1:21">
      <c r="A66" s="4">
        <f>'Input data'!A119</f>
        <v>2021</v>
      </c>
      <c r="B66" s="4"/>
      <c r="C66" s="980">
        <f>'4A SWD Case 1'!BN89</f>
        <v>2308.8806797186576</v>
      </c>
      <c r="D66" s="3">
        <f>'4B Biological treatment '!T119</f>
        <v>0.59245599914232927</v>
      </c>
      <c r="E66" s="1495">
        <f>'4B Biological treatment '!U119</f>
        <v>29.9519421788622</v>
      </c>
      <c r="F66" s="1495">
        <f>'4B Biological treatment '!W119</f>
        <v>1.7971165307317323</v>
      </c>
      <c r="G66" s="1184">
        <f>'4C2 Open-burning '!R92</f>
        <v>44.39073714789162</v>
      </c>
      <c r="H66" s="1184">
        <f>'4C2 Open-burning '!Z92</f>
        <v>10.931927037175978</v>
      </c>
      <c r="I66" s="1184">
        <f>'4C2 Open-burning '!AH92</f>
        <v>0.16842097863647904</v>
      </c>
      <c r="J66" s="1220">
        <f>'4D Wastewater treatment and dis'!AV129</f>
        <v>145.59854093589945</v>
      </c>
      <c r="K66" s="981">
        <f>'4D Wastewater treatment and dis'!AW129</f>
        <v>3.024879715734945</v>
      </c>
      <c r="L66" s="982">
        <f t="shared" si="101"/>
        <v>48486.494274091812</v>
      </c>
      <c r="M66" s="983">
        <f t="shared" si="102"/>
        <v>12.441575981988915</v>
      </c>
      <c r="N66" s="982">
        <f t="shared" si="103"/>
        <v>1186.0969102829431</v>
      </c>
      <c r="O66" s="984">
        <f t="shared" si="104"/>
        <v>326.17170830589566</v>
      </c>
      <c r="P66" s="982">
        <f t="shared" si="105"/>
        <v>3995.2820715317216</v>
      </c>
      <c r="Q66" s="650">
        <f t="shared" si="106"/>
        <v>48486.494274091812</v>
      </c>
      <c r="R66" s="652">
        <f t="shared" si="107"/>
        <v>1198.5384862649321</v>
      </c>
      <c r="S66" s="649">
        <f t="shared" si="108"/>
        <v>326.17170830589566</v>
      </c>
      <c r="T66" s="650">
        <f t="shared" si="109"/>
        <v>3995.2820715317216</v>
      </c>
      <c r="U66" s="650">
        <f t="shared" si="110"/>
        <v>54006.486540194361</v>
      </c>
    </row>
    <row r="67" spans="1:21">
      <c r="A67" s="4">
        <f>'Input data'!A120</f>
        <v>2022</v>
      </c>
      <c r="B67" s="4"/>
      <c r="C67" s="980">
        <f>'4A SWD Case 1'!BN90</f>
        <v>2310.4946042176366</v>
      </c>
      <c r="D67" s="3">
        <f>'4B Biological treatment '!T120</f>
        <v>0.65920420659736623</v>
      </c>
      <c r="E67" s="1495">
        <f>'4B Biological treatment '!U120</f>
        <v>29.664189296881474</v>
      </c>
      <c r="F67" s="1495">
        <f>'4B Biological treatment '!W120</f>
        <v>1.7798513578128885</v>
      </c>
      <c r="G67" s="1184">
        <f>'4C2 Open-burning '!R93</f>
        <v>43.91125720487581</v>
      </c>
      <c r="H67" s="1184">
        <f>'4C2 Open-burning '!Z93</f>
        <v>10.813847453694965</v>
      </c>
      <c r="I67" s="1184">
        <f>'4C2 Open-burning '!AH93</f>
        <v>0.16660180449277767</v>
      </c>
      <c r="J67" s="1220">
        <f>'4D Wastewater treatment and dis'!AV130</f>
        <v>148.88856151515967</v>
      </c>
      <c r="K67" s="981">
        <f>'4D Wastewater treatment and dis'!AW130</f>
        <v>3.0596704712332969</v>
      </c>
      <c r="L67" s="982">
        <f t="shared" si="101"/>
        <v>48520.386688570368</v>
      </c>
      <c r="M67" s="983">
        <f t="shared" si="102"/>
        <v>13.84328833854469</v>
      </c>
      <c r="N67" s="982">
        <f t="shared" si="103"/>
        <v>1174.7018961565063</v>
      </c>
      <c r="O67" s="984">
        <f t="shared" si="104"/>
        <v>322.64861312523112</v>
      </c>
      <c r="P67" s="982">
        <f t="shared" si="105"/>
        <v>4075.1576379006751</v>
      </c>
      <c r="Q67" s="650">
        <f t="shared" si="106"/>
        <v>48520.386688570368</v>
      </c>
      <c r="R67" s="652">
        <f t="shared" si="107"/>
        <v>1188.545184495051</v>
      </c>
      <c r="S67" s="649">
        <f t="shared" si="108"/>
        <v>322.64861312523112</v>
      </c>
      <c r="T67" s="650">
        <f t="shared" si="109"/>
        <v>4075.1576379006751</v>
      </c>
      <c r="U67" s="650">
        <f t="shared" si="110"/>
        <v>54106.738124091324</v>
      </c>
    </row>
    <row r="68" spans="1:21">
      <c r="A68" s="4">
        <f>'Input data'!A121</f>
        <v>2023</v>
      </c>
      <c r="B68" s="4"/>
      <c r="C68" s="980">
        <f>'4A SWD Case 1'!BN91</f>
        <v>2308.2107103174512</v>
      </c>
      <c r="D68" s="3">
        <f>'4B Biological treatment '!T121</f>
        <v>0.65882366418135541</v>
      </c>
      <c r="E68" s="1495">
        <f>'4B Biological treatment '!U121</f>
        <v>29.647064888160987</v>
      </c>
      <c r="F68" s="1495">
        <f>'4B Biological treatment '!W121</f>
        <v>1.7788238932896592</v>
      </c>
      <c r="G68" s="1184">
        <f>'4C2 Open-burning '!R94</f>
        <v>43.480878431728819</v>
      </c>
      <c r="H68" s="1184">
        <f>'4C2 Open-burning '!Z94</f>
        <v>10.707859816438173</v>
      </c>
      <c r="I68" s="1184">
        <f>'4C2 Open-burning '!AH94</f>
        <v>0.164968922977062</v>
      </c>
      <c r="J68" s="1220">
        <f>'4D Wastewater treatment and dis'!AV131</f>
        <v>152.2376409126438</v>
      </c>
      <c r="K68" s="981">
        <f>'4D Wastewater treatment and dis'!AW131</f>
        <v>3.0949150191946715</v>
      </c>
      <c r="L68" s="982">
        <f t="shared" si="101"/>
        <v>48472.424916666474</v>
      </c>
      <c r="M68" s="983">
        <f t="shared" si="102"/>
        <v>13.835296947808464</v>
      </c>
      <c r="N68" s="982">
        <f t="shared" si="103"/>
        <v>1174.0237695711751</v>
      </c>
      <c r="O68" s="984">
        <f t="shared" si="104"/>
        <v>319.48630069981971</v>
      </c>
      <c r="P68" s="982">
        <f t="shared" si="105"/>
        <v>4156.4141151158683</v>
      </c>
      <c r="Q68" s="650">
        <f t="shared" si="106"/>
        <v>48472.424916666474</v>
      </c>
      <c r="R68" s="652">
        <f t="shared" si="107"/>
        <v>1187.8590665189836</v>
      </c>
      <c r="S68" s="649">
        <f t="shared" si="108"/>
        <v>319.48630069981971</v>
      </c>
      <c r="T68" s="650">
        <f t="shared" si="109"/>
        <v>4156.4141151158683</v>
      </c>
      <c r="U68" s="650">
        <f t="shared" si="110"/>
        <v>54136.184399001148</v>
      </c>
    </row>
    <row r="69" spans="1:21">
      <c r="A69" s="4">
        <f>'Input data'!A122</f>
        <v>2024</v>
      </c>
      <c r="B69" s="4"/>
      <c r="C69" s="980">
        <f>'4A SWD Case 1'!BN92</f>
        <v>2302.3085954549806</v>
      </c>
      <c r="D69" s="3">
        <f>'4B Biological treatment '!T122</f>
        <v>0.65626459720266905</v>
      </c>
      <c r="E69" s="1495">
        <f>'4B Biological treatment '!U122</f>
        <v>29.531906874120104</v>
      </c>
      <c r="F69" s="1495">
        <f>'4B Biological treatment '!W122</f>
        <v>1.7719144124472059</v>
      </c>
      <c r="G69" s="1184">
        <f>'4C2 Open-burning '!R95</f>
        <v>43.100302947996852</v>
      </c>
      <c r="H69" s="1184">
        <f>'4C2 Open-burning '!Z95</f>
        <v>10.61413703354239</v>
      </c>
      <c r="I69" s="1184">
        <f>'4C2 Open-burning '!AH95</f>
        <v>0.16352499797077877</v>
      </c>
      <c r="J69" s="1220">
        <f>'4D Wastewater treatment and dis'!AV132</f>
        <v>155.64399106583625</v>
      </c>
      <c r="K69" s="981">
        <f>'4D Wastewater treatment and dis'!AW132</f>
        <v>3.1305629382342866</v>
      </c>
      <c r="L69" s="982">
        <f t="shared" si="101"/>
        <v>48348.480504554595</v>
      </c>
      <c r="M69" s="983">
        <f t="shared" si="102"/>
        <v>13.78155654125605</v>
      </c>
      <c r="N69" s="982">
        <f t="shared" si="103"/>
        <v>1169.463512215156</v>
      </c>
      <c r="O69" s="984">
        <f t="shared" si="104"/>
        <v>316.68993002332849</v>
      </c>
      <c r="P69" s="982">
        <f t="shared" si="105"/>
        <v>4238.9983232351897</v>
      </c>
      <c r="Q69" s="650">
        <f t="shared" si="106"/>
        <v>48348.480504554595</v>
      </c>
      <c r="R69" s="652">
        <f t="shared" si="107"/>
        <v>1183.2450687564121</v>
      </c>
      <c r="S69" s="649">
        <f t="shared" si="108"/>
        <v>316.68993002332849</v>
      </c>
      <c r="T69" s="650">
        <f t="shared" si="109"/>
        <v>4238.9983232351897</v>
      </c>
      <c r="U69" s="650">
        <f t="shared" si="110"/>
        <v>54087.413826569522</v>
      </c>
    </row>
    <row r="70" spans="1:21">
      <c r="A70" s="4">
        <f>'Input data'!A123</f>
        <v>2025</v>
      </c>
      <c r="B70" s="4"/>
      <c r="C70" s="980">
        <f>'4A SWD Case 1'!BN93</f>
        <v>2292.9721753573613</v>
      </c>
      <c r="D70" s="3">
        <f>'4B Biological treatment '!T123</f>
        <v>0.65416504627347338</v>
      </c>
      <c r="E70" s="1495">
        <f>'4B Biological treatment '!U123</f>
        <v>29.437427082306293</v>
      </c>
      <c r="F70" s="1495">
        <f>'4B Biological treatment '!W123</f>
        <v>1.7662456249383776</v>
      </c>
      <c r="G70" s="1184">
        <f>'4C2 Open-burning '!R96</f>
        <v>42.771329928926491</v>
      </c>
      <c r="H70" s="1184">
        <f>'4C2 Open-burning '!Z96</f>
        <v>10.533122180608201</v>
      </c>
      <c r="I70" s="1184">
        <f>'4C2 Open-burning '!AH96</f>
        <v>0.16227685564702693</v>
      </c>
      <c r="J70" s="1220">
        <f>'4D Wastewater treatment and dis'!AV133</f>
        <v>159.10825087816576</v>
      </c>
      <c r="K70" s="981">
        <f>'4D Wastewater treatment and dis'!AW133</f>
        <v>3.166614228352143</v>
      </c>
      <c r="L70" s="982">
        <f t="shared" si="101"/>
        <v>48152.415682504587</v>
      </c>
      <c r="M70" s="983">
        <f t="shared" si="102"/>
        <v>13.737465971742941</v>
      </c>
      <c r="N70" s="982">
        <f t="shared" si="103"/>
        <v>1165.7221124593293</v>
      </c>
      <c r="O70" s="984">
        <f t="shared" si="104"/>
        <v>314.27272097227706</v>
      </c>
      <c r="P70" s="982">
        <f t="shared" si="105"/>
        <v>4322.9236792306456</v>
      </c>
      <c r="Q70" s="650">
        <f t="shared" si="106"/>
        <v>48152.415682504587</v>
      </c>
      <c r="R70" s="652">
        <f t="shared" si="107"/>
        <v>1179.4595784310723</v>
      </c>
      <c r="S70" s="649">
        <f t="shared" si="108"/>
        <v>314.27272097227706</v>
      </c>
      <c r="T70" s="650">
        <f t="shared" si="109"/>
        <v>4322.9236792306456</v>
      </c>
      <c r="U70" s="650">
        <f t="shared" si="110"/>
        <v>53969.071661138587</v>
      </c>
    </row>
    <row r="71" spans="1:21">
      <c r="A71" s="4">
        <f>'Input data'!A124</f>
        <v>2026</v>
      </c>
      <c r="B71" s="4"/>
      <c r="C71" s="980">
        <f>'4A SWD Case 1'!BN94</f>
        <v>2280.5176861141508</v>
      </c>
      <c r="D71" s="3">
        <f>'4B Biological treatment '!T124</f>
        <v>0.65646394800832641</v>
      </c>
      <c r="E71" s="1495">
        <f>'4B Biological treatment '!U124</f>
        <v>29.54087766037469</v>
      </c>
      <c r="F71" s="1495">
        <f>'4B Biological treatment '!W124</f>
        <v>1.772452659622481</v>
      </c>
      <c r="G71" s="1184">
        <f>'4C2 Open-burning '!R97</f>
        <v>42.42593176456063</v>
      </c>
      <c r="H71" s="1184">
        <f>'4C2 Open-burning '!Z97</f>
        <v>10.448062373670492</v>
      </c>
      <c r="I71" s="1184">
        <f>'4C2 Open-burning '!AH97</f>
        <v>0.16096639538888938</v>
      </c>
      <c r="J71" s="1220">
        <f>'4D Wastewater treatment and dis'!AV134</f>
        <v>162.3622518163962</v>
      </c>
      <c r="K71" s="981">
        <f>'4D Wastewater treatment and dis'!AW134</f>
        <v>3.1977746441463193</v>
      </c>
      <c r="L71" s="982">
        <f t="shared" si="101"/>
        <v>47890.871408397164</v>
      </c>
      <c r="M71" s="983">
        <f t="shared" si="102"/>
        <v>13.785742908174855</v>
      </c>
      <c r="N71" s="982">
        <f t="shared" si="103"/>
        <v>1169.8187553508376</v>
      </c>
      <c r="O71" s="984">
        <f t="shared" si="104"/>
        <v>311.73482418219669</v>
      </c>
      <c r="P71" s="982">
        <f t="shared" si="105"/>
        <v>4400.9174278296796</v>
      </c>
      <c r="Q71" s="650">
        <f t="shared" si="106"/>
        <v>47890.871408397164</v>
      </c>
      <c r="R71" s="652">
        <f t="shared" si="107"/>
        <v>1183.6044982590124</v>
      </c>
      <c r="S71" s="649">
        <f t="shared" si="108"/>
        <v>311.73482418219669</v>
      </c>
      <c r="T71" s="650">
        <f t="shared" si="109"/>
        <v>4400.9174278296796</v>
      </c>
      <c r="U71" s="650">
        <f t="shared" si="110"/>
        <v>53787.128158668049</v>
      </c>
    </row>
    <row r="72" spans="1:21">
      <c r="A72" s="4">
        <f>'Input data'!A125</f>
        <v>2027</v>
      </c>
      <c r="B72" s="4"/>
      <c r="C72" s="980">
        <f>'4A SWD Case 1'!BN95</f>
        <v>2265.4545307840744</v>
      </c>
      <c r="D72" s="3">
        <f>'4B Biological treatment '!T125</f>
        <v>0.6586890267024017</v>
      </c>
      <c r="E72" s="1495">
        <f>'4B Biological treatment '!U125</f>
        <v>29.641006201608075</v>
      </c>
      <c r="F72" s="1495">
        <f>'4B Biological treatment '!W125</f>
        <v>1.7784603720964844</v>
      </c>
      <c r="G72" s="1184">
        <f>'4C2 Open-burning '!R98</f>
        <v>42.138700059744401</v>
      </c>
      <c r="H72" s="1184">
        <f>'4C2 Open-burning '!Z98</f>
        <v>10.377326985128654</v>
      </c>
      <c r="I72" s="1184">
        <f>'4C2 Open-burning '!AH98</f>
        <v>0.15987662198279778</v>
      </c>
      <c r="J72" s="1220">
        <f>'4D Wastewater treatment and dis'!AV135</f>
        <v>165.66726312381803</v>
      </c>
      <c r="K72" s="981">
        <f>'4D Wastewater treatment and dis'!AW135</f>
        <v>3.2292880096339567</v>
      </c>
      <c r="L72" s="982">
        <f t="shared" si="101"/>
        <v>47574.545146465563</v>
      </c>
      <c r="M72" s="983">
        <f t="shared" si="102"/>
        <v>13.832469560750436</v>
      </c>
      <c r="N72" s="982">
        <f t="shared" si="103"/>
        <v>1173.7838455836797</v>
      </c>
      <c r="O72" s="984">
        <f t="shared" si="104"/>
        <v>309.6243195621135</v>
      </c>
      <c r="P72" s="982">
        <f t="shared" si="105"/>
        <v>4480.0918085867052</v>
      </c>
      <c r="Q72" s="650">
        <f t="shared" si="106"/>
        <v>47574.545146465563</v>
      </c>
      <c r="R72" s="652">
        <f t="shared" si="107"/>
        <v>1187.6163151444302</v>
      </c>
      <c r="S72" s="649">
        <f t="shared" si="108"/>
        <v>309.6243195621135</v>
      </c>
      <c r="T72" s="650">
        <f t="shared" si="109"/>
        <v>4480.0918085867052</v>
      </c>
      <c r="U72" s="650">
        <f t="shared" si="110"/>
        <v>53551.877589758806</v>
      </c>
    </row>
    <row r="73" spans="1:21">
      <c r="A73" s="4">
        <f>'Input data'!A126</f>
        <v>2028</v>
      </c>
      <c r="B73" s="4"/>
      <c r="C73" s="980">
        <f>'4A SWD Case 1'!BN96</f>
        <v>2247.9342283403398</v>
      </c>
      <c r="D73" s="3">
        <f>'4B Biological treatment '!T126</f>
        <v>0.6157116186604995</v>
      </c>
      <c r="E73" s="1495">
        <f>'4B Biological treatment '!U126</f>
        <v>27.707022839722477</v>
      </c>
      <c r="F73" s="1495">
        <f>'4B Biological treatment '!W126</f>
        <v>1.6624213703833484</v>
      </c>
      <c r="G73" s="1184">
        <f>'4C2 Open-burning '!R99</f>
        <v>40.343736788541548</v>
      </c>
      <c r="H73" s="1184">
        <f>'4C2 Open-burning '!Z99</f>
        <v>9.9352886506485021</v>
      </c>
      <c r="I73" s="1184">
        <f>'4C2 Open-burning '!AH99</f>
        <v>0.15306642935758075</v>
      </c>
      <c r="J73" s="1220">
        <f>'4D Wastewater treatment and dis'!AV136</f>
        <v>169.01861721537597</v>
      </c>
      <c r="K73" s="981">
        <f>'4D Wastewater treatment and dis'!AW136</f>
        <v>3.2610534820454951</v>
      </c>
      <c r="L73" s="982">
        <f t="shared" si="101"/>
        <v>47206.618795147137</v>
      </c>
      <c r="M73" s="983">
        <f t="shared" si="102"/>
        <v>12.929943991870489</v>
      </c>
      <c r="N73" s="982">
        <f t="shared" si="103"/>
        <v>1097.19810445301</v>
      </c>
      <c r="O73" s="984">
        <f t="shared" si="104"/>
        <v>296.43539155301011</v>
      </c>
      <c r="P73" s="982">
        <f t="shared" si="105"/>
        <v>4560.3175409569985</v>
      </c>
      <c r="Q73" s="650">
        <f t="shared" si="106"/>
        <v>47206.618795147137</v>
      </c>
      <c r="R73" s="652">
        <f t="shared" si="107"/>
        <v>1110.1280484448805</v>
      </c>
      <c r="S73" s="649">
        <f t="shared" si="108"/>
        <v>296.43539155301011</v>
      </c>
      <c r="T73" s="650">
        <f t="shared" si="109"/>
        <v>4560.3175409569985</v>
      </c>
      <c r="U73" s="650">
        <f t="shared" si="110"/>
        <v>53173.49977610202</v>
      </c>
    </row>
    <row r="74" spans="1:21">
      <c r="A74" s="4">
        <f>'Input data'!A127</f>
        <v>2029</v>
      </c>
      <c r="B74" s="4"/>
      <c r="C74" s="980">
        <f>'4A SWD Case 1'!BN97</f>
        <v>2228.4881092899263</v>
      </c>
      <c r="D74" s="3">
        <f>'4B Biological treatment '!T127</f>
        <v>0.57742766031406323</v>
      </c>
      <c r="E74" s="1495">
        <f>'4B Biological treatment '!U127</f>
        <v>25.984244714132839</v>
      </c>
      <c r="F74" s="1495">
        <f>'4B Biological treatment '!W127</f>
        <v>1.5590546828479708</v>
      </c>
      <c r="G74" s="1184">
        <f>'4C2 Open-burning '!R100</f>
        <v>38.625707586436</v>
      </c>
      <c r="H74" s="1184">
        <f>'4C2 Open-burning '!Z100</f>
        <v>9.5121965577512011</v>
      </c>
      <c r="I74" s="1184">
        <f>'4C2 Open-burning '!AH100</f>
        <v>0.14654812896124664</v>
      </c>
      <c r="J74" s="1220">
        <f>'4D Wastewater treatment and dis'!AV137</f>
        <v>172.42199327322078</v>
      </c>
      <c r="K74" s="981">
        <f>'4D Wastewater treatment and dis'!AW137</f>
        <v>3.2931719041504954</v>
      </c>
      <c r="L74" s="982">
        <f t="shared" si="101"/>
        <v>46798.250295088452</v>
      </c>
      <c r="M74" s="983">
        <f t="shared" si="102"/>
        <v>12.125980866595327</v>
      </c>
      <c r="N74" s="982">
        <f t="shared" si="103"/>
        <v>1028.9760906796605</v>
      </c>
      <c r="O74" s="984">
        <f t="shared" si="104"/>
        <v>283.81175527719768</v>
      </c>
      <c r="P74" s="982">
        <f t="shared" si="105"/>
        <v>4641.7451490242902</v>
      </c>
      <c r="Q74" s="650">
        <f t="shared" si="106"/>
        <v>46798.250295088452</v>
      </c>
      <c r="R74" s="652">
        <f t="shared" si="107"/>
        <v>1041.1020715462557</v>
      </c>
      <c r="S74" s="649">
        <f t="shared" si="108"/>
        <v>283.81175527719768</v>
      </c>
      <c r="T74" s="650">
        <f t="shared" si="109"/>
        <v>4641.7451490242902</v>
      </c>
      <c r="U74" s="650">
        <f t="shared" si="110"/>
        <v>52764.909270936194</v>
      </c>
    </row>
    <row r="75" spans="1:21">
      <c r="A75" s="4">
        <f>'Input data'!A128</f>
        <v>2030</v>
      </c>
      <c r="B75" s="4"/>
      <c r="C75" s="980">
        <f>'4A SWD Case 1'!BN98</f>
        <v>2207.3102469622681</v>
      </c>
      <c r="D75" s="3">
        <f>'4B Biological treatment '!T128</f>
        <v>0.54398194327972949</v>
      </c>
      <c r="E75" s="1495">
        <f>'4B Biological treatment '!U128</f>
        <v>24.479187447587822</v>
      </c>
      <c r="F75" s="1495">
        <f>'4B Biological treatment '!W128</f>
        <v>1.468751246855269</v>
      </c>
      <c r="G75" s="1184">
        <f>'4C2 Open-burning '!R101</f>
        <v>36.980686724914783</v>
      </c>
      <c r="H75" s="1184">
        <f>'4C2 Open-burning '!Z101</f>
        <v>9.1070839331766287</v>
      </c>
      <c r="I75" s="1184">
        <f>'4C2 Open-burning '!AH101</f>
        <v>0.14030682635679131</v>
      </c>
      <c r="J75" s="1220">
        <f>'4D Wastewater treatment and dis'!AV138</f>
        <v>175.87528378312254</v>
      </c>
      <c r="K75" s="981">
        <f>'4D Wastewater treatment and dis'!AW138</f>
        <v>3.3255928545641762</v>
      </c>
      <c r="L75" s="982">
        <f t="shared" si="101"/>
        <v>46353.515186207631</v>
      </c>
      <c r="M75" s="983">
        <f t="shared" si="102"/>
        <v>11.423620808874318</v>
      </c>
      <c r="N75" s="982">
        <f t="shared" si="103"/>
        <v>969.37582292447769</v>
      </c>
      <c r="O75" s="984">
        <f t="shared" si="104"/>
        <v>271.72456549222932</v>
      </c>
      <c r="P75" s="982">
        <f t="shared" si="105"/>
        <v>4724.3147443604685</v>
      </c>
      <c r="Q75" s="650">
        <f t="shared" si="106"/>
        <v>46353.515186207631</v>
      </c>
      <c r="R75" s="652">
        <f t="shared" si="107"/>
        <v>980.79944373335206</v>
      </c>
      <c r="S75" s="649">
        <f t="shared" si="108"/>
        <v>271.72456549222932</v>
      </c>
      <c r="T75" s="650">
        <f t="shared" si="109"/>
        <v>4724.3147443604685</v>
      </c>
      <c r="U75" s="650">
        <f t="shared" si="110"/>
        <v>52330.353939793684</v>
      </c>
    </row>
    <row r="76" spans="1:21">
      <c r="A76" s="4">
        <f>'Input data'!A129</f>
        <v>2031</v>
      </c>
      <c r="B76" s="4"/>
      <c r="C76" s="980">
        <f>'4A SWD Case 1'!BN99</f>
        <v>2184.584109666705</v>
      </c>
      <c r="D76" s="3">
        <f>'4B Biological treatment '!T129</f>
        <v>0.52942593613710653</v>
      </c>
      <c r="E76" s="1495">
        <f>'4B Biological treatment '!U129</f>
        <v>23.82416712616979</v>
      </c>
      <c r="F76" s="1495">
        <f>'4B Biological treatment '!W129</f>
        <v>1.4294500275701876</v>
      </c>
      <c r="G76" s="1184">
        <f>'4C2 Open-burning '!R102</f>
        <v>35.530518758769055</v>
      </c>
      <c r="H76" s="1184">
        <f>'4C2 Open-burning '!Z102</f>
        <v>8.7499569419140357</v>
      </c>
      <c r="I76" s="1184">
        <f>'4C2 Open-burning '!AH102</f>
        <v>0.13480480670724521</v>
      </c>
      <c r="J76" s="1220">
        <f>'4D Wastewater treatment and dis'!AV139</f>
        <v>179.14735481190519</v>
      </c>
      <c r="K76" s="981">
        <f>'4D Wastewater treatment and dis'!AW139</f>
        <v>3.3539800941954407</v>
      </c>
      <c r="L76" s="982">
        <f t="shared" si="101"/>
        <v>45876.266303000804</v>
      </c>
      <c r="M76" s="983">
        <f t="shared" si="102"/>
        <v>11.117944658879237</v>
      </c>
      <c r="N76" s="982">
        <f t="shared" si="103"/>
        <v>943.43701819632372</v>
      </c>
      <c r="O76" s="984">
        <f t="shared" si="104"/>
        <v>261.06910461820985</v>
      </c>
      <c r="P76" s="982">
        <f t="shared" si="105"/>
        <v>4801.8282802505955</v>
      </c>
      <c r="Q76" s="650">
        <f t="shared" si="106"/>
        <v>45876.266303000804</v>
      </c>
      <c r="R76" s="652">
        <f t="shared" si="107"/>
        <v>954.55496285520292</v>
      </c>
      <c r="S76" s="649">
        <f t="shared" si="108"/>
        <v>261.06910461820985</v>
      </c>
      <c r="T76" s="650">
        <f t="shared" si="109"/>
        <v>4801.8282802505955</v>
      </c>
      <c r="U76" s="650">
        <f t="shared" si="110"/>
        <v>51893.718650724812</v>
      </c>
    </row>
    <row r="77" spans="1:21">
      <c r="A77" s="4">
        <f>'Input data'!A130</f>
        <v>2032</v>
      </c>
      <c r="B77" s="4"/>
      <c r="C77" s="980">
        <f>'4A SWD Case 1'!BN100</f>
        <v>2162.7656291499588</v>
      </c>
      <c r="D77" s="3">
        <f>'4B Biological treatment '!T130</f>
        <v>0.51654844761234076</v>
      </c>
      <c r="E77" s="1495">
        <f>'4B Biological treatment '!U130</f>
        <v>23.244680142555332</v>
      </c>
      <c r="F77" s="1495">
        <f>'4B Biological treatment '!W130</f>
        <v>1.3946808085533198</v>
      </c>
      <c r="G77" s="1184">
        <f>'4C2 Open-burning '!R103</f>
        <v>34.052997605570212</v>
      </c>
      <c r="H77" s="1184">
        <f>'4C2 Open-burning '!Z103</f>
        <v>8.3860937920672249</v>
      </c>
      <c r="I77" s="1184">
        <f>'4C2 Open-burning '!AH103</f>
        <v>0.12919900751204833</v>
      </c>
      <c r="J77" s="1220">
        <f>'4D Wastewater treatment and dis'!AV140</f>
        <v>182.46300004329916</v>
      </c>
      <c r="K77" s="981">
        <f>'4D Wastewater treatment and dis'!AW140</f>
        <v>3.3826194407506049</v>
      </c>
      <c r="L77" s="982">
        <f t="shared" si="101"/>
        <v>45418.078212149136</v>
      </c>
      <c r="M77" s="983">
        <f t="shared" si="102"/>
        <v>10.847517399859155</v>
      </c>
      <c r="N77" s="982">
        <f t="shared" si="103"/>
        <v>920.4893336451911</v>
      </c>
      <c r="O77" s="984">
        <f t="shared" si="104"/>
        <v>250.21265956771691</v>
      </c>
      <c r="P77" s="982">
        <f t="shared" si="105"/>
        <v>4880.3350275419698</v>
      </c>
      <c r="Q77" s="650">
        <f t="shared" si="106"/>
        <v>45418.078212149136</v>
      </c>
      <c r="R77" s="652">
        <f t="shared" si="107"/>
        <v>931.33685104505025</v>
      </c>
      <c r="S77" s="649">
        <f t="shared" si="108"/>
        <v>250.21265956771691</v>
      </c>
      <c r="T77" s="650">
        <f t="shared" si="109"/>
        <v>4880.3350275419698</v>
      </c>
      <c r="U77" s="650">
        <f t="shared" si="110"/>
        <v>51479.962750303879</v>
      </c>
    </row>
    <row r="78" spans="1:21">
      <c r="A78" s="4">
        <f>'Input data'!A131</f>
        <v>2033</v>
      </c>
      <c r="B78" s="4"/>
      <c r="C78" s="980">
        <f>'4A SWD Case 1'!BN101</f>
        <v>2141.9056419163444</v>
      </c>
      <c r="D78" s="3">
        <f>'4B Biological treatment '!T131</f>
        <v>0.50374338234853433</v>
      </c>
      <c r="E78" s="1495">
        <f>'4B Biological treatment '!U131</f>
        <v>22.668452205684037</v>
      </c>
      <c r="F78" s="1495">
        <f>'4B Biological treatment '!W131</f>
        <v>1.3601071323410423</v>
      </c>
      <c r="G78" s="1184">
        <f>'4C2 Open-burning '!R104</f>
        <v>32.547244022212809</v>
      </c>
      <c r="H78" s="1184">
        <f>'4C2 Open-burning '!Z104</f>
        <v>8.0152779559978917</v>
      </c>
      <c r="I78" s="1184">
        <f>'4C2 Open-burning '!AH104</f>
        <v>0.12348609287290757</v>
      </c>
      <c r="J78" s="1220">
        <f>'4D Wastewater treatment and dis'!AV141</f>
        <v>185.81987237428893</v>
      </c>
      <c r="K78" s="981">
        <f>'4D Wastewater treatment and dis'!AW141</f>
        <v>3.4114604728448907</v>
      </c>
      <c r="L78" s="982">
        <f t="shared" si="101"/>
        <v>44980.018480243234</v>
      </c>
      <c r="M78" s="983">
        <f t="shared" si="102"/>
        <v>10.578611029319221</v>
      </c>
      <c r="N78" s="982">
        <f t="shared" si="103"/>
        <v>897.67070734508786</v>
      </c>
      <c r="O78" s="984">
        <f t="shared" si="104"/>
        <v>239.14876988876989</v>
      </c>
      <c r="P78" s="982">
        <f t="shared" si="105"/>
        <v>4959.7700664419835</v>
      </c>
      <c r="Q78" s="650">
        <f t="shared" si="106"/>
        <v>44980.018480243234</v>
      </c>
      <c r="R78" s="652">
        <f t="shared" si="107"/>
        <v>908.24931837440704</v>
      </c>
      <c r="S78" s="649">
        <f t="shared" si="108"/>
        <v>239.14876988876989</v>
      </c>
      <c r="T78" s="650">
        <f t="shared" si="109"/>
        <v>4959.7700664419835</v>
      </c>
      <c r="U78" s="650">
        <f t="shared" si="110"/>
        <v>51087.186634948397</v>
      </c>
    </row>
    <row r="79" spans="1:21">
      <c r="A79" s="4">
        <f>'Input data'!A132</f>
        <v>2034</v>
      </c>
      <c r="B79" s="4"/>
      <c r="C79" s="980">
        <f>'4A SWD Case 1'!BN102</f>
        <v>2121.9655435540308</v>
      </c>
      <c r="D79" s="3">
        <f>'4B Biological treatment '!T132</f>
        <v>0.49090004804043824</v>
      </c>
      <c r="E79" s="1495">
        <f>'4B Biological treatment '!U132</f>
        <v>22.090502161819714</v>
      </c>
      <c r="F79" s="1495">
        <f>'4B Biological treatment '!W132</f>
        <v>1.3254301297091828</v>
      </c>
      <c r="G79" s="1184">
        <f>'4C2 Open-burning '!R105</f>
        <v>31.013848456685704</v>
      </c>
      <c r="H79" s="1184">
        <f>'4C2 Open-burning '!Z105</f>
        <v>7.637654840940705</v>
      </c>
      <c r="I79" s="1184">
        <f>'4C2 Open-burning '!AH105</f>
        <v>0.11766830298303682</v>
      </c>
      <c r="J79" s="1220">
        <f>'4D Wastewater treatment and dis'!AV142</f>
        <v>189.22383733385854</v>
      </c>
      <c r="K79" s="981">
        <f>'4D Wastewater treatment and dis'!AW142</f>
        <v>3.4406040332478574</v>
      </c>
      <c r="L79" s="982">
        <f t="shared" si="101"/>
        <v>44561.276414634645</v>
      </c>
      <c r="M79" s="983">
        <f t="shared" si="102"/>
        <v>10.308901008849203</v>
      </c>
      <c r="N79" s="982">
        <f t="shared" si="103"/>
        <v>874.7838856080607</v>
      </c>
      <c r="O79" s="984">
        <f t="shared" si="104"/>
        <v>227.88177404118193</v>
      </c>
      <c r="P79" s="982">
        <f t="shared" si="105"/>
        <v>5040.2878343178654</v>
      </c>
      <c r="Q79" s="650">
        <f t="shared" si="106"/>
        <v>44561.276414634645</v>
      </c>
      <c r="R79" s="652">
        <f t="shared" si="107"/>
        <v>885.09278661690985</v>
      </c>
      <c r="S79" s="649">
        <f t="shared" si="108"/>
        <v>227.88177404118193</v>
      </c>
      <c r="T79" s="650">
        <f t="shared" si="109"/>
        <v>5040.2878343178654</v>
      </c>
      <c r="U79" s="650">
        <f t="shared" si="110"/>
        <v>50714.538809610603</v>
      </c>
    </row>
    <row r="80" spans="1:21">
      <c r="A80" s="4">
        <f>'Input data'!A133</f>
        <v>2035</v>
      </c>
      <c r="B80" s="4"/>
      <c r="C80" s="980">
        <f>'4A SWD Case 1'!BN103</f>
        <v>2102.9022613446991</v>
      </c>
      <c r="D80" s="3">
        <f>'4B Biological treatment '!T133</f>
        <v>0.47802032290516749</v>
      </c>
      <c r="E80" s="1495">
        <f>'4B Biological treatment '!U133</f>
        <v>21.510914530732535</v>
      </c>
      <c r="F80" s="1495">
        <f>'4B Biological treatment '!W133</f>
        <v>1.2906548718439521</v>
      </c>
      <c r="G80" s="1184">
        <f>'4C2 Open-burning '!R106</f>
        <v>29.451477163949669</v>
      </c>
      <c r="H80" s="1184">
        <f>'4C2 Open-burning '!Z106</f>
        <v>7.2528959909070609</v>
      </c>
      <c r="I80" s="1184">
        <f>'4C2 Open-burning '!AH106</f>
        <v>0.1117405775379855</v>
      </c>
      <c r="J80" s="1220">
        <f>'4D Wastewater treatment and dis'!AV143</f>
        <v>192.66977478035747</v>
      </c>
      <c r="K80" s="981">
        <f>'4D Wastewater treatment and dis'!AW143</f>
        <v>3.4699492791899456</v>
      </c>
      <c r="L80" s="982">
        <f t="shared" si="101"/>
        <v>44160.947488238678</v>
      </c>
      <c r="M80" s="983">
        <f t="shared" si="102"/>
        <v>10.038426781008518</v>
      </c>
      <c r="N80" s="982">
        <f t="shared" si="103"/>
        <v>851.83221541700846</v>
      </c>
      <c r="O80" s="984">
        <f t="shared" si="104"/>
        <v>216.40187200977346</v>
      </c>
      <c r="P80" s="982">
        <f t="shared" si="105"/>
        <v>5121.7495469363903</v>
      </c>
      <c r="Q80" s="650">
        <f t="shared" si="106"/>
        <v>44160.947488238678</v>
      </c>
      <c r="R80" s="652">
        <f t="shared" si="107"/>
        <v>861.87064219801698</v>
      </c>
      <c r="S80" s="649">
        <f t="shared" si="108"/>
        <v>216.40187200977346</v>
      </c>
      <c r="T80" s="650">
        <f t="shared" si="109"/>
        <v>5121.7495469363903</v>
      </c>
      <c r="U80" s="650">
        <f t="shared" si="110"/>
        <v>50360.969549382862</v>
      </c>
    </row>
    <row r="81" spans="1:21">
      <c r="A81" s="4">
        <f>'Input data'!A134</f>
        <v>2036</v>
      </c>
      <c r="B81" s="4"/>
      <c r="C81" s="980">
        <f>'4A SWD Case 1'!BN104</f>
        <v>2084.6752028610454</v>
      </c>
      <c r="D81" s="3">
        <f>'4B Biological treatment '!T134</f>
        <v>0.46458251181465593</v>
      </c>
      <c r="E81" s="1495">
        <f>'4B Biological treatment '!U134</f>
        <v>20.906213031659515</v>
      </c>
      <c r="F81" s="1495">
        <f>'4B Biological treatment '!W134</f>
        <v>1.2543727818995709</v>
      </c>
      <c r="G81" s="1184">
        <f>'4C2 Open-burning '!R107</f>
        <v>27.826896026563723</v>
      </c>
      <c r="H81" s="1184">
        <f>'4C2 Open-burning '!Z107</f>
        <v>6.8528169744062257</v>
      </c>
      <c r="I81" s="1184">
        <f>'4C2 Open-burning '!AH107</f>
        <v>0.10557682440810756</v>
      </c>
      <c r="J81" s="1220">
        <f>'4D Wastewater treatment and dis'!AV144</f>
        <v>195.92624915733671</v>
      </c>
      <c r="K81" s="981">
        <f>'4D Wastewater treatment and dis'!AW144</f>
        <v>3.4953616571191763</v>
      </c>
      <c r="L81" s="982">
        <f t="shared" si="101"/>
        <v>43778.179260081954</v>
      </c>
      <c r="M81" s="983">
        <f t="shared" si="102"/>
        <v>9.7562327481077737</v>
      </c>
      <c r="N81" s="982">
        <f t="shared" si="103"/>
        <v>827.88603605371679</v>
      </c>
      <c r="O81" s="984">
        <f t="shared" si="104"/>
        <v>204.46486805560784</v>
      </c>
      <c r="P81" s="982">
        <f t="shared" si="105"/>
        <v>5198.0133460110155</v>
      </c>
      <c r="Q81" s="650">
        <f t="shared" si="106"/>
        <v>43778.179260081954</v>
      </c>
      <c r="R81" s="652">
        <f t="shared" si="107"/>
        <v>837.64226880182457</v>
      </c>
      <c r="S81" s="649">
        <f t="shared" si="108"/>
        <v>204.46486805560784</v>
      </c>
      <c r="T81" s="650">
        <f t="shared" si="109"/>
        <v>5198.0133460110155</v>
      </c>
      <c r="U81" s="650">
        <f t="shared" si="110"/>
        <v>50018.299742950396</v>
      </c>
    </row>
    <row r="82" spans="1:21">
      <c r="A82" s="4">
        <f>'Input data'!A135</f>
        <v>2037</v>
      </c>
      <c r="B82" s="4"/>
      <c r="C82" s="980">
        <f>'4A SWD Case 1'!BN105</f>
        <v>2067.2278242980751</v>
      </c>
      <c r="D82" s="3">
        <f>'4B Biological treatment '!T135</f>
        <v>0.46467436807202811</v>
      </c>
      <c r="E82" s="1495">
        <f>'4B Biological treatment '!U135</f>
        <v>20.910346563241262</v>
      </c>
      <c r="F82" s="1495">
        <f>'4B Biological treatment '!W135</f>
        <v>1.2546207937944758</v>
      </c>
      <c r="G82" s="1184">
        <f>'4C2 Open-burning '!R108</f>
        <v>27.406952328833746</v>
      </c>
      <c r="H82" s="1184">
        <f>'4C2 Open-burning '!Z108</f>
        <v>6.7493991409061564</v>
      </c>
      <c r="I82" s="1184">
        <f>'4C2 Open-burning '!AH108</f>
        <v>0.10398353416135472</v>
      </c>
      <c r="J82" s="1220">
        <f>'4D Wastewater treatment and dis'!AV145</f>
        <v>199.21811618301393</v>
      </c>
      <c r="K82" s="981">
        <f>'4D Wastewater treatment and dis'!AW145</f>
        <v>3.5209252992027475</v>
      </c>
      <c r="L82" s="982">
        <f t="shared" si="101"/>
        <v>43411.78431025958</v>
      </c>
      <c r="M82" s="983">
        <f t="shared" si="102"/>
        <v>9.7581617295125902</v>
      </c>
      <c r="N82" s="982">
        <f t="shared" si="103"/>
        <v>828.04972390435398</v>
      </c>
      <c r="O82" s="984">
        <f t="shared" si="104"/>
        <v>201.37922987788298</v>
      </c>
      <c r="P82" s="982">
        <f t="shared" si="105"/>
        <v>5275.0672825961447</v>
      </c>
      <c r="Q82" s="650">
        <f t="shared" si="106"/>
        <v>43411.78431025958</v>
      </c>
      <c r="R82" s="652">
        <f t="shared" si="107"/>
        <v>837.80788563386659</v>
      </c>
      <c r="S82" s="649">
        <f t="shared" si="108"/>
        <v>201.37922987788298</v>
      </c>
      <c r="T82" s="650">
        <f t="shared" si="109"/>
        <v>5275.0672825961447</v>
      </c>
      <c r="U82" s="650">
        <f t="shared" si="110"/>
        <v>49726.03870836748</v>
      </c>
    </row>
    <row r="83" spans="1:21">
      <c r="A83" s="4">
        <f>'Input data'!A136</f>
        <v>2038</v>
      </c>
      <c r="B83" s="4"/>
      <c r="C83" s="980">
        <f>'4A SWD Case 1'!BN106</f>
        <v>2050.8408240314261</v>
      </c>
      <c r="D83" s="3">
        <f>'4B Biological treatment '!T136</f>
        <v>0.45861355262699077</v>
      </c>
      <c r="E83" s="1495">
        <f>'4B Biological treatment '!U136</f>
        <v>20.637609868214582</v>
      </c>
      <c r="F83" s="1495">
        <f>'4B Biological treatment '!W136</f>
        <v>1.238256592092875</v>
      </c>
      <c r="G83" s="1184">
        <f>'4C2 Open-burning '!R109</f>
        <v>26.424706803848768</v>
      </c>
      <c r="H83" s="1184">
        <f>'4C2 Open-burning '!Z109</f>
        <v>6.5075055139552376</v>
      </c>
      <c r="I83" s="1184">
        <f>'4C2 Open-burning '!AH109</f>
        <v>0.10025683883687464</v>
      </c>
      <c r="J83" s="1220">
        <f>'4D Wastewater treatment and dis'!AV146</f>
        <v>202.55137449125439</v>
      </c>
      <c r="K83" s="981">
        <f>'4D Wastewater treatment and dis'!AW146</f>
        <v>3.5467410482102202</v>
      </c>
      <c r="L83" s="982">
        <f t="shared" si="101"/>
        <v>43067.657304659951</v>
      </c>
      <c r="M83" s="983">
        <f t="shared" si="102"/>
        <v>9.6308846051668056</v>
      </c>
      <c r="N83" s="982">
        <f t="shared" si="103"/>
        <v>817.24935078129738</v>
      </c>
      <c r="O83" s="984">
        <f t="shared" si="104"/>
        <v>194.16194263633992</v>
      </c>
      <c r="P83" s="982">
        <f t="shared" si="105"/>
        <v>5353.0685892615111</v>
      </c>
      <c r="Q83" s="650">
        <f t="shared" si="106"/>
        <v>43067.657304659951</v>
      </c>
      <c r="R83" s="652">
        <f t="shared" si="107"/>
        <v>826.88023538646416</v>
      </c>
      <c r="S83" s="649">
        <f t="shared" si="108"/>
        <v>194.16194263633992</v>
      </c>
      <c r="T83" s="650">
        <f t="shared" si="109"/>
        <v>5353.0685892615111</v>
      </c>
      <c r="U83" s="650">
        <f t="shared" si="110"/>
        <v>49441.768071944272</v>
      </c>
    </row>
    <row r="84" spans="1:21">
      <c r="A84" s="4">
        <f>'Input data'!A137</f>
        <v>2039</v>
      </c>
      <c r="B84" s="4"/>
      <c r="C84" s="980">
        <f>'4A SWD Case 1'!BN107</f>
        <v>2035.3170757819696</v>
      </c>
      <c r="D84" s="3">
        <f>'4B Biological treatment '!T137</f>
        <v>0.45257188524100939</v>
      </c>
      <c r="E84" s="1495">
        <f>'4B Biological treatment '!U137</f>
        <v>20.365734835845419</v>
      </c>
      <c r="F84" s="1495">
        <f>'4B Biological treatment '!W137</f>
        <v>1.221944090150725</v>
      </c>
      <c r="G84" s="1184">
        <f>'4C2 Open-burning '!R110</f>
        <v>25.426313486734525</v>
      </c>
      <c r="H84" s="1184">
        <f>'4C2 Open-burning '!Z110</f>
        <v>6.2616352356416609</v>
      </c>
      <c r="I84" s="1184">
        <f>'4C2 Open-burning '!AH110</f>
        <v>9.6468877871678377E-2</v>
      </c>
      <c r="J84" s="1220">
        <f>'4D Wastewater treatment and dis'!AV147</f>
        <v>205.92061110966921</v>
      </c>
      <c r="K84" s="981">
        <f>'4D Wastewater treatment and dis'!AW147</f>
        <v>3.5727080613720332</v>
      </c>
      <c r="L84" s="982">
        <f t="shared" si="101"/>
        <v>42741.658591421365</v>
      </c>
      <c r="M84" s="983">
        <f t="shared" si="102"/>
        <v>9.5040095900611963</v>
      </c>
      <c r="N84" s="982">
        <f t="shared" si="103"/>
        <v>806.48309949947861</v>
      </c>
      <c r="O84" s="984">
        <f t="shared" si="104"/>
        <v>186.82600557542969</v>
      </c>
      <c r="P84" s="982">
        <f t="shared" si="105"/>
        <v>5431.872332328383</v>
      </c>
      <c r="Q84" s="650">
        <f t="shared" si="106"/>
        <v>42741.658591421365</v>
      </c>
      <c r="R84" s="652">
        <f t="shared" si="107"/>
        <v>815.98710908953979</v>
      </c>
      <c r="S84" s="649">
        <f t="shared" si="108"/>
        <v>186.82600557542969</v>
      </c>
      <c r="T84" s="650">
        <f t="shared" si="109"/>
        <v>5431.872332328383</v>
      </c>
      <c r="U84" s="650">
        <f t="shared" si="110"/>
        <v>49176.344038414718</v>
      </c>
    </row>
    <row r="85" spans="1:21">
      <c r="A85" s="4">
        <f>'Input data'!A138</f>
        <v>2040</v>
      </c>
      <c r="B85" s="4"/>
      <c r="C85" s="980">
        <f>'4A SWD Case 1'!BN108</f>
        <v>2020.6172459456031</v>
      </c>
      <c r="D85" s="3">
        <f>'4B Biological treatment '!T138</f>
        <v>0.44665659710974315</v>
      </c>
      <c r="E85" s="1495">
        <f>'4B Biological treatment '!U138</f>
        <v>20.09954686993844</v>
      </c>
      <c r="F85" s="1495">
        <f>'4B Biological treatment '!W138</f>
        <v>1.2059728121963063</v>
      </c>
      <c r="G85" s="1184">
        <f>'4C2 Open-burning '!R111</f>
        <v>24.411620991939824</v>
      </c>
      <c r="H85" s="1184">
        <f>'4C2 Open-burning '!Z111</f>
        <v>6.0117510248589028</v>
      </c>
      <c r="I85" s="1184">
        <f>'4C2 Open-burning '!AH111</f>
        <v>9.2619076900384276E-2</v>
      </c>
      <c r="J85" s="1220">
        <f>'4D Wastewater treatment and dis'!AV148</f>
        <v>209.32606562704407</v>
      </c>
      <c r="K85" s="981">
        <f>'4D Wastewater treatment and dis'!AW148</f>
        <v>3.5988263386881876</v>
      </c>
      <c r="L85" s="982">
        <f t="shared" si="101"/>
        <v>42432.962164857665</v>
      </c>
      <c r="M85" s="983">
        <f t="shared" si="102"/>
        <v>9.3797885393046059</v>
      </c>
      <c r="N85" s="982">
        <f t="shared" si="103"/>
        <v>795.94205604956221</v>
      </c>
      <c r="O85" s="984">
        <f t="shared" si="104"/>
        <v>179.37030635309591</v>
      </c>
      <c r="P85" s="982">
        <f t="shared" si="105"/>
        <v>5511.4835431612637</v>
      </c>
      <c r="Q85" s="650">
        <f t="shared" si="106"/>
        <v>42432.962164857665</v>
      </c>
      <c r="R85" s="652">
        <f t="shared" si="107"/>
        <v>805.32184458886684</v>
      </c>
      <c r="S85" s="649">
        <f t="shared" si="108"/>
        <v>179.37030635309591</v>
      </c>
      <c r="T85" s="650">
        <f t="shared" si="109"/>
        <v>5511.4835431612637</v>
      </c>
      <c r="U85" s="650">
        <f t="shared" si="110"/>
        <v>48929.137858960894</v>
      </c>
    </row>
    <row r="86" spans="1:21">
      <c r="A86" s="4">
        <f>'Input data'!A139</f>
        <v>2041</v>
      </c>
      <c r="B86" s="4"/>
      <c r="C86" s="980">
        <f>'4A SWD Case 1'!BN109</f>
        <v>2006.7096907860482</v>
      </c>
      <c r="D86" s="3">
        <f>'4B Biological treatment '!T139</f>
        <v>0.44050087880532485</v>
      </c>
      <c r="E86" s="1495">
        <f>'4B Biological treatment '!U139</f>
        <v>19.822539546239614</v>
      </c>
      <c r="F86" s="1495">
        <f>'4B Biological treatment '!W139</f>
        <v>1.1893523727743767</v>
      </c>
      <c r="G86" s="1184">
        <f>'4C2 Open-burning '!R112</f>
        <v>23.355437642368543</v>
      </c>
      <c r="H86" s="1184">
        <f>'4C2 Open-burning '!Z112</f>
        <v>5.7516490293248683</v>
      </c>
      <c r="I86" s="1184">
        <f>'4C2 Open-burning '!AH112</f>
        <v>8.8611857268916683E-2</v>
      </c>
      <c r="J86" s="1220">
        <f>'4D Wastewater treatment and dis'!AV149</f>
        <v>212.54010495110225</v>
      </c>
      <c r="K86" s="981">
        <f>'4D Wastewater treatment and dis'!AW149</f>
        <v>3.6212134335306052</v>
      </c>
      <c r="L86" s="982">
        <f t="shared" si="101"/>
        <v>42140.903506507013</v>
      </c>
      <c r="M86" s="983">
        <f t="shared" si="102"/>
        <v>9.2505184549118216</v>
      </c>
      <c r="N86" s="982">
        <f t="shared" si="103"/>
        <v>784.97256603108872</v>
      </c>
      <c r="O86" s="984">
        <f t="shared" si="104"/>
        <v>171.60974301155494</v>
      </c>
      <c r="P86" s="982">
        <f t="shared" si="105"/>
        <v>5585.9183683676356</v>
      </c>
      <c r="Q86" s="650">
        <f t="shared" si="106"/>
        <v>42140.903506507013</v>
      </c>
      <c r="R86" s="652">
        <f t="shared" si="107"/>
        <v>794.22308448600052</v>
      </c>
      <c r="S86" s="649">
        <f t="shared" si="108"/>
        <v>171.60974301155494</v>
      </c>
      <c r="T86" s="650">
        <f t="shared" si="109"/>
        <v>5585.9183683676356</v>
      </c>
      <c r="U86" s="650">
        <f t="shared" si="110"/>
        <v>48692.654702372209</v>
      </c>
    </row>
    <row r="87" spans="1:21">
      <c r="A87" s="4">
        <f>'Input data'!A140</f>
        <v>2042</v>
      </c>
      <c r="B87" s="4"/>
      <c r="C87" s="980">
        <f>'4A SWD Case 1'!BN110</f>
        <v>1993.5518860803729</v>
      </c>
      <c r="D87" s="3">
        <f>'4B Biological treatment '!T140</f>
        <v>0.43442289658017946</v>
      </c>
      <c r="E87" s="1495">
        <f>'4B Biological treatment '!U140</f>
        <v>19.549030346108076</v>
      </c>
      <c r="F87" s="1495">
        <f>'4B Biological treatment '!W140</f>
        <v>1.1729418207664843</v>
      </c>
      <c r="G87" s="1184">
        <f>'4C2 Open-burning '!R113</f>
        <v>22.284934341027064</v>
      </c>
      <c r="H87" s="1184">
        <f>'4C2 Open-burning '!Z113</f>
        <v>5.4880205172699199</v>
      </c>
      <c r="I87" s="1184">
        <f>'4C2 Open-burning '!AH113</f>
        <v>8.4550306926897259E-2</v>
      </c>
      <c r="J87" s="1220">
        <f>'4D Wastewater treatment and dis'!AV150</f>
        <v>215.78375571491307</v>
      </c>
      <c r="K87" s="981">
        <f>'4D Wastewater treatment and dis'!AW150</f>
        <v>3.643701371142583</v>
      </c>
      <c r="L87" s="982">
        <f t="shared" si="101"/>
        <v>41864.589607687834</v>
      </c>
      <c r="M87" s="983">
        <f t="shared" si="102"/>
        <v>9.122880828183769</v>
      </c>
      <c r="N87" s="982">
        <f t="shared" si="103"/>
        <v>774.14160170587979</v>
      </c>
      <c r="O87" s="984">
        <f t="shared" si="104"/>
        <v>163.74396035103354</v>
      </c>
      <c r="P87" s="982">
        <f t="shared" si="105"/>
        <v>5661.0062950673746</v>
      </c>
      <c r="Q87" s="650">
        <f t="shared" si="106"/>
        <v>41864.589607687834</v>
      </c>
      <c r="R87" s="652">
        <f t="shared" si="107"/>
        <v>783.26448253406352</v>
      </c>
      <c r="S87" s="649">
        <f t="shared" si="108"/>
        <v>163.74396035103354</v>
      </c>
      <c r="T87" s="650">
        <f t="shared" si="109"/>
        <v>5661.0062950673746</v>
      </c>
      <c r="U87" s="650">
        <f t="shared" si="110"/>
        <v>48472.604345640306</v>
      </c>
    </row>
    <row r="88" spans="1:21">
      <c r="A88" s="4">
        <f>'Input data'!A141</f>
        <v>2043</v>
      </c>
      <c r="B88" s="4"/>
      <c r="C88" s="980">
        <f>'4A SWD Case 1'!BN111</f>
        <v>1981.1122141760136</v>
      </c>
      <c r="D88" s="3">
        <f>'4B Biological treatment '!T141</f>
        <v>0.42841028816073512</v>
      </c>
      <c r="E88" s="1495">
        <f>'4B Biological treatment '!U141</f>
        <v>19.278462967233079</v>
      </c>
      <c r="F88" s="1495">
        <f>'4B Biological treatment '!W141</f>
        <v>1.1567077780339847</v>
      </c>
      <c r="G88" s="1184">
        <f>'4C2 Open-burning '!R114</f>
        <v>21.200301721572483</v>
      </c>
      <c r="H88" s="1184">
        <f>'4C2 Open-burning '!Z114</f>
        <v>5.220912435272643</v>
      </c>
      <c r="I88" s="1184">
        <f>'4C2 Open-burning '!AH114</f>
        <v>8.0435149149251178E-2</v>
      </c>
      <c r="J88" s="1220">
        <f>'4D Wastewater treatment and dis'!AV151</f>
        <v>219.06019027175444</v>
      </c>
      <c r="K88" s="981">
        <f>'4D Wastewater treatment and dis'!AW151</f>
        <v>3.6663405729089016</v>
      </c>
      <c r="L88" s="982">
        <f t="shared" si="101"/>
        <v>41603.356497696288</v>
      </c>
      <c r="M88" s="983">
        <f t="shared" si="102"/>
        <v>8.9966160513754367</v>
      </c>
      <c r="N88" s="982">
        <f t="shared" si="103"/>
        <v>763.42713350242991</v>
      </c>
      <c r="O88" s="984">
        <f t="shared" si="104"/>
        <v>155.77435909856584</v>
      </c>
      <c r="P88" s="982">
        <f t="shared" si="105"/>
        <v>5736.8295733086024</v>
      </c>
      <c r="Q88" s="650">
        <f t="shared" si="106"/>
        <v>41603.356497696288</v>
      </c>
      <c r="R88" s="652">
        <f t="shared" si="107"/>
        <v>772.42374955380535</v>
      </c>
      <c r="S88" s="649">
        <f t="shared" si="108"/>
        <v>155.77435909856584</v>
      </c>
      <c r="T88" s="650">
        <f t="shared" si="109"/>
        <v>5736.8295733086024</v>
      </c>
      <c r="U88" s="650">
        <f t="shared" si="110"/>
        <v>48268.38417965726</v>
      </c>
    </row>
    <row r="89" spans="1:21">
      <c r="A89" s="4">
        <f>'Input data'!A142</f>
        <v>2044</v>
      </c>
      <c r="B89" s="4"/>
      <c r="C89" s="980">
        <f>'4A SWD Case 1'!BN112</f>
        <v>1969.359793204065</v>
      </c>
      <c r="D89" s="3">
        <f>'4B Biological treatment '!T142</f>
        <v>0.42249053788062774</v>
      </c>
      <c r="E89" s="1495">
        <f>'4B Biological treatment '!U142</f>
        <v>19.012074204628242</v>
      </c>
      <c r="F89" s="1495">
        <f>'4B Biological treatment '!W142</f>
        <v>1.1407244522776947</v>
      </c>
      <c r="G89" s="1184">
        <f>'4C2 Open-burning '!R115</f>
        <v>20.101113661712514</v>
      </c>
      <c r="H89" s="1184">
        <f>'4C2 Open-burning '!Z115</f>
        <v>4.9502198439220866</v>
      </c>
      <c r="I89" s="1184">
        <f>'4C2 Open-burning '!AH115</f>
        <v>7.6264767203792966E-2</v>
      </c>
      <c r="J89" s="1220">
        <f>'4D Wastewater treatment and dis'!AV152</f>
        <v>222.36660896201545</v>
      </c>
      <c r="K89" s="981">
        <f>'4D Wastewater treatment and dis'!AW152</f>
        <v>3.6890806174447812</v>
      </c>
      <c r="L89" s="982">
        <f t="shared" si="101"/>
        <v>41356.555657285367</v>
      </c>
      <c r="M89" s="983">
        <f t="shared" si="102"/>
        <v>8.8723012954931821</v>
      </c>
      <c r="N89" s="982">
        <f t="shared" si="103"/>
        <v>752.87813850327848</v>
      </c>
      <c r="O89" s="984">
        <f t="shared" si="104"/>
        <v>147.69780821725215</v>
      </c>
      <c r="P89" s="982">
        <f t="shared" si="105"/>
        <v>5813.3137796102064</v>
      </c>
      <c r="Q89" s="650">
        <f t="shared" si="106"/>
        <v>41356.555657285367</v>
      </c>
      <c r="R89" s="652">
        <f t="shared" si="107"/>
        <v>761.75043979877171</v>
      </c>
      <c r="S89" s="649">
        <f t="shared" si="108"/>
        <v>147.69780821725215</v>
      </c>
      <c r="T89" s="650">
        <f t="shared" si="109"/>
        <v>5813.3137796102064</v>
      </c>
      <c r="U89" s="650">
        <f t="shared" si="110"/>
        <v>48079.317684911599</v>
      </c>
    </row>
    <row r="90" spans="1:21">
      <c r="A90" s="4">
        <f>'Input data'!A143</f>
        <v>2045</v>
      </c>
      <c r="B90" s="4"/>
      <c r="C90" s="980">
        <f>'4A SWD Case 1'!BN113</f>
        <v>1958.2667837775405</v>
      </c>
      <c r="D90" s="3">
        <f>'4B Biological treatment '!T143</f>
        <v>0.41680211158932295</v>
      </c>
      <c r="E90" s="1495">
        <f>'4B Biological treatment '!U143</f>
        <v>18.756095021519528</v>
      </c>
      <c r="F90" s="1495">
        <f>'4B Biological treatment '!W143</f>
        <v>1.1253657012911717</v>
      </c>
      <c r="G90" s="1184">
        <f>'4C2 Open-burning '!R116</f>
        <v>18.987785069994899</v>
      </c>
      <c r="H90" s="1184">
        <f>'4C2 Open-burning '!Z116</f>
        <v>4.6760449210657562</v>
      </c>
      <c r="I90" s="1184">
        <f>'4C2 Open-burning '!AH116</f>
        <v>7.2040735277124263E-2</v>
      </c>
      <c r="J90" s="1220">
        <f>'4D Wastewater treatment and dis'!AV153</f>
        <v>225.70930325029914</v>
      </c>
      <c r="K90" s="981">
        <f>'4D Wastewater treatment and dis'!AW153</f>
        <v>3.7120223475197802</v>
      </c>
      <c r="L90" s="982">
        <f t="shared" si="101"/>
        <v>41123.602459328351</v>
      </c>
      <c r="M90" s="983">
        <f t="shared" si="102"/>
        <v>8.7528443433757825</v>
      </c>
      <c r="N90" s="982">
        <f t="shared" si="103"/>
        <v>742.74136285217332</v>
      </c>
      <c r="O90" s="984">
        <f t="shared" si="104"/>
        <v>139.5173563482843</v>
      </c>
      <c r="P90" s="982">
        <f t="shared" si="105"/>
        <v>5890.622295987414</v>
      </c>
      <c r="Q90" s="650">
        <f t="shared" si="106"/>
        <v>41123.602459328351</v>
      </c>
      <c r="R90" s="652">
        <f t="shared" si="107"/>
        <v>751.49420719554905</v>
      </c>
      <c r="S90" s="649">
        <f t="shared" si="108"/>
        <v>139.5173563482843</v>
      </c>
      <c r="T90" s="650">
        <f t="shared" si="109"/>
        <v>5890.622295987414</v>
      </c>
      <c r="U90" s="650">
        <f t="shared" si="110"/>
        <v>47905.236318859599</v>
      </c>
    </row>
    <row r="91" spans="1:21">
      <c r="A91" s="4">
        <f>'Input data'!A144</f>
        <v>2046</v>
      </c>
      <c r="B91" s="4"/>
      <c r="C91" s="980">
        <f>'4A SWD Case 1'!BN114</f>
        <v>1947.8140149557871</v>
      </c>
      <c r="D91" s="3">
        <f>'4B Biological treatment '!T144</f>
        <v>0.41105887214695525</v>
      </c>
      <c r="E91" s="1495">
        <f>'4B Biological treatment '!U144</f>
        <v>18.497649246612987</v>
      </c>
      <c r="F91" s="1495">
        <f>'4B Biological treatment '!W144</f>
        <v>1.109858954796779</v>
      </c>
      <c r="G91" s="1184">
        <f>'4C2 Open-burning '!R117</f>
        <v>17.839862076389249</v>
      </c>
      <c r="H91" s="1184">
        <f>'4C2 Open-burning '!Z117</f>
        <v>4.3933505749776192</v>
      </c>
      <c r="I91" s="1184">
        <f>'4C2 Open-burning '!AH117</f>
        <v>6.768545022433789E-2</v>
      </c>
      <c r="J91" s="1220">
        <f>'4D Wastewater treatment and dis'!AV154</f>
        <v>228.82882339897614</v>
      </c>
      <c r="K91" s="981">
        <f>'4D Wastewater treatment and dis'!AW154</f>
        <v>3.7309303668123635</v>
      </c>
      <c r="L91" s="982">
        <f t="shared" si="101"/>
        <v>40904.094314071532</v>
      </c>
      <c r="M91" s="983">
        <f t="shared" si="102"/>
        <v>8.632236315086061</v>
      </c>
      <c r="N91" s="982">
        <f t="shared" si="103"/>
        <v>732.50691016587416</v>
      </c>
      <c r="O91" s="984">
        <f t="shared" si="104"/>
        <v>131.082713720464</v>
      </c>
      <c r="P91" s="982">
        <f t="shared" si="105"/>
        <v>5961.9937050903318</v>
      </c>
      <c r="Q91" s="650">
        <f t="shared" si="106"/>
        <v>40904.094314071532</v>
      </c>
      <c r="R91" s="652">
        <f t="shared" si="107"/>
        <v>741.13914648096022</v>
      </c>
      <c r="S91" s="649">
        <f t="shared" si="108"/>
        <v>131.082713720464</v>
      </c>
      <c r="T91" s="650">
        <f t="shared" si="109"/>
        <v>5961.9937050903318</v>
      </c>
      <c r="U91" s="650">
        <f t="shared" si="110"/>
        <v>47738.309879363282</v>
      </c>
    </row>
    <row r="92" spans="1:21">
      <c r="A92" s="4">
        <f>'Input data'!A145</f>
        <v>2047</v>
      </c>
      <c r="B92" s="4"/>
      <c r="C92" s="980">
        <f>'4A SWD Case 1'!BN115</f>
        <v>1937.9733443352366</v>
      </c>
      <c r="D92" s="3">
        <f>'4B Biological treatment '!T145</f>
        <v>0.40551593065416613</v>
      </c>
      <c r="E92" s="1495">
        <f>'4B Biological treatment '!U145</f>
        <v>18.248216879437472</v>
      </c>
      <c r="F92" s="1495">
        <f>'4B Biological treatment '!W145</f>
        <v>1.0948930127662484</v>
      </c>
      <c r="G92" s="1184">
        <f>'4C2 Open-burning '!R118</f>
        <v>16.679996444854655</v>
      </c>
      <c r="H92" s="1184">
        <f>'4C2 Open-burning '!Z118</f>
        <v>4.1077151638191802</v>
      </c>
      <c r="I92" s="1184">
        <f>'4C2 Open-burning '!AH118</f>
        <v>6.3284854124771847E-2</v>
      </c>
      <c r="J92" s="1220">
        <f>'4D Wastewater treatment and dis'!AV155</f>
        <v>231.97766661377796</v>
      </c>
      <c r="K92" s="981">
        <f>'4D Wastewater treatment and dis'!AW155</f>
        <v>3.7499896502592862</v>
      </c>
      <c r="L92" s="982">
        <f t="shared" si="101"/>
        <v>40697.440231039967</v>
      </c>
      <c r="M92" s="983">
        <f t="shared" si="102"/>
        <v>8.5158345437374887</v>
      </c>
      <c r="N92" s="982">
        <f t="shared" si="103"/>
        <v>722.62938842572385</v>
      </c>
      <c r="O92" s="984">
        <f t="shared" si="104"/>
        <v>122.56031966373671</v>
      </c>
      <c r="P92" s="982">
        <f t="shared" si="105"/>
        <v>6034.0277904697159</v>
      </c>
      <c r="Q92" s="650">
        <f t="shared" si="106"/>
        <v>40697.440231039967</v>
      </c>
      <c r="R92" s="652">
        <f t="shared" si="107"/>
        <v>731.14522296946132</v>
      </c>
      <c r="S92" s="649">
        <f t="shared" si="108"/>
        <v>122.56031966373671</v>
      </c>
      <c r="T92" s="650">
        <f t="shared" si="109"/>
        <v>6034.0277904697159</v>
      </c>
      <c r="U92" s="650">
        <f t="shared" si="110"/>
        <v>47585.173564142882</v>
      </c>
    </row>
    <row r="93" spans="1:21">
      <c r="A93" s="4">
        <f>'Input data'!A146</f>
        <v>2048</v>
      </c>
      <c r="B93" s="4"/>
      <c r="C93" s="980">
        <f>'4A SWD Case 1'!BN116</f>
        <v>1928.725264944854</v>
      </c>
      <c r="D93" s="3">
        <f>'4B Biological treatment '!T146</f>
        <v>0.41384086205237391</v>
      </c>
      <c r="E93" s="1495">
        <f>'4B Biological treatment '!U146</f>
        <v>18.622838792356823</v>
      </c>
      <c r="F93" s="1495">
        <f>'4B Biological treatment '!W146</f>
        <v>1.1173703275414093</v>
      </c>
      <c r="G93" s="1184">
        <f>'4C2 Open-burning '!R119</f>
        <v>16.765220903314642</v>
      </c>
      <c r="H93" s="1184">
        <f>'4C2 Open-burning '!Z119</f>
        <v>4.1287030460109868</v>
      </c>
      <c r="I93" s="1184">
        <f>'4C2 Open-burning '!AH119</f>
        <v>6.3608200561884959E-2</v>
      </c>
      <c r="J93" s="1220">
        <f>'4D Wastewater treatment and dis'!AV156</f>
        <v>235.1529267511888</v>
      </c>
      <c r="K93" s="981">
        <f>'4D Wastewater treatment and dis'!AW156</f>
        <v>3.76914977647577</v>
      </c>
      <c r="L93" s="982">
        <f t="shared" si="101"/>
        <v>40503.230563841935</v>
      </c>
      <c r="M93" s="983">
        <f t="shared" si="102"/>
        <v>8.6906581030998531</v>
      </c>
      <c r="N93" s="982">
        <f t="shared" si="103"/>
        <v>737.46441617733012</v>
      </c>
      <c r="O93" s="984">
        <f t="shared" si="104"/>
        <v>123.1865270437297</v>
      </c>
      <c r="P93" s="982">
        <f t="shared" si="105"/>
        <v>6106.6478924824532</v>
      </c>
      <c r="Q93" s="650">
        <f t="shared" si="106"/>
        <v>40503.230563841935</v>
      </c>
      <c r="R93" s="652">
        <f t="shared" si="107"/>
        <v>746.15507428042997</v>
      </c>
      <c r="S93" s="649">
        <f t="shared" si="108"/>
        <v>123.1865270437297</v>
      </c>
      <c r="T93" s="650">
        <f t="shared" si="109"/>
        <v>6106.6478924824532</v>
      </c>
      <c r="U93" s="650">
        <f t="shared" si="110"/>
        <v>47479.220057648548</v>
      </c>
    </row>
    <row r="94" spans="1:21">
      <c r="A94" s="4">
        <f>'Input data'!A147</f>
        <v>2049</v>
      </c>
      <c r="B94" s="4"/>
      <c r="C94" s="980">
        <f>'4A SWD Case 1'!BN117</f>
        <v>1920.3924318935874</v>
      </c>
      <c r="D94" s="3">
        <f>'4B Biological treatment '!T147</f>
        <v>0.4225322649254345</v>
      </c>
      <c r="E94" s="1495">
        <f>'4B Biological treatment '!U147</f>
        <v>19.013951921644555</v>
      </c>
      <c r="F94" s="1495">
        <f>'4B Biological treatment '!W147</f>
        <v>1.1408371152986732</v>
      </c>
      <c r="G94" s="1184">
        <f>'4C2 Open-burning '!R120</f>
        <v>16.850669636665316</v>
      </c>
      <c r="H94" s="1184">
        <f>'4C2 Open-burning '!Z120</f>
        <v>4.1497461594717198</v>
      </c>
      <c r="I94" s="1184">
        <f>'4C2 Open-burning '!AH120</f>
        <v>6.3932397910674676E-2</v>
      </c>
      <c r="J94" s="1220">
        <f>'4D Wastewater treatment and dis'!AV157</f>
        <v>238.35159118378778</v>
      </c>
      <c r="K94" s="981">
        <f>'4D Wastewater treatment and dis'!AW157</f>
        <v>3.7883603240770336</v>
      </c>
      <c r="L94" s="982">
        <f t="shared" si="101"/>
        <v>40328.241069765332</v>
      </c>
      <c r="M94" s="983">
        <f t="shared" si="102"/>
        <v>8.8731775634341243</v>
      </c>
      <c r="N94" s="982">
        <f t="shared" si="103"/>
        <v>752.95249609712437</v>
      </c>
      <c r="O94" s="984">
        <f t="shared" si="104"/>
        <v>123.81438233788059</v>
      </c>
      <c r="P94" s="982">
        <f t="shared" si="105"/>
        <v>6179.775115323424</v>
      </c>
      <c r="Q94" s="650">
        <f t="shared" si="106"/>
        <v>40328.241069765332</v>
      </c>
      <c r="R94" s="652">
        <f t="shared" si="107"/>
        <v>761.82567366055844</v>
      </c>
      <c r="S94" s="649">
        <f t="shared" si="108"/>
        <v>123.81438233788059</v>
      </c>
      <c r="T94" s="650">
        <f t="shared" si="109"/>
        <v>6179.775115323424</v>
      </c>
      <c r="U94" s="650">
        <f t="shared" si="110"/>
        <v>47393.656241087199</v>
      </c>
    </row>
    <row r="95" spans="1:21">
      <c r="A95" s="4">
        <f>'Input data'!A148</f>
        <v>2050</v>
      </c>
      <c r="B95" s="4"/>
      <c r="C95" s="980">
        <f>'4A SWD Case 1'!BN118</f>
        <v>1912.9504113377011</v>
      </c>
      <c r="D95" s="3">
        <f>'4B Biological treatment '!T148</f>
        <v>0.43162405041817797</v>
      </c>
      <c r="E95" s="1495">
        <f>'4B Biological treatment '!U148</f>
        <v>19.423082268818003</v>
      </c>
      <c r="F95" s="1495">
        <f>'4B Biological treatment '!W148</f>
        <v>1.1653849361290802</v>
      </c>
      <c r="G95" s="1184">
        <f>'4C2 Open-burning '!R121</f>
        <v>16.936791194688041</v>
      </c>
      <c r="H95" s="1184">
        <f>'4C2 Open-burning '!Z121</f>
        <v>4.1709549667392309</v>
      </c>
      <c r="I95" s="1184">
        <f>'4C2 Open-burning '!AH121</f>
        <v>6.425914799449424E-2</v>
      </c>
      <c r="J95" s="1220">
        <f>'4D Wastewater treatment and dis'!AV158</f>
        <v>241.58013772301177</v>
      </c>
      <c r="K95" s="981">
        <f>'4D Wastewater treatment and dis'!AW158</f>
        <v>3.8077221358326381</v>
      </c>
      <c r="L95" s="982">
        <f t="shared" si="101"/>
        <v>40171.958638091724</v>
      </c>
      <c r="M95" s="983">
        <f t="shared" si="102"/>
        <v>9.0641050587817382</v>
      </c>
      <c r="N95" s="982">
        <f t="shared" si="103"/>
        <v>769.15405784519294</v>
      </c>
      <c r="O95" s="984">
        <f t="shared" si="104"/>
        <v>124.44718137450511</v>
      </c>
      <c r="P95" s="982">
        <f t="shared" si="105"/>
        <v>6253.5767542913654</v>
      </c>
      <c r="Q95" s="583">
        <f t="shared" si="106"/>
        <v>40171.958638091724</v>
      </c>
      <c r="R95" s="648">
        <f t="shared" si="107"/>
        <v>778.21816290397464</v>
      </c>
      <c r="S95" s="645">
        <f t="shared" si="108"/>
        <v>124.44718137450511</v>
      </c>
      <c r="T95" s="583">
        <f t="shared" si="109"/>
        <v>6253.5767542913654</v>
      </c>
      <c r="U95" s="583">
        <f t="shared" si="110"/>
        <v>47328.200736661573</v>
      </c>
    </row>
    <row r="96" spans="1:21">
      <c r="A96" s="501" t="s">
        <v>753</v>
      </c>
      <c r="B96" s="501"/>
      <c r="C96" s="583"/>
      <c r="D96" s="3">
        <f>'4B Biological treatment '!T149</f>
        <v>0</v>
      </c>
      <c r="E96" s="584">
        <f>'4B Biological treatment '!U149</f>
        <v>0</v>
      </c>
      <c r="F96" s="584">
        <f>'4B Biological treatment '!W149</f>
        <v>0</v>
      </c>
      <c r="G96" s="1184"/>
      <c r="H96" s="1184"/>
      <c r="I96" s="1184"/>
      <c r="J96" s="1219"/>
      <c r="K96" s="646"/>
      <c r="L96" s="583"/>
      <c r="M96" s="3"/>
      <c r="N96" s="583"/>
      <c r="O96" s="645"/>
      <c r="P96" s="583"/>
      <c r="Q96" s="583"/>
      <c r="R96" s="648"/>
      <c r="S96" s="645"/>
      <c r="T96" s="583"/>
      <c r="U96" s="583"/>
    </row>
    <row r="97" spans="1:21">
      <c r="A97" s="4">
        <f>'Input data'!A116</f>
        <v>2018</v>
      </c>
      <c r="B97" s="4"/>
      <c r="C97" s="980">
        <f>'4A SWD Case 2'!BG86</f>
        <v>2252.9713671294257</v>
      </c>
      <c r="D97" s="3">
        <f>'4B Biological treatment '!T150</f>
        <v>0.475089073490573</v>
      </c>
      <c r="E97" s="1495">
        <f>'4B Biological treatment '!U150</f>
        <v>37.215310756761539</v>
      </c>
      <c r="F97" s="1495">
        <f>'4B Biological treatment '!W150</f>
        <v>2.2329186454056926</v>
      </c>
      <c r="G97" s="1184">
        <f>'4C2 Open-burning '!R123</f>
        <v>45.721904224931905</v>
      </c>
      <c r="H97" s="1184">
        <f>'4C2 Open-burning '!Z123</f>
        <v>11.259748161479752</v>
      </c>
      <c r="I97" s="1184">
        <f>'4C2 Open-burning '!AH123</f>
        <v>0.17347150215215879</v>
      </c>
      <c r="J97" s="1220">
        <f>'4D Wastewater treatment and dis'!AV160</f>
        <v>137.16052018288545</v>
      </c>
      <c r="K97" s="981">
        <f>'4D Wastewater treatment and dis'!AW160</f>
        <v>2.8960026562367029</v>
      </c>
      <c r="L97" s="982">
        <f t="shared" ref="L97:L129" si="111">C97*$B$3</f>
        <v>47312.398709717942</v>
      </c>
      <c r="M97" s="983">
        <f t="shared" ref="M97:M129" si="112">D97*$B$3</f>
        <v>9.9768705433020326</v>
      </c>
      <c r="N97" s="982">
        <f t="shared" ref="N97:N129" si="113">E97*$B$3+F97*$C$3</f>
        <v>1473.7263059677571</v>
      </c>
      <c r="O97" s="984">
        <f t="shared" ref="O97:O129" si="114">G97+H97*$B$3+I97*$C$3</f>
        <v>335.95278128317591</v>
      </c>
      <c r="P97" s="982">
        <f t="shared" ref="P97:P129" si="115">J97*$B$3+K97*$C$3</f>
        <v>3778.1317472739725</v>
      </c>
      <c r="Q97" s="583">
        <f t="shared" si="74"/>
        <v>47312.398709717942</v>
      </c>
      <c r="R97" s="648">
        <f t="shared" si="75"/>
        <v>1483.7031765110592</v>
      </c>
      <c r="S97" s="645">
        <f t="shared" si="76"/>
        <v>335.95278128317591</v>
      </c>
      <c r="T97" s="583">
        <f t="shared" si="77"/>
        <v>3778.1317472739725</v>
      </c>
      <c r="U97" s="583">
        <f t="shared" si="78"/>
        <v>52910.186414786149</v>
      </c>
    </row>
    <row r="98" spans="1:21">
      <c r="A98" s="4">
        <f>'Input data'!A117</f>
        <v>2019</v>
      </c>
      <c r="B98" s="4"/>
      <c r="C98" s="980">
        <f>'4A SWD Case 2'!BG87</f>
        <v>2265.3356525671547</v>
      </c>
      <c r="D98" s="3">
        <f>'4B Biological treatment '!T151</f>
        <v>0.57533420408466895</v>
      </c>
      <c r="E98" s="1495">
        <f>'4B Biological treatment '!U151</f>
        <v>38.21862927133872</v>
      </c>
      <c r="F98" s="1495">
        <f>'4B Biological treatment '!W151</f>
        <v>2.2931177562803233</v>
      </c>
      <c r="G98" s="1184">
        <f>'4C2 Open-burning '!R124</f>
        <v>45.721592774827457</v>
      </c>
      <c r="H98" s="1184">
        <f>'4C2 Open-burning '!Z124</f>
        <v>11.258320518627356</v>
      </c>
      <c r="I98" s="1184">
        <f>'4C2 Open-burning '!AH124</f>
        <v>0.17345567083268393</v>
      </c>
      <c r="J98" s="1220">
        <f>'4D Wastewater treatment and dis'!AV161</f>
        <v>143.32311856444659</v>
      </c>
      <c r="K98" s="981">
        <f>'4D Wastewater treatment and dis'!AW161</f>
        <v>2.9428441226975277</v>
      </c>
      <c r="L98" s="982">
        <f t="shared" si="111"/>
        <v>47572.048703910252</v>
      </c>
      <c r="M98" s="983">
        <f t="shared" si="112"/>
        <v>12.082018285778048</v>
      </c>
      <c r="N98" s="982">
        <f t="shared" si="113"/>
        <v>1513.4577191450135</v>
      </c>
      <c r="O98" s="984">
        <f t="shared" si="114"/>
        <v>335.91758162413396</v>
      </c>
      <c r="P98" s="982">
        <f t="shared" si="115"/>
        <v>3922.0671678896119</v>
      </c>
      <c r="Q98" s="650">
        <f t="shared" si="74"/>
        <v>47572.048703910252</v>
      </c>
      <c r="R98" s="652">
        <f t="shared" si="75"/>
        <v>1525.5397374307915</v>
      </c>
      <c r="S98" s="649">
        <f t="shared" si="76"/>
        <v>335.91758162413396</v>
      </c>
      <c r="T98" s="650">
        <f t="shared" si="77"/>
        <v>3922.0671678896119</v>
      </c>
      <c r="U98" s="650">
        <f t="shared" si="78"/>
        <v>53355.57319085479</v>
      </c>
    </row>
    <row r="99" spans="1:21">
      <c r="A99" s="4">
        <f>'Input data'!A118</f>
        <v>2020</v>
      </c>
      <c r="B99" s="4"/>
      <c r="C99" s="980">
        <f>'4A SWD Case 2'!BG88</f>
        <v>2271.6256106995647</v>
      </c>
      <c r="D99" s="3">
        <f>'4B Biological treatment '!T152</f>
        <v>0.61278810533512851</v>
      </c>
      <c r="E99" s="1495">
        <f>'4B Biological treatment '!U152</f>
        <v>35.235316056769889</v>
      </c>
      <c r="F99" s="1495">
        <f>'4B Biological treatment '!W152</f>
        <v>2.114118963406193</v>
      </c>
      <c r="G99" s="1184">
        <f>'4C2 Open-burning '!R125</f>
        <v>45.38335713019427</v>
      </c>
      <c r="H99" s="1184">
        <f>'4C2 Open-burning '!Z125</f>
        <v>11.17637553970982</v>
      </c>
      <c r="I99" s="1184">
        <f>'4C2 Open-burning '!AH125</f>
        <v>0.17218703524140921</v>
      </c>
      <c r="J99" s="1220">
        <f>'4D Wastewater treatment and dis'!AV162</f>
        <v>149.6491219215433</v>
      </c>
      <c r="K99" s="981">
        <f>'4D Wastewater treatment and dis'!AW162</f>
        <v>2.9904419099300554</v>
      </c>
      <c r="L99" s="982">
        <f t="shared" si="111"/>
        <v>47704.137824690857</v>
      </c>
      <c r="M99" s="983">
        <f t="shared" si="112"/>
        <v>12.868550212037698</v>
      </c>
      <c r="N99" s="982">
        <f t="shared" si="113"/>
        <v>1395.3185158480876</v>
      </c>
      <c r="O99" s="984">
        <f t="shared" si="114"/>
        <v>333.46522438893732</v>
      </c>
      <c r="P99" s="982">
        <f t="shared" si="115"/>
        <v>4069.6685524307268</v>
      </c>
      <c r="Q99" s="650">
        <f t="shared" si="74"/>
        <v>47704.137824690857</v>
      </c>
      <c r="R99" s="652">
        <f t="shared" si="75"/>
        <v>1408.1870660601253</v>
      </c>
      <c r="S99" s="649">
        <f t="shared" si="76"/>
        <v>333.46522438893732</v>
      </c>
      <c r="T99" s="650">
        <f t="shared" si="77"/>
        <v>4069.6685524307268</v>
      </c>
      <c r="U99" s="650">
        <f t="shared" si="78"/>
        <v>53515.458667570645</v>
      </c>
    </row>
    <row r="100" spans="1:21">
      <c r="A100" s="4">
        <f>'Input data'!A119</f>
        <v>2021</v>
      </c>
      <c r="B100" s="4"/>
      <c r="C100" s="980">
        <f>'4A SWD Case 2'!BG89</f>
        <v>2259.5029807893625</v>
      </c>
      <c r="D100" s="3">
        <f>'4B Biological treatment '!T153</f>
        <v>0.59869698276371364</v>
      </c>
      <c r="E100" s="1495">
        <f>'4B Biological treatment '!U153</f>
        <v>30.267458573054412</v>
      </c>
      <c r="F100" s="1495">
        <f>'4B Biological treatment '!W153</f>
        <v>1.8160475143832646</v>
      </c>
      <c r="G100" s="1184">
        <f>'4C2 Open-burning '!R126</f>
        <v>42.663095133653783</v>
      </c>
      <c r="H100" s="1184">
        <f>'4C2 Open-burning '!Z126</f>
        <v>10.506467635970589</v>
      </c>
      <c r="I100" s="1184">
        <f>'4C2 Open-burning '!AH126</f>
        <v>0.16186620668479823</v>
      </c>
      <c r="J100" s="1220">
        <f>'4D Wastewater treatment and dis'!AV163</f>
        <v>155.4265138839244</v>
      </c>
      <c r="K100" s="981">
        <f>'4D Wastewater treatment and dis'!AW163</f>
        <v>3.024879715734945</v>
      </c>
      <c r="L100" s="982">
        <f t="shared" si="111"/>
        <v>47449.562596576608</v>
      </c>
      <c r="M100" s="983">
        <f t="shared" si="112"/>
        <v>12.572636638037986</v>
      </c>
      <c r="N100" s="982">
        <f t="shared" si="113"/>
        <v>1198.5913594929548</v>
      </c>
      <c r="O100" s="984">
        <f t="shared" si="114"/>
        <v>313.47743956132365</v>
      </c>
      <c r="P100" s="982">
        <f t="shared" si="115"/>
        <v>4201.6695034402455</v>
      </c>
      <c r="Q100" s="650">
        <f t="shared" si="74"/>
        <v>47449.562596576608</v>
      </c>
      <c r="R100" s="652">
        <f t="shared" si="75"/>
        <v>1211.1639961309927</v>
      </c>
      <c r="S100" s="649">
        <f t="shared" si="76"/>
        <v>313.47743956132365</v>
      </c>
      <c r="T100" s="650">
        <f t="shared" si="77"/>
        <v>4201.6695034402455</v>
      </c>
      <c r="U100" s="650">
        <f t="shared" si="78"/>
        <v>53175.873535709165</v>
      </c>
    </row>
    <row r="101" spans="1:21">
      <c r="A101" s="4">
        <f>'Input data'!A120</f>
        <v>2022</v>
      </c>
      <c r="B101" s="4"/>
      <c r="C101" s="980">
        <f>'4A SWD Case 2'!BG90</f>
        <v>2230.3439036377863</v>
      </c>
      <c r="D101" s="3">
        <f>'4B Biological treatment '!T154</f>
        <v>0.51303092463324007</v>
      </c>
      <c r="E101" s="1495">
        <f>'4B Biological treatment '!U154</f>
        <v>23.086391608495802</v>
      </c>
      <c r="F101" s="1495">
        <f>'4B Biological treatment '!W154</f>
        <v>1.385183496509748</v>
      </c>
      <c r="G101" s="1184">
        <f>'4C2 Open-burning '!R127</f>
        <v>36.284510978703963</v>
      </c>
      <c r="H101" s="1184">
        <f>'4C2 Open-burning '!Z127</f>
        <v>8.9356395519474301</v>
      </c>
      <c r="I101" s="1184">
        <f>'4C2 Open-burning '!AH127</f>
        <v>0.13766549602498859</v>
      </c>
      <c r="J101" s="1220">
        <f>'4D Wastewater treatment and dis'!AV164</f>
        <v>161.31482365077883</v>
      </c>
      <c r="K101" s="981">
        <f>'4D Wastewater treatment and dis'!AW164</f>
        <v>3.0596704712332969</v>
      </c>
      <c r="L101" s="982">
        <f t="shared" si="111"/>
        <v>46837.221976393514</v>
      </c>
      <c r="M101" s="983">
        <f t="shared" si="112"/>
        <v>10.773649417298042</v>
      </c>
      <c r="N101" s="982">
        <f t="shared" si="113"/>
        <v>914.22110769643371</v>
      </c>
      <c r="O101" s="984">
        <f t="shared" si="114"/>
        <v>266.60924533734647</v>
      </c>
      <c r="P101" s="982">
        <f t="shared" si="115"/>
        <v>4336.1091427486772</v>
      </c>
      <c r="Q101" s="650">
        <f t="shared" si="74"/>
        <v>46837.221976393514</v>
      </c>
      <c r="R101" s="652">
        <f t="shared" si="75"/>
        <v>924.99475711373179</v>
      </c>
      <c r="S101" s="649">
        <f t="shared" si="76"/>
        <v>266.60924533734647</v>
      </c>
      <c r="T101" s="650">
        <f t="shared" si="77"/>
        <v>4336.1091427486772</v>
      </c>
      <c r="U101" s="650">
        <f t="shared" si="78"/>
        <v>52364.935121593269</v>
      </c>
    </row>
    <row r="102" spans="1:21">
      <c r="A102" s="4">
        <f>'Input data'!A121</f>
        <v>2023</v>
      </c>
      <c r="B102" s="4"/>
      <c r="C102" s="980">
        <f>'4A SWD Case 2'!BG91</f>
        <v>2192.1969404673687</v>
      </c>
      <c r="D102" s="3">
        <f>'4B Biological treatment '!T155</f>
        <v>0.50071756114735688</v>
      </c>
      <c r="E102" s="1495">
        <f>'4B Biological treatment '!U155</f>
        <v>22.532290251631053</v>
      </c>
      <c r="F102" s="1495">
        <f>'4B Biological treatment '!W155</f>
        <v>1.3519374150978631</v>
      </c>
      <c r="G102" s="1184">
        <f>'4C2 Open-burning '!R128</f>
        <v>34.965015150565961</v>
      </c>
      <c r="H102" s="1184">
        <f>'4C2 Open-burning '!Z128</f>
        <v>8.6106926588375945</v>
      </c>
      <c r="I102" s="1184">
        <f>'4C2 Open-burning '!AH128</f>
        <v>0.13265925389070343</v>
      </c>
      <c r="J102" s="1220">
        <f>'4D Wastewater treatment and dis'!AV165</f>
        <v>167.32092220488411</v>
      </c>
      <c r="K102" s="981">
        <f>'4D Wastewater treatment and dis'!AW165</f>
        <v>3.0949150191946715</v>
      </c>
      <c r="L102" s="982">
        <f t="shared" si="111"/>
        <v>46036.135749814741</v>
      </c>
      <c r="M102" s="983">
        <f t="shared" si="112"/>
        <v>10.515068784094495</v>
      </c>
      <c r="N102" s="982">
        <f t="shared" si="113"/>
        <v>892.27869396458959</v>
      </c>
      <c r="O102" s="984">
        <f t="shared" si="114"/>
        <v>256.91392969227348</v>
      </c>
      <c r="P102" s="982">
        <f t="shared" si="115"/>
        <v>4473.1630222529147</v>
      </c>
      <c r="Q102" s="650">
        <f t="shared" si="74"/>
        <v>46036.135749814741</v>
      </c>
      <c r="R102" s="652">
        <f t="shared" si="75"/>
        <v>902.79376274868412</v>
      </c>
      <c r="S102" s="649">
        <f t="shared" si="76"/>
        <v>256.91392969227348</v>
      </c>
      <c r="T102" s="650">
        <f t="shared" si="77"/>
        <v>4473.1630222529147</v>
      </c>
      <c r="U102" s="650">
        <f t="shared" si="78"/>
        <v>51669.006464508609</v>
      </c>
    </row>
    <row r="103" spans="1:21">
      <c r="A103" s="4">
        <f>'Input data'!A122</f>
        <v>2024</v>
      </c>
      <c r="B103" s="4"/>
      <c r="C103" s="980">
        <f>'4A SWD Case 2'!BG92</f>
        <v>2154.1312904975243</v>
      </c>
      <c r="D103" s="3">
        <f>'4B Biological treatment '!T156</f>
        <v>0.48740137022386787</v>
      </c>
      <c r="E103" s="1495">
        <f>'4B Biological treatment '!U156</f>
        <v>21.933061660074053</v>
      </c>
      <c r="F103" s="1495">
        <f>'4B Biological treatment '!W156</f>
        <v>1.3159836996044432</v>
      </c>
      <c r="G103" s="1184">
        <f>'4C2 Open-burning '!R129</f>
        <v>33.562288423297545</v>
      </c>
      <c r="H103" s="1184">
        <f>'4C2 Open-burning '!Z129</f>
        <v>8.2652488293173363</v>
      </c>
      <c r="I103" s="1184">
        <f>'4C2 Open-burning '!AH129</f>
        <v>0.12733722899665834</v>
      </c>
      <c r="J103" s="1220">
        <f>'4D Wastewater treatment and dis'!AV166</f>
        <v>173.44384059068466</v>
      </c>
      <c r="K103" s="981">
        <f>'4D Wastewater treatment and dis'!AW166</f>
        <v>3.1305629382342866</v>
      </c>
      <c r="L103" s="982">
        <f t="shared" si="111"/>
        <v>45236.757100448012</v>
      </c>
      <c r="M103" s="983">
        <f t="shared" si="112"/>
        <v>10.235428774701225</v>
      </c>
      <c r="N103" s="982">
        <f t="shared" si="113"/>
        <v>868.54924173893255</v>
      </c>
      <c r="O103" s="984">
        <f t="shared" si="114"/>
        <v>246.60705482792568</v>
      </c>
      <c r="P103" s="982">
        <f t="shared" si="115"/>
        <v>4612.7951632570066</v>
      </c>
      <c r="Q103" s="650">
        <f t="shared" si="74"/>
        <v>45236.757100448012</v>
      </c>
      <c r="R103" s="652">
        <f t="shared" si="75"/>
        <v>878.78467051363373</v>
      </c>
      <c r="S103" s="649">
        <f t="shared" si="76"/>
        <v>246.60705482792568</v>
      </c>
      <c r="T103" s="650">
        <f t="shared" si="77"/>
        <v>4612.7951632570066</v>
      </c>
      <c r="U103" s="650">
        <f t="shared" si="78"/>
        <v>50974.943989046573</v>
      </c>
    </row>
    <row r="104" spans="1:21">
      <c r="A104" s="4">
        <f>'Input data'!A123</f>
        <v>2025</v>
      </c>
      <c r="B104" s="4"/>
      <c r="C104" s="980">
        <f>'4A SWD Case 2'!BG93</f>
        <v>2115.9706491507241</v>
      </c>
      <c r="D104" s="3">
        <f>'4B Biological treatment '!T157</f>
        <v>0.47321000434979021</v>
      </c>
      <c r="E104" s="1495">
        <f>'4B Biological treatment '!U157</f>
        <v>21.294450195740559</v>
      </c>
      <c r="F104" s="1495">
        <f>'4B Biological treatment '!W157</f>
        <v>1.2776670117444333</v>
      </c>
      <c r="G104" s="1184">
        <f>'4C2 Open-burning '!R130</f>
        <v>32.071977754738406</v>
      </c>
      <c r="H104" s="1184">
        <f>'4C2 Open-burning '!Z130</f>
        <v>7.8982360573253896</v>
      </c>
      <c r="I104" s="1184">
        <f>'4C2 Open-burning '!AH130</f>
        <v>0.12168290565359488</v>
      </c>
      <c r="J104" s="1220">
        <f>'4D Wastewater treatment and dis'!AV167</f>
        <v>179.68520063996107</v>
      </c>
      <c r="K104" s="981">
        <f>'4D Wastewater treatment and dis'!AW167</f>
        <v>3.166614228352143</v>
      </c>
      <c r="L104" s="982">
        <f t="shared" si="111"/>
        <v>44435.383632165205</v>
      </c>
      <c r="M104" s="983">
        <f t="shared" si="112"/>
        <v>9.9374100913455941</v>
      </c>
      <c r="N104" s="982">
        <f t="shared" si="113"/>
        <v>843.26022775132606</v>
      </c>
      <c r="O104" s="984">
        <f t="shared" si="114"/>
        <v>235.65663571118603</v>
      </c>
      <c r="P104" s="982">
        <f t="shared" si="115"/>
        <v>4755.0396242283468</v>
      </c>
      <c r="Q104" s="650">
        <f t="shared" si="74"/>
        <v>44435.383632165205</v>
      </c>
      <c r="R104" s="652">
        <f t="shared" si="75"/>
        <v>853.19763784267161</v>
      </c>
      <c r="S104" s="649">
        <f t="shared" si="76"/>
        <v>235.65663571118603</v>
      </c>
      <c r="T104" s="650">
        <f t="shared" si="77"/>
        <v>4755.0396242283468</v>
      </c>
      <c r="U104" s="650">
        <f t="shared" si="78"/>
        <v>50279.277529947409</v>
      </c>
    </row>
    <row r="105" spans="1:21">
      <c r="A105" s="4">
        <f>'Input data'!A124</f>
        <v>2026</v>
      </c>
      <c r="B105" s="4"/>
      <c r="C105" s="980">
        <f>'4A SWD Case 2'!BG94</f>
        <v>2078.8403864639081</v>
      </c>
      <c r="D105" s="3">
        <f>'4B Biological treatment '!T158</f>
        <v>0.45787332335248776</v>
      </c>
      <c r="E105" s="1495">
        <f>'4B Biological treatment '!U158</f>
        <v>20.604299550861946</v>
      </c>
      <c r="F105" s="1495">
        <f>'4B Biological treatment '!W158</f>
        <v>1.2362579730517167</v>
      </c>
      <c r="G105" s="1184">
        <f>'4C2 Open-burning '!R131</f>
        <v>30.439090649711307</v>
      </c>
      <c r="H105" s="1184">
        <f>'4C2 Open-burning '!Z131</f>
        <v>7.4961115638160605</v>
      </c>
      <c r="I105" s="1184">
        <f>'4C2 Open-burning '!AH131</f>
        <v>0.11548763921061328</v>
      </c>
      <c r="J105" s="1220">
        <f>'4D Wastewater treatment and dis'!AV168</f>
        <v>185.73911394397246</v>
      </c>
      <c r="K105" s="981">
        <f>'4D Wastewater treatment and dis'!AW168</f>
        <v>3.1977746441463193</v>
      </c>
      <c r="L105" s="982">
        <f t="shared" si="111"/>
        <v>43655.648115742071</v>
      </c>
      <c r="M105" s="983">
        <f t="shared" si="112"/>
        <v>9.6153397904022437</v>
      </c>
      <c r="N105" s="982">
        <f t="shared" si="113"/>
        <v>815.93026221413311</v>
      </c>
      <c r="O105" s="984">
        <f t="shared" si="114"/>
        <v>223.65860164513867</v>
      </c>
      <c r="P105" s="982">
        <f t="shared" si="115"/>
        <v>4891.8315325087806</v>
      </c>
      <c r="Q105" s="650">
        <f t="shared" si="74"/>
        <v>43655.648115742071</v>
      </c>
      <c r="R105" s="652">
        <f t="shared" si="75"/>
        <v>825.54560200453534</v>
      </c>
      <c r="S105" s="649">
        <f t="shared" si="76"/>
        <v>223.65860164513867</v>
      </c>
      <c r="T105" s="650">
        <f t="shared" si="77"/>
        <v>4891.8315325087806</v>
      </c>
      <c r="U105" s="650">
        <f t="shared" si="78"/>
        <v>49596.683851900532</v>
      </c>
    </row>
    <row r="106" spans="1:21">
      <c r="A106" s="4">
        <f>'Input data'!A125</f>
        <v>2027</v>
      </c>
      <c r="B106" s="4"/>
      <c r="C106" s="980">
        <f>'4A SWD Case 2'!BG95</f>
        <v>2041.7190156941163</v>
      </c>
      <c r="D106" s="3">
        <f>'4B Biological treatment '!T159</f>
        <v>0.44150406294030209</v>
      </c>
      <c r="E106" s="1495">
        <f>'4B Biological treatment '!U159</f>
        <v>19.867682832313591</v>
      </c>
      <c r="F106" s="1495">
        <f>'4B Biological treatment '!W159</f>
        <v>1.1920609699388154</v>
      </c>
      <c r="G106" s="1184">
        <f>'4C2 Open-burning '!R132</f>
        <v>28.715350093465986</v>
      </c>
      <c r="H106" s="1184">
        <f>'4C2 Open-burning '!Z132</f>
        <v>7.0716129588680232</v>
      </c>
      <c r="I106" s="1184">
        <f>'4C2 Open-burning '!AH132</f>
        <v>0.10894766961220315</v>
      </c>
      <c r="J106" s="1220">
        <f>'4D Wastewater treatment and dis'!AV169</f>
        <v>191.89752530165873</v>
      </c>
      <c r="K106" s="981">
        <f>'4D Wastewater treatment and dis'!AW169</f>
        <v>3.2292880096339567</v>
      </c>
      <c r="L106" s="982">
        <f t="shared" si="111"/>
        <v>42876.099329576442</v>
      </c>
      <c r="M106" s="983">
        <f t="shared" si="112"/>
        <v>9.2715853217463433</v>
      </c>
      <c r="N106" s="982">
        <f t="shared" si="113"/>
        <v>786.76024015961821</v>
      </c>
      <c r="O106" s="984">
        <f t="shared" si="114"/>
        <v>210.99299980947745</v>
      </c>
      <c r="P106" s="982">
        <f t="shared" si="115"/>
        <v>5030.9273143213595</v>
      </c>
      <c r="Q106" s="650">
        <f t="shared" si="74"/>
        <v>42876.099329576442</v>
      </c>
      <c r="R106" s="652">
        <f t="shared" si="75"/>
        <v>796.03182548136454</v>
      </c>
      <c r="S106" s="649">
        <f t="shared" si="76"/>
        <v>210.99299980947745</v>
      </c>
      <c r="T106" s="650">
        <f t="shared" si="77"/>
        <v>5030.9273143213595</v>
      </c>
      <c r="U106" s="650">
        <f t="shared" si="78"/>
        <v>48914.051469188635</v>
      </c>
    </row>
    <row r="107" spans="1:21">
      <c r="A107" s="4">
        <f>'Input data'!A126</f>
        <v>2028</v>
      </c>
      <c r="B107" s="4"/>
      <c r="C107" s="980">
        <f>'4A SWD Case 2'!BG96</f>
        <v>2004.5926620051455</v>
      </c>
      <c r="D107" s="3">
        <f>'4B Biological treatment '!T160</f>
        <v>0.42419740460637834</v>
      </c>
      <c r="E107" s="1495">
        <f>'4B Biological treatment '!U160</f>
        <v>19.088883207287019</v>
      </c>
      <c r="F107" s="1495">
        <f>'4B Biological treatment '!W160</f>
        <v>1.1453329924372211</v>
      </c>
      <c r="G107" s="1184">
        <f>'4C2 Open-burning '!R133</f>
        <v>26.895169466913032</v>
      </c>
      <c r="H107" s="1184">
        <f>'4C2 Open-burning '!Z133</f>
        <v>6.6233644484261731</v>
      </c>
      <c r="I107" s="1184">
        <f>'4C2 Open-burning '!AH133</f>
        <v>0.10204180090815604</v>
      </c>
      <c r="J107" s="1220">
        <f>'4D Wastewater treatment and dis'!AV170</f>
        <v>198.15572617261648</v>
      </c>
      <c r="K107" s="981">
        <f>'4D Wastewater treatment and dis'!AW170</f>
        <v>3.2610534820454951</v>
      </c>
      <c r="L107" s="982">
        <f t="shared" si="111"/>
        <v>42096.445902108055</v>
      </c>
      <c r="M107" s="983">
        <f t="shared" si="112"/>
        <v>8.9081454967339457</v>
      </c>
      <c r="N107" s="982">
        <f t="shared" si="113"/>
        <v>755.91977500856592</v>
      </c>
      <c r="O107" s="984">
        <f t="shared" si="114"/>
        <v>197.61878116539106</v>
      </c>
      <c r="P107" s="982">
        <f t="shared" si="115"/>
        <v>5172.1968290590494</v>
      </c>
      <c r="Q107" s="650">
        <f t="shared" si="74"/>
        <v>42096.445902108055</v>
      </c>
      <c r="R107" s="652">
        <f t="shared" si="75"/>
        <v>764.82792050529986</v>
      </c>
      <c r="S107" s="649">
        <f t="shared" si="76"/>
        <v>197.61878116539106</v>
      </c>
      <c r="T107" s="650">
        <f t="shared" si="77"/>
        <v>5172.1968290590494</v>
      </c>
      <c r="U107" s="650">
        <f t="shared" si="78"/>
        <v>48231.089432837798</v>
      </c>
    </row>
    <row r="108" spans="1:21">
      <c r="A108" s="4">
        <f>'Input data'!A127</f>
        <v>2029</v>
      </c>
      <c r="B108" s="4"/>
      <c r="C108" s="980">
        <f>'4A SWD Case 2'!BG97</f>
        <v>1967.4587861568791</v>
      </c>
      <c r="D108" s="3">
        <f>'4B Biological treatment '!T161</f>
        <v>0.40587213026606883</v>
      </c>
      <c r="E108" s="1495">
        <f>'4B Biological treatment '!U161</f>
        <v>18.264245861973095</v>
      </c>
      <c r="F108" s="1495">
        <f>'4B Biological treatment '!W161</f>
        <v>1.0958547517183856</v>
      </c>
      <c r="G108" s="1184">
        <f>'4C2 Open-burning '!R134</f>
        <v>24.974480680349728</v>
      </c>
      <c r="H108" s="1184">
        <f>'4C2 Open-burning '!Z134</f>
        <v>6.1503642005168091</v>
      </c>
      <c r="I108" s="1184">
        <f>'4C2 Open-burning '!AH134</f>
        <v>9.4754598535026074E-2</v>
      </c>
      <c r="J108" s="1220">
        <f>'4D Wastewater treatment and dis'!AV171</f>
        <v>204.52099299756838</v>
      </c>
      <c r="K108" s="981">
        <f>'4D Wastewater treatment and dis'!AW171</f>
        <v>3.2931719041504954</v>
      </c>
      <c r="L108" s="982">
        <f t="shared" si="111"/>
        <v>41316.634509294461</v>
      </c>
      <c r="M108" s="983">
        <f t="shared" si="112"/>
        <v>8.5233147355874461</v>
      </c>
      <c r="N108" s="982">
        <f t="shared" si="113"/>
        <v>723.26413613413456</v>
      </c>
      <c r="O108" s="984">
        <f t="shared" si="114"/>
        <v>183.50605443706078</v>
      </c>
      <c r="P108" s="982">
        <f t="shared" si="115"/>
        <v>5315.8241432355899</v>
      </c>
      <c r="Q108" s="650">
        <f t="shared" si="74"/>
        <v>41316.634509294461</v>
      </c>
      <c r="R108" s="652">
        <f t="shared" si="75"/>
        <v>731.78745086972197</v>
      </c>
      <c r="S108" s="649">
        <f t="shared" si="76"/>
        <v>183.50605443706078</v>
      </c>
      <c r="T108" s="650">
        <f t="shared" si="77"/>
        <v>5315.8241432355899</v>
      </c>
      <c r="U108" s="650">
        <f t="shared" si="78"/>
        <v>47547.752157836832</v>
      </c>
    </row>
    <row r="109" spans="1:21">
      <c r="A109" s="4">
        <f>'Input data'!A128</f>
        <v>2030</v>
      </c>
      <c r="B109" s="4"/>
      <c r="C109" s="980">
        <f>'4A SWD Case 2'!BG98</f>
        <v>1930.3148886747672</v>
      </c>
      <c r="D109" s="3">
        <f>'4B Biological treatment '!T162</f>
        <v>0.3864740976281813</v>
      </c>
      <c r="E109" s="1495">
        <f>'4B Biological treatment '!U162</f>
        <v>17.391334393268156</v>
      </c>
      <c r="F109" s="1495">
        <f>'4B Biological treatment '!W162</f>
        <v>1.0434800635960892</v>
      </c>
      <c r="G109" s="1184">
        <f>'4C2 Open-burning '!R135</f>
        <v>22.947608725356005</v>
      </c>
      <c r="H109" s="1184">
        <f>'4C2 Open-burning '!Z135</f>
        <v>5.6512146538023771</v>
      </c>
      <c r="I109" s="1184">
        <f>'4C2 Open-burning '!AH135</f>
        <v>8.7064531188462774E-2</v>
      </c>
      <c r="J109" s="1220">
        <f>'4D Wastewater treatment and dis'!AV172</f>
        <v>210.99154590506851</v>
      </c>
      <c r="K109" s="981">
        <f>'4D Wastewater treatment and dis'!AW172</f>
        <v>3.3255928545641762</v>
      </c>
      <c r="L109" s="982">
        <f t="shared" si="111"/>
        <v>40536.612662170111</v>
      </c>
      <c r="M109" s="983">
        <f t="shared" si="112"/>
        <v>8.1159560501918069</v>
      </c>
      <c r="N109" s="982">
        <f t="shared" si="113"/>
        <v>688.69684197341894</v>
      </c>
      <c r="O109" s="984">
        <f t="shared" si="114"/>
        <v>168.61312112362941</v>
      </c>
      <c r="P109" s="982">
        <f t="shared" si="115"/>
        <v>5461.7562489213324</v>
      </c>
      <c r="Q109" s="650">
        <f t="shared" si="74"/>
        <v>40536.612662170111</v>
      </c>
      <c r="R109" s="652">
        <f t="shared" si="75"/>
        <v>696.81279802361075</v>
      </c>
      <c r="S109" s="649">
        <f t="shared" si="76"/>
        <v>168.61312112362941</v>
      </c>
      <c r="T109" s="650">
        <f t="shared" si="77"/>
        <v>5461.7562489213324</v>
      </c>
      <c r="U109" s="650">
        <f t="shared" si="78"/>
        <v>46863.794830238679</v>
      </c>
    </row>
    <row r="110" spans="1:21">
      <c r="A110" s="4">
        <f>'Input data'!A129</f>
        <v>2031</v>
      </c>
      <c r="B110" s="4"/>
      <c r="C110" s="980">
        <f>'4A SWD Case 2'!BG99</f>
        <v>1893.1552795420735</v>
      </c>
      <c r="D110" s="3">
        <f>'4B Biological treatment '!T163</f>
        <v>0.36273068389094232</v>
      </c>
      <c r="E110" s="1495">
        <f>'4B Biological treatment '!U163</f>
        <v>16.322880775092404</v>
      </c>
      <c r="F110" s="1495">
        <f>'4B Biological treatment '!W163</f>
        <v>0.97937284650554401</v>
      </c>
      <c r="G110" s="1184">
        <f>'4C2 Open-burning '!R136</f>
        <v>20.47308674923433</v>
      </c>
      <c r="H110" s="1184">
        <f>'4C2 Open-burning '!Z136</f>
        <v>5.0418241495463452</v>
      </c>
      <c r="I110" s="1184">
        <f>'4C2 Open-burning '!AH136</f>
        <v>7.7676054230141289E-2</v>
      </c>
      <c r="J110" s="1220">
        <f>'4D Wastewater treatment and dis'!AV173</f>
        <v>212.79256841014094</v>
      </c>
      <c r="K110" s="981">
        <f>'4D Wastewater treatment and dis'!AW173</f>
        <v>3.3539800941954407</v>
      </c>
      <c r="L110" s="982">
        <f t="shared" si="111"/>
        <v>39756.260870383543</v>
      </c>
      <c r="M110" s="983">
        <f t="shared" si="112"/>
        <v>7.6173443617097885</v>
      </c>
      <c r="N110" s="982">
        <f t="shared" si="113"/>
        <v>646.3860786936591</v>
      </c>
      <c r="O110" s="984">
        <f t="shared" si="114"/>
        <v>150.43097070105136</v>
      </c>
      <c r="P110" s="982">
        <f t="shared" si="115"/>
        <v>5508.3777658135459</v>
      </c>
      <c r="Q110" s="650">
        <f t="shared" si="74"/>
        <v>39756.260870383543</v>
      </c>
      <c r="R110" s="652">
        <f t="shared" si="75"/>
        <v>654.0034230553689</v>
      </c>
      <c r="S110" s="649">
        <f t="shared" si="76"/>
        <v>150.43097070105136</v>
      </c>
      <c r="T110" s="650">
        <f t="shared" si="77"/>
        <v>5508.3777658135459</v>
      </c>
      <c r="U110" s="650">
        <f t="shared" si="78"/>
        <v>46069.073029953513</v>
      </c>
    </row>
    <row r="111" spans="1:21">
      <c r="A111" s="4">
        <f>'Input data'!A130</f>
        <v>2032</v>
      </c>
      <c r="B111" s="4"/>
      <c r="C111" s="980">
        <f>'4A SWD Case 2'!BG100</f>
        <v>1856.0478671475196</v>
      </c>
      <c r="D111" s="3">
        <f>'4B Biological treatment '!T164</f>
        <v>0.33833015473048123</v>
      </c>
      <c r="E111" s="1495">
        <f>'4B Biological treatment '!U164</f>
        <v>15.224856962871652</v>
      </c>
      <c r="F111" s="1495">
        <f>'4B Biological treatment '!W164</f>
        <v>0.91349141777229903</v>
      </c>
      <c r="G111" s="1184">
        <f>'4C2 Open-burning '!R137</f>
        <v>17.95469971307163</v>
      </c>
      <c r="H111" s="1184">
        <f>'4C2 Open-burning '!Z137</f>
        <v>4.4216311746250412</v>
      </c>
      <c r="I111" s="1184">
        <f>'4C2 Open-burning '!AH137</f>
        <v>6.8121150741991168E-2</v>
      </c>
      <c r="J111" s="1220">
        <f>'4D Wastewater treatment and dis'!AV174</f>
        <v>214.6095857864839</v>
      </c>
      <c r="K111" s="981">
        <f>'4D Wastewater treatment and dis'!AW174</f>
        <v>3.3826194407506049</v>
      </c>
      <c r="L111" s="982">
        <f t="shared" si="111"/>
        <v>38977.005210097908</v>
      </c>
      <c r="M111" s="983">
        <f t="shared" si="112"/>
        <v>7.1049332493401058</v>
      </c>
      <c r="N111" s="982">
        <f t="shared" si="113"/>
        <v>602.90433572971733</v>
      </c>
      <c r="O111" s="984">
        <f t="shared" si="114"/>
        <v>131.92651111021476</v>
      </c>
      <c r="P111" s="982">
        <f t="shared" si="115"/>
        <v>5555.4133281488503</v>
      </c>
      <c r="Q111" s="650">
        <f t="shared" si="74"/>
        <v>38977.005210097908</v>
      </c>
      <c r="R111" s="652">
        <f t="shared" si="75"/>
        <v>610.00926897905742</v>
      </c>
      <c r="S111" s="649">
        <f t="shared" si="76"/>
        <v>131.92651111021476</v>
      </c>
      <c r="T111" s="650">
        <f t="shared" si="77"/>
        <v>5555.4133281488503</v>
      </c>
      <c r="U111" s="650">
        <f t="shared" si="78"/>
        <v>45274.354318336031</v>
      </c>
    </row>
    <row r="112" spans="1:21">
      <c r="A112" s="4">
        <f>'Input data'!A131</f>
        <v>2033</v>
      </c>
      <c r="B112" s="4"/>
      <c r="C112" s="980">
        <f>'4A SWD Case 2'!BG101</f>
        <v>1818.9774187267615</v>
      </c>
      <c r="D112" s="3">
        <f>'4B Biological treatment '!T165</f>
        <v>0.34388948931089303</v>
      </c>
      <c r="E112" s="1495">
        <f>'4B Biological treatment '!U165</f>
        <v>15.475027018990186</v>
      </c>
      <c r="F112" s="1495">
        <f>'4B Biological treatment '!W165</f>
        <v>0.92850162113941104</v>
      </c>
      <c r="G112" s="1184">
        <f>'4C2 Open-burning '!R138</f>
        <v>18.107785828651057</v>
      </c>
      <c r="H112" s="1184">
        <f>'4C2 Open-burning '!Z138</f>
        <v>4.4593310722488066</v>
      </c>
      <c r="I112" s="1184">
        <f>'4C2 Open-burning '!AH138</f>
        <v>6.870196816152728E-2</v>
      </c>
      <c r="J112" s="1220">
        <f>'4D Wastewater treatment and dis'!AV175</f>
        <v>216.43939905984345</v>
      </c>
      <c r="K112" s="981">
        <f>'4D Wastewater treatment and dis'!AW175</f>
        <v>3.4114604728448907</v>
      </c>
      <c r="L112" s="982">
        <f t="shared" si="111"/>
        <v>38198.525793261993</v>
      </c>
      <c r="M112" s="983">
        <f t="shared" si="112"/>
        <v>7.2216792755287535</v>
      </c>
      <c r="N112" s="982">
        <f t="shared" si="113"/>
        <v>612.81106995201128</v>
      </c>
      <c r="O112" s="984">
        <f t="shared" si="114"/>
        <v>133.05134847594945</v>
      </c>
      <c r="P112" s="982">
        <f t="shared" si="115"/>
        <v>5602.7801268386283</v>
      </c>
      <c r="Q112" s="650">
        <f t="shared" si="74"/>
        <v>38198.525793261993</v>
      </c>
      <c r="R112" s="652">
        <f t="shared" si="75"/>
        <v>620.03274922754008</v>
      </c>
      <c r="S112" s="649">
        <f t="shared" si="76"/>
        <v>133.05134847594945</v>
      </c>
      <c r="T112" s="650">
        <f t="shared" si="77"/>
        <v>5602.7801268386283</v>
      </c>
      <c r="U112" s="650">
        <f t="shared" si="78"/>
        <v>44554.390017804108</v>
      </c>
    </row>
    <row r="113" spans="1:21">
      <c r="A113" s="4">
        <f>'Input data'!A132</f>
        <v>2034</v>
      </c>
      <c r="B113" s="4"/>
      <c r="C113" s="980">
        <f>'4A SWD Case 2'!BG102</f>
        <v>1781.9633276122263</v>
      </c>
      <c r="D113" s="3">
        <f>'4B Biological treatment '!T166</f>
        <v>0.34973434619199018</v>
      </c>
      <c r="E113" s="1495">
        <f>'4B Biological treatment '!U166</f>
        <v>15.738045578639554</v>
      </c>
      <c r="F113" s="1495">
        <f>'4B Biological treatment '!W166</f>
        <v>0.9442827347183731</v>
      </c>
      <c r="G113" s="1184">
        <f>'4C2 Open-burning '!R139</f>
        <v>18.262477742645643</v>
      </c>
      <c r="H113" s="1184">
        <f>'4C2 Open-burning '!Z139</f>
        <v>4.4974264233441481</v>
      </c>
      <c r="I113" s="1184">
        <f>'4C2 Open-burning '!AH139</f>
        <v>6.9288878071478086E-2</v>
      </c>
      <c r="J113" s="1220">
        <f>'4D Wastewater treatment and dis'!AV176</f>
        <v>218.28840617872763</v>
      </c>
      <c r="K113" s="981">
        <f>'4D Wastewater treatment and dis'!AW176</f>
        <v>3.4406040332478574</v>
      </c>
      <c r="L113" s="982">
        <f t="shared" si="111"/>
        <v>37421.22987985675</v>
      </c>
      <c r="M113" s="983">
        <f t="shared" si="112"/>
        <v>7.3444212700317939</v>
      </c>
      <c r="N113" s="982">
        <f t="shared" si="113"/>
        <v>623.22660491412626</v>
      </c>
      <c r="O113" s="984">
        <f t="shared" si="114"/>
        <v>134.18798483503096</v>
      </c>
      <c r="P113" s="982">
        <f t="shared" si="115"/>
        <v>5650.6437800601161</v>
      </c>
      <c r="Q113" s="650">
        <f t="shared" si="74"/>
        <v>37421.22987985675</v>
      </c>
      <c r="R113" s="652">
        <f t="shared" si="75"/>
        <v>630.57102618415809</v>
      </c>
      <c r="S113" s="649">
        <f t="shared" si="76"/>
        <v>134.18798483503096</v>
      </c>
      <c r="T113" s="650">
        <f t="shared" si="77"/>
        <v>5650.6437800601161</v>
      </c>
      <c r="U113" s="650">
        <f t="shared" si="78"/>
        <v>43836.632670936058</v>
      </c>
    </row>
    <row r="114" spans="1:21">
      <c r="A114" s="4">
        <f>'Input data'!A133</f>
        <v>2035</v>
      </c>
      <c r="B114" s="4"/>
      <c r="C114" s="980">
        <f>'4A SWD Case 2'!BG103</f>
        <v>1745.017500878022</v>
      </c>
      <c r="D114" s="3">
        <f>'4B Biological treatment '!T167</f>
        <v>0.35587544325502823</v>
      </c>
      <c r="E114" s="1495">
        <f>'4B Biological treatment '!U167</f>
        <v>16.014394946476266</v>
      </c>
      <c r="F114" s="1495">
        <f>'4B Biological treatment '!W167</f>
        <v>0.96086369678857608</v>
      </c>
      <c r="G114" s="1184">
        <f>'4C2 Open-burning '!R140</f>
        <v>18.418240188917025</v>
      </c>
      <c r="H114" s="1184">
        <f>'4C2 Open-burning '!Z140</f>
        <v>4.535785410087211</v>
      </c>
      <c r="I114" s="1184">
        <f>'4C2 Open-burning '!AH140</f>
        <v>6.9879849641705405E-2</v>
      </c>
      <c r="J114" s="1220">
        <f>'4D Wastewater treatment and dis'!AV177</f>
        <v>220.15020919462836</v>
      </c>
      <c r="K114" s="981">
        <f>'4D Wastewater treatment and dis'!AW177</f>
        <v>3.4699492791899456</v>
      </c>
      <c r="L114" s="982">
        <f t="shared" si="111"/>
        <v>36645.367518438463</v>
      </c>
      <c r="M114" s="983">
        <f t="shared" si="112"/>
        <v>7.4733843083555929</v>
      </c>
      <c r="N114" s="982">
        <f t="shared" si="113"/>
        <v>634.17003988046008</v>
      </c>
      <c r="O114" s="984">
        <f t="shared" si="114"/>
        <v>135.33248718967712</v>
      </c>
      <c r="P114" s="982">
        <f t="shared" si="115"/>
        <v>5698.8386696360794</v>
      </c>
      <c r="Q114" s="650">
        <f t="shared" si="74"/>
        <v>36645.367518438463</v>
      </c>
      <c r="R114" s="652">
        <f t="shared" si="75"/>
        <v>641.64342418881563</v>
      </c>
      <c r="S114" s="649">
        <f t="shared" si="76"/>
        <v>135.33248718967712</v>
      </c>
      <c r="T114" s="650">
        <f t="shared" si="77"/>
        <v>5698.8386696360794</v>
      </c>
      <c r="U114" s="650">
        <f t="shared" si="78"/>
        <v>43121.182099453028</v>
      </c>
    </row>
    <row r="115" spans="1:21">
      <c r="A115" s="4">
        <f>'Input data'!A134</f>
        <v>2036</v>
      </c>
      <c r="B115" s="4"/>
      <c r="C115" s="980">
        <f>'4A SWD Case 2'!BG104</f>
        <v>1708.1521403876791</v>
      </c>
      <c r="D115" s="3">
        <f>'4B Biological treatment '!T168</f>
        <v>0.36191605291664275</v>
      </c>
      <c r="E115" s="1495">
        <f>'4B Biological treatment '!U168</f>
        <v>16.286222381248919</v>
      </c>
      <c r="F115" s="1495">
        <f>'4B Biological treatment '!W168</f>
        <v>0.97717334287493507</v>
      </c>
      <c r="G115" s="1184">
        <f>'4C2 Open-burning '!R141</f>
        <v>18.5531272557912</v>
      </c>
      <c r="H115" s="1184">
        <f>'4C2 Open-burning '!Z141</f>
        <v>4.5690035016997577</v>
      </c>
      <c r="I115" s="1184">
        <f>'4C2 Open-burning '!AH141</f>
        <v>7.0391618836541395E-2</v>
      </c>
      <c r="J115" s="1220">
        <f>'4D Wastewater treatment and dis'!AV178</f>
        <v>221.76249221870739</v>
      </c>
      <c r="K115" s="981">
        <f>'4D Wastewater treatment and dis'!AW178</f>
        <v>3.4953616571191763</v>
      </c>
      <c r="L115" s="982">
        <f t="shared" si="111"/>
        <v>35871.194948141259</v>
      </c>
      <c r="M115" s="983">
        <f t="shared" si="112"/>
        <v>7.6002371112494975</v>
      </c>
      <c r="N115" s="982">
        <f t="shared" si="113"/>
        <v>644.93440629745714</v>
      </c>
      <c r="O115" s="984">
        <f t="shared" si="114"/>
        <v>136.32360263081392</v>
      </c>
      <c r="P115" s="982">
        <f t="shared" si="115"/>
        <v>5740.5744502998004</v>
      </c>
      <c r="Q115" s="650">
        <f t="shared" si="74"/>
        <v>35871.194948141259</v>
      </c>
      <c r="R115" s="652">
        <f t="shared" si="75"/>
        <v>652.53464340870664</v>
      </c>
      <c r="S115" s="649">
        <f t="shared" si="76"/>
        <v>136.32360263081392</v>
      </c>
      <c r="T115" s="650">
        <f t="shared" si="77"/>
        <v>5740.5744502998004</v>
      </c>
      <c r="U115" s="650">
        <f t="shared" si="78"/>
        <v>42400.627644480577</v>
      </c>
    </row>
    <row r="116" spans="1:21">
      <c r="A116" s="4">
        <f>'Input data'!A135</f>
        <v>2037</v>
      </c>
      <c r="B116" s="4"/>
      <c r="C116" s="980">
        <f>'4A SWD Case 2'!BG105</f>
        <v>1669.8228122020037</v>
      </c>
      <c r="D116" s="3">
        <f>'4B Biological treatment '!T169</f>
        <v>0.36815912364982384</v>
      </c>
      <c r="E116" s="1495">
        <f>'4B Biological treatment '!U169</f>
        <v>16.567160564242069</v>
      </c>
      <c r="F116" s="1495">
        <f>'4B Biological treatment '!W169</f>
        <v>0.99402963385452425</v>
      </c>
      <c r="G116" s="1184">
        <f>'4C2 Open-burning '!R142</f>
        <v>18.688817221872963</v>
      </c>
      <c r="H116" s="1184">
        <f>'4C2 Open-burning '!Z142</f>
        <v>4.6024193200480958</v>
      </c>
      <c r="I116" s="1184">
        <f>'4C2 Open-burning '!AH142</f>
        <v>7.0906434276584773E-2</v>
      </c>
      <c r="J116" s="1220">
        <f>'4D Wastewater treatment and dis'!AV179</f>
        <v>223.38437216554874</v>
      </c>
      <c r="K116" s="981">
        <f>'4D Wastewater treatment and dis'!AW179</f>
        <v>3.5209252992027475</v>
      </c>
      <c r="L116" s="982">
        <f t="shared" si="111"/>
        <v>35066.279056242078</v>
      </c>
      <c r="M116" s="983">
        <f t="shared" si="112"/>
        <v>7.7313415966463008</v>
      </c>
      <c r="N116" s="982">
        <f t="shared" si="113"/>
        <v>656.05955834398594</v>
      </c>
      <c r="O116" s="984">
        <f t="shared" si="114"/>
        <v>137.32061756862427</v>
      </c>
      <c r="P116" s="982">
        <f t="shared" si="115"/>
        <v>5782.5586582293754</v>
      </c>
      <c r="Q116" s="650">
        <f t="shared" si="74"/>
        <v>35066.279056242078</v>
      </c>
      <c r="R116" s="652">
        <f t="shared" si="75"/>
        <v>663.79089994063224</v>
      </c>
      <c r="S116" s="649">
        <f t="shared" si="76"/>
        <v>137.32061756862427</v>
      </c>
      <c r="T116" s="650">
        <f t="shared" si="77"/>
        <v>5782.5586582293754</v>
      </c>
      <c r="U116" s="650">
        <f t="shared" si="78"/>
        <v>41649.94923198071</v>
      </c>
    </row>
    <row r="117" spans="1:21">
      <c r="A117" s="4">
        <f>'Input data'!A136</f>
        <v>2038</v>
      </c>
      <c r="B117" s="4"/>
      <c r="C117" s="980">
        <f>'4A SWD Case 2'!BG106</f>
        <v>1630.1115102893727</v>
      </c>
      <c r="D117" s="3">
        <f>'4B Biological treatment '!T170</f>
        <v>0.37448937225674817</v>
      </c>
      <c r="E117" s="1495">
        <f>'4B Biological treatment '!U170</f>
        <v>16.852021751553664</v>
      </c>
      <c r="F117" s="1495">
        <f>'4B Biological treatment '!W170</f>
        <v>1.0111213050932197</v>
      </c>
      <c r="G117" s="1184">
        <f>'4C2 Open-burning '!R143</f>
        <v>18.825845353300704</v>
      </c>
      <c r="H117" s="1184">
        <f>'4C2 Open-burning '!Z143</f>
        <v>4.6361646829560819</v>
      </c>
      <c r="I117" s="1184">
        <f>'4C2 Open-burning '!AH143</f>
        <v>7.1426326791973749E-2</v>
      </c>
      <c r="J117" s="1220">
        <f>'4D Wastewater treatment and dis'!AV180</f>
        <v>225.02224698366075</v>
      </c>
      <c r="K117" s="981">
        <f>'4D Wastewater treatment and dis'!AW180</f>
        <v>3.5467410482102202</v>
      </c>
      <c r="L117" s="982">
        <f t="shared" si="111"/>
        <v>34232.341716076829</v>
      </c>
      <c r="M117" s="983">
        <f t="shared" si="112"/>
        <v>7.8642768173917119</v>
      </c>
      <c r="N117" s="982">
        <f t="shared" si="113"/>
        <v>667.34006136152504</v>
      </c>
      <c r="O117" s="984">
        <f t="shared" si="114"/>
        <v>138.3274650008903</v>
      </c>
      <c r="P117" s="982">
        <f t="shared" si="115"/>
        <v>5824.9569116020448</v>
      </c>
      <c r="Q117" s="650">
        <f t="shared" si="74"/>
        <v>34232.341716076829</v>
      </c>
      <c r="R117" s="652">
        <f t="shared" si="75"/>
        <v>675.20433817891671</v>
      </c>
      <c r="S117" s="649">
        <f t="shared" si="76"/>
        <v>138.3274650008903</v>
      </c>
      <c r="T117" s="650">
        <f t="shared" si="77"/>
        <v>5824.9569116020448</v>
      </c>
      <c r="U117" s="650">
        <f t="shared" si="78"/>
        <v>40870.830430858681</v>
      </c>
    </row>
    <row r="118" spans="1:21">
      <c r="A118" s="4">
        <f>'Input data'!A137</f>
        <v>2039</v>
      </c>
      <c r="B118" s="4"/>
      <c r="C118" s="980">
        <f>'4A SWD Case 2'!BG107</f>
        <v>1589.0896750042762</v>
      </c>
      <c r="D118" s="3">
        <f>'4B Biological treatment '!T171</f>
        <v>0.46080118654203228</v>
      </c>
      <c r="E118" s="1495">
        <f>'4B Biological treatment '!U171</f>
        <v>20.736053394391448</v>
      </c>
      <c r="F118" s="1495">
        <f>'4B Biological treatment '!W171</f>
        <v>1.2441632036634869</v>
      </c>
      <c r="G118" s="1184">
        <f>'4C2 Open-burning '!R144</f>
        <v>18.963676383936026</v>
      </c>
      <c r="H118" s="1184">
        <f>'4C2 Open-burning '!Z144</f>
        <v>4.6701077725998559</v>
      </c>
      <c r="I118" s="1184">
        <f>'4C2 Open-burning '!AH144</f>
        <v>7.1949265552570058E-2</v>
      </c>
      <c r="J118" s="1220">
        <f>'4D Wastewater treatment and dis'!AV181</f>
        <v>226.66971872453522</v>
      </c>
      <c r="K118" s="981">
        <f>'4D Wastewater treatment and dis'!AW181</f>
        <v>3.5727080613720332</v>
      </c>
      <c r="L118" s="982">
        <f t="shared" si="111"/>
        <v>33370.883175089803</v>
      </c>
      <c r="M118" s="983">
        <f t="shared" si="112"/>
        <v>9.6768249173826781</v>
      </c>
      <c r="N118" s="982">
        <f t="shared" si="113"/>
        <v>821.1477144179014</v>
      </c>
      <c r="O118" s="984">
        <f t="shared" si="114"/>
        <v>139.34021192982971</v>
      </c>
      <c r="P118" s="982">
        <f t="shared" si="115"/>
        <v>5867.6035922405699</v>
      </c>
      <c r="Q118" s="650">
        <f t="shared" si="74"/>
        <v>33370.883175089803</v>
      </c>
      <c r="R118" s="652">
        <f t="shared" si="75"/>
        <v>830.82453933528404</v>
      </c>
      <c r="S118" s="649">
        <f t="shared" si="76"/>
        <v>139.34021192982971</v>
      </c>
      <c r="T118" s="650">
        <f t="shared" si="77"/>
        <v>5867.6035922405699</v>
      </c>
      <c r="U118" s="650">
        <f t="shared" si="78"/>
        <v>40208.651518595485</v>
      </c>
    </row>
    <row r="119" spans="1:21">
      <c r="A119" s="4">
        <f>'Input data'!A138</f>
        <v>2040</v>
      </c>
      <c r="B119" s="4"/>
      <c r="C119" s="980">
        <f>'4A SWD Case 2'!BG108</f>
        <v>1551.1599841073835</v>
      </c>
      <c r="D119" s="3">
        <f>'4B Biological treatment '!T172</f>
        <v>0.54938067764391463</v>
      </c>
      <c r="E119" s="1495">
        <f>'4B Biological treatment '!U172</f>
        <v>24.722130493976156</v>
      </c>
      <c r="F119" s="1495">
        <f>'4B Biological treatment '!W172</f>
        <v>1.4833278296385692</v>
      </c>
      <c r="G119" s="1184">
        <f>'4C2 Open-burning '!R145</f>
        <v>19.102310313778933</v>
      </c>
      <c r="H119" s="1184">
        <f>'4C2 Open-burning '!Z145</f>
        <v>4.7042485889794197</v>
      </c>
      <c r="I119" s="1184">
        <f>'4C2 Open-burning '!AH145</f>
        <v>7.2475250558373755E-2</v>
      </c>
      <c r="J119" s="1220">
        <f>'4D Wastewater treatment and dis'!AV182</f>
        <v>228.32678738817191</v>
      </c>
      <c r="K119" s="981">
        <f>'4D Wastewater treatment and dis'!AW182</f>
        <v>3.5988263386881876</v>
      </c>
      <c r="L119" s="982">
        <f t="shared" si="111"/>
        <v>32574.359666255052</v>
      </c>
      <c r="M119" s="983">
        <f t="shared" si="112"/>
        <v>11.536994230522208</v>
      </c>
      <c r="N119" s="982">
        <f t="shared" si="113"/>
        <v>978.99636756145583</v>
      </c>
      <c r="O119" s="984">
        <f t="shared" si="114"/>
        <v>140.35885835544261</v>
      </c>
      <c r="P119" s="982">
        <f t="shared" si="115"/>
        <v>5910.4987001449481</v>
      </c>
      <c r="Q119" s="650">
        <f t="shared" si="74"/>
        <v>32574.359666255052</v>
      </c>
      <c r="R119" s="652">
        <f t="shared" si="75"/>
        <v>990.533361791978</v>
      </c>
      <c r="S119" s="649">
        <f t="shared" si="76"/>
        <v>140.35885835544261</v>
      </c>
      <c r="T119" s="650">
        <f t="shared" si="77"/>
        <v>5910.4987001449481</v>
      </c>
      <c r="U119" s="650">
        <f t="shared" si="78"/>
        <v>39615.750586547423</v>
      </c>
    </row>
    <row r="120" spans="1:21">
      <c r="A120" s="4">
        <f>'Input data'!A139</f>
        <v>2041</v>
      </c>
      <c r="B120" s="4"/>
      <c r="C120" s="980">
        <f>'4A SWD Case 2'!BG109</f>
        <v>1516.292438003376</v>
      </c>
      <c r="D120" s="3">
        <f>'4B Biological treatment '!T173</f>
        <v>0.59842536541319336</v>
      </c>
      <c r="E120" s="1495">
        <f>'4B Biological treatment '!U173</f>
        <v>26.929141443593696</v>
      </c>
      <c r="F120" s="1495">
        <f>'4B Biological treatment '!W173</f>
        <v>1.615748486615622</v>
      </c>
      <c r="G120" s="1184">
        <f>'4C2 Open-burning '!R146</f>
        <v>19.221139396501428</v>
      </c>
      <c r="H120" s="1184">
        <f>'4C2 Open-burning '!Z146</f>
        <v>4.7335121458761886</v>
      </c>
      <c r="I120" s="1184">
        <f>'4C2 Open-burning '!AH146</f>
        <v>7.2926094849062609E-2</v>
      </c>
      <c r="J120" s="1220">
        <f>'4D Wastewater treatment and dis'!AV183</f>
        <v>229.7471319570034</v>
      </c>
      <c r="K120" s="981">
        <f>'4D Wastewater treatment and dis'!AW183</f>
        <v>3.6212134335306052</v>
      </c>
      <c r="L120" s="982">
        <f t="shared" si="111"/>
        <v>31842.141198070894</v>
      </c>
      <c r="M120" s="983">
        <f t="shared" si="112"/>
        <v>12.56693267367706</v>
      </c>
      <c r="N120" s="982">
        <f t="shared" si="113"/>
        <v>1066.3940011663103</v>
      </c>
      <c r="O120" s="984">
        <f t="shared" si="114"/>
        <v>141.2319838631108</v>
      </c>
      <c r="P120" s="982">
        <f t="shared" si="115"/>
        <v>5947.2659354915595</v>
      </c>
      <c r="Q120" s="650">
        <f t="shared" si="74"/>
        <v>31842.141198070894</v>
      </c>
      <c r="R120" s="652">
        <f t="shared" si="75"/>
        <v>1078.9609338399873</v>
      </c>
      <c r="S120" s="649">
        <f t="shared" si="76"/>
        <v>141.2319838631108</v>
      </c>
      <c r="T120" s="650">
        <f t="shared" si="77"/>
        <v>5947.2659354915595</v>
      </c>
      <c r="U120" s="650">
        <f t="shared" si="78"/>
        <v>39009.600051265552</v>
      </c>
    </row>
    <row r="121" spans="1:21">
      <c r="A121" s="4">
        <f>'Input data'!A140</f>
        <v>2042</v>
      </c>
      <c r="B121" s="4"/>
      <c r="C121" s="980">
        <f>'4A SWD Case 2'!BG110</f>
        <v>1484.3866457551921</v>
      </c>
      <c r="D121" s="3">
        <f>'4B Biological treatment '!T174</f>
        <v>0.64846582999152724</v>
      </c>
      <c r="E121" s="1495">
        <f>'4B Biological treatment '!U174</f>
        <v>29.180962349618721</v>
      </c>
      <c r="F121" s="1495">
        <f>'4B Biological treatment '!W174</f>
        <v>1.7508577409771231</v>
      </c>
      <c r="G121" s="1184">
        <f>'4C2 Open-burning '!R147</f>
        <v>19.340503745362305</v>
      </c>
      <c r="H121" s="1184">
        <f>'4C2 Open-burning '!Z147</f>
        <v>4.7629075205968157</v>
      </c>
      <c r="I121" s="1184">
        <f>'4C2 Open-burning '!AH147</f>
        <v>7.3378969969889712E-2</v>
      </c>
      <c r="J121" s="1220">
        <f>'4D Wastewater treatment and dis'!AV184</f>
        <v>231.17387447434314</v>
      </c>
      <c r="K121" s="981">
        <f>'4D Wastewater treatment and dis'!AW184</f>
        <v>3.643701371142583</v>
      </c>
      <c r="L121" s="982">
        <f t="shared" si="111"/>
        <v>31172.119560859035</v>
      </c>
      <c r="M121" s="983">
        <f t="shared" si="112"/>
        <v>13.617782429822071</v>
      </c>
      <c r="N121" s="982">
        <f t="shared" si="113"/>
        <v>1155.5661090449012</v>
      </c>
      <c r="O121" s="984">
        <f t="shared" si="114"/>
        <v>142.10904236856123</v>
      </c>
      <c r="P121" s="982">
        <f t="shared" si="115"/>
        <v>5984.1987890154069</v>
      </c>
      <c r="Q121" s="650">
        <f t="shared" si="74"/>
        <v>31172.119560859035</v>
      </c>
      <c r="R121" s="652">
        <f t="shared" si="75"/>
        <v>1169.1838914747232</v>
      </c>
      <c r="S121" s="649">
        <f t="shared" si="76"/>
        <v>142.10904236856123</v>
      </c>
      <c r="T121" s="650">
        <f t="shared" si="77"/>
        <v>5984.1987890154069</v>
      </c>
      <c r="U121" s="650">
        <f t="shared" si="78"/>
        <v>38467.611283717728</v>
      </c>
    </row>
    <row r="122" spans="1:21">
      <c r="A122" s="4">
        <f>'Input data'!A141</f>
        <v>2043</v>
      </c>
      <c r="B122" s="4"/>
      <c r="C122" s="980">
        <f>'4A SWD Case 2'!BG111</f>
        <v>1455.3519168285027</v>
      </c>
      <c r="D122" s="3">
        <f>'4B Biological treatment '!T175</f>
        <v>0.69944440018264575</v>
      </c>
      <c r="E122" s="1495">
        <f>'4B Biological treatment '!U175</f>
        <v>31.47499800821905</v>
      </c>
      <c r="F122" s="1495">
        <f>'4B Biological treatment '!W175</f>
        <v>1.888499880493143</v>
      </c>
      <c r="G122" s="1184">
        <f>'4C2 Open-burning '!R148</f>
        <v>19.460670993430774</v>
      </c>
      <c r="H122" s="1184">
        <f>'4C2 Open-burning '!Z148</f>
        <v>4.7925006220532325</v>
      </c>
      <c r="I122" s="1184">
        <f>'4C2 Open-burning '!AH148</f>
        <v>7.3834891335924177E-2</v>
      </c>
      <c r="J122" s="1220">
        <f>'4D Wastewater treatment and dis'!AV185</f>
        <v>232.61021391444527</v>
      </c>
      <c r="K122" s="981">
        <f>'4D Wastewater treatment and dis'!AW185</f>
        <v>3.6663405729089016</v>
      </c>
      <c r="L122" s="982">
        <f t="shared" si="111"/>
        <v>30562.390253398557</v>
      </c>
      <c r="M122" s="983">
        <f t="shared" si="112"/>
        <v>14.688332403835561</v>
      </c>
      <c r="N122" s="982">
        <f t="shared" si="113"/>
        <v>1246.4099211254743</v>
      </c>
      <c r="O122" s="984">
        <f t="shared" si="114"/>
        <v>142.99200037068516</v>
      </c>
      <c r="P122" s="982">
        <f t="shared" si="115"/>
        <v>6021.38006980511</v>
      </c>
      <c r="Q122" s="650">
        <f t="shared" si="74"/>
        <v>30562.390253398557</v>
      </c>
      <c r="R122" s="652">
        <f t="shared" si="75"/>
        <v>1261.0982535293099</v>
      </c>
      <c r="S122" s="649">
        <f t="shared" si="76"/>
        <v>142.99200037068516</v>
      </c>
      <c r="T122" s="650">
        <f t="shared" si="77"/>
        <v>6021.38006980511</v>
      </c>
      <c r="U122" s="650">
        <f t="shared" si="78"/>
        <v>37987.860577103667</v>
      </c>
    </row>
    <row r="123" spans="1:21">
      <c r="A123" s="4">
        <f>'Input data'!A142</f>
        <v>2044</v>
      </c>
      <c r="B123" s="4"/>
      <c r="C123" s="980">
        <f>'4A SWD Case 2'!BG112</f>
        <v>1429.098703426466</v>
      </c>
      <c r="D123" s="3">
        <f>'4B Biological treatment '!T176</f>
        <v>0.75149302390980266</v>
      </c>
      <c r="E123" s="1495">
        <f>'4B Biological treatment '!U176</f>
        <v>33.817186075941123</v>
      </c>
      <c r="F123" s="1495">
        <f>'4B Biological treatment '!W176</f>
        <v>2.0290311645564669</v>
      </c>
      <c r="G123" s="1184">
        <f>'4C2 Open-burning '!R149</f>
        <v>19.581373507637629</v>
      </c>
      <c r="H123" s="1184">
        <f>'4C2 Open-burning '!Z149</f>
        <v>4.8222255413335091</v>
      </c>
      <c r="I123" s="1184">
        <f>'4C2 Open-burning '!AH149</f>
        <v>7.4292843532096892E-2</v>
      </c>
      <c r="J123" s="1220">
        <f>'4D Wastewater treatment and dis'!AV186</f>
        <v>234.05295130305572</v>
      </c>
      <c r="K123" s="981">
        <f>'4D Wastewater treatment and dis'!AW186</f>
        <v>3.6890806174447812</v>
      </c>
      <c r="L123" s="982">
        <f t="shared" si="111"/>
        <v>30011.072771955787</v>
      </c>
      <c r="M123" s="983">
        <f t="shared" si="112"/>
        <v>15.781353502105857</v>
      </c>
      <c r="N123" s="982">
        <f t="shared" si="113"/>
        <v>1339.1605686072683</v>
      </c>
      <c r="O123" s="984">
        <f t="shared" si="114"/>
        <v>143.87889137059136</v>
      </c>
      <c r="P123" s="982">
        <f t="shared" si="115"/>
        <v>6058.7269687720527</v>
      </c>
      <c r="Q123" s="650">
        <f t="shared" si="74"/>
        <v>30011.072771955787</v>
      </c>
      <c r="R123" s="652">
        <f t="shared" si="75"/>
        <v>1354.9419221093742</v>
      </c>
      <c r="S123" s="649">
        <f t="shared" si="76"/>
        <v>143.87889137059136</v>
      </c>
      <c r="T123" s="650">
        <f t="shared" si="77"/>
        <v>6058.7269687720527</v>
      </c>
      <c r="U123" s="650">
        <f t="shared" si="78"/>
        <v>37568.620554207802</v>
      </c>
    </row>
    <row r="124" spans="1:21">
      <c r="A124" s="4">
        <f>'Input data'!A143</f>
        <v>2045</v>
      </c>
      <c r="B124" s="4"/>
      <c r="C124" s="980">
        <f>'4A SWD Case 2'!BG113</f>
        <v>1405.5491267330206</v>
      </c>
      <c r="D124" s="3">
        <f>'4B Biological treatment '!T177</f>
        <v>0.80517849198743807</v>
      </c>
      <c r="E124" s="1495">
        <f>'4B Biological treatment '!U177</f>
        <v>36.233032139434705</v>
      </c>
      <c r="F124" s="1495">
        <f>'4B Biological treatment '!W177</f>
        <v>2.1739819283660822</v>
      </c>
      <c r="G124" s="1184">
        <f>'4C2 Open-burning '!R150</f>
        <v>19.703146554121265</v>
      </c>
      <c r="H124" s="1184">
        <f>'4C2 Open-burning '!Z150</f>
        <v>4.8522140962615046</v>
      </c>
      <c r="I124" s="1184">
        <f>'4C2 Open-burning '!AH150</f>
        <v>7.4754857388546064E-2</v>
      </c>
      <c r="J124" s="1220">
        <f>'4D Wastewater treatment and dis'!AV187</f>
        <v>235.50848458868253</v>
      </c>
      <c r="K124" s="981">
        <f>'4D Wastewater treatment and dis'!AW187</f>
        <v>3.7120223475197802</v>
      </c>
      <c r="L124" s="982">
        <f t="shared" si="111"/>
        <v>29516.53166139343</v>
      </c>
      <c r="M124" s="983">
        <f t="shared" si="112"/>
        <v>16.908748331736199</v>
      </c>
      <c r="N124" s="982">
        <f t="shared" si="113"/>
        <v>1434.8280727216143</v>
      </c>
      <c r="O124" s="984">
        <f t="shared" si="114"/>
        <v>144.77364836606213</v>
      </c>
      <c r="P124" s="982">
        <f t="shared" si="115"/>
        <v>6096.4051040934646</v>
      </c>
      <c r="Q124" s="650">
        <f t="shared" si="74"/>
        <v>29516.53166139343</v>
      </c>
      <c r="R124" s="652">
        <f t="shared" si="75"/>
        <v>1451.7368210533505</v>
      </c>
      <c r="S124" s="649">
        <f t="shared" si="76"/>
        <v>144.77364836606213</v>
      </c>
      <c r="T124" s="650">
        <f t="shared" si="77"/>
        <v>6096.4051040934646</v>
      </c>
      <c r="U124" s="650">
        <f t="shared" si="78"/>
        <v>37209.447234906307</v>
      </c>
    </row>
    <row r="125" spans="1:21">
      <c r="A125" s="4">
        <f>'Input data'!A144</f>
        <v>2046</v>
      </c>
      <c r="B125" s="4"/>
      <c r="C125" s="980">
        <f>'4A SWD Case 2'!BG114</f>
        <v>1384.6595411980452</v>
      </c>
      <c r="D125" s="3">
        <f>'4B Biological treatment '!T178</f>
        <v>0.86003451757873861</v>
      </c>
      <c r="E125" s="1495">
        <f>'4B Biological treatment '!U178</f>
        <v>38.701553291043233</v>
      </c>
      <c r="F125" s="1495">
        <f>'4B Biological treatment '!W178</f>
        <v>2.3220931974625931</v>
      </c>
      <c r="G125" s="1184">
        <f>'4C2 Open-burning '!R151</f>
        <v>19.803508955069312</v>
      </c>
      <c r="H125" s="1184">
        <f>'4C2 Open-burning '!Z151</f>
        <v>4.8769299382351257</v>
      </c>
      <c r="I125" s="1184">
        <f>'4C2 Open-burning '!AH151</f>
        <v>7.5135638039465713E-2</v>
      </c>
      <c r="J125" s="1220">
        <f>'4D Wastewater treatment and dis'!AV188</f>
        <v>236.70809993397941</v>
      </c>
      <c r="K125" s="981">
        <f>'4D Wastewater treatment and dis'!AW188</f>
        <v>3.7309303668123635</v>
      </c>
      <c r="L125" s="982">
        <f t="shared" si="111"/>
        <v>29077.850365158949</v>
      </c>
      <c r="M125" s="983">
        <f t="shared" si="112"/>
        <v>18.06072486915351</v>
      </c>
      <c r="N125" s="982">
        <f t="shared" si="113"/>
        <v>1532.5815103253117</v>
      </c>
      <c r="O125" s="984">
        <f t="shared" si="114"/>
        <v>145.51108545024132</v>
      </c>
      <c r="P125" s="982">
        <f t="shared" si="115"/>
        <v>6127.4585123254001</v>
      </c>
      <c r="Q125" s="650">
        <f t="shared" si="74"/>
        <v>29077.850365158949</v>
      </c>
      <c r="R125" s="652">
        <f t="shared" si="75"/>
        <v>1550.6422351944652</v>
      </c>
      <c r="S125" s="649">
        <f t="shared" si="76"/>
        <v>145.51108545024132</v>
      </c>
      <c r="T125" s="650">
        <f t="shared" si="77"/>
        <v>6127.4585123254001</v>
      </c>
      <c r="U125" s="650">
        <f t="shared" si="78"/>
        <v>36901.462198129055</v>
      </c>
    </row>
    <row r="126" spans="1:21">
      <c r="A126" s="4">
        <f>'Input data'!A145</f>
        <v>2047</v>
      </c>
      <c r="B126" s="4"/>
      <c r="C126" s="980">
        <f>'4A SWD Case 2'!BG115</f>
        <v>1366.3739196174324</v>
      </c>
      <c r="D126" s="3">
        <f>'4B Biological treatment '!T179</f>
        <v>0.91625978989901324</v>
      </c>
      <c r="E126" s="1495">
        <f>'4B Biological treatment '!U179</f>
        <v>41.231690545455592</v>
      </c>
      <c r="F126" s="1495">
        <f>'4B Biological treatment '!W179</f>
        <v>2.4739014327273354</v>
      </c>
      <c r="G126" s="1184">
        <f>'4C2 Open-burning '!R152</f>
        <v>19.90467425522495</v>
      </c>
      <c r="H126" s="1184">
        <f>'4C2 Open-burning '!Z152</f>
        <v>4.9018435069445383</v>
      </c>
      <c r="I126" s="1184">
        <f>'4C2 Open-burning '!AH152</f>
        <v>7.5519464935592723E-2</v>
      </c>
      <c r="J126" s="1220">
        <f>'4D Wastewater treatment and dis'!AV189</f>
        <v>237.91731220203872</v>
      </c>
      <c r="K126" s="981">
        <f>'4D Wastewater treatment and dis'!AW189</f>
        <v>3.7499896502592862</v>
      </c>
      <c r="L126" s="982">
        <f t="shared" si="111"/>
        <v>28693.852311966082</v>
      </c>
      <c r="M126" s="983">
        <f t="shared" si="112"/>
        <v>19.24145558787928</v>
      </c>
      <c r="N126" s="982">
        <f t="shared" si="113"/>
        <v>1632.7749456000415</v>
      </c>
      <c r="O126" s="984">
        <f t="shared" si="114"/>
        <v>146.25442203109401</v>
      </c>
      <c r="P126" s="982">
        <f t="shared" si="115"/>
        <v>6158.7603478231922</v>
      </c>
      <c r="Q126" s="650">
        <f t="shared" ref="Q126:Q129" si="116">L126</f>
        <v>28693.852311966082</v>
      </c>
      <c r="R126" s="652">
        <f t="shared" ref="R126:R129" si="117">M126+N126</f>
        <v>1652.0164011879208</v>
      </c>
      <c r="S126" s="649">
        <f t="shared" ref="S126:S129" si="118">O126</f>
        <v>146.25442203109401</v>
      </c>
      <c r="T126" s="650">
        <f t="shared" ref="T126:T129" si="119">P126</f>
        <v>6158.7603478231922</v>
      </c>
      <c r="U126" s="650">
        <f t="shared" ref="U126:U129" si="120">SUM(Q126:T126)</f>
        <v>36650.883483008292</v>
      </c>
    </row>
    <row r="127" spans="1:21">
      <c r="A127" s="4">
        <f>'Input data'!A146</f>
        <v>2048</v>
      </c>
      <c r="B127" s="4"/>
      <c r="C127" s="980">
        <f>'4A SWD Case 2'!BG116</f>
        <v>1350.640891897315</v>
      </c>
      <c r="D127" s="3">
        <f>'4B Biological treatment '!T180</f>
        <v>0.97284266551692267</v>
      </c>
      <c r="E127" s="1495">
        <f>'4B Biological treatment '!U180</f>
        <v>43.777919948261513</v>
      </c>
      <c r="F127" s="1495">
        <f>'4B Biological treatment '!W180</f>
        <v>2.6266751968956905</v>
      </c>
      <c r="G127" s="1184">
        <f>'4C2 Open-burning '!R153</f>
        <v>20.006374821518975</v>
      </c>
      <c r="H127" s="1184">
        <f>'4C2 Open-burning '!Z153</f>
        <v>4.9268888934778072</v>
      </c>
      <c r="I127" s="1184">
        <f>'4C2 Open-burning '!AH153</f>
        <v>7.5905322661857969E-2</v>
      </c>
      <c r="J127" s="1220">
        <f>'4D Wastewater treatment and dis'!AV190</f>
        <v>239.13292241860617</v>
      </c>
      <c r="K127" s="981">
        <f>'4D Wastewater treatment and dis'!AW190</f>
        <v>3.76914977647577</v>
      </c>
      <c r="L127" s="982">
        <f t="shared" si="111"/>
        <v>28363.458729843616</v>
      </c>
      <c r="M127" s="983">
        <f t="shared" si="112"/>
        <v>20.429695975855378</v>
      </c>
      <c r="N127" s="982">
        <f t="shared" si="113"/>
        <v>1733.6056299511558</v>
      </c>
      <c r="O127" s="984">
        <f t="shared" si="114"/>
        <v>147.00169160972888</v>
      </c>
      <c r="P127" s="982">
        <f t="shared" si="115"/>
        <v>6190.2278014982176</v>
      </c>
      <c r="Q127" s="650">
        <f t="shared" si="116"/>
        <v>28363.458729843616</v>
      </c>
      <c r="R127" s="652">
        <f t="shared" si="117"/>
        <v>1754.0353259270112</v>
      </c>
      <c r="S127" s="649">
        <f t="shared" si="118"/>
        <v>147.00169160972888</v>
      </c>
      <c r="T127" s="650">
        <f t="shared" si="119"/>
        <v>6190.2278014982176</v>
      </c>
      <c r="U127" s="650">
        <f t="shared" si="120"/>
        <v>36454.723548878574</v>
      </c>
    </row>
    <row r="128" spans="1:21">
      <c r="A128" s="4">
        <f>'Input data'!A147</f>
        <v>2049</v>
      </c>
      <c r="B128" s="4"/>
      <c r="C128" s="980">
        <f>'4A SWD Case 2'!BG117</f>
        <v>1337.3551046706759</v>
      </c>
      <c r="D128" s="3">
        <f>'4B Biological treatment '!T181</f>
        <v>1.0309534506819011</v>
      </c>
      <c r="E128" s="1495">
        <f>'4B Biological treatment '!U181</f>
        <v>46.392905280685547</v>
      </c>
      <c r="F128" s="1495">
        <f>'4B Biological treatment '!W181</f>
        <v>2.7835743168411327</v>
      </c>
      <c r="G128" s="1184">
        <f>'4C2 Open-burning '!R154</f>
        <v>20.108343020882188</v>
      </c>
      <c r="H128" s="1184">
        <f>'4C2 Open-burning '!Z154</f>
        <v>4.9520001889230087</v>
      </c>
      <c r="I128" s="1184">
        <f>'4C2 Open-burning '!AH154</f>
        <v>7.6292195803192339E-2</v>
      </c>
      <c r="J128" s="1220">
        <f>'4D Wastewater treatment and dis'!AV191</f>
        <v>240.35173160942776</v>
      </c>
      <c r="K128" s="981">
        <f>'4D Wastewater treatment and dis'!AW191</f>
        <v>3.7883603240770336</v>
      </c>
      <c r="L128" s="982">
        <f t="shared" si="111"/>
        <v>28084.457198084194</v>
      </c>
      <c r="M128" s="983">
        <f t="shared" si="112"/>
        <v>21.650022464319925</v>
      </c>
      <c r="N128" s="982">
        <f t="shared" si="113"/>
        <v>1837.1590491151476</v>
      </c>
      <c r="O128" s="984">
        <f t="shared" si="114"/>
        <v>147.750927687255</v>
      </c>
      <c r="P128" s="982">
        <f t="shared" si="115"/>
        <v>6221.7780642618636</v>
      </c>
      <c r="Q128" s="650">
        <f t="shared" si="116"/>
        <v>28084.457198084194</v>
      </c>
      <c r="R128" s="652">
        <f t="shared" si="117"/>
        <v>1858.8090715794674</v>
      </c>
      <c r="S128" s="649">
        <f t="shared" si="118"/>
        <v>147.750927687255</v>
      </c>
      <c r="T128" s="650">
        <f t="shared" si="119"/>
        <v>6221.7780642618636</v>
      </c>
      <c r="U128" s="650">
        <f t="shared" si="120"/>
        <v>36312.79526161278</v>
      </c>
    </row>
    <row r="129" spans="1:21">
      <c r="A129" s="4">
        <f>'Input data'!A148</f>
        <v>2050</v>
      </c>
      <c r="B129" s="4"/>
      <c r="C129" s="980">
        <f>'4A SWD Case 2'!BG118</f>
        <v>1326.4799547926259</v>
      </c>
      <c r="D129" s="3">
        <f>'4B Biological treatment '!T182</f>
        <v>1.0906866297882232</v>
      </c>
      <c r="E129" s="1495">
        <f>'4B Biological treatment '!U182</f>
        <v>49.080898340470043</v>
      </c>
      <c r="F129" s="1495">
        <f>'4B Biological treatment '!W182</f>
        <v>2.9448539004282019</v>
      </c>
      <c r="G129" s="1184">
        <f>'4C2 Open-burning '!R155</f>
        <v>20.211114119452997</v>
      </c>
      <c r="H129" s="1184">
        <f>'4C2 Open-burning '!Z155</f>
        <v>4.9773092111039974</v>
      </c>
      <c r="I129" s="1184">
        <f>'4C2 Open-burning '!AH155</f>
        <v>7.6682115189734057E-2</v>
      </c>
      <c r="J129" s="1220">
        <f>'4D Wastewater treatment and dis'!AV192</f>
        <v>241.58013772301177</v>
      </c>
      <c r="K129" s="981">
        <f>'4D Wastewater treatment and dis'!AW192</f>
        <v>3.8077221358326381</v>
      </c>
      <c r="L129" s="982">
        <f t="shared" si="111"/>
        <v>27856.079050645145</v>
      </c>
      <c r="M129" s="983">
        <f t="shared" si="112"/>
        <v>22.904419225552687</v>
      </c>
      <c r="N129" s="982">
        <f t="shared" si="113"/>
        <v>1943.6035742826134</v>
      </c>
      <c r="O129" s="984">
        <f t="shared" si="114"/>
        <v>148.5060632614545</v>
      </c>
      <c r="P129" s="982">
        <f t="shared" si="115"/>
        <v>6253.5767542913654</v>
      </c>
      <c r="Q129" s="583">
        <f t="shared" si="116"/>
        <v>27856.079050645145</v>
      </c>
      <c r="R129" s="648">
        <f t="shared" si="117"/>
        <v>1966.507993508166</v>
      </c>
      <c r="S129" s="645">
        <f t="shared" si="118"/>
        <v>148.5060632614545</v>
      </c>
      <c r="T129" s="583">
        <f t="shared" si="119"/>
        <v>6253.5767542913654</v>
      </c>
      <c r="U129" s="583">
        <f t="shared" si="120"/>
        <v>36224.669861706134</v>
      </c>
    </row>
    <row r="130" spans="1:21">
      <c r="A130" s="501" t="s">
        <v>760</v>
      </c>
      <c r="B130" s="501"/>
      <c r="C130" s="583"/>
      <c r="D130" s="3">
        <f>'4B Biological treatment '!T183</f>
        <v>0</v>
      </c>
      <c r="E130" s="584">
        <f>'4B Biological treatment '!U183</f>
        <v>0</v>
      </c>
      <c r="F130" s="584">
        <f>'4B Biological treatment '!W183</f>
        <v>0</v>
      </c>
      <c r="G130" s="1184"/>
      <c r="H130" s="1184"/>
      <c r="I130" s="1184"/>
      <c r="J130" s="1219"/>
      <c r="K130" s="646"/>
      <c r="L130" s="583"/>
      <c r="M130" s="3"/>
      <c r="N130" s="583"/>
      <c r="O130" s="645"/>
      <c r="P130" s="583"/>
      <c r="Q130" s="583"/>
      <c r="R130" s="648"/>
      <c r="S130" s="645"/>
      <c r="T130" s="583"/>
      <c r="U130" s="583"/>
    </row>
    <row r="131" spans="1:21">
      <c r="A131" s="4">
        <f>'Input data'!A116</f>
        <v>2018</v>
      </c>
      <c r="B131" s="4"/>
      <c r="C131" s="980">
        <f>'4A SWD Case 2'!BN86</f>
        <v>2252.9713671294257</v>
      </c>
      <c r="D131" s="3">
        <f>'4B Biological treatment '!T184</f>
        <v>1.1085411714780036</v>
      </c>
      <c r="E131" s="1495">
        <f>'4B Biological treatment '!U184</f>
        <v>34.048050266824397</v>
      </c>
      <c r="F131" s="1495">
        <f>'4B Biological treatment '!W184</f>
        <v>2.0428830160094638</v>
      </c>
      <c r="G131" s="1184">
        <f>'4C2 Open-burning '!R123</f>
        <v>45.721904224931905</v>
      </c>
      <c r="H131" s="1184">
        <f>'4C2 Open-burning '!Z123</f>
        <v>11.259748161479752</v>
      </c>
      <c r="I131" s="1184">
        <f>'4C2 Open-burning '!AH123</f>
        <v>0.17347150215215879</v>
      </c>
      <c r="J131" s="1220">
        <f>'4D Wastewater treatment and dis'!AV160</f>
        <v>137.16052018288545</v>
      </c>
      <c r="K131" s="981">
        <f>'4D Wastewater treatment and dis'!AW160</f>
        <v>2.8960026562367029</v>
      </c>
      <c r="L131" s="982">
        <f t="shared" ref="L131:L163" si="121">C131*$B$3</f>
        <v>47312.398709717942</v>
      </c>
      <c r="M131" s="983">
        <f t="shared" ref="M131:M163" si="122">D131*$B$3</f>
        <v>23.279364601038075</v>
      </c>
      <c r="N131" s="982">
        <f t="shared" ref="N131:N163" si="123">E131*$B$3+F131*$C$3</f>
        <v>1348.3027905662461</v>
      </c>
      <c r="O131" s="984">
        <f t="shared" ref="O131:O163" si="124">G131+H131*$B$3+I131*$C$3</f>
        <v>335.95278128317591</v>
      </c>
      <c r="P131" s="982">
        <f t="shared" ref="P131:P163" si="125">J131*$B$3+K131*$C$3</f>
        <v>3778.1317472739725</v>
      </c>
      <c r="Q131" s="583">
        <f t="shared" ref="Q131:Q163" si="126">L131</f>
        <v>47312.398709717942</v>
      </c>
      <c r="R131" s="648">
        <f t="shared" ref="R131:R163" si="127">M131+N131</f>
        <v>1371.5821551672841</v>
      </c>
      <c r="S131" s="645">
        <f t="shared" ref="S131:S163" si="128">O131</f>
        <v>335.95278128317591</v>
      </c>
      <c r="T131" s="583">
        <f t="shared" ref="T131:T163" si="129">P131</f>
        <v>3778.1317472739725</v>
      </c>
      <c r="U131" s="583">
        <f t="shared" ref="U131:U163" si="130">SUM(Q131:T131)</f>
        <v>52798.065393442375</v>
      </c>
    </row>
    <row r="132" spans="1:21">
      <c r="A132" s="4">
        <f>'Input data'!A117</f>
        <v>2019</v>
      </c>
      <c r="B132" s="4"/>
      <c r="C132" s="980">
        <f>'4A SWD Case 2'!BN87</f>
        <v>2265.3356525671547</v>
      </c>
      <c r="D132" s="3">
        <f>'4B Biological treatment '!T185</f>
        <v>1.8580918239074879</v>
      </c>
      <c r="E132" s="1495">
        <f>'4B Biological treatment '!U185</f>
        <v>31.102841400190549</v>
      </c>
      <c r="F132" s="1495">
        <f>'4B Biological treatment '!W185</f>
        <v>1.8661704840114328</v>
      </c>
      <c r="G132" s="1184">
        <f>'4C2 Open-burning '!R124</f>
        <v>45.721592774827457</v>
      </c>
      <c r="H132" s="1184">
        <f>'4C2 Open-burning '!Z124</f>
        <v>11.258320518627356</v>
      </c>
      <c r="I132" s="1184">
        <f>'4C2 Open-burning '!AH124</f>
        <v>0.17345567083268393</v>
      </c>
      <c r="J132" s="1220">
        <f>'4D Wastewater treatment and dis'!AV161</f>
        <v>143.32311856444659</v>
      </c>
      <c r="K132" s="981">
        <f>'4D Wastewater treatment and dis'!AW161</f>
        <v>2.9428441226975277</v>
      </c>
      <c r="L132" s="982">
        <f t="shared" si="121"/>
        <v>47572.048703910252</v>
      </c>
      <c r="M132" s="983">
        <f t="shared" si="122"/>
        <v>39.019928302057245</v>
      </c>
      <c r="N132" s="982">
        <f t="shared" si="123"/>
        <v>1231.6725194475457</v>
      </c>
      <c r="O132" s="984">
        <f t="shared" si="124"/>
        <v>335.91758162413396</v>
      </c>
      <c r="P132" s="982">
        <f t="shared" si="125"/>
        <v>3922.0671678896119</v>
      </c>
      <c r="Q132" s="650">
        <f t="shared" si="126"/>
        <v>47572.048703910252</v>
      </c>
      <c r="R132" s="652">
        <f t="shared" si="127"/>
        <v>1270.6924477496029</v>
      </c>
      <c r="S132" s="649">
        <f t="shared" si="128"/>
        <v>335.91758162413396</v>
      </c>
      <c r="T132" s="650">
        <f t="shared" si="129"/>
        <v>3922.0671678896119</v>
      </c>
      <c r="U132" s="650">
        <f t="shared" si="130"/>
        <v>53100.725901173595</v>
      </c>
    </row>
    <row r="133" spans="1:21">
      <c r="A133" s="4">
        <f>'Input data'!A118</f>
        <v>2020</v>
      </c>
      <c r="B133" s="4"/>
      <c r="C133" s="980">
        <f>'4A SWD Case 2'!BN88</f>
        <v>2271.6256106995647</v>
      </c>
      <c r="D133" s="3">
        <f>'4B Biological treatment '!T186</f>
        <v>2.2364982210847217</v>
      </c>
      <c r="E133" s="1495">
        <f>'4B Biological treatment '!U186</f>
        <v>23.762793599025166</v>
      </c>
      <c r="F133" s="1495">
        <f>'4B Biological treatment '!W186</f>
        <v>1.4257676159415098</v>
      </c>
      <c r="G133" s="1184">
        <f>'4C2 Open-burning '!R125</f>
        <v>45.38335713019427</v>
      </c>
      <c r="H133" s="1184">
        <f>'4C2 Open-burning '!Z125</f>
        <v>11.17637553970982</v>
      </c>
      <c r="I133" s="1184">
        <f>'4C2 Open-burning '!AH125</f>
        <v>0.17218703524140921</v>
      </c>
      <c r="J133" s="1220">
        <f>'4D Wastewater treatment and dis'!AV162</f>
        <v>149.6491219215433</v>
      </c>
      <c r="K133" s="981">
        <f>'4D Wastewater treatment and dis'!AW162</f>
        <v>2.9904419099300554</v>
      </c>
      <c r="L133" s="982">
        <f t="shared" si="121"/>
        <v>47704.137824690857</v>
      </c>
      <c r="M133" s="983">
        <f t="shared" si="122"/>
        <v>46.966462642779156</v>
      </c>
      <c r="N133" s="982">
        <f t="shared" si="123"/>
        <v>941.00662652139658</v>
      </c>
      <c r="O133" s="984">
        <f t="shared" si="124"/>
        <v>333.46522438893732</v>
      </c>
      <c r="P133" s="982">
        <f t="shared" si="125"/>
        <v>4069.6685524307268</v>
      </c>
      <c r="Q133" s="650">
        <f t="shared" si="126"/>
        <v>47704.137824690857</v>
      </c>
      <c r="R133" s="652">
        <f t="shared" si="127"/>
        <v>987.97308916417569</v>
      </c>
      <c r="S133" s="649">
        <f t="shared" si="128"/>
        <v>333.46522438893732</v>
      </c>
      <c r="T133" s="650">
        <f t="shared" si="129"/>
        <v>4069.6685524307268</v>
      </c>
      <c r="U133" s="650">
        <f t="shared" si="130"/>
        <v>53095.244690674692</v>
      </c>
    </row>
    <row r="134" spans="1:21">
      <c r="A134" s="4">
        <f>'Input data'!A119</f>
        <v>2021</v>
      </c>
      <c r="B134" s="4"/>
      <c r="C134" s="980">
        <f>'4A SWD Case 2'!BN89</f>
        <v>2259.5029807893625</v>
      </c>
      <c r="D134" s="3">
        <f>'4B Biological treatment '!T187</f>
        <v>2.4169523451540305</v>
      </c>
      <c r="E134" s="1495">
        <f>'4B Biological treatment '!U187</f>
        <v>17.390266873669241</v>
      </c>
      <c r="F134" s="1495">
        <f>'4B Biological treatment '!W187</f>
        <v>1.0434160124201544</v>
      </c>
      <c r="G134" s="1184">
        <f>'4C2 Open-burning '!R126</f>
        <v>42.663095133653783</v>
      </c>
      <c r="H134" s="1184">
        <f>'4C2 Open-burning '!Z126</f>
        <v>10.506467635970589</v>
      </c>
      <c r="I134" s="1184">
        <f>'4C2 Open-burning '!AH126</f>
        <v>0.16186620668479823</v>
      </c>
      <c r="J134" s="1220">
        <f>'4D Wastewater treatment and dis'!AV163</f>
        <v>155.4265138839244</v>
      </c>
      <c r="K134" s="981">
        <f>'4D Wastewater treatment and dis'!AW163</f>
        <v>3.024879715734945</v>
      </c>
      <c r="L134" s="982">
        <f t="shared" si="121"/>
        <v>47449.562596576608</v>
      </c>
      <c r="M134" s="983">
        <f t="shared" si="122"/>
        <v>50.755999248234637</v>
      </c>
      <c r="N134" s="982">
        <f t="shared" si="123"/>
        <v>688.65456819730184</v>
      </c>
      <c r="O134" s="984">
        <f t="shared" si="124"/>
        <v>313.47743956132365</v>
      </c>
      <c r="P134" s="982">
        <f t="shared" si="125"/>
        <v>4201.6695034402455</v>
      </c>
      <c r="Q134" s="650">
        <f t="shared" si="126"/>
        <v>47449.562596576608</v>
      </c>
      <c r="R134" s="652">
        <f t="shared" si="127"/>
        <v>739.41056744553646</v>
      </c>
      <c r="S134" s="649">
        <f t="shared" si="128"/>
        <v>313.47743956132365</v>
      </c>
      <c r="T134" s="650">
        <f t="shared" si="129"/>
        <v>4201.6695034402455</v>
      </c>
      <c r="U134" s="650">
        <f t="shared" si="130"/>
        <v>52704.120107023708</v>
      </c>
    </row>
    <row r="135" spans="1:21">
      <c r="A135" s="4">
        <f>'Input data'!A120</f>
        <v>2022</v>
      </c>
      <c r="B135" s="4"/>
      <c r="C135" s="980">
        <f>'4A SWD Case 2'!BN90</f>
        <v>2230.3439036377863</v>
      </c>
      <c r="D135" s="3">
        <f>'4B Biological treatment '!T188</f>
        <v>2.5651546231662001</v>
      </c>
      <c r="E135" s="1495">
        <f>'4B Biological treatment '!U188</f>
        <v>12.825773115831</v>
      </c>
      <c r="F135" s="1495">
        <f>'4B Biological treatment '!W188</f>
        <v>0.76954638694986</v>
      </c>
      <c r="G135" s="1184">
        <f>'4C2 Open-burning '!R127</f>
        <v>36.284510978703963</v>
      </c>
      <c r="H135" s="1184">
        <f>'4C2 Open-burning '!Z127</f>
        <v>8.9356395519474301</v>
      </c>
      <c r="I135" s="1184">
        <f>'4C2 Open-burning '!AH127</f>
        <v>0.13766549602498859</v>
      </c>
      <c r="J135" s="1220">
        <f>'4D Wastewater treatment and dis'!AV164</f>
        <v>161.31482365077883</v>
      </c>
      <c r="K135" s="981">
        <f>'4D Wastewater treatment and dis'!AW164</f>
        <v>3.0596704712332969</v>
      </c>
      <c r="L135" s="982">
        <f t="shared" si="121"/>
        <v>46837.221976393514</v>
      </c>
      <c r="M135" s="983">
        <f t="shared" si="122"/>
        <v>53.8682470864902</v>
      </c>
      <c r="N135" s="982">
        <f t="shared" si="123"/>
        <v>507.90061538690759</v>
      </c>
      <c r="O135" s="984">
        <f t="shared" si="124"/>
        <v>266.60924533734647</v>
      </c>
      <c r="P135" s="982">
        <f t="shared" si="125"/>
        <v>4336.1091427486772</v>
      </c>
      <c r="Q135" s="650">
        <f t="shared" si="126"/>
        <v>46837.221976393514</v>
      </c>
      <c r="R135" s="652">
        <f t="shared" si="127"/>
        <v>561.7688624733978</v>
      </c>
      <c r="S135" s="649">
        <f t="shared" si="128"/>
        <v>266.60924533734647</v>
      </c>
      <c r="T135" s="650">
        <f t="shared" si="129"/>
        <v>4336.1091427486772</v>
      </c>
      <c r="U135" s="650">
        <f t="shared" si="130"/>
        <v>52001.709226952938</v>
      </c>
    </row>
    <row r="136" spans="1:21">
      <c r="A136" s="4">
        <f>'Input data'!A121</f>
        <v>2023</v>
      </c>
      <c r="B136" s="4"/>
      <c r="C136" s="980">
        <f>'4A SWD Case 2'!BN91</f>
        <v>2196.7538607416445</v>
      </c>
      <c r="D136" s="3">
        <f>'4B Biological treatment '!T189</f>
        <v>2.5035878057367835</v>
      </c>
      <c r="E136" s="1495">
        <f>'4B Biological treatment '!U189</f>
        <v>12.517939028683919</v>
      </c>
      <c r="F136" s="1495">
        <f>'4B Biological treatment '!W189</f>
        <v>0.7510763417210351</v>
      </c>
      <c r="G136" s="1184">
        <f>'4C2 Open-burning '!R128</f>
        <v>34.965015150565961</v>
      </c>
      <c r="H136" s="1184">
        <f>'4C2 Open-burning '!Z128</f>
        <v>8.6106926588375945</v>
      </c>
      <c r="I136" s="1184">
        <f>'4C2 Open-burning '!AH128</f>
        <v>0.13265925389070343</v>
      </c>
      <c r="J136" s="1220">
        <f>'4D Wastewater treatment and dis'!AV165</f>
        <v>167.32092220488411</v>
      </c>
      <c r="K136" s="981">
        <f>'4D Wastewater treatment and dis'!AW165</f>
        <v>3.0949150191946715</v>
      </c>
      <c r="L136" s="982">
        <f t="shared" si="121"/>
        <v>46131.831075574533</v>
      </c>
      <c r="M136" s="983">
        <f t="shared" si="122"/>
        <v>52.575343920472456</v>
      </c>
      <c r="N136" s="982">
        <f t="shared" si="123"/>
        <v>495.71038553588318</v>
      </c>
      <c r="O136" s="984">
        <f t="shared" si="124"/>
        <v>256.91392969227348</v>
      </c>
      <c r="P136" s="982">
        <f t="shared" si="125"/>
        <v>4473.1630222529147</v>
      </c>
      <c r="Q136" s="650">
        <f t="shared" si="126"/>
        <v>46131.831075574533</v>
      </c>
      <c r="R136" s="652">
        <f t="shared" si="127"/>
        <v>548.28572945635563</v>
      </c>
      <c r="S136" s="649">
        <f t="shared" si="128"/>
        <v>256.91392969227348</v>
      </c>
      <c r="T136" s="650">
        <f t="shared" si="129"/>
        <v>4473.1630222529147</v>
      </c>
      <c r="U136" s="650">
        <f t="shared" si="130"/>
        <v>51410.193756976078</v>
      </c>
    </row>
    <row r="137" spans="1:21">
      <c r="A137" s="4">
        <f>'Input data'!A122</f>
        <v>2024</v>
      </c>
      <c r="B137" s="4"/>
      <c r="C137" s="980">
        <f>'4A SWD Case 2'!BN92</f>
        <v>2162.7327265853169</v>
      </c>
      <c r="D137" s="3">
        <f>'4B Biological treatment '!T190</f>
        <v>2.4370068511193392</v>
      </c>
      <c r="E137" s="1495">
        <f>'4B Biological treatment '!U190</f>
        <v>12.185034255596698</v>
      </c>
      <c r="F137" s="1495">
        <f>'4B Biological treatment '!W190</f>
        <v>0.73110205533580164</v>
      </c>
      <c r="G137" s="1184">
        <f>'4C2 Open-burning '!R129</f>
        <v>33.562288423297545</v>
      </c>
      <c r="H137" s="1184">
        <f>'4C2 Open-burning '!Z129</f>
        <v>8.2652488293173363</v>
      </c>
      <c r="I137" s="1184">
        <f>'4C2 Open-burning '!AH129</f>
        <v>0.12733722899665834</v>
      </c>
      <c r="J137" s="1220">
        <f>'4D Wastewater treatment and dis'!AV166</f>
        <v>173.44384059068466</v>
      </c>
      <c r="K137" s="981">
        <f>'4D Wastewater treatment and dis'!AW166</f>
        <v>3.1305629382342866</v>
      </c>
      <c r="L137" s="982">
        <f t="shared" si="121"/>
        <v>45417.387258291652</v>
      </c>
      <c r="M137" s="983">
        <f t="shared" si="122"/>
        <v>51.177143873506125</v>
      </c>
      <c r="N137" s="982">
        <f t="shared" si="123"/>
        <v>482.52735652162914</v>
      </c>
      <c r="O137" s="984">
        <f t="shared" si="124"/>
        <v>246.60705482792568</v>
      </c>
      <c r="P137" s="982">
        <f t="shared" si="125"/>
        <v>4612.7951632570066</v>
      </c>
      <c r="Q137" s="650">
        <f t="shared" si="126"/>
        <v>45417.387258291652</v>
      </c>
      <c r="R137" s="652">
        <f t="shared" si="127"/>
        <v>533.70450039513526</v>
      </c>
      <c r="S137" s="649">
        <f t="shared" si="128"/>
        <v>246.60705482792568</v>
      </c>
      <c r="T137" s="650">
        <f t="shared" si="129"/>
        <v>4612.7951632570066</v>
      </c>
      <c r="U137" s="650">
        <f t="shared" si="130"/>
        <v>50810.493976771715</v>
      </c>
    </row>
    <row r="138" spans="1:21">
      <c r="A138" s="4">
        <f>'Input data'!A123</f>
        <v>2025</v>
      </c>
      <c r="B138" s="4"/>
      <c r="C138" s="980">
        <f>'4A SWD Case 2'!BN93</f>
        <v>2128.2974612688836</v>
      </c>
      <c r="D138" s="3">
        <f>'4B Biological treatment '!T191</f>
        <v>2.3660500217489506</v>
      </c>
      <c r="E138" s="1495">
        <f>'4B Biological treatment '!U191</f>
        <v>11.830250108744753</v>
      </c>
      <c r="F138" s="1495">
        <f>'4B Biological treatment '!W191</f>
        <v>0.70981500652468532</v>
      </c>
      <c r="G138" s="1184">
        <f>'4C2 Open-burning '!R130</f>
        <v>32.071977754738406</v>
      </c>
      <c r="H138" s="1184">
        <f>'4C2 Open-burning '!Z130</f>
        <v>7.8982360573253896</v>
      </c>
      <c r="I138" s="1184">
        <f>'4C2 Open-burning '!AH130</f>
        <v>0.12168290565359488</v>
      </c>
      <c r="J138" s="1220">
        <f>'4D Wastewater treatment and dis'!AV167</f>
        <v>179.68520063996107</v>
      </c>
      <c r="K138" s="981">
        <f>'4D Wastewater treatment and dis'!AW167</f>
        <v>3.166614228352143</v>
      </c>
      <c r="L138" s="982">
        <f t="shared" si="121"/>
        <v>44694.246686646555</v>
      </c>
      <c r="M138" s="983">
        <f t="shared" si="122"/>
        <v>49.68705045672796</v>
      </c>
      <c r="N138" s="982">
        <f t="shared" si="123"/>
        <v>468.47790430629226</v>
      </c>
      <c r="O138" s="984">
        <f t="shared" si="124"/>
        <v>235.65663571118603</v>
      </c>
      <c r="P138" s="982">
        <f t="shared" si="125"/>
        <v>4755.0396242283468</v>
      </c>
      <c r="Q138" s="650">
        <f t="shared" si="126"/>
        <v>44694.246686646555</v>
      </c>
      <c r="R138" s="652">
        <f t="shared" si="127"/>
        <v>518.16495476302021</v>
      </c>
      <c r="S138" s="649">
        <f t="shared" si="128"/>
        <v>235.65663571118603</v>
      </c>
      <c r="T138" s="650">
        <f t="shared" si="129"/>
        <v>4755.0396242283468</v>
      </c>
      <c r="U138" s="650">
        <f t="shared" si="130"/>
        <v>50203.107901349111</v>
      </c>
    </row>
    <row r="139" spans="1:21">
      <c r="A139" s="4">
        <f>'Input data'!A124</f>
        <v>2026</v>
      </c>
      <c r="B139" s="4"/>
      <c r="C139" s="980">
        <f>'4A SWD Case 2'!BN94</f>
        <v>2093.4737405943106</v>
      </c>
      <c r="D139" s="3">
        <f>'4B Biological treatment '!T192</f>
        <v>2.2893666167624387</v>
      </c>
      <c r="E139" s="1495">
        <f>'4B Biological treatment '!U192</f>
        <v>11.446833083812191</v>
      </c>
      <c r="F139" s="1495">
        <f>'4B Biological treatment '!W192</f>
        <v>0.68680998502873147</v>
      </c>
      <c r="G139" s="1184">
        <f>'4C2 Open-burning '!R131</f>
        <v>30.439090649711307</v>
      </c>
      <c r="H139" s="1184">
        <f>'4C2 Open-burning '!Z131</f>
        <v>7.4961115638160605</v>
      </c>
      <c r="I139" s="1184">
        <f>'4C2 Open-burning '!AH131</f>
        <v>0.11548763921061328</v>
      </c>
      <c r="J139" s="1220">
        <f>'4D Wastewater treatment and dis'!AV168</f>
        <v>185.73911394397246</v>
      </c>
      <c r="K139" s="981">
        <f>'4D Wastewater treatment and dis'!AW168</f>
        <v>3.1977746441463193</v>
      </c>
      <c r="L139" s="982">
        <f t="shared" si="121"/>
        <v>43962.94855248052</v>
      </c>
      <c r="M139" s="983">
        <f t="shared" si="122"/>
        <v>48.076698952011213</v>
      </c>
      <c r="N139" s="982">
        <f t="shared" si="123"/>
        <v>453.29459011896279</v>
      </c>
      <c r="O139" s="984">
        <f t="shared" si="124"/>
        <v>223.65860164513867</v>
      </c>
      <c r="P139" s="982">
        <f t="shared" si="125"/>
        <v>4891.8315325087806</v>
      </c>
      <c r="Q139" s="650">
        <f t="shared" si="126"/>
        <v>43962.94855248052</v>
      </c>
      <c r="R139" s="652">
        <f t="shared" si="127"/>
        <v>501.371289070974</v>
      </c>
      <c r="S139" s="649">
        <f t="shared" si="128"/>
        <v>223.65860164513867</v>
      </c>
      <c r="T139" s="650">
        <f t="shared" si="129"/>
        <v>4891.8315325087806</v>
      </c>
      <c r="U139" s="650">
        <f t="shared" si="130"/>
        <v>49579.809975705415</v>
      </c>
    </row>
    <row r="140" spans="1:21">
      <c r="A140" s="4">
        <f>'Input data'!A125</f>
        <v>2027</v>
      </c>
      <c r="B140" s="4"/>
      <c r="C140" s="980">
        <f>'4A SWD Case 2'!BN95</f>
        <v>2058.30326972906</v>
      </c>
      <c r="D140" s="3">
        <f>'4B Biological treatment '!T193</f>
        <v>2.2075203147015099</v>
      </c>
      <c r="E140" s="1495">
        <f>'4B Biological treatment '!U193</f>
        <v>11.037601573507549</v>
      </c>
      <c r="F140" s="1495">
        <f>'4B Biological treatment '!W193</f>
        <v>0.66225609441045297</v>
      </c>
      <c r="G140" s="1184">
        <f>'4C2 Open-burning '!R132</f>
        <v>28.715350093465986</v>
      </c>
      <c r="H140" s="1184">
        <f>'4C2 Open-burning '!Z132</f>
        <v>7.0716129588680232</v>
      </c>
      <c r="I140" s="1184">
        <f>'4C2 Open-burning '!AH132</f>
        <v>0.10894766961220315</v>
      </c>
      <c r="J140" s="1220">
        <f>'4D Wastewater treatment and dis'!AV169</f>
        <v>191.89752530165873</v>
      </c>
      <c r="K140" s="981">
        <f>'4D Wastewater treatment and dis'!AW169</f>
        <v>3.2292880096339567</v>
      </c>
      <c r="L140" s="982">
        <f t="shared" si="121"/>
        <v>43224.368664310263</v>
      </c>
      <c r="M140" s="983">
        <f t="shared" si="122"/>
        <v>46.357926608731709</v>
      </c>
      <c r="N140" s="982">
        <f t="shared" si="123"/>
        <v>437.08902231089894</v>
      </c>
      <c r="O140" s="984">
        <f t="shared" si="124"/>
        <v>210.99299980947745</v>
      </c>
      <c r="P140" s="982">
        <f t="shared" si="125"/>
        <v>5030.9273143213595</v>
      </c>
      <c r="Q140" s="650">
        <f t="shared" si="126"/>
        <v>43224.368664310263</v>
      </c>
      <c r="R140" s="652">
        <f t="shared" si="127"/>
        <v>483.44694891963064</v>
      </c>
      <c r="S140" s="649">
        <f t="shared" si="128"/>
        <v>210.99299980947745</v>
      </c>
      <c r="T140" s="650">
        <f t="shared" si="129"/>
        <v>5030.9273143213595</v>
      </c>
      <c r="U140" s="650">
        <f t="shared" si="130"/>
        <v>48949.735927360722</v>
      </c>
    </row>
    <row r="141" spans="1:21">
      <c r="A141" s="4">
        <f>'Input data'!A126</f>
        <v>2028</v>
      </c>
      <c r="B141" s="4"/>
      <c r="C141" s="980">
        <f>'4A SWD Case 2'!BN96</f>
        <v>2022.8018372386359</v>
      </c>
      <c r="D141" s="3">
        <f>'4B Biological treatment '!T194</f>
        <v>2.1209870230318915</v>
      </c>
      <c r="E141" s="1495">
        <f>'4B Biological treatment '!U194</f>
        <v>10.604935115159456</v>
      </c>
      <c r="F141" s="1495">
        <f>'4B Biological treatment '!W194</f>
        <v>0.63629610690956739</v>
      </c>
      <c r="G141" s="1184">
        <f>'4C2 Open-burning '!R133</f>
        <v>26.895169466913032</v>
      </c>
      <c r="H141" s="1184">
        <f>'4C2 Open-burning '!Z133</f>
        <v>6.6233644484261731</v>
      </c>
      <c r="I141" s="1184">
        <f>'4C2 Open-burning '!AH133</f>
        <v>0.10204180090815604</v>
      </c>
      <c r="J141" s="1220">
        <f>'4D Wastewater treatment and dis'!AV170</f>
        <v>198.15572617261648</v>
      </c>
      <c r="K141" s="981">
        <f>'4D Wastewater treatment and dis'!AW170</f>
        <v>3.2610534820454951</v>
      </c>
      <c r="L141" s="982">
        <f t="shared" si="121"/>
        <v>42478.838582011354</v>
      </c>
      <c r="M141" s="983">
        <f t="shared" si="122"/>
        <v>44.54072748366972</v>
      </c>
      <c r="N141" s="982">
        <f t="shared" si="123"/>
        <v>419.95543056031448</v>
      </c>
      <c r="O141" s="984">
        <f t="shared" si="124"/>
        <v>197.61878116539106</v>
      </c>
      <c r="P141" s="982">
        <f t="shared" si="125"/>
        <v>5172.1968290590494</v>
      </c>
      <c r="Q141" s="650">
        <f t="shared" si="126"/>
        <v>42478.838582011354</v>
      </c>
      <c r="R141" s="652">
        <f t="shared" si="127"/>
        <v>464.49615804398422</v>
      </c>
      <c r="S141" s="649">
        <f t="shared" si="128"/>
        <v>197.61878116539106</v>
      </c>
      <c r="T141" s="650">
        <f t="shared" si="129"/>
        <v>5172.1968290590494</v>
      </c>
      <c r="U141" s="650">
        <f t="shared" si="130"/>
        <v>48313.150350279786</v>
      </c>
    </row>
    <row r="142" spans="1:21">
      <c r="A142" s="4">
        <f>'Input data'!A127</f>
        <v>2029</v>
      </c>
      <c r="B142" s="4"/>
      <c r="C142" s="980">
        <f>'4A SWD Case 2'!BN97</f>
        <v>1986.9929619140191</v>
      </c>
      <c r="D142" s="3">
        <f>'4B Biological treatment '!T195</f>
        <v>2.0293606513303439</v>
      </c>
      <c r="E142" s="1495">
        <f>'4B Biological treatment '!U195</f>
        <v>10.146803256651719</v>
      </c>
      <c r="F142" s="1495">
        <f>'4B Biological treatment '!W195</f>
        <v>0.60880819539910314</v>
      </c>
      <c r="G142" s="1184">
        <f>'4C2 Open-burning '!R134</f>
        <v>24.974480680349728</v>
      </c>
      <c r="H142" s="1184">
        <f>'4C2 Open-burning '!Z134</f>
        <v>6.1503642005168091</v>
      </c>
      <c r="I142" s="1184">
        <f>'4C2 Open-burning '!AH134</f>
        <v>9.4754598535026074E-2</v>
      </c>
      <c r="J142" s="1220">
        <f>'4D Wastewater treatment and dis'!AV171</f>
        <v>204.52099299756838</v>
      </c>
      <c r="K142" s="981">
        <f>'4D Wastewater treatment and dis'!AW171</f>
        <v>3.2931719041504954</v>
      </c>
      <c r="L142" s="982">
        <f t="shared" si="121"/>
        <v>41726.8522001944</v>
      </c>
      <c r="M142" s="983">
        <f t="shared" si="122"/>
        <v>42.616573677937225</v>
      </c>
      <c r="N142" s="982">
        <f t="shared" si="123"/>
        <v>401.81340896340805</v>
      </c>
      <c r="O142" s="984">
        <f t="shared" si="124"/>
        <v>183.50605443706078</v>
      </c>
      <c r="P142" s="982">
        <f t="shared" si="125"/>
        <v>5315.8241432355899</v>
      </c>
      <c r="Q142" s="650">
        <f t="shared" si="126"/>
        <v>41726.8522001944</v>
      </c>
      <c r="R142" s="652">
        <f t="shared" si="127"/>
        <v>444.4299826413453</v>
      </c>
      <c r="S142" s="649">
        <f t="shared" si="128"/>
        <v>183.50605443706078</v>
      </c>
      <c r="T142" s="650">
        <f t="shared" si="129"/>
        <v>5315.8241432355899</v>
      </c>
      <c r="U142" s="650">
        <f t="shared" si="130"/>
        <v>47670.612380508392</v>
      </c>
    </row>
    <row r="143" spans="1:21">
      <c r="A143" s="4">
        <f>'Input data'!A128</f>
        <v>2030</v>
      </c>
      <c r="B143" s="4"/>
      <c r="C143" s="980">
        <f>'4A SWD Case 2'!BN98</f>
        <v>1950.8970806517518</v>
      </c>
      <c r="D143" s="3">
        <f>'4B Biological treatment '!T196</f>
        <v>1.9323704881409063</v>
      </c>
      <c r="E143" s="1495">
        <f>'4B Biological treatment '!U196</f>
        <v>9.6618524407045321</v>
      </c>
      <c r="F143" s="1495">
        <f>'4B Biological treatment '!W196</f>
        <v>0.57971114644227184</v>
      </c>
      <c r="G143" s="1184">
        <f>'4C2 Open-burning '!R135</f>
        <v>22.947608725356005</v>
      </c>
      <c r="H143" s="1184">
        <f>'4C2 Open-burning '!Z135</f>
        <v>5.6512146538023771</v>
      </c>
      <c r="I143" s="1184">
        <f>'4C2 Open-burning '!AH135</f>
        <v>8.7064531188462774E-2</v>
      </c>
      <c r="J143" s="1220">
        <f>'4D Wastewater treatment and dis'!AV172</f>
        <v>210.99154590506851</v>
      </c>
      <c r="K143" s="981">
        <f>'4D Wastewater treatment and dis'!AW172</f>
        <v>3.3255928545641762</v>
      </c>
      <c r="L143" s="982">
        <f t="shared" si="121"/>
        <v>40968.83869368679</v>
      </c>
      <c r="M143" s="983">
        <f t="shared" si="122"/>
        <v>40.579780250959033</v>
      </c>
      <c r="N143" s="982">
        <f t="shared" si="123"/>
        <v>382.60935665189947</v>
      </c>
      <c r="O143" s="984">
        <f t="shared" si="124"/>
        <v>168.61312112362941</v>
      </c>
      <c r="P143" s="982">
        <f t="shared" si="125"/>
        <v>5461.7562489213324</v>
      </c>
      <c r="Q143" s="650">
        <f t="shared" si="126"/>
        <v>40968.83869368679</v>
      </c>
      <c r="R143" s="652">
        <f t="shared" si="127"/>
        <v>423.18913690285854</v>
      </c>
      <c r="S143" s="649">
        <f t="shared" si="128"/>
        <v>168.61312112362941</v>
      </c>
      <c r="T143" s="650">
        <f t="shared" si="129"/>
        <v>5461.7562489213324</v>
      </c>
      <c r="U143" s="650">
        <f t="shared" si="130"/>
        <v>47022.397200634608</v>
      </c>
    </row>
    <row r="144" spans="1:21">
      <c r="A144" s="4">
        <f>'Input data'!A129</f>
        <v>2031</v>
      </c>
      <c r="B144" s="4"/>
      <c r="C144" s="980">
        <f>'4A SWD Case 2'!BN99</f>
        <v>1914.5340997444869</v>
      </c>
      <c r="D144" s="3">
        <f>'4B Biological treatment '!T197</f>
        <v>1.8136534194547116</v>
      </c>
      <c r="E144" s="1495">
        <f>'4B Biological treatment '!U197</f>
        <v>9.0682670972735568</v>
      </c>
      <c r="F144" s="1495">
        <f>'4B Biological treatment '!W197</f>
        <v>0.54409602583641337</v>
      </c>
      <c r="G144" s="1184">
        <f>'4C2 Open-burning '!R136</f>
        <v>20.47308674923433</v>
      </c>
      <c r="H144" s="1184">
        <f>'4C2 Open-burning '!Z136</f>
        <v>5.0418241495463452</v>
      </c>
      <c r="I144" s="1184">
        <f>'4C2 Open-burning '!AH136</f>
        <v>7.7676054230141289E-2</v>
      </c>
      <c r="J144" s="1220">
        <f>'4D Wastewater treatment and dis'!AV173</f>
        <v>212.79256841014094</v>
      </c>
      <c r="K144" s="981">
        <f>'4D Wastewater treatment and dis'!AW173</f>
        <v>3.3539800941954407</v>
      </c>
      <c r="L144" s="982">
        <f t="shared" si="121"/>
        <v>40205.216094634226</v>
      </c>
      <c r="M144" s="983">
        <f t="shared" si="122"/>
        <v>38.086721808548944</v>
      </c>
      <c r="N144" s="982">
        <f t="shared" si="123"/>
        <v>359.10337705203284</v>
      </c>
      <c r="O144" s="984">
        <f t="shared" si="124"/>
        <v>150.43097070105136</v>
      </c>
      <c r="P144" s="982">
        <f t="shared" si="125"/>
        <v>5508.3777658135459</v>
      </c>
      <c r="Q144" s="650">
        <f t="shared" si="126"/>
        <v>40205.216094634226</v>
      </c>
      <c r="R144" s="652">
        <f t="shared" si="127"/>
        <v>397.19009886058177</v>
      </c>
      <c r="S144" s="649">
        <f t="shared" si="128"/>
        <v>150.43097070105136</v>
      </c>
      <c r="T144" s="650">
        <f t="shared" si="129"/>
        <v>5508.3777658135459</v>
      </c>
      <c r="U144" s="650">
        <f t="shared" si="130"/>
        <v>46261.21493000941</v>
      </c>
    </row>
    <row r="145" spans="1:21">
      <c r="A145" s="4">
        <f>'Input data'!A130</f>
        <v>2032</v>
      </c>
      <c r="B145" s="4"/>
      <c r="C145" s="980">
        <f>'4A SWD Case 2'!BN100</f>
        <v>1880.1480891401354</v>
      </c>
      <c r="D145" s="3">
        <f>'4B Biological treatment '!T198</f>
        <v>1.691650773652406</v>
      </c>
      <c r="E145" s="1495">
        <f>'4B Biological treatment '!U198</f>
        <v>8.4582538682620303</v>
      </c>
      <c r="F145" s="1495">
        <f>'4B Biological treatment '!W198</f>
        <v>0.50749523209572178</v>
      </c>
      <c r="G145" s="1184">
        <f>'4C2 Open-burning '!R137</f>
        <v>17.95469971307163</v>
      </c>
      <c r="H145" s="1184">
        <f>'4C2 Open-burning '!Z137</f>
        <v>4.4216311746250412</v>
      </c>
      <c r="I145" s="1184">
        <f>'4C2 Open-burning '!AH137</f>
        <v>6.8121150741991168E-2</v>
      </c>
      <c r="J145" s="1220">
        <f>'4D Wastewater treatment and dis'!AV174</f>
        <v>214.6095857864839</v>
      </c>
      <c r="K145" s="981">
        <f>'4D Wastewater treatment and dis'!AW174</f>
        <v>3.3826194407506049</v>
      </c>
      <c r="L145" s="982">
        <f t="shared" si="121"/>
        <v>39483.109871942841</v>
      </c>
      <c r="M145" s="983">
        <f t="shared" si="122"/>
        <v>35.524666246700527</v>
      </c>
      <c r="N145" s="982">
        <f t="shared" si="123"/>
        <v>334.94685318317636</v>
      </c>
      <c r="O145" s="984">
        <f t="shared" si="124"/>
        <v>131.92651111021476</v>
      </c>
      <c r="P145" s="982">
        <f t="shared" si="125"/>
        <v>5555.4133281488503</v>
      </c>
      <c r="Q145" s="650">
        <f t="shared" si="126"/>
        <v>39483.109871942841</v>
      </c>
      <c r="R145" s="652">
        <f t="shared" si="127"/>
        <v>370.47151942987688</v>
      </c>
      <c r="S145" s="649">
        <f t="shared" si="128"/>
        <v>131.92651111021476</v>
      </c>
      <c r="T145" s="650">
        <f t="shared" si="129"/>
        <v>5555.4133281488503</v>
      </c>
      <c r="U145" s="650">
        <f t="shared" si="130"/>
        <v>45540.921230631779</v>
      </c>
    </row>
    <row r="146" spans="1:21">
      <c r="A146" s="4">
        <f>'Input data'!A131</f>
        <v>2033</v>
      </c>
      <c r="B146" s="4"/>
      <c r="C146" s="980">
        <f>'4A SWD Case 2'!BN101</f>
        <v>1847.6334914122547</v>
      </c>
      <c r="D146" s="3">
        <f>'4B Biological treatment '!T199</f>
        <v>1.7194474465544651</v>
      </c>
      <c r="E146" s="1495">
        <f>'4B Biological treatment '!U199</f>
        <v>8.5972372327723239</v>
      </c>
      <c r="F146" s="1495">
        <f>'4B Biological treatment '!W199</f>
        <v>0.51583423396633943</v>
      </c>
      <c r="G146" s="1184">
        <f>'4C2 Open-burning '!R138</f>
        <v>18.107785828651057</v>
      </c>
      <c r="H146" s="1184">
        <f>'4C2 Open-burning '!Z138</f>
        <v>4.4593310722488066</v>
      </c>
      <c r="I146" s="1184">
        <f>'4C2 Open-burning '!AH138</f>
        <v>6.870196816152728E-2</v>
      </c>
      <c r="J146" s="1220">
        <f>'4D Wastewater treatment and dis'!AV175</f>
        <v>216.43939905984345</v>
      </c>
      <c r="K146" s="981">
        <f>'4D Wastewater treatment and dis'!AW175</f>
        <v>3.4114604728448907</v>
      </c>
      <c r="L146" s="982">
        <f t="shared" si="121"/>
        <v>38800.303319657345</v>
      </c>
      <c r="M146" s="983">
        <f t="shared" si="122"/>
        <v>36.108396377643771</v>
      </c>
      <c r="N146" s="982">
        <f t="shared" si="123"/>
        <v>340.45059441778403</v>
      </c>
      <c r="O146" s="984">
        <f t="shared" si="124"/>
        <v>133.05134847594945</v>
      </c>
      <c r="P146" s="982">
        <f t="shared" si="125"/>
        <v>5602.7801268386283</v>
      </c>
      <c r="Q146" s="650">
        <f t="shared" si="126"/>
        <v>38800.303319657345</v>
      </c>
      <c r="R146" s="652">
        <f t="shared" si="127"/>
        <v>376.5589907954278</v>
      </c>
      <c r="S146" s="649">
        <f t="shared" si="128"/>
        <v>133.05134847594945</v>
      </c>
      <c r="T146" s="650">
        <f t="shared" si="129"/>
        <v>5602.7801268386283</v>
      </c>
      <c r="U146" s="650">
        <f t="shared" si="130"/>
        <v>44912.693785767347</v>
      </c>
    </row>
    <row r="147" spans="1:21">
      <c r="A147" s="4">
        <f>'Input data'!A132</f>
        <v>2034</v>
      </c>
      <c r="B147" s="4"/>
      <c r="C147" s="980">
        <f>'4A SWD Case 2'!BN102</f>
        <v>1816.918458938384</v>
      </c>
      <c r="D147" s="3">
        <f>'4B Biological treatment '!T200</f>
        <v>1.7486717309599507</v>
      </c>
      <c r="E147" s="1495">
        <f>'4B Biological treatment '!U200</f>
        <v>8.7433586547997528</v>
      </c>
      <c r="F147" s="1495">
        <f>'4B Biological treatment '!W200</f>
        <v>0.52460151928798504</v>
      </c>
      <c r="G147" s="1184">
        <f>'4C2 Open-burning '!R139</f>
        <v>18.262477742645643</v>
      </c>
      <c r="H147" s="1184">
        <f>'4C2 Open-burning '!Z139</f>
        <v>4.4974264233441481</v>
      </c>
      <c r="I147" s="1184">
        <f>'4C2 Open-burning '!AH139</f>
        <v>6.9288878071478086E-2</v>
      </c>
      <c r="J147" s="1220">
        <f>'4D Wastewater treatment and dis'!AV176</f>
        <v>218.28840617872763</v>
      </c>
      <c r="K147" s="981">
        <f>'4D Wastewater treatment and dis'!AW176</f>
        <v>3.4406040332478574</v>
      </c>
      <c r="L147" s="982">
        <f t="shared" si="121"/>
        <v>38155.28763770606</v>
      </c>
      <c r="M147" s="983">
        <f t="shared" si="122"/>
        <v>36.722106350158967</v>
      </c>
      <c r="N147" s="982">
        <f t="shared" si="123"/>
        <v>346.23700273007017</v>
      </c>
      <c r="O147" s="984">
        <f t="shared" si="124"/>
        <v>134.18798483503096</v>
      </c>
      <c r="P147" s="982">
        <f t="shared" si="125"/>
        <v>5650.6437800601161</v>
      </c>
      <c r="Q147" s="650">
        <f t="shared" si="126"/>
        <v>38155.28763770606</v>
      </c>
      <c r="R147" s="652">
        <f t="shared" si="127"/>
        <v>382.95910908022915</v>
      </c>
      <c r="S147" s="649">
        <f t="shared" si="128"/>
        <v>134.18798483503096</v>
      </c>
      <c r="T147" s="650">
        <f t="shared" si="129"/>
        <v>5650.6437800601161</v>
      </c>
      <c r="U147" s="650">
        <f t="shared" si="130"/>
        <v>44323.078511681437</v>
      </c>
    </row>
    <row r="148" spans="1:21">
      <c r="A148" s="4">
        <f>'Input data'!A133</f>
        <v>2035</v>
      </c>
      <c r="B148" s="4"/>
      <c r="C148" s="980">
        <f>'4A SWD Case 2'!BN103</f>
        <v>1787.929881537802</v>
      </c>
      <c r="D148" s="3">
        <f>'4B Biological treatment '!T201</f>
        <v>1.7793772162751407</v>
      </c>
      <c r="E148" s="1495">
        <f>'4B Biological treatment '!U201</f>
        <v>8.8968860813757047</v>
      </c>
      <c r="F148" s="1495">
        <f>'4B Biological treatment '!W201</f>
        <v>0.53381316488254227</v>
      </c>
      <c r="G148" s="1184">
        <f>'4C2 Open-burning '!R140</f>
        <v>18.418240188917025</v>
      </c>
      <c r="H148" s="1184">
        <f>'4C2 Open-burning '!Z140</f>
        <v>4.535785410087211</v>
      </c>
      <c r="I148" s="1184">
        <f>'4C2 Open-burning '!AH140</f>
        <v>6.9879849641705405E-2</v>
      </c>
      <c r="J148" s="1220">
        <f>'4D Wastewater treatment and dis'!AV177</f>
        <v>220.15020919462836</v>
      </c>
      <c r="K148" s="981">
        <f>'4D Wastewater treatment and dis'!AW177</f>
        <v>3.4699492791899456</v>
      </c>
      <c r="L148" s="982">
        <f t="shared" si="121"/>
        <v>37546.52751229384</v>
      </c>
      <c r="M148" s="983">
        <f t="shared" si="122"/>
        <v>37.366921541777955</v>
      </c>
      <c r="N148" s="982">
        <f t="shared" si="123"/>
        <v>352.31668882247789</v>
      </c>
      <c r="O148" s="984">
        <f t="shared" si="124"/>
        <v>135.33248718967712</v>
      </c>
      <c r="P148" s="982">
        <f t="shared" si="125"/>
        <v>5698.8386696360794</v>
      </c>
      <c r="Q148" s="650">
        <f t="shared" si="126"/>
        <v>37546.52751229384</v>
      </c>
      <c r="R148" s="652">
        <f t="shared" si="127"/>
        <v>389.68361036425586</v>
      </c>
      <c r="S148" s="649">
        <f t="shared" si="128"/>
        <v>135.33248718967712</v>
      </c>
      <c r="T148" s="650">
        <f t="shared" si="129"/>
        <v>5698.8386696360794</v>
      </c>
      <c r="U148" s="650">
        <f t="shared" si="130"/>
        <v>43770.382279483849</v>
      </c>
    </row>
    <row r="149" spans="1:21">
      <c r="A149" s="4">
        <f>'Input data'!A134</f>
        <v>2036</v>
      </c>
      <c r="B149" s="4"/>
      <c r="C149" s="980">
        <f>'4A SWD Case 2'!BN104</f>
        <v>1760.599090159657</v>
      </c>
      <c r="D149" s="3">
        <f>'4B Biological treatment '!T202</f>
        <v>1.8095802645832131</v>
      </c>
      <c r="E149" s="1495">
        <f>'4B Biological treatment '!U202</f>
        <v>9.047901322916065</v>
      </c>
      <c r="F149" s="1495">
        <f>'4B Biological treatment '!W202</f>
        <v>0.54287407937496401</v>
      </c>
      <c r="G149" s="1184">
        <f>'4C2 Open-burning '!R141</f>
        <v>18.5531272557912</v>
      </c>
      <c r="H149" s="1184">
        <f>'4C2 Open-burning '!Z141</f>
        <v>4.5690035016997577</v>
      </c>
      <c r="I149" s="1184">
        <f>'4C2 Open-burning '!AH141</f>
        <v>7.0391618836541395E-2</v>
      </c>
      <c r="J149" s="1220">
        <f>'4D Wastewater treatment and dis'!AV178</f>
        <v>221.76249221870739</v>
      </c>
      <c r="K149" s="981">
        <f>'4D Wastewater treatment and dis'!AW178</f>
        <v>3.4953616571191763</v>
      </c>
      <c r="L149" s="982">
        <f t="shared" si="121"/>
        <v>36972.580893352795</v>
      </c>
      <c r="M149" s="983">
        <f t="shared" si="122"/>
        <v>38.001185556247478</v>
      </c>
      <c r="N149" s="982">
        <f t="shared" si="123"/>
        <v>358.29689238747619</v>
      </c>
      <c r="O149" s="984">
        <f t="shared" si="124"/>
        <v>136.32360263081392</v>
      </c>
      <c r="P149" s="982">
        <f t="shared" si="125"/>
        <v>5740.5744502998004</v>
      </c>
      <c r="Q149" s="650">
        <f t="shared" si="126"/>
        <v>36972.580893352795</v>
      </c>
      <c r="R149" s="652">
        <f t="shared" si="127"/>
        <v>396.29807794372368</v>
      </c>
      <c r="S149" s="649">
        <f t="shared" si="128"/>
        <v>136.32360263081392</v>
      </c>
      <c r="T149" s="650">
        <f t="shared" si="129"/>
        <v>5740.5744502998004</v>
      </c>
      <c r="U149" s="650">
        <f t="shared" si="130"/>
        <v>43245.777024227129</v>
      </c>
    </row>
    <row r="150" spans="1:21">
      <c r="A150" s="4">
        <f>'Input data'!A135</f>
        <v>2037</v>
      </c>
      <c r="B150" s="4"/>
      <c r="C150" s="980">
        <f>'4A SWD Case 2'!BN105</f>
        <v>1734.8515005007821</v>
      </c>
      <c r="D150" s="3">
        <f>'4B Biological treatment '!T203</f>
        <v>1.840795618249119</v>
      </c>
      <c r="E150" s="1495">
        <f>'4B Biological treatment '!U203</f>
        <v>9.2039780912455953</v>
      </c>
      <c r="F150" s="1495">
        <f>'4B Biological treatment '!W203</f>
        <v>0.55223868547473565</v>
      </c>
      <c r="G150" s="1184">
        <f>'4C2 Open-burning '!R142</f>
        <v>18.688817221872963</v>
      </c>
      <c r="H150" s="1184">
        <f>'4C2 Open-burning '!Z142</f>
        <v>4.6024193200480958</v>
      </c>
      <c r="I150" s="1184">
        <f>'4C2 Open-burning '!AH142</f>
        <v>7.0906434276584773E-2</v>
      </c>
      <c r="J150" s="1220">
        <f>'4D Wastewater treatment and dis'!AV179</f>
        <v>223.38437216554874</v>
      </c>
      <c r="K150" s="981">
        <f>'4D Wastewater treatment and dis'!AW179</f>
        <v>3.5209252992027475</v>
      </c>
      <c r="L150" s="982">
        <f t="shared" si="121"/>
        <v>36431.881510516425</v>
      </c>
      <c r="M150" s="983">
        <f t="shared" si="122"/>
        <v>38.656707983231499</v>
      </c>
      <c r="N150" s="982">
        <f t="shared" si="123"/>
        <v>364.47753241332555</v>
      </c>
      <c r="O150" s="984">
        <f t="shared" si="124"/>
        <v>137.32061756862427</v>
      </c>
      <c r="P150" s="982">
        <f t="shared" si="125"/>
        <v>5782.5586582293754</v>
      </c>
      <c r="Q150" s="650">
        <f t="shared" si="126"/>
        <v>36431.881510516425</v>
      </c>
      <c r="R150" s="652">
        <f t="shared" si="127"/>
        <v>403.13424039655706</v>
      </c>
      <c r="S150" s="649">
        <f t="shared" si="128"/>
        <v>137.32061756862427</v>
      </c>
      <c r="T150" s="650">
        <f t="shared" si="129"/>
        <v>5782.5586582293754</v>
      </c>
      <c r="U150" s="650">
        <f t="shared" si="130"/>
        <v>42754.895026710976</v>
      </c>
    </row>
    <row r="151" spans="1:21">
      <c r="A151" s="4">
        <f>'Input data'!A136</f>
        <v>2038</v>
      </c>
      <c r="B151" s="4"/>
      <c r="C151" s="980">
        <f>'4A SWD Case 2'!BN106</f>
        <v>1710.6204943235605</v>
      </c>
      <c r="D151" s="3">
        <f>'4B Biological treatment '!T204</f>
        <v>1.8724468612837404</v>
      </c>
      <c r="E151" s="1495">
        <f>'4B Biological treatment '!U204</f>
        <v>9.3622343064187028</v>
      </c>
      <c r="F151" s="1495">
        <f>'4B Biological treatment '!W204</f>
        <v>0.56173405838512203</v>
      </c>
      <c r="G151" s="1184">
        <f>'4C2 Open-burning '!R143</f>
        <v>18.825845353300704</v>
      </c>
      <c r="H151" s="1184">
        <f>'4C2 Open-burning '!Z143</f>
        <v>4.6361646829560819</v>
      </c>
      <c r="I151" s="1184">
        <f>'4C2 Open-burning '!AH143</f>
        <v>7.1426326791973749E-2</v>
      </c>
      <c r="J151" s="1220">
        <f>'4D Wastewater treatment and dis'!AV180</f>
        <v>225.02224698366075</v>
      </c>
      <c r="K151" s="981">
        <f>'4D Wastewater treatment and dis'!AW180</f>
        <v>3.5467410482102202</v>
      </c>
      <c r="L151" s="982">
        <f t="shared" si="121"/>
        <v>35923.030380794771</v>
      </c>
      <c r="M151" s="983">
        <f t="shared" si="122"/>
        <v>39.321384086958545</v>
      </c>
      <c r="N151" s="982">
        <f t="shared" si="123"/>
        <v>370.74447853418059</v>
      </c>
      <c r="O151" s="984">
        <f t="shared" si="124"/>
        <v>138.3274650008903</v>
      </c>
      <c r="P151" s="982">
        <f t="shared" si="125"/>
        <v>5824.9569116020448</v>
      </c>
      <c r="Q151" s="650">
        <f t="shared" si="126"/>
        <v>35923.030380794771</v>
      </c>
      <c r="R151" s="652">
        <f t="shared" si="127"/>
        <v>410.0658626211391</v>
      </c>
      <c r="S151" s="649">
        <f t="shared" si="128"/>
        <v>138.3274650008903</v>
      </c>
      <c r="T151" s="650">
        <f t="shared" si="129"/>
        <v>5824.9569116020448</v>
      </c>
      <c r="U151" s="650">
        <f t="shared" si="130"/>
        <v>42296.380620018841</v>
      </c>
    </row>
    <row r="152" spans="1:21">
      <c r="A152" s="4">
        <f>'Input data'!A137</f>
        <v>2039</v>
      </c>
      <c r="B152" s="4"/>
      <c r="C152" s="980">
        <f>'4A SWD Case 2'!BN107</f>
        <v>1687.8361476793002</v>
      </c>
      <c r="D152" s="3">
        <f>'4B Biological treatment '!T205</f>
        <v>1.9051321187384582</v>
      </c>
      <c r="E152" s="1495">
        <f>'4B Biological treatment '!U205</f>
        <v>9.525660593692292</v>
      </c>
      <c r="F152" s="1495">
        <f>'4B Biological treatment '!W205</f>
        <v>0.57153963562153742</v>
      </c>
      <c r="G152" s="1184">
        <f>'4C2 Open-burning '!R144</f>
        <v>18.963676383936026</v>
      </c>
      <c r="H152" s="1184">
        <f>'4C2 Open-burning '!Z144</f>
        <v>4.6701077725998559</v>
      </c>
      <c r="I152" s="1184">
        <f>'4C2 Open-burning '!AH144</f>
        <v>7.1949265552570058E-2</v>
      </c>
      <c r="J152" s="1220">
        <f>'4D Wastewater treatment and dis'!AV181</f>
        <v>226.66971872453522</v>
      </c>
      <c r="K152" s="981">
        <f>'4D Wastewater treatment and dis'!AW181</f>
        <v>3.5727080613720332</v>
      </c>
      <c r="L152" s="982">
        <f t="shared" si="121"/>
        <v>35444.559101265302</v>
      </c>
      <c r="M152" s="983">
        <f t="shared" si="122"/>
        <v>40.007774493507625</v>
      </c>
      <c r="N152" s="982">
        <f t="shared" si="123"/>
        <v>377.21615951021477</v>
      </c>
      <c r="O152" s="984">
        <f t="shared" si="124"/>
        <v>139.34021192982971</v>
      </c>
      <c r="P152" s="982">
        <f t="shared" si="125"/>
        <v>5867.6035922405699</v>
      </c>
      <c r="Q152" s="650">
        <f t="shared" si="126"/>
        <v>35444.559101265302</v>
      </c>
      <c r="R152" s="652">
        <f t="shared" si="127"/>
        <v>417.22393400372238</v>
      </c>
      <c r="S152" s="649">
        <f t="shared" si="128"/>
        <v>139.34021192982971</v>
      </c>
      <c r="T152" s="650">
        <f t="shared" si="129"/>
        <v>5867.6035922405699</v>
      </c>
      <c r="U152" s="650">
        <f t="shared" si="130"/>
        <v>41868.72683943942</v>
      </c>
    </row>
    <row r="153" spans="1:21">
      <c r="A153" s="4">
        <f>'Input data'!A138</f>
        <v>2040</v>
      </c>
      <c r="B153" s="4"/>
      <c r="C153" s="980">
        <f>'4A SWD Case 2'!BN108</f>
        <v>1666.4387289437641</v>
      </c>
      <c r="D153" s="3">
        <f>'4B Biological treatment '!T206</f>
        <v>1.9393959262583746</v>
      </c>
      <c r="E153" s="1495">
        <f>'4B Biological treatment '!U206</f>
        <v>9.696979631291871</v>
      </c>
      <c r="F153" s="1495">
        <f>'4B Biological treatment '!W206</f>
        <v>0.58181877787751235</v>
      </c>
      <c r="G153" s="1184">
        <f>'4C2 Open-burning '!R145</f>
        <v>19.102310313778933</v>
      </c>
      <c r="H153" s="1184">
        <f>'4C2 Open-burning '!Z145</f>
        <v>4.7042485889794197</v>
      </c>
      <c r="I153" s="1184">
        <f>'4C2 Open-burning '!AH145</f>
        <v>7.2475250558373755E-2</v>
      </c>
      <c r="J153" s="1220">
        <f>'4D Wastewater treatment and dis'!AV182</f>
        <v>228.32678738817191</v>
      </c>
      <c r="K153" s="981">
        <f>'4D Wastewater treatment and dis'!AW182</f>
        <v>3.5988263386881876</v>
      </c>
      <c r="L153" s="982">
        <f t="shared" si="121"/>
        <v>34995.213307819045</v>
      </c>
      <c r="M153" s="983">
        <f t="shared" si="122"/>
        <v>40.727314451425869</v>
      </c>
      <c r="N153" s="982">
        <f t="shared" si="123"/>
        <v>384.00039339915816</v>
      </c>
      <c r="O153" s="984">
        <f t="shared" si="124"/>
        <v>140.35885835544261</v>
      </c>
      <c r="P153" s="982">
        <f t="shared" si="125"/>
        <v>5910.4987001449481</v>
      </c>
      <c r="Q153" s="650">
        <f t="shared" si="126"/>
        <v>34995.213307819045</v>
      </c>
      <c r="R153" s="652">
        <f t="shared" si="127"/>
        <v>424.72770785058401</v>
      </c>
      <c r="S153" s="649">
        <f t="shared" si="128"/>
        <v>140.35885835544261</v>
      </c>
      <c r="T153" s="650">
        <f t="shared" si="129"/>
        <v>5910.4987001449481</v>
      </c>
      <c r="U153" s="650">
        <f t="shared" si="130"/>
        <v>41470.798574170025</v>
      </c>
    </row>
    <row r="154" spans="1:21">
      <c r="A154" s="4">
        <f>'Input data'!A139</f>
        <v>2041</v>
      </c>
      <c r="B154" s="4"/>
      <c r="C154" s="980">
        <f>'4A SWD Case 2'!BN109</f>
        <v>1646.3773220594439</v>
      </c>
      <c r="D154" s="3">
        <f>'4B Biological treatment '!T207</f>
        <v>1.9736579717019889</v>
      </c>
      <c r="E154" s="1495">
        <f>'4B Biological treatment '!U207</f>
        <v>9.868289858509943</v>
      </c>
      <c r="F154" s="1495">
        <f>'4B Biological treatment '!W207</f>
        <v>0.59209739151059648</v>
      </c>
      <c r="G154" s="1184">
        <f>'4C2 Open-burning '!R146</f>
        <v>19.221139396501428</v>
      </c>
      <c r="H154" s="1184">
        <f>'4C2 Open-burning '!Z146</f>
        <v>4.7335121458761886</v>
      </c>
      <c r="I154" s="1184">
        <f>'4C2 Open-burning '!AH146</f>
        <v>7.2926094849062609E-2</v>
      </c>
      <c r="J154" s="1220">
        <f>'4D Wastewater treatment and dis'!AV183</f>
        <v>229.7471319570034</v>
      </c>
      <c r="K154" s="981">
        <f>'4D Wastewater treatment and dis'!AW183</f>
        <v>3.6212134335306052</v>
      </c>
      <c r="L154" s="982">
        <f t="shared" si="121"/>
        <v>34573.92376324832</v>
      </c>
      <c r="M154" s="983">
        <f t="shared" si="122"/>
        <v>41.446817405741768</v>
      </c>
      <c r="N154" s="982">
        <f t="shared" si="123"/>
        <v>390.78427839699373</v>
      </c>
      <c r="O154" s="984">
        <f t="shared" si="124"/>
        <v>141.2319838631108</v>
      </c>
      <c r="P154" s="982">
        <f t="shared" si="125"/>
        <v>5947.2659354915595</v>
      </c>
      <c r="Q154" s="650">
        <f t="shared" si="126"/>
        <v>34573.92376324832</v>
      </c>
      <c r="R154" s="652">
        <f t="shared" si="127"/>
        <v>432.23109580273547</v>
      </c>
      <c r="S154" s="649">
        <f t="shared" si="128"/>
        <v>141.2319838631108</v>
      </c>
      <c r="T154" s="650">
        <f t="shared" si="129"/>
        <v>5947.2659354915595</v>
      </c>
      <c r="U154" s="650">
        <f t="shared" si="130"/>
        <v>41094.652778405725</v>
      </c>
    </row>
    <row r="155" spans="1:21">
      <c r="A155" s="4">
        <f>'Input data'!A140</f>
        <v>2042</v>
      </c>
      <c r="B155" s="4"/>
      <c r="C155" s="980">
        <f>'4A SWD Case 2'!BN110</f>
        <v>1627.5978578885172</v>
      </c>
      <c r="D155" s="3">
        <f>'4B Biological treatment '!T208</f>
        <v>2.0091309806161579</v>
      </c>
      <c r="E155" s="1495">
        <f>'4B Biological treatment '!U208</f>
        <v>10.045654903080791</v>
      </c>
      <c r="F155" s="1495">
        <f>'4B Biological treatment '!W208</f>
        <v>0.6027392941848474</v>
      </c>
      <c r="G155" s="1184">
        <f>'4C2 Open-burning '!R147</f>
        <v>19.340503745362305</v>
      </c>
      <c r="H155" s="1184">
        <f>'4C2 Open-burning '!Z147</f>
        <v>4.7629075205968157</v>
      </c>
      <c r="I155" s="1184">
        <f>'4C2 Open-burning '!AH147</f>
        <v>7.3378969969889712E-2</v>
      </c>
      <c r="J155" s="1220">
        <f>'4D Wastewater treatment and dis'!AV184</f>
        <v>231.17387447434314</v>
      </c>
      <c r="K155" s="981">
        <f>'4D Wastewater treatment and dis'!AW184</f>
        <v>3.643701371142583</v>
      </c>
      <c r="L155" s="982">
        <f t="shared" si="121"/>
        <v>34179.555015658858</v>
      </c>
      <c r="M155" s="983">
        <f t="shared" si="122"/>
        <v>42.191750592939314</v>
      </c>
      <c r="N155" s="982">
        <f t="shared" si="123"/>
        <v>397.80793416199936</v>
      </c>
      <c r="O155" s="984">
        <f t="shared" si="124"/>
        <v>142.10904236856123</v>
      </c>
      <c r="P155" s="982">
        <f t="shared" si="125"/>
        <v>5984.1987890154069</v>
      </c>
      <c r="Q155" s="650">
        <f t="shared" si="126"/>
        <v>34179.555015658858</v>
      </c>
      <c r="R155" s="652">
        <f t="shared" si="127"/>
        <v>439.9996847549387</v>
      </c>
      <c r="S155" s="649">
        <f t="shared" si="128"/>
        <v>142.10904236856123</v>
      </c>
      <c r="T155" s="650">
        <f t="shared" si="129"/>
        <v>5984.1987890154069</v>
      </c>
      <c r="U155" s="650">
        <f t="shared" si="130"/>
        <v>40745.862531797764</v>
      </c>
    </row>
    <row r="156" spans="1:21">
      <c r="A156" s="4">
        <f>'Input data'!A141</f>
        <v>2043</v>
      </c>
      <c r="B156" s="4"/>
      <c r="C156" s="980">
        <f>'4A SWD Case 2'!BN111</f>
        <v>1610.0507045724587</v>
      </c>
      <c r="D156" s="3">
        <f>'4B Biological treatment '!T209</f>
        <v>2.0457574037928712</v>
      </c>
      <c r="E156" s="1495">
        <f>'4B Biological treatment '!U209</f>
        <v>10.228787018964354</v>
      </c>
      <c r="F156" s="1495">
        <f>'4B Biological treatment '!W209</f>
        <v>0.61372722113786127</v>
      </c>
      <c r="G156" s="1184">
        <f>'4C2 Open-burning '!R148</f>
        <v>19.460670993430774</v>
      </c>
      <c r="H156" s="1184">
        <f>'4C2 Open-burning '!Z148</f>
        <v>4.7925006220532325</v>
      </c>
      <c r="I156" s="1184">
        <f>'4C2 Open-burning '!AH148</f>
        <v>7.3834891335924177E-2</v>
      </c>
      <c r="J156" s="1220">
        <f>'4D Wastewater treatment and dis'!AV185</f>
        <v>232.61021391444527</v>
      </c>
      <c r="K156" s="981">
        <f>'4D Wastewater treatment and dis'!AW185</f>
        <v>3.6663405729089016</v>
      </c>
      <c r="L156" s="982">
        <f t="shared" si="121"/>
        <v>33811.06479602163</v>
      </c>
      <c r="M156" s="983">
        <f t="shared" si="122"/>
        <v>42.960905479650293</v>
      </c>
      <c r="N156" s="982">
        <f t="shared" si="123"/>
        <v>405.05996595098838</v>
      </c>
      <c r="O156" s="984">
        <f t="shared" si="124"/>
        <v>142.99200037068516</v>
      </c>
      <c r="P156" s="982">
        <f t="shared" si="125"/>
        <v>6021.38006980511</v>
      </c>
      <c r="Q156" s="650">
        <f t="shared" si="126"/>
        <v>33811.06479602163</v>
      </c>
      <c r="R156" s="652">
        <f t="shared" si="127"/>
        <v>448.02087143063869</v>
      </c>
      <c r="S156" s="649">
        <f t="shared" si="128"/>
        <v>142.99200037068516</v>
      </c>
      <c r="T156" s="650">
        <f t="shared" si="129"/>
        <v>6021.38006980511</v>
      </c>
      <c r="U156" s="650">
        <f t="shared" si="130"/>
        <v>40423.457737628065</v>
      </c>
    </row>
    <row r="157" spans="1:21">
      <c r="A157" s="4">
        <f>'Input data'!A142</f>
        <v>2044</v>
      </c>
      <c r="B157" s="4"/>
      <c r="C157" s="980">
        <f>'4A SWD Case 2'!BN112</f>
        <v>1593.6878738538396</v>
      </c>
      <c r="D157" s="3">
        <f>'4B Biological treatment '!T210</f>
        <v>2.0836834357777154</v>
      </c>
      <c r="E157" s="1495">
        <f>'4B Biological treatment '!U210</f>
        <v>10.418417178888577</v>
      </c>
      <c r="F157" s="1495">
        <f>'4B Biological treatment '!W210</f>
        <v>0.62510503073331458</v>
      </c>
      <c r="G157" s="1184">
        <f>'4C2 Open-burning '!R149</f>
        <v>19.581373507637629</v>
      </c>
      <c r="H157" s="1184">
        <f>'4C2 Open-burning '!Z149</f>
        <v>4.8222255413335091</v>
      </c>
      <c r="I157" s="1184">
        <f>'4C2 Open-burning '!AH149</f>
        <v>7.4292843532096892E-2</v>
      </c>
      <c r="J157" s="1220">
        <f>'4D Wastewater treatment and dis'!AV186</f>
        <v>234.05295130305572</v>
      </c>
      <c r="K157" s="981">
        <f>'4D Wastewater treatment and dis'!AW186</f>
        <v>3.6890806174447812</v>
      </c>
      <c r="L157" s="982">
        <f t="shared" si="121"/>
        <v>33467.445350930633</v>
      </c>
      <c r="M157" s="983">
        <f t="shared" si="122"/>
        <v>43.757352151332022</v>
      </c>
      <c r="N157" s="982">
        <f t="shared" si="123"/>
        <v>412.56932028398762</v>
      </c>
      <c r="O157" s="984">
        <f t="shared" si="124"/>
        <v>143.87889137059136</v>
      </c>
      <c r="P157" s="982">
        <f t="shared" si="125"/>
        <v>6058.7269687720527</v>
      </c>
      <c r="Q157" s="650">
        <f t="shared" si="126"/>
        <v>33467.445350930633</v>
      </c>
      <c r="R157" s="652">
        <f t="shared" si="127"/>
        <v>456.32667243531967</v>
      </c>
      <c r="S157" s="649">
        <f t="shared" si="128"/>
        <v>143.87889137059136</v>
      </c>
      <c r="T157" s="650">
        <f t="shared" si="129"/>
        <v>6058.7269687720527</v>
      </c>
      <c r="U157" s="650">
        <f t="shared" si="130"/>
        <v>40126.377883508598</v>
      </c>
    </row>
    <row r="158" spans="1:21">
      <c r="A158" s="4">
        <f>'Input data'!A143</f>
        <v>2045</v>
      </c>
      <c r="B158" s="4"/>
      <c r="C158" s="980">
        <f>'4A SWD Case 2'!BN113</f>
        <v>1578.4654496888995</v>
      </c>
      <c r="D158" s="3">
        <f>'4B Biological treatment '!T211</f>
        <v>2.1236080679895366</v>
      </c>
      <c r="E158" s="1495">
        <f>'4B Biological treatment '!U211</f>
        <v>10.618040339947683</v>
      </c>
      <c r="F158" s="1495">
        <f>'4B Biological treatment '!W211</f>
        <v>0.63708242039686092</v>
      </c>
      <c r="G158" s="1184">
        <f>'4C2 Open-burning '!R150</f>
        <v>19.703146554121265</v>
      </c>
      <c r="H158" s="1184">
        <f>'4C2 Open-burning '!Z150</f>
        <v>4.8522140962615046</v>
      </c>
      <c r="I158" s="1184">
        <f>'4C2 Open-burning '!AH150</f>
        <v>7.4754857388546064E-2</v>
      </c>
      <c r="J158" s="1220">
        <f>'4D Wastewater treatment and dis'!AV187</f>
        <v>235.50848458868253</v>
      </c>
      <c r="K158" s="981">
        <f>'4D Wastewater treatment and dis'!AW187</f>
        <v>3.7120223475197802</v>
      </c>
      <c r="L158" s="982">
        <f t="shared" si="121"/>
        <v>33147.774443466893</v>
      </c>
      <c r="M158" s="983">
        <f t="shared" si="122"/>
        <v>44.595769427780269</v>
      </c>
      <c r="N158" s="982">
        <f t="shared" si="123"/>
        <v>420.47439746192822</v>
      </c>
      <c r="O158" s="984">
        <f t="shared" si="124"/>
        <v>144.77364836606213</v>
      </c>
      <c r="P158" s="982">
        <f t="shared" si="125"/>
        <v>6096.4051040934646</v>
      </c>
      <c r="Q158" s="650">
        <f t="shared" si="126"/>
        <v>33147.774443466893</v>
      </c>
      <c r="R158" s="652">
        <f t="shared" si="127"/>
        <v>465.0701668897085</v>
      </c>
      <c r="S158" s="649">
        <f t="shared" si="128"/>
        <v>144.77364836606213</v>
      </c>
      <c r="T158" s="650">
        <f t="shared" si="129"/>
        <v>6096.4051040934646</v>
      </c>
      <c r="U158" s="650">
        <f t="shared" si="130"/>
        <v>39854.02336281613</v>
      </c>
    </row>
    <row r="159" spans="1:21">
      <c r="A159" s="4">
        <f>'Input data'!A144</f>
        <v>2046</v>
      </c>
      <c r="B159" s="4"/>
      <c r="C159" s="980">
        <f>'4A SWD Case 2'!BN114</f>
        <v>1564.3489372164395</v>
      </c>
      <c r="D159" s="3">
        <f>'4B Biological treatment '!T212</f>
        <v>2.1639883968614848</v>
      </c>
      <c r="E159" s="1495">
        <f>'4B Biological treatment '!U212</f>
        <v>10.819941984307423</v>
      </c>
      <c r="F159" s="1495">
        <f>'4B Biological treatment '!W212</f>
        <v>0.64919651905844544</v>
      </c>
      <c r="G159" s="1184">
        <f>'4C2 Open-burning '!R151</f>
        <v>19.803508955069312</v>
      </c>
      <c r="H159" s="1184">
        <f>'4C2 Open-burning '!Z151</f>
        <v>4.8769299382351257</v>
      </c>
      <c r="I159" s="1184">
        <f>'4C2 Open-burning '!AH151</f>
        <v>7.5135638039465713E-2</v>
      </c>
      <c r="J159" s="1220">
        <f>'4D Wastewater treatment and dis'!AV188</f>
        <v>236.70809993397941</v>
      </c>
      <c r="K159" s="981">
        <f>'4D Wastewater treatment and dis'!AW188</f>
        <v>3.7309303668123635</v>
      </c>
      <c r="L159" s="982">
        <f t="shared" si="121"/>
        <v>32851.327681545226</v>
      </c>
      <c r="M159" s="983">
        <f t="shared" si="122"/>
        <v>45.443756334091184</v>
      </c>
      <c r="N159" s="982">
        <f t="shared" si="123"/>
        <v>428.46970257857396</v>
      </c>
      <c r="O159" s="984">
        <f t="shared" si="124"/>
        <v>145.51108545024132</v>
      </c>
      <c r="P159" s="982">
        <f t="shared" si="125"/>
        <v>6127.4585123254001</v>
      </c>
      <c r="Q159" s="650">
        <f t="shared" si="126"/>
        <v>32851.327681545226</v>
      </c>
      <c r="R159" s="652">
        <f t="shared" si="127"/>
        <v>473.91345891266513</v>
      </c>
      <c r="S159" s="649">
        <f t="shared" si="128"/>
        <v>145.51108545024132</v>
      </c>
      <c r="T159" s="650">
        <f t="shared" si="129"/>
        <v>6127.4585123254001</v>
      </c>
      <c r="U159" s="650">
        <f t="shared" si="130"/>
        <v>39598.210738233531</v>
      </c>
    </row>
    <row r="160" spans="1:21">
      <c r="A160" s="4">
        <f>'Input data'!A145</f>
        <v>2047</v>
      </c>
      <c r="B160" s="4"/>
      <c r="C160" s="980">
        <f>'4A SWD Case 2'!BN115</f>
        <v>1551.3013398271944</v>
      </c>
      <c r="D160" s="3">
        <f>'4B Biological treatment '!T213</f>
        <v>2.2060757210836894</v>
      </c>
      <c r="E160" s="1495">
        <f>'4B Biological treatment '!U213</f>
        <v>11.030378605418447</v>
      </c>
      <c r="F160" s="1495">
        <f>'4B Biological treatment '!W213</f>
        <v>0.6618227163251067</v>
      </c>
      <c r="G160" s="1184">
        <f>'4C2 Open-burning '!R152</f>
        <v>19.90467425522495</v>
      </c>
      <c r="H160" s="1184">
        <f>'4C2 Open-burning '!Z152</f>
        <v>4.9018435069445383</v>
      </c>
      <c r="I160" s="1184">
        <f>'4C2 Open-burning '!AH152</f>
        <v>7.5519464935592723E-2</v>
      </c>
      <c r="J160" s="1220">
        <f>'4D Wastewater treatment and dis'!AV189</f>
        <v>237.91731220203872</v>
      </c>
      <c r="K160" s="981">
        <f>'4D Wastewater treatment and dis'!AW189</f>
        <v>3.7499896502592862</v>
      </c>
      <c r="L160" s="982">
        <f t="shared" si="121"/>
        <v>32577.328136371081</v>
      </c>
      <c r="M160" s="983">
        <f t="shared" si="122"/>
        <v>46.327590142757479</v>
      </c>
      <c r="N160" s="982">
        <f t="shared" si="123"/>
        <v>436.80299277457044</v>
      </c>
      <c r="O160" s="984">
        <f t="shared" si="124"/>
        <v>146.25442203109401</v>
      </c>
      <c r="P160" s="982">
        <f t="shared" si="125"/>
        <v>6158.7603478231922</v>
      </c>
      <c r="Q160" s="650">
        <f t="shared" si="126"/>
        <v>32577.328136371081</v>
      </c>
      <c r="R160" s="652">
        <f t="shared" si="127"/>
        <v>483.1305829173279</v>
      </c>
      <c r="S160" s="649">
        <f t="shared" si="128"/>
        <v>146.25442203109401</v>
      </c>
      <c r="T160" s="650">
        <f t="shared" si="129"/>
        <v>6158.7603478231922</v>
      </c>
      <c r="U160" s="650">
        <f t="shared" si="130"/>
        <v>39365.473489142692</v>
      </c>
    </row>
    <row r="161" spans="1:21">
      <c r="A161" s="4">
        <f>'Input data'!A146</f>
        <v>2048</v>
      </c>
      <c r="B161" s="4"/>
      <c r="C161" s="980">
        <f>'4A SWD Case 2'!BN116</f>
        <v>1539.2886388934205</v>
      </c>
      <c r="D161" s="3">
        <f>'4B Biological treatment '!T214</f>
        <v>2.2486123825087145</v>
      </c>
      <c r="E161" s="1495">
        <f>'4B Biological treatment '!U214</f>
        <v>11.243061912543572</v>
      </c>
      <c r="F161" s="1495">
        <f>'4B Biological treatment '!W214</f>
        <v>0.67458371475261436</v>
      </c>
      <c r="G161" s="1184">
        <f>'4C2 Open-burning '!R153</f>
        <v>20.006374821518975</v>
      </c>
      <c r="H161" s="1184">
        <f>'4C2 Open-burning '!Z153</f>
        <v>4.9268888934778072</v>
      </c>
      <c r="I161" s="1184">
        <f>'4C2 Open-burning '!AH153</f>
        <v>7.5905322661857969E-2</v>
      </c>
      <c r="J161" s="1220">
        <f>'4D Wastewater treatment and dis'!AV190</f>
        <v>239.13292241860617</v>
      </c>
      <c r="K161" s="981">
        <f>'4D Wastewater treatment and dis'!AW190</f>
        <v>3.76914977647577</v>
      </c>
      <c r="L161" s="982">
        <f t="shared" si="121"/>
        <v>32325.06141676183</v>
      </c>
      <c r="M161" s="983">
        <f t="shared" si="122"/>
        <v>47.220860032683007</v>
      </c>
      <c r="N161" s="982">
        <f t="shared" si="123"/>
        <v>445.22525173672545</v>
      </c>
      <c r="O161" s="984">
        <f t="shared" si="124"/>
        <v>147.00169160972888</v>
      </c>
      <c r="P161" s="982">
        <f t="shared" si="125"/>
        <v>6190.2278014982176</v>
      </c>
      <c r="Q161" s="650">
        <f t="shared" si="126"/>
        <v>32325.06141676183</v>
      </c>
      <c r="R161" s="652">
        <f t="shared" si="127"/>
        <v>492.44611176940845</v>
      </c>
      <c r="S161" s="649">
        <f t="shared" si="128"/>
        <v>147.00169160972888</v>
      </c>
      <c r="T161" s="650">
        <f t="shared" si="129"/>
        <v>6190.2278014982176</v>
      </c>
      <c r="U161" s="650">
        <f t="shared" si="130"/>
        <v>39154.737021639186</v>
      </c>
    </row>
    <row r="162" spans="1:21">
      <c r="A162" s="4">
        <f>'Input data'!A147</f>
        <v>2049</v>
      </c>
      <c r="B162" s="4"/>
      <c r="C162" s="980">
        <f>'4A SWD Case 2'!BN117</f>
        <v>1528.2649807746059</v>
      </c>
      <c r="D162" s="3">
        <f>'4B Biological treatment '!T215</f>
        <v>2.2929838013196724</v>
      </c>
      <c r="E162" s="1495">
        <f>'4B Biological treatment '!U215</f>
        <v>11.464919006598363</v>
      </c>
      <c r="F162" s="1495">
        <f>'4B Biological treatment '!W215</f>
        <v>0.68789514039590172</v>
      </c>
      <c r="G162" s="1184">
        <f>'4C2 Open-burning '!R154</f>
        <v>20.108343020882188</v>
      </c>
      <c r="H162" s="1184">
        <f>'4C2 Open-burning '!Z154</f>
        <v>4.9520001889230087</v>
      </c>
      <c r="I162" s="1184">
        <f>'4C2 Open-burning '!AH154</f>
        <v>7.6292195803192339E-2</v>
      </c>
      <c r="J162" s="1220">
        <f>'4D Wastewater treatment and dis'!AV191</f>
        <v>240.35173160942776</v>
      </c>
      <c r="K162" s="981">
        <f>'4D Wastewater treatment and dis'!AW191</f>
        <v>3.7883603240770336</v>
      </c>
      <c r="L162" s="982">
        <f t="shared" si="121"/>
        <v>32093.564596266722</v>
      </c>
      <c r="M162" s="983">
        <f t="shared" si="122"/>
        <v>48.152659827713123</v>
      </c>
      <c r="N162" s="982">
        <f t="shared" si="123"/>
        <v>454.01079266129517</v>
      </c>
      <c r="O162" s="984">
        <f t="shared" si="124"/>
        <v>147.750927687255</v>
      </c>
      <c r="P162" s="982">
        <f t="shared" si="125"/>
        <v>6221.7780642618636</v>
      </c>
      <c r="Q162" s="650">
        <f t="shared" si="126"/>
        <v>32093.564596266722</v>
      </c>
      <c r="R162" s="652">
        <f t="shared" si="127"/>
        <v>502.16345248900831</v>
      </c>
      <c r="S162" s="649">
        <f t="shared" si="128"/>
        <v>147.750927687255</v>
      </c>
      <c r="T162" s="650">
        <f t="shared" si="129"/>
        <v>6221.7780642618636</v>
      </c>
      <c r="U162" s="650">
        <f t="shared" si="130"/>
        <v>38965.257040704848</v>
      </c>
    </row>
    <row r="163" spans="1:21">
      <c r="A163" s="4">
        <f>'Input data'!A148</f>
        <v>2050</v>
      </c>
      <c r="B163" s="4"/>
      <c r="C163" s="980">
        <f>'4A SWD Case 2'!BN118</f>
        <v>1518.2019209965779</v>
      </c>
      <c r="D163" s="3">
        <f>'4B Biological treatment '!T216</f>
        <v>2.3393643332640499</v>
      </c>
      <c r="E163" s="1495">
        <f>'4B Biological treatment '!U216</f>
        <v>11.69682166632025</v>
      </c>
      <c r="F163" s="1495">
        <f>'4B Biological treatment '!W216</f>
        <v>0.70180929997921493</v>
      </c>
      <c r="G163" s="1184">
        <f>'4C2 Open-burning '!R155</f>
        <v>20.211114119452997</v>
      </c>
      <c r="H163" s="1184">
        <f>'4C2 Open-burning '!Z155</f>
        <v>4.9773092111039974</v>
      </c>
      <c r="I163" s="1184">
        <f>'4C2 Open-burning '!AH155</f>
        <v>7.6682115189734057E-2</v>
      </c>
      <c r="J163" s="1220">
        <f>'4D Wastewater treatment and dis'!AV192</f>
        <v>241.58013772301177</v>
      </c>
      <c r="K163" s="981">
        <f>'4D Wastewater treatment and dis'!AW192</f>
        <v>3.8077221358326381</v>
      </c>
      <c r="L163" s="982">
        <f t="shared" si="121"/>
        <v>31882.240340928136</v>
      </c>
      <c r="M163" s="983">
        <f t="shared" si="122"/>
        <v>49.126650998545045</v>
      </c>
      <c r="N163" s="982">
        <f t="shared" si="123"/>
        <v>463.19413798628187</v>
      </c>
      <c r="O163" s="984">
        <f t="shared" si="124"/>
        <v>148.5060632614545</v>
      </c>
      <c r="P163" s="982">
        <f t="shared" si="125"/>
        <v>6253.5767542913654</v>
      </c>
      <c r="Q163" s="583">
        <f t="shared" si="126"/>
        <v>31882.240340928136</v>
      </c>
      <c r="R163" s="648">
        <f t="shared" si="127"/>
        <v>512.32078898482689</v>
      </c>
      <c r="S163" s="645">
        <f t="shared" si="128"/>
        <v>148.5060632614545</v>
      </c>
      <c r="T163" s="583">
        <f t="shared" si="129"/>
        <v>6253.5767542913654</v>
      </c>
      <c r="U163" s="583">
        <f t="shared" si="130"/>
        <v>38796.643947465782</v>
      </c>
    </row>
    <row r="164" spans="1:21">
      <c r="A164" s="501" t="s">
        <v>776</v>
      </c>
      <c r="D164" s="3">
        <f>'4B Biological treatment '!T217</f>
        <v>0</v>
      </c>
      <c r="E164" s="178">
        <f>'4B Biological treatment '!U217</f>
        <v>0</v>
      </c>
      <c r="F164" s="178">
        <f>'4B Biological treatment '!W217</f>
        <v>0</v>
      </c>
      <c r="G164" s="1184"/>
      <c r="H164" s="1184"/>
      <c r="I164" s="1184"/>
      <c r="J164" s="1220"/>
      <c r="K164" s="981"/>
      <c r="L164" s="982"/>
      <c r="M164" s="983"/>
      <c r="N164" s="982"/>
      <c r="O164" s="984"/>
      <c r="P164" s="982"/>
      <c r="Q164" s="583"/>
      <c r="R164" s="648"/>
      <c r="S164" s="645"/>
      <c r="T164" s="583"/>
      <c r="U164" s="583"/>
    </row>
    <row r="165" spans="1:21">
      <c r="A165">
        <f>'Input data'!A116</f>
        <v>2018</v>
      </c>
      <c r="C165" s="338">
        <f>'4A SWD Case 3'!BG86</f>
        <v>2252.9713671294257</v>
      </c>
      <c r="D165" s="3">
        <f>'4B Biological treatment '!T218</f>
        <v>1.1085411714780036</v>
      </c>
      <c r="E165" s="178">
        <f>'4B Biological treatment '!U218</f>
        <v>34.04805026682439</v>
      </c>
      <c r="F165" s="178">
        <f>'4B Biological treatment '!W218</f>
        <v>2.0428830160094633</v>
      </c>
      <c r="G165" s="1184">
        <f>'4C2 Open-burning '!R157</f>
        <v>45.721904224931905</v>
      </c>
      <c r="H165" s="1184">
        <f>'4C2 Open-burning '!Z157</f>
        <v>11.259748161479752</v>
      </c>
      <c r="I165" s="1184">
        <f>'4C2 Open-burning '!AH157</f>
        <v>0.17347150215215879</v>
      </c>
      <c r="J165" s="1220">
        <f>'4D Wastewater treatment and dis'!AV194</f>
        <v>137.16052018288545</v>
      </c>
      <c r="K165" s="981">
        <f>'4D Wastewater treatment and dis'!AW194</f>
        <v>2.8960026562367029</v>
      </c>
      <c r="L165" s="982">
        <f>C165*$B$3</f>
        <v>47312.398709717942</v>
      </c>
      <c r="M165" s="983">
        <f t="shared" ref="M165:M197" si="131">D165*$B$3</f>
        <v>23.279364601038075</v>
      </c>
      <c r="N165" s="982">
        <f t="shared" ref="N165:N197" si="132">E165*$B$3+F165*$C$3</f>
        <v>1348.3027905662457</v>
      </c>
      <c r="O165" s="984">
        <f t="shared" ref="O165:O197" si="133">G165+H165*$B$3+I165*$C$3</f>
        <v>335.95278128317591</v>
      </c>
      <c r="P165" s="982">
        <f t="shared" ref="P165:P197" si="134">J165*$B$3+K165*$C$3</f>
        <v>3778.1317472739725</v>
      </c>
      <c r="Q165" s="583">
        <f t="shared" ref="Q165:Q197" si="135">L165</f>
        <v>47312.398709717942</v>
      </c>
      <c r="R165" s="648">
        <f t="shared" ref="R165:R197" si="136">M165+N165</f>
        <v>1371.5821551672836</v>
      </c>
      <c r="S165" s="645">
        <f t="shared" ref="S165:S197" si="137">O165</f>
        <v>335.95278128317591</v>
      </c>
      <c r="T165" s="583">
        <f t="shared" ref="T165:T197" si="138">P165</f>
        <v>3778.1317472739725</v>
      </c>
      <c r="U165" s="583">
        <f t="shared" ref="U165:U197" si="139">SUM(Q165:T165)</f>
        <v>52798.065393442375</v>
      </c>
    </row>
    <row r="166" spans="1:21">
      <c r="A166">
        <f>'Input data'!A117</f>
        <v>2019</v>
      </c>
      <c r="C166" s="338">
        <f>'4A SWD Case 3'!BG87</f>
        <v>2265.3360135042208</v>
      </c>
      <c r="D166" s="3">
        <f>'4B Biological treatment '!T219</f>
        <v>1.8903838134210553</v>
      </c>
      <c r="E166" s="178">
        <f>'4B Biological treatment '!U219</f>
        <v>31.643381224656792</v>
      </c>
      <c r="F166" s="178">
        <f>'4B Biological treatment '!W219</f>
        <v>1.8986028734794071</v>
      </c>
      <c r="G166" s="1184">
        <f>'4C2 Open-burning '!R158</f>
        <v>45.711440266224258</v>
      </c>
      <c r="H166" s="1184">
        <f>'4C2 Open-burning '!Z158</f>
        <v>11.257171244752037</v>
      </c>
      <c r="I166" s="1184">
        <f>'4C2 Open-burning '!AH158</f>
        <v>0.1734318012983504</v>
      </c>
      <c r="J166" s="1220">
        <f>'4D Wastewater treatment and dis'!AV195</f>
        <v>143.32311856444659</v>
      </c>
      <c r="K166" s="981">
        <f>'4D Wastewater treatment and dis'!AW195</f>
        <v>2.9428441226975277</v>
      </c>
      <c r="L166" s="982">
        <f t="shared" ref="L166:L197" si="140">C166*$B$3</f>
        <v>47572.056283588638</v>
      </c>
      <c r="M166" s="983">
        <f t="shared" si="131"/>
        <v>39.698060081842165</v>
      </c>
      <c r="N166" s="982">
        <f t="shared" si="132"/>
        <v>1253.0778964964088</v>
      </c>
      <c r="O166" s="984">
        <f t="shared" si="133"/>
        <v>335.87589480850568</v>
      </c>
      <c r="P166" s="982">
        <f t="shared" si="134"/>
        <v>3922.0671678896119</v>
      </c>
      <c r="Q166" s="650">
        <f t="shared" si="135"/>
        <v>47572.056283588638</v>
      </c>
      <c r="R166" s="652">
        <f t="shared" si="136"/>
        <v>1292.775956578251</v>
      </c>
      <c r="S166" s="649">
        <f t="shared" si="137"/>
        <v>335.87589480850568</v>
      </c>
      <c r="T166" s="650">
        <f t="shared" si="138"/>
        <v>3922.0671678896119</v>
      </c>
      <c r="U166" s="650">
        <f t="shared" si="139"/>
        <v>53122.775302865011</v>
      </c>
    </row>
    <row r="167" spans="1:21">
      <c r="A167">
        <f>'Input data'!A118</f>
        <v>2020</v>
      </c>
      <c r="C167" s="338">
        <f>'4A SWD Case 3'!BG88</f>
        <v>2271.6266841673951</v>
      </c>
      <c r="D167" s="3">
        <f>'4B Biological treatment '!T220</f>
        <v>2.451152421340514</v>
      </c>
      <c r="E167" s="178">
        <f>'4B Biological treatment '!U220</f>
        <v>26.043494476742964</v>
      </c>
      <c r="F167" s="178">
        <f>'4B Biological treatment '!W220</f>
        <v>1.5626096686045778</v>
      </c>
      <c r="G167" s="1184">
        <f>'4C2 Open-burning '!R159</f>
        <v>45.38335713019427</v>
      </c>
      <c r="H167" s="1184">
        <f>'4C2 Open-burning '!Z159</f>
        <v>11.17637553970982</v>
      </c>
      <c r="I167" s="1184">
        <f>'4C2 Open-burning '!AH159</f>
        <v>0.17218703524140921</v>
      </c>
      <c r="J167" s="1220">
        <f>'4D Wastewater treatment and dis'!AV196</f>
        <v>149.6491219215433</v>
      </c>
      <c r="K167" s="981">
        <f>'4D Wastewater treatment and dis'!AW196</f>
        <v>2.9904419099300554</v>
      </c>
      <c r="L167" s="982">
        <f t="shared" si="140"/>
        <v>47704.160367515295</v>
      </c>
      <c r="M167" s="983">
        <f t="shared" si="131"/>
        <v>51.474200848150794</v>
      </c>
      <c r="N167" s="982">
        <f t="shared" si="132"/>
        <v>1031.3223812790213</v>
      </c>
      <c r="O167" s="984">
        <f t="shared" si="133"/>
        <v>333.46522438893732</v>
      </c>
      <c r="P167" s="982">
        <f t="shared" si="134"/>
        <v>4069.6685524307268</v>
      </c>
      <c r="Q167" s="650">
        <f t="shared" si="135"/>
        <v>47704.160367515295</v>
      </c>
      <c r="R167" s="652">
        <f t="shared" si="136"/>
        <v>1082.7965821271721</v>
      </c>
      <c r="S167" s="649">
        <f t="shared" si="137"/>
        <v>333.46522438893732</v>
      </c>
      <c r="T167" s="650">
        <f t="shared" si="138"/>
        <v>4069.6685524307268</v>
      </c>
      <c r="U167" s="650">
        <f t="shared" si="139"/>
        <v>53190.090726462127</v>
      </c>
    </row>
    <row r="168" spans="1:21">
      <c r="A168">
        <f>'Input data'!A119</f>
        <v>2021</v>
      </c>
      <c r="C168" s="338">
        <f>'4A SWD Case 3'!BG89</f>
        <v>2259.5051098651911</v>
      </c>
      <c r="D168" s="3">
        <f>'4B Biological treatment '!T221</f>
        <v>2.7273973659235851</v>
      </c>
      <c r="E168" s="178">
        <f>'4B Biological treatment '!U221</f>
        <v>19.623956657255064</v>
      </c>
      <c r="F168" s="178">
        <f>'4B Biological treatment '!W221</f>
        <v>1.1774373994353038</v>
      </c>
      <c r="G168" s="1184">
        <f>'4C2 Open-burning '!R160</f>
        <v>42.66309513365379</v>
      </c>
      <c r="H168" s="1184">
        <f>'4C2 Open-burning '!Z160</f>
        <v>10.506467635970591</v>
      </c>
      <c r="I168" s="1184">
        <f>'4C2 Open-burning '!AH160</f>
        <v>0.16186620668479823</v>
      </c>
      <c r="J168" s="1220">
        <f>'4D Wastewater treatment and dis'!AV197</f>
        <v>155.4265138839244</v>
      </c>
      <c r="K168" s="981">
        <f>'4D Wastewater treatment and dis'!AW197</f>
        <v>3.024879715734945</v>
      </c>
      <c r="L168" s="982">
        <f t="shared" si="140"/>
        <v>47449.607307169012</v>
      </c>
      <c r="M168" s="983">
        <f t="shared" si="131"/>
        <v>57.275344684395286</v>
      </c>
      <c r="N168" s="982">
        <f t="shared" si="132"/>
        <v>777.10868362730048</v>
      </c>
      <c r="O168" s="984">
        <f t="shared" si="133"/>
        <v>313.47743956132365</v>
      </c>
      <c r="P168" s="982">
        <f t="shared" si="134"/>
        <v>4201.6695034402455</v>
      </c>
      <c r="Q168" s="650">
        <f t="shared" si="135"/>
        <v>47449.607307169012</v>
      </c>
      <c r="R168" s="652">
        <f t="shared" si="136"/>
        <v>834.38402831169572</v>
      </c>
      <c r="S168" s="649">
        <f t="shared" si="137"/>
        <v>313.47743956132365</v>
      </c>
      <c r="T168" s="650">
        <f t="shared" si="138"/>
        <v>4201.6695034402455</v>
      </c>
      <c r="U168" s="650">
        <f t="shared" si="139"/>
        <v>52799.138278482271</v>
      </c>
    </row>
    <row r="169" spans="1:21">
      <c r="A169">
        <f>'Input data'!A120</f>
        <v>2022</v>
      </c>
      <c r="C169" s="338">
        <f>'4A SWD Case 3'!BG90</f>
        <v>2230.3474167234162</v>
      </c>
      <c r="D169" s="3">
        <f>'4B Biological treatment '!T222</f>
        <v>2.5651546231662001</v>
      </c>
      <c r="E169" s="178">
        <f>'4B Biological treatment '!U222</f>
        <v>12.825773115831</v>
      </c>
      <c r="F169" s="178">
        <f>'4B Biological treatment '!W222</f>
        <v>0.76954638694986</v>
      </c>
      <c r="G169" s="1184">
        <f>'4C2 Open-burning '!R161</f>
        <v>36.284510978703963</v>
      </c>
      <c r="H169" s="1184">
        <f>'4C2 Open-burning '!Z161</f>
        <v>8.9356395519474301</v>
      </c>
      <c r="I169" s="1184">
        <f>'4C2 Open-burning '!AH161</f>
        <v>0.13766549602498859</v>
      </c>
      <c r="J169" s="1220">
        <f>'4D Wastewater treatment and dis'!AV198</f>
        <v>161.31482365077883</v>
      </c>
      <c r="K169" s="981">
        <f>'4D Wastewater treatment and dis'!AW198</f>
        <v>3.0596704712332969</v>
      </c>
      <c r="L169" s="982">
        <f t="shared" si="140"/>
        <v>46837.295751191741</v>
      </c>
      <c r="M169" s="983">
        <f t="shared" si="131"/>
        <v>53.8682470864902</v>
      </c>
      <c r="N169" s="982">
        <f t="shared" si="132"/>
        <v>507.90061538690759</v>
      </c>
      <c r="O169" s="984">
        <f t="shared" si="133"/>
        <v>266.60924533734647</v>
      </c>
      <c r="P169" s="982">
        <f t="shared" si="134"/>
        <v>4336.1091427486772</v>
      </c>
      <c r="Q169" s="650">
        <f t="shared" si="135"/>
        <v>46837.295751191741</v>
      </c>
      <c r="R169" s="652">
        <f t="shared" si="136"/>
        <v>561.7688624733978</v>
      </c>
      <c r="S169" s="649">
        <f t="shared" si="137"/>
        <v>266.60924533734647</v>
      </c>
      <c r="T169" s="650">
        <f t="shared" si="138"/>
        <v>4336.1091427486772</v>
      </c>
      <c r="U169" s="650">
        <f t="shared" si="139"/>
        <v>52001.783001751166</v>
      </c>
    </row>
    <row r="170" spans="1:21">
      <c r="A170">
        <f>'Input data'!A121</f>
        <v>2023</v>
      </c>
      <c r="C170" s="338">
        <f>'4A SWD Case 3'!BG91</f>
        <v>2192.2021556440804</v>
      </c>
      <c r="D170" s="3">
        <f>'4B Biological treatment '!T223</f>
        <v>2.5035878057367835</v>
      </c>
      <c r="E170" s="178">
        <f>'4B Biological treatment '!U223</f>
        <v>12.517939028683919</v>
      </c>
      <c r="F170" s="178">
        <f>'4B Biological treatment '!W223</f>
        <v>0.7510763417210351</v>
      </c>
      <c r="G170" s="1184">
        <f>'4C2 Open-burning '!R162</f>
        <v>34.965015150565968</v>
      </c>
      <c r="H170" s="1184">
        <f>'4C2 Open-burning '!Z162</f>
        <v>8.6106926588375963</v>
      </c>
      <c r="I170" s="1184">
        <f>'4C2 Open-burning '!AH162</f>
        <v>0.13265925389070343</v>
      </c>
      <c r="J170" s="1220">
        <f>'4D Wastewater treatment and dis'!AV199</f>
        <v>167.32092220488411</v>
      </c>
      <c r="K170" s="981">
        <f>'4D Wastewater treatment and dis'!AW199</f>
        <v>3.0949150191946715</v>
      </c>
      <c r="L170" s="982">
        <f t="shared" si="140"/>
        <v>46036.245268525687</v>
      </c>
      <c r="M170" s="983">
        <f t="shared" si="131"/>
        <v>52.575343920472456</v>
      </c>
      <c r="N170" s="982">
        <f t="shared" si="132"/>
        <v>495.71038553588318</v>
      </c>
      <c r="O170" s="984">
        <f t="shared" si="133"/>
        <v>256.91392969227354</v>
      </c>
      <c r="P170" s="982">
        <f t="shared" si="134"/>
        <v>4473.1630222529147</v>
      </c>
      <c r="Q170" s="650">
        <f t="shared" si="135"/>
        <v>46036.245268525687</v>
      </c>
      <c r="R170" s="652">
        <f t="shared" si="136"/>
        <v>548.28572945635563</v>
      </c>
      <c r="S170" s="649">
        <f t="shared" si="137"/>
        <v>256.91392969227354</v>
      </c>
      <c r="T170" s="650">
        <f t="shared" si="138"/>
        <v>4473.1630222529147</v>
      </c>
      <c r="U170" s="650">
        <f t="shared" si="139"/>
        <v>51314.607949927231</v>
      </c>
    </row>
    <row r="171" spans="1:21">
      <c r="A171">
        <f>'Input data'!A122</f>
        <v>2024</v>
      </c>
      <c r="C171" s="338">
        <f>'4A SWD Case 3'!BG92</f>
        <v>2154.1385163344721</v>
      </c>
      <c r="D171" s="3">
        <f>'4B Biological treatment '!T224</f>
        <v>2.4370068511193392</v>
      </c>
      <c r="E171" s="178">
        <f>'4B Biological treatment '!U224</f>
        <v>12.185034255596698</v>
      </c>
      <c r="F171" s="178">
        <f>'4B Biological treatment '!W224</f>
        <v>0.73110205533580164</v>
      </c>
      <c r="G171" s="1184">
        <f>'4C2 Open-burning '!R163</f>
        <v>33.562288423297552</v>
      </c>
      <c r="H171" s="1184">
        <f>'4C2 Open-burning '!Z163</f>
        <v>8.2652488293173381</v>
      </c>
      <c r="I171" s="1184">
        <f>'4C2 Open-burning '!AH163</f>
        <v>0.12733722899665836</v>
      </c>
      <c r="J171" s="1220">
        <f>'4D Wastewater treatment and dis'!AV200</f>
        <v>173.44384059068466</v>
      </c>
      <c r="K171" s="981">
        <f>'4D Wastewater treatment and dis'!AW200</f>
        <v>3.1305629382342866</v>
      </c>
      <c r="L171" s="982">
        <f t="shared" si="140"/>
        <v>45236.908843023914</v>
      </c>
      <c r="M171" s="983">
        <f t="shared" si="131"/>
        <v>51.177143873506125</v>
      </c>
      <c r="N171" s="982">
        <f t="shared" si="132"/>
        <v>482.52735652162914</v>
      </c>
      <c r="O171" s="984">
        <f t="shared" si="133"/>
        <v>246.60705482792577</v>
      </c>
      <c r="P171" s="982">
        <f t="shared" si="134"/>
        <v>4612.7951632570066</v>
      </c>
      <c r="Q171" s="650">
        <f t="shared" si="135"/>
        <v>45236.908843023914</v>
      </c>
      <c r="R171" s="652">
        <f t="shared" si="136"/>
        <v>533.70450039513526</v>
      </c>
      <c r="S171" s="649">
        <f t="shared" si="137"/>
        <v>246.60705482792577</v>
      </c>
      <c r="T171" s="650">
        <f t="shared" si="138"/>
        <v>4612.7951632570066</v>
      </c>
      <c r="U171" s="650">
        <f t="shared" si="139"/>
        <v>50630.015561503977</v>
      </c>
    </row>
    <row r="172" spans="1:21">
      <c r="A172">
        <f>'Input data'!A123</f>
        <v>2025</v>
      </c>
      <c r="C172" s="338">
        <f>'4A SWD Case 3'!BG93</f>
        <v>2115.9801853845652</v>
      </c>
      <c r="D172" s="3">
        <f>'4B Biological treatment '!T225</f>
        <v>2.3660500217489506</v>
      </c>
      <c r="E172" s="178">
        <f>'4B Biological treatment '!U225</f>
        <v>11.830250108744753</v>
      </c>
      <c r="F172" s="178">
        <f>'4B Biological treatment '!W225</f>
        <v>0.70981500652468532</v>
      </c>
      <c r="G172" s="1184">
        <f>'4C2 Open-burning '!R164</f>
        <v>32.071977754738406</v>
      </c>
      <c r="H172" s="1184">
        <f>'4C2 Open-burning '!Z164</f>
        <v>7.8982360573253896</v>
      </c>
      <c r="I172" s="1184">
        <f>'4C2 Open-burning '!AH164</f>
        <v>0.12168290565359488</v>
      </c>
      <c r="J172" s="1220">
        <f>'4D Wastewater treatment and dis'!AV201</f>
        <v>179.68520063996107</v>
      </c>
      <c r="K172" s="981">
        <f>'4D Wastewater treatment and dis'!AW201</f>
        <v>3.166614228352143</v>
      </c>
      <c r="L172" s="982">
        <f t="shared" si="140"/>
        <v>44435.583893075869</v>
      </c>
      <c r="M172" s="983">
        <f t="shared" si="131"/>
        <v>49.68705045672796</v>
      </c>
      <c r="N172" s="982">
        <f t="shared" si="132"/>
        <v>468.47790430629226</v>
      </c>
      <c r="O172" s="984">
        <f t="shared" si="133"/>
        <v>235.65663571118603</v>
      </c>
      <c r="P172" s="982">
        <f t="shared" si="134"/>
        <v>4755.0396242283468</v>
      </c>
      <c r="Q172" s="650">
        <f t="shared" si="135"/>
        <v>44435.583893075869</v>
      </c>
      <c r="R172" s="652">
        <f t="shared" si="136"/>
        <v>518.16495476302021</v>
      </c>
      <c r="S172" s="649">
        <f t="shared" si="137"/>
        <v>235.65663571118603</v>
      </c>
      <c r="T172" s="650">
        <f t="shared" si="138"/>
        <v>4755.0396242283468</v>
      </c>
      <c r="U172" s="650">
        <f t="shared" si="139"/>
        <v>49944.445107778425</v>
      </c>
    </row>
    <row r="173" spans="1:21">
      <c r="A173">
        <f>'Input data'!A124</f>
        <v>2026</v>
      </c>
      <c r="C173" s="338">
        <f>'4A SWD Case 3'!BG94</f>
        <v>2078.8525246639847</v>
      </c>
      <c r="D173" s="3">
        <f>'4B Biological treatment '!T226</f>
        <v>2.2893666167624387</v>
      </c>
      <c r="E173" s="178">
        <f>'4B Biological treatment '!U226</f>
        <v>11.446833083812193</v>
      </c>
      <c r="F173" s="178">
        <f>'4B Biological treatment '!W226</f>
        <v>0.68680998502873147</v>
      </c>
      <c r="G173" s="1184">
        <f>'4C2 Open-burning '!R165</f>
        <v>30.439090649711311</v>
      </c>
      <c r="H173" s="1184">
        <f>'4C2 Open-burning '!Z165</f>
        <v>7.4961115638160605</v>
      </c>
      <c r="I173" s="1184">
        <f>'4C2 Open-burning '!AH165</f>
        <v>0.11548763921061328</v>
      </c>
      <c r="J173" s="1220">
        <f>'4D Wastewater treatment and dis'!AV202</f>
        <v>185.73911394397246</v>
      </c>
      <c r="K173" s="981">
        <f>'4D Wastewater treatment and dis'!AW202</f>
        <v>3.1977746441463193</v>
      </c>
      <c r="L173" s="982">
        <f t="shared" si="140"/>
        <v>43655.903017943681</v>
      </c>
      <c r="M173" s="983">
        <f t="shared" si="131"/>
        <v>48.076698952011213</v>
      </c>
      <c r="N173" s="982">
        <f t="shared" si="132"/>
        <v>453.29459011896279</v>
      </c>
      <c r="O173" s="984">
        <f t="shared" si="133"/>
        <v>223.65860164513867</v>
      </c>
      <c r="P173" s="982">
        <f t="shared" si="134"/>
        <v>4891.8315325087806</v>
      </c>
      <c r="Q173" s="650">
        <f t="shared" si="135"/>
        <v>43655.903017943681</v>
      </c>
      <c r="R173" s="652">
        <f t="shared" si="136"/>
        <v>501.371289070974</v>
      </c>
      <c r="S173" s="649">
        <f t="shared" si="137"/>
        <v>223.65860164513867</v>
      </c>
      <c r="T173" s="650">
        <f t="shared" si="138"/>
        <v>4891.8315325087806</v>
      </c>
      <c r="U173" s="650">
        <f t="shared" si="139"/>
        <v>49272.764441168576</v>
      </c>
    </row>
    <row r="174" spans="1:21">
      <c r="A174">
        <f>'Input data'!A125</f>
        <v>2027</v>
      </c>
      <c r="C174" s="338">
        <f>'4A SWD Case 3'!BG95</f>
        <v>2041.7340339503719</v>
      </c>
      <c r="D174" s="3">
        <f>'4B Biological treatment '!T227</f>
        <v>2.2075203147015099</v>
      </c>
      <c r="E174" s="178">
        <f>'4B Biological treatment '!U227</f>
        <v>11.037601573507549</v>
      </c>
      <c r="F174" s="178">
        <f>'4B Biological treatment '!W227</f>
        <v>0.66225609441045297</v>
      </c>
      <c r="G174" s="1184">
        <f>'4C2 Open-burning '!R166</f>
        <v>28.71535009346599</v>
      </c>
      <c r="H174" s="1184">
        <f>'4C2 Open-burning '!Z166</f>
        <v>7.0716129588680232</v>
      </c>
      <c r="I174" s="1184">
        <f>'4C2 Open-burning '!AH166</f>
        <v>0.10894766961220317</v>
      </c>
      <c r="J174" s="1220">
        <f>'4D Wastewater treatment and dis'!AV203</f>
        <v>191.89752530165873</v>
      </c>
      <c r="K174" s="981">
        <f>'4D Wastewater treatment and dis'!AW203</f>
        <v>3.2292880096339567</v>
      </c>
      <c r="L174" s="982">
        <f t="shared" si="140"/>
        <v>42876.414712957812</v>
      </c>
      <c r="M174" s="983">
        <f t="shared" si="131"/>
        <v>46.357926608731709</v>
      </c>
      <c r="N174" s="982">
        <f t="shared" si="132"/>
        <v>437.08902231089894</v>
      </c>
      <c r="O174" s="984">
        <f t="shared" si="133"/>
        <v>210.99299980947745</v>
      </c>
      <c r="P174" s="982">
        <f t="shared" si="134"/>
        <v>5030.9273143213595</v>
      </c>
      <c r="Q174" s="650">
        <f t="shared" si="135"/>
        <v>42876.414712957812</v>
      </c>
      <c r="R174" s="652">
        <f t="shared" si="136"/>
        <v>483.44694891963064</v>
      </c>
      <c r="S174" s="649">
        <f t="shared" si="137"/>
        <v>210.99299980947745</v>
      </c>
      <c r="T174" s="650">
        <f t="shared" si="138"/>
        <v>5030.9273143213595</v>
      </c>
      <c r="U174" s="650">
        <f t="shared" si="139"/>
        <v>48601.781976008271</v>
      </c>
    </row>
    <row r="175" spans="1:21">
      <c r="A175">
        <f>'Input data'!A126</f>
        <v>2028</v>
      </c>
      <c r="C175" s="338">
        <f>'4A SWD Case 3'!BG96</f>
        <v>2004.6108304199397</v>
      </c>
      <c r="D175" s="3">
        <f>'4B Biological treatment '!T228</f>
        <v>2.1209870230318915</v>
      </c>
      <c r="E175" s="178">
        <f>'4B Biological treatment '!U228</f>
        <v>10.604935115159456</v>
      </c>
      <c r="F175" s="178">
        <f>'4B Biological treatment '!W228</f>
        <v>0.63629610690956739</v>
      </c>
      <c r="G175" s="1184">
        <f>'4C2 Open-burning '!R167</f>
        <v>26.895169466913035</v>
      </c>
      <c r="H175" s="1184">
        <f>'4C2 Open-burning '!Z167</f>
        <v>6.6233644484261749</v>
      </c>
      <c r="I175" s="1184">
        <f>'4C2 Open-burning '!AH167</f>
        <v>0.10204180090815605</v>
      </c>
      <c r="J175" s="1220">
        <f>'4D Wastewater treatment and dis'!AV204</f>
        <v>198.15572617261648</v>
      </c>
      <c r="K175" s="981">
        <f>'4D Wastewater treatment and dis'!AW204</f>
        <v>3.2610534820454951</v>
      </c>
      <c r="L175" s="982">
        <f t="shared" si="140"/>
        <v>42096.827438818735</v>
      </c>
      <c r="M175" s="983">
        <f t="shared" si="131"/>
        <v>44.54072748366972</v>
      </c>
      <c r="N175" s="982">
        <f t="shared" si="132"/>
        <v>419.95543056031448</v>
      </c>
      <c r="O175" s="984">
        <f t="shared" si="133"/>
        <v>197.61878116539108</v>
      </c>
      <c r="P175" s="982">
        <f t="shared" si="134"/>
        <v>5172.1968290590494</v>
      </c>
      <c r="Q175" s="650">
        <f t="shared" si="135"/>
        <v>42096.827438818735</v>
      </c>
      <c r="R175" s="652">
        <f t="shared" si="136"/>
        <v>464.49615804398422</v>
      </c>
      <c r="S175" s="649">
        <f t="shared" si="137"/>
        <v>197.61878116539108</v>
      </c>
      <c r="T175" s="650">
        <f t="shared" si="138"/>
        <v>5172.1968290590494</v>
      </c>
      <c r="U175" s="650">
        <f t="shared" si="139"/>
        <v>47931.139207087166</v>
      </c>
    </row>
    <row r="176" spans="1:21">
      <c r="A176">
        <f>'Input data'!A127</f>
        <v>2029</v>
      </c>
      <c r="C176" s="338">
        <f>'4A SWD Case 3'!BG97</f>
        <v>1967.4803673038646</v>
      </c>
      <c r="D176" s="3">
        <f>'4B Biological treatment '!T229</f>
        <v>2.0293606513303439</v>
      </c>
      <c r="E176" s="178">
        <f>'4B Biological treatment '!U229</f>
        <v>10.146803256651719</v>
      </c>
      <c r="F176" s="178">
        <f>'4B Biological treatment '!W229</f>
        <v>0.60880819539910314</v>
      </c>
      <c r="G176" s="1184">
        <f>'4C2 Open-burning '!R168</f>
        <v>24.974480680349732</v>
      </c>
      <c r="H176" s="1184">
        <f>'4C2 Open-burning '!Z168</f>
        <v>6.15036420051681</v>
      </c>
      <c r="I176" s="1184">
        <f>'4C2 Open-burning '!AH168</f>
        <v>9.4754598535026088E-2</v>
      </c>
      <c r="J176" s="1220">
        <f>'4D Wastewater treatment and dis'!AV205</f>
        <v>204.52099299756838</v>
      </c>
      <c r="K176" s="981">
        <f>'4D Wastewater treatment and dis'!AW205</f>
        <v>3.2931719041504954</v>
      </c>
      <c r="L176" s="982">
        <f t="shared" si="140"/>
        <v>41317.087713381159</v>
      </c>
      <c r="M176" s="983">
        <f t="shared" si="131"/>
        <v>42.616573677937225</v>
      </c>
      <c r="N176" s="982">
        <f t="shared" si="132"/>
        <v>401.81340896340805</v>
      </c>
      <c r="O176" s="984">
        <f t="shared" si="133"/>
        <v>183.50605443706081</v>
      </c>
      <c r="P176" s="982">
        <f t="shared" si="134"/>
        <v>5315.8241432355899</v>
      </c>
      <c r="Q176" s="650">
        <f t="shared" si="135"/>
        <v>41317.087713381159</v>
      </c>
      <c r="R176" s="652">
        <f t="shared" si="136"/>
        <v>444.4299826413453</v>
      </c>
      <c r="S176" s="649">
        <f t="shared" si="137"/>
        <v>183.50605443706081</v>
      </c>
      <c r="T176" s="650">
        <f t="shared" si="138"/>
        <v>5315.8241432355899</v>
      </c>
      <c r="U176" s="650">
        <f t="shared" si="139"/>
        <v>47260.847893695158</v>
      </c>
    </row>
    <row r="177" spans="1:21">
      <c r="A177">
        <f>'Input data'!A128</f>
        <v>2030</v>
      </c>
      <c r="C177" s="338">
        <f>'4A SWD Case 3'!BG98</f>
        <v>1930.3401382824109</v>
      </c>
      <c r="D177" s="3">
        <f>'4B Biological treatment '!T230</f>
        <v>1.9323704881409063</v>
      </c>
      <c r="E177" s="178">
        <f>'4B Biological treatment '!U230</f>
        <v>9.6618524407045321</v>
      </c>
      <c r="F177" s="178">
        <f>'4B Biological treatment '!W230</f>
        <v>0.57971114644227184</v>
      </c>
      <c r="G177" s="1184">
        <f>'4C2 Open-burning '!R169</f>
        <v>22.947608725356009</v>
      </c>
      <c r="H177" s="1184">
        <f>'4C2 Open-burning '!Z169</f>
        <v>5.6512146538023789</v>
      </c>
      <c r="I177" s="1184">
        <f>'4C2 Open-burning '!AH169</f>
        <v>8.7064531188462788E-2</v>
      </c>
      <c r="J177" s="1220">
        <f>'4D Wastewater treatment and dis'!AV206</f>
        <v>210.99154590506851</v>
      </c>
      <c r="K177" s="981">
        <f>'4D Wastewater treatment and dis'!AW206</f>
        <v>3.3255928545641762</v>
      </c>
      <c r="L177" s="982">
        <f t="shared" si="140"/>
        <v>40537.142903930631</v>
      </c>
      <c r="M177" s="983">
        <f t="shared" si="131"/>
        <v>40.579780250959033</v>
      </c>
      <c r="N177" s="982">
        <f t="shared" si="132"/>
        <v>382.60935665189947</v>
      </c>
      <c r="O177" s="984">
        <f t="shared" si="133"/>
        <v>168.61312112362944</v>
      </c>
      <c r="P177" s="982">
        <f t="shared" si="134"/>
        <v>5461.7562489213324</v>
      </c>
      <c r="Q177" s="650">
        <f t="shared" si="135"/>
        <v>40537.142903930631</v>
      </c>
      <c r="R177" s="652">
        <f t="shared" si="136"/>
        <v>423.18913690285854</v>
      </c>
      <c r="S177" s="649">
        <f t="shared" si="137"/>
        <v>168.61312112362944</v>
      </c>
      <c r="T177" s="650">
        <f t="shared" si="138"/>
        <v>5461.7562489213324</v>
      </c>
      <c r="U177" s="650">
        <f t="shared" si="139"/>
        <v>46590.70141087845</v>
      </c>
    </row>
    <row r="178" spans="1:21">
      <c r="A178">
        <f>'Input data'!A129</f>
        <v>2031</v>
      </c>
      <c r="C178" s="338">
        <f>'4A SWD Case 3'!BG99</f>
        <v>1893.1844469425596</v>
      </c>
      <c r="D178" s="3">
        <f>'4B Biological treatment '!T231</f>
        <v>1.8136534194547118</v>
      </c>
      <c r="E178" s="178">
        <f>'4B Biological treatment '!U231</f>
        <v>9.0682670972735568</v>
      </c>
      <c r="F178" s="178">
        <f>'4B Biological treatment '!W231</f>
        <v>0.54409602583641337</v>
      </c>
      <c r="G178" s="1184">
        <f>'4C2 Open-burning '!R170</f>
        <v>20.47308674923433</v>
      </c>
      <c r="H178" s="1184">
        <f>'4C2 Open-burning '!Z170</f>
        <v>5.0418241495463452</v>
      </c>
      <c r="I178" s="1184">
        <f>'4C2 Open-burning '!AH170</f>
        <v>7.7676054230141289E-2</v>
      </c>
      <c r="J178" s="1220">
        <f>'4D Wastewater treatment and dis'!AV207</f>
        <v>212.79256841014094</v>
      </c>
      <c r="K178" s="981">
        <f>'4D Wastewater treatment and dis'!AW207</f>
        <v>3.3539800941954407</v>
      </c>
      <c r="L178" s="982">
        <f t="shared" si="140"/>
        <v>39756.873385793748</v>
      </c>
      <c r="M178" s="983">
        <f t="shared" si="131"/>
        <v>38.086721808548951</v>
      </c>
      <c r="N178" s="982">
        <f t="shared" si="132"/>
        <v>359.10337705203284</v>
      </c>
      <c r="O178" s="984">
        <f t="shared" si="133"/>
        <v>150.43097070105136</v>
      </c>
      <c r="P178" s="982">
        <f t="shared" si="134"/>
        <v>5508.3777658135459</v>
      </c>
      <c r="Q178" s="650">
        <f t="shared" si="135"/>
        <v>39756.873385793748</v>
      </c>
      <c r="R178" s="652">
        <f t="shared" si="136"/>
        <v>397.19009886058177</v>
      </c>
      <c r="S178" s="649">
        <f t="shared" si="137"/>
        <v>150.43097070105136</v>
      </c>
      <c r="T178" s="650">
        <f t="shared" si="138"/>
        <v>5508.3777658135459</v>
      </c>
      <c r="U178" s="650">
        <f t="shared" si="139"/>
        <v>45812.872221168931</v>
      </c>
    </row>
    <row r="179" spans="1:21">
      <c r="A179">
        <f>'Input data'!A130</f>
        <v>2032</v>
      </c>
      <c r="C179" s="338">
        <f>'4A SWD Case 3'!BG100</f>
        <v>1856.0807701801284</v>
      </c>
      <c r="D179" s="3">
        <f>'4B Biological treatment '!T232</f>
        <v>1.691650773652406</v>
      </c>
      <c r="E179" s="178">
        <f>'4B Biological treatment '!U232</f>
        <v>8.4582538682620303</v>
      </c>
      <c r="F179" s="178">
        <f>'4B Biological treatment '!W232</f>
        <v>0.50749523209572178</v>
      </c>
      <c r="G179" s="1184">
        <f>'4C2 Open-burning '!R171</f>
        <v>17.954699713071633</v>
      </c>
      <c r="H179" s="1184">
        <f>'4C2 Open-burning '!Z171</f>
        <v>4.421631174625043</v>
      </c>
      <c r="I179" s="1184">
        <f>'4C2 Open-burning '!AH171</f>
        <v>6.8121150741991182E-2</v>
      </c>
      <c r="J179" s="1220">
        <f>'4D Wastewater treatment and dis'!AV208</f>
        <v>214.6095857864839</v>
      </c>
      <c r="K179" s="981">
        <f>'4D Wastewater treatment and dis'!AW208</f>
        <v>3.3826194407506049</v>
      </c>
      <c r="L179" s="982">
        <f t="shared" si="140"/>
        <v>38977.696173782693</v>
      </c>
      <c r="M179" s="983">
        <f t="shared" si="131"/>
        <v>35.524666246700527</v>
      </c>
      <c r="N179" s="982">
        <f t="shared" si="132"/>
        <v>334.94685318317636</v>
      </c>
      <c r="O179" s="984">
        <f t="shared" si="133"/>
        <v>131.92651111021479</v>
      </c>
      <c r="P179" s="982">
        <f t="shared" si="134"/>
        <v>5555.4133281488503</v>
      </c>
      <c r="Q179" s="650">
        <f t="shared" si="135"/>
        <v>38977.696173782693</v>
      </c>
      <c r="R179" s="652">
        <f t="shared" si="136"/>
        <v>370.47151942987688</v>
      </c>
      <c r="S179" s="649">
        <f t="shared" si="137"/>
        <v>131.92651111021479</v>
      </c>
      <c r="T179" s="650">
        <f t="shared" si="138"/>
        <v>5555.4133281488503</v>
      </c>
      <c r="U179" s="650">
        <f t="shared" si="139"/>
        <v>45035.507532471631</v>
      </c>
    </row>
    <row r="180" spans="1:21">
      <c r="A180">
        <f>'Input data'!A131</f>
        <v>2033</v>
      </c>
      <c r="C180" s="338">
        <f>'4A SWD Case 3'!BG101</f>
        <v>1819.0138862474591</v>
      </c>
      <c r="D180" s="3">
        <f>'4B Biological treatment '!T233</f>
        <v>1.7194474465544651</v>
      </c>
      <c r="E180" s="178">
        <f>'4B Biological treatment '!U233</f>
        <v>8.5972372327723257</v>
      </c>
      <c r="F180" s="178">
        <f>'4B Biological treatment '!W233</f>
        <v>0.51583423396633954</v>
      </c>
      <c r="G180" s="1184">
        <f>'4C2 Open-burning '!R172</f>
        <v>18.10778582865106</v>
      </c>
      <c r="H180" s="1184">
        <f>'4C2 Open-burning '!Z172</f>
        <v>4.4593310722488075</v>
      </c>
      <c r="I180" s="1184">
        <f>'4C2 Open-burning '!AH172</f>
        <v>6.8701968161527294E-2</v>
      </c>
      <c r="J180" s="1220">
        <f>'4D Wastewater treatment and dis'!AV209</f>
        <v>216.43939905984345</v>
      </c>
      <c r="K180" s="981">
        <f>'4D Wastewater treatment and dis'!AW209</f>
        <v>3.4114604728448907</v>
      </c>
      <c r="L180" s="982">
        <f t="shared" si="140"/>
        <v>38199.291611196641</v>
      </c>
      <c r="M180" s="983">
        <f t="shared" si="131"/>
        <v>36.108396377643771</v>
      </c>
      <c r="N180" s="982">
        <f t="shared" si="132"/>
        <v>340.45059441778409</v>
      </c>
      <c r="O180" s="984">
        <f t="shared" si="133"/>
        <v>133.05134847594948</v>
      </c>
      <c r="P180" s="982">
        <f t="shared" si="134"/>
        <v>5602.7801268386283</v>
      </c>
      <c r="Q180" s="650">
        <f t="shared" si="135"/>
        <v>38199.291611196641</v>
      </c>
      <c r="R180" s="652">
        <f t="shared" si="136"/>
        <v>376.55899079542786</v>
      </c>
      <c r="S180" s="649">
        <f t="shared" si="137"/>
        <v>133.05134847594948</v>
      </c>
      <c r="T180" s="650">
        <f t="shared" si="138"/>
        <v>5602.7801268386283</v>
      </c>
      <c r="U180" s="650">
        <f t="shared" si="139"/>
        <v>44311.682077306643</v>
      </c>
    </row>
    <row r="181" spans="1:21">
      <c r="A181">
        <f>'Input data'!A132</f>
        <v>2034</v>
      </c>
      <c r="C181" s="338">
        <f>'4A SWD Case 3'!BG102</f>
        <v>1782.003198770406</v>
      </c>
      <c r="D181" s="3">
        <f>'4B Biological treatment '!T234</f>
        <v>1.7486717309599507</v>
      </c>
      <c r="E181" s="178">
        <f>'4B Biological treatment '!U234</f>
        <v>8.7433586547997528</v>
      </c>
      <c r="F181" s="178">
        <f>'4B Biological treatment '!W234</f>
        <v>0.52460151928798515</v>
      </c>
      <c r="G181" s="1184">
        <f>'4C2 Open-burning '!R173</f>
        <v>18.262477742645647</v>
      </c>
      <c r="H181" s="1184">
        <f>'4C2 Open-burning '!Z173</f>
        <v>4.4974264233441499</v>
      </c>
      <c r="I181" s="1184">
        <f>'4C2 Open-burning '!AH173</f>
        <v>6.9288878071478099E-2</v>
      </c>
      <c r="J181" s="1220">
        <f>'4D Wastewater treatment and dis'!AV210</f>
        <v>218.28840617872763</v>
      </c>
      <c r="K181" s="981">
        <f>'4D Wastewater treatment and dis'!AW210</f>
        <v>3.4406040332478574</v>
      </c>
      <c r="L181" s="982">
        <f t="shared" si="140"/>
        <v>37422.067174178526</v>
      </c>
      <c r="M181" s="983">
        <f t="shared" si="131"/>
        <v>36.722106350158967</v>
      </c>
      <c r="N181" s="982">
        <f t="shared" si="132"/>
        <v>346.23700273007023</v>
      </c>
      <c r="O181" s="984">
        <f t="shared" si="133"/>
        <v>134.18798483503099</v>
      </c>
      <c r="P181" s="982">
        <f t="shared" si="134"/>
        <v>5650.6437800601161</v>
      </c>
      <c r="Q181" s="650">
        <f t="shared" si="135"/>
        <v>37422.067174178526</v>
      </c>
      <c r="R181" s="652">
        <f t="shared" si="136"/>
        <v>382.95910908022921</v>
      </c>
      <c r="S181" s="649">
        <f t="shared" si="137"/>
        <v>134.18798483503099</v>
      </c>
      <c r="T181" s="650">
        <f t="shared" si="138"/>
        <v>5650.6437800601161</v>
      </c>
      <c r="U181" s="650">
        <f t="shared" si="139"/>
        <v>43589.858048153896</v>
      </c>
    </row>
    <row r="182" spans="1:21">
      <c r="A182">
        <f>'Input data'!A133</f>
        <v>2035</v>
      </c>
      <c r="C182" s="338">
        <f>'4A SWD Case 3'!BG103</f>
        <v>1745.0606246804527</v>
      </c>
      <c r="D182" s="3">
        <f>'4B Biological treatment '!T235</f>
        <v>1.7793772162751407</v>
      </c>
      <c r="E182" s="178">
        <f>'4B Biological treatment '!U235</f>
        <v>8.8968860813757047</v>
      </c>
      <c r="F182" s="178">
        <f>'4B Biological treatment '!W235</f>
        <v>0.53381316488254216</v>
      </c>
      <c r="G182" s="1184">
        <f>'4C2 Open-burning '!R174</f>
        <v>18.418240188917029</v>
      </c>
      <c r="H182" s="1184">
        <f>'4C2 Open-burning '!Z174</f>
        <v>4.535785410087211</v>
      </c>
      <c r="I182" s="1184">
        <f>'4C2 Open-burning '!AH174</f>
        <v>6.9879849641705405E-2</v>
      </c>
      <c r="J182" s="1220">
        <f>'4D Wastewater treatment and dis'!AV211</f>
        <v>220.15020919462836</v>
      </c>
      <c r="K182" s="981">
        <f>'4D Wastewater treatment and dis'!AW211</f>
        <v>3.4699492791899456</v>
      </c>
      <c r="L182" s="982">
        <f t="shared" si="140"/>
        <v>36646.273118289508</v>
      </c>
      <c r="M182" s="983">
        <f t="shared" si="131"/>
        <v>37.366921541777955</v>
      </c>
      <c r="N182" s="982">
        <f t="shared" si="132"/>
        <v>352.31668882247789</v>
      </c>
      <c r="O182" s="984">
        <f t="shared" si="133"/>
        <v>135.33248718967712</v>
      </c>
      <c r="P182" s="982">
        <f t="shared" si="134"/>
        <v>5698.8386696360794</v>
      </c>
      <c r="Q182" s="650">
        <f t="shared" si="135"/>
        <v>36646.273118289508</v>
      </c>
      <c r="R182" s="652">
        <f t="shared" si="136"/>
        <v>389.68361036425586</v>
      </c>
      <c r="S182" s="649">
        <f t="shared" si="137"/>
        <v>135.33248718967712</v>
      </c>
      <c r="T182" s="650">
        <f t="shared" si="138"/>
        <v>5698.8386696360794</v>
      </c>
      <c r="U182" s="650">
        <f t="shared" si="139"/>
        <v>42870.127885479524</v>
      </c>
    </row>
    <row r="183" spans="1:21">
      <c r="A183">
        <f>'Input data'!A134</f>
        <v>2036</v>
      </c>
      <c r="C183" s="338">
        <f>'4A SWD Case 3'!BG104</f>
        <v>1708.1983749610677</v>
      </c>
      <c r="D183" s="3">
        <f>'4B Biological treatment '!T236</f>
        <v>1.8095802645832131</v>
      </c>
      <c r="E183" s="178">
        <f>'4B Biological treatment '!U236</f>
        <v>9.047901322916065</v>
      </c>
      <c r="F183" s="178">
        <f>'4B Biological treatment '!W236</f>
        <v>0.54287407937496401</v>
      </c>
      <c r="G183" s="1184">
        <f>'4C2 Open-burning '!R175</f>
        <v>18.553127255791203</v>
      </c>
      <c r="H183" s="1184">
        <f>'4C2 Open-burning '!Z175</f>
        <v>4.5690035016997594</v>
      </c>
      <c r="I183" s="1184">
        <f>'4C2 Open-burning '!AH175</f>
        <v>7.0391618836541409E-2</v>
      </c>
      <c r="J183" s="1220">
        <f>'4D Wastewater treatment and dis'!AV212</f>
        <v>221.76249221870739</v>
      </c>
      <c r="K183" s="981">
        <f>'4D Wastewater treatment and dis'!AW212</f>
        <v>3.4953616571191763</v>
      </c>
      <c r="L183" s="982">
        <f t="shared" si="140"/>
        <v>35872.165874182421</v>
      </c>
      <c r="M183" s="983">
        <f t="shared" si="131"/>
        <v>38.001185556247478</v>
      </c>
      <c r="N183" s="982">
        <f t="shared" si="132"/>
        <v>358.29689238747619</v>
      </c>
      <c r="O183" s="984">
        <f t="shared" si="133"/>
        <v>136.32360263081401</v>
      </c>
      <c r="P183" s="982">
        <f t="shared" si="134"/>
        <v>5740.5744502998004</v>
      </c>
      <c r="Q183" s="650">
        <f t="shared" si="135"/>
        <v>35872.165874182421</v>
      </c>
      <c r="R183" s="652">
        <f t="shared" si="136"/>
        <v>396.29807794372368</v>
      </c>
      <c r="S183" s="649">
        <f t="shared" si="137"/>
        <v>136.32360263081401</v>
      </c>
      <c r="T183" s="650">
        <f t="shared" si="138"/>
        <v>5740.5744502998004</v>
      </c>
      <c r="U183" s="650">
        <f t="shared" si="139"/>
        <v>42145.362005056755</v>
      </c>
    </row>
    <row r="184" spans="1:21">
      <c r="A184">
        <f>'Input data'!A135</f>
        <v>2037</v>
      </c>
      <c r="C184" s="338">
        <f>'4A SWD Case 3'!BG105</f>
        <v>1669.8720175629744</v>
      </c>
      <c r="D184" s="3">
        <f>'4B Biological treatment '!T237</f>
        <v>1.840795618249119</v>
      </c>
      <c r="E184" s="178">
        <f>'4B Biological treatment '!U237</f>
        <v>9.2039780912455953</v>
      </c>
      <c r="F184" s="178">
        <f>'4B Biological treatment '!W237</f>
        <v>0.55223868547473565</v>
      </c>
      <c r="G184" s="1184">
        <f>'4C2 Open-burning '!R176</f>
        <v>18.68881722187297</v>
      </c>
      <c r="H184" s="1184">
        <f>'4C2 Open-burning '!Z176</f>
        <v>4.6024193200480967</v>
      </c>
      <c r="I184" s="1184">
        <f>'4C2 Open-burning '!AH176</f>
        <v>7.0906434276584801E-2</v>
      </c>
      <c r="J184" s="1220">
        <f>'4D Wastewater treatment and dis'!AV213</f>
        <v>223.38437216554874</v>
      </c>
      <c r="K184" s="981">
        <f>'4D Wastewater treatment and dis'!AW213</f>
        <v>3.5209252992027475</v>
      </c>
      <c r="L184" s="982">
        <f t="shared" si="140"/>
        <v>35067.312368822466</v>
      </c>
      <c r="M184" s="983">
        <f t="shared" si="131"/>
        <v>38.656707983231499</v>
      </c>
      <c r="N184" s="982">
        <f t="shared" si="132"/>
        <v>364.47753241332555</v>
      </c>
      <c r="O184" s="984">
        <f t="shared" si="133"/>
        <v>137.3206175686243</v>
      </c>
      <c r="P184" s="982">
        <f t="shared" si="134"/>
        <v>5782.5586582293754</v>
      </c>
      <c r="Q184" s="650">
        <f t="shared" si="135"/>
        <v>35067.312368822466</v>
      </c>
      <c r="R184" s="652">
        <f t="shared" si="136"/>
        <v>403.13424039655706</v>
      </c>
      <c r="S184" s="649">
        <f t="shared" si="137"/>
        <v>137.3206175686243</v>
      </c>
      <c r="T184" s="650">
        <f t="shared" si="138"/>
        <v>5782.5586582293754</v>
      </c>
      <c r="U184" s="650">
        <f t="shared" si="139"/>
        <v>41390.325885017017</v>
      </c>
    </row>
    <row r="185" spans="1:21">
      <c r="A185">
        <f>'Input data'!A136</f>
        <v>2038</v>
      </c>
      <c r="C185" s="338">
        <f>'4A SWD Case 3'!BG106</f>
        <v>1630.1635548516297</v>
      </c>
      <c r="D185" s="3">
        <f>'4B Biological treatment '!T238</f>
        <v>1.8724468612837404</v>
      </c>
      <c r="E185" s="178">
        <f>'4B Biological treatment '!U238</f>
        <v>9.3622343064187028</v>
      </c>
      <c r="F185" s="178">
        <f>'4B Biological treatment '!W238</f>
        <v>0.56173405838512203</v>
      </c>
      <c r="G185" s="1184">
        <f>'4C2 Open-burning '!R177</f>
        <v>18.825845353300707</v>
      </c>
      <c r="H185" s="1184">
        <f>'4C2 Open-burning '!Z177</f>
        <v>4.6361646829560827</v>
      </c>
      <c r="I185" s="1184">
        <f>'4C2 Open-burning '!AH177</f>
        <v>7.1426326791973777E-2</v>
      </c>
      <c r="J185" s="1220">
        <f>'4D Wastewater treatment and dis'!AV214</f>
        <v>225.02224698366075</v>
      </c>
      <c r="K185" s="981">
        <f>'4D Wastewater treatment and dis'!AW214</f>
        <v>3.5467410482102202</v>
      </c>
      <c r="L185" s="982">
        <f t="shared" si="140"/>
        <v>34233.434651884221</v>
      </c>
      <c r="M185" s="983">
        <f t="shared" si="131"/>
        <v>39.321384086958545</v>
      </c>
      <c r="N185" s="982">
        <f t="shared" si="132"/>
        <v>370.74447853418059</v>
      </c>
      <c r="O185" s="984">
        <f t="shared" si="133"/>
        <v>138.32746500089033</v>
      </c>
      <c r="P185" s="982">
        <f t="shared" si="134"/>
        <v>5824.9569116020448</v>
      </c>
      <c r="Q185" s="650">
        <f t="shared" si="135"/>
        <v>34233.434651884221</v>
      </c>
      <c r="R185" s="652">
        <f t="shared" si="136"/>
        <v>410.0658626211391</v>
      </c>
      <c r="S185" s="649">
        <f t="shared" si="137"/>
        <v>138.32746500089033</v>
      </c>
      <c r="T185" s="650">
        <f t="shared" si="138"/>
        <v>5824.9569116020448</v>
      </c>
      <c r="U185" s="650">
        <f t="shared" si="139"/>
        <v>40606.784891108291</v>
      </c>
    </row>
    <row r="186" spans="1:21">
      <c r="A186">
        <f>'Input data'!A137</f>
        <v>2039</v>
      </c>
      <c r="C186" s="338">
        <f>'4A SWD Case 3'!BG107</f>
        <v>1589.1444352529834</v>
      </c>
      <c r="D186" s="3">
        <f>'4B Biological treatment '!T239</f>
        <v>2.3040059327101607</v>
      </c>
      <c r="E186" s="178">
        <f>'4B Biological treatment '!U239</f>
        <v>11.520029663550805</v>
      </c>
      <c r="F186" s="178">
        <f>'4B Biological treatment '!W239</f>
        <v>0.6912017798130482</v>
      </c>
      <c r="G186" s="1184">
        <f>'4C2 Open-burning '!R178</f>
        <v>18.963676383936029</v>
      </c>
      <c r="H186" s="1184">
        <f>'4C2 Open-burning '!Z178</f>
        <v>4.6701077725998559</v>
      </c>
      <c r="I186" s="1184">
        <f>'4C2 Open-burning '!AH178</f>
        <v>7.1949265552570085E-2</v>
      </c>
      <c r="J186" s="1220">
        <f>'4D Wastewater treatment and dis'!AV215</f>
        <v>226.66971872453522</v>
      </c>
      <c r="K186" s="981">
        <f>'4D Wastewater treatment and dis'!AW215</f>
        <v>3.5727080613720332</v>
      </c>
      <c r="L186" s="982">
        <f t="shared" si="140"/>
        <v>33372.033140312647</v>
      </c>
      <c r="M186" s="983">
        <f t="shared" si="131"/>
        <v>48.384124586913373</v>
      </c>
      <c r="N186" s="982">
        <f t="shared" si="132"/>
        <v>456.19317467661187</v>
      </c>
      <c r="O186" s="984">
        <f t="shared" si="133"/>
        <v>139.34021192982974</v>
      </c>
      <c r="P186" s="982">
        <f t="shared" si="134"/>
        <v>5867.6035922405699</v>
      </c>
      <c r="Q186" s="650">
        <f t="shared" si="135"/>
        <v>33372.033140312647</v>
      </c>
      <c r="R186" s="652">
        <f t="shared" si="136"/>
        <v>504.57729926352522</v>
      </c>
      <c r="S186" s="649">
        <f t="shared" si="137"/>
        <v>139.34021192982974</v>
      </c>
      <c r="T186" s="650">
        <f t="shared" si="138"/>
        <v>5867.6035922405699</v>
      </c>
      <c r="U186" s="650">
        <f t="shared" si="139"/>
        <v>39883.55424374657</v>
      </c>
    </row>
    <row r="187" spans="1:21">
      <c r="A187">
        <f>'Input data'!A138</f>
        <v>2040</v>
      </c>
      <c r="C187" s="338">
        <f>'4A SWD Case 3'!BG108</f>
        <v>1551.2173439657304</v>
      </c>
      <c r="D187" s="3">
        <f>'4B Biological treatment '!T240</f>
        <v>2.7469033882195735</v>
      </c>
      <c r="E187" s="178">
        <f>'4B Biological treatment '!U240</f>
        <v>13.734516941097866</v>
      </c>
      <c r="F187" s="178">
        <f>'4B Biological treatment '!W240</f>
        <v>0.824071016465872</v>
      </c>
      <c r="G187" s="1184">
        <f>'4C2 Open-burning '!R179</f>
        <v>19.10231031377894</v>
      </c>
      <c r="H187" s="1184">
        <f>'4C2 Open-burning '!Z179</f>
        <v>4.7042485889794206</v>
      </c>
      <c r="I187" s="1184">
        <f>'4C2 Open-burning '!AH179</f>
        <v>7.2475250558373755E-2</v>
      </c>
      <c r="J187" s="1220">
        <f>'4D Wastewater treatment and dis'!AV216</f>
        <v>228.32678738817191</v>
      </c>
      <c r="K187" s="981">
        <f>'4D Wastewater treatment and dis'!AW216</f>
        <v>3.5988263386881876</v>
      </c>
      <c r="L187" s="982">
        <f t="shared" si="140"/>
        <v>32575.564223280337</v>
      </c>
      <c r="M187" s="983">
        <f t="shared" si="131"/>
        <v>57.684971152611041</v>
      </c>
      <c r="N187" s="982">
        <f t="shared" si="132"/>
        <v>543.88687086747552</v>
      </c>
      <c r="O187" s="984">
        <f t="shared" si="133"/>
        <v>140.35885835544264</v>
      </c>
      <c r="P187" s="982">
        <f t="shared" si="134"/>
        <v>5910.4987001449481</v>
      </c>
      <c r="Q187" s="650">
        <f t="shared" si="135"/>
        <v>32575.564223280337</v>
      </c>
      <c r="R187" s="652">
        <f t="shared" si="136"/>
        <v>601.57184202008659</v>
      </c>
      <c r="S187" s="649">
        <f t="shared" si="137"/>
        <v>140.35885835544264</v>
      </c>
      <c r="T187" s="650">
        <f t="shared" si="138"/>
        <v>5910.4987001449481</v>
      </c>
      <c r="U187" s="650">
        <f t="shared" si="139"/>
        <v>39227.993623800816</v>
      </c>
    </row>
    <row r="188" spans="1:21">
      <c r="A188">
        <f>'Input data'!A139</f>
        <v>2041</v>
      </c>
      <c r="C188" s="338">
        <f>'4A SWD Case 3'!BG109</f>
        <v>1516.3522883994231</v>
      </c>
      <c r="D188" s="3">
        <f>'4B Biological treatment '!T241</f>
        <v>2.9921268270659667</v>
      </c>
      <c r="E188" s="178">
        <f>'4B Biological treatment '!U241</f>
        <v>14.960634135329833</v>
      </c>
      <c r="F188" s="178">
        <f>'4B Biological treatment '!W241</f>
        <v>0.89763804811978998</v>
      </c>
      <c r="G188" s="1184">
        <f>'4C2 Open-burning '!R180</f>
        <v>19.221139396501432</v>
      </c>
      <c r="H188" s="1184">
        <f>'4C2 Open-burning '!Z180</f>
        <v>4.7335121458761886</v>
      </c>
      <c r="I188" s="1184">
        <f>'4C2 Open-burning '!AH180</f>
        <v>7.2926094849062623E-2</v>
      </c>
      <c r="J188" s="1220">
        <f>'4D Wastewater treatment and dis'!AV217</f>
        <v>229.7471319570034</v>
      </c>
      <c r="K188" s="981">
        <f>'4D Wastewater treatment and dis'!AW217</f>
        <v>3.6212134335306052</v>
      </c>
      <c r="L188" s="982">
        <f t="shared" si="140"/>
        <v>31843.398056387883</v>
      </c>
      <c r="M188" s="983">
        <f t="shared" si="131"/>
        <v>62.8346633683853</v>
      </c>
      <c r="N188" s="982">
        <f t="shared" si="132"/>
        <v>592.44111175906141</v>
      </c>
      <c r="O188" s="984">
        <f t="shared" si="133"/>
        <v>141.2319838631108</v>
      </c>
      <c r="P188" s="982">
        <f t="shared" si="134"/>
        <v>5947.2659354915595</v>
      </c>
      <c r="Q188" s="650">
        <f t="shared" si="135"/>
        <v>31843.398056387883</v>
      </c>
      <c r="R188" s="652">
        <f t="shared" si="136"/>
        <v>655.27577512744676</v>
      </c>
      <c r="S188" s="649">
        <f t="shared" si="137"/>
        <v>141.2319838631108</v>
      </c>
      <c r="T188" s="650">
        <f t="shared" si="138"/>
        <v>5947.2659354915595</v>
      </c>
      <c r="U188" s="650">
        <f t="shared" si="139"/>
        <v>38587.171750870002</v>
      </c>
    </row>
    <row r="189" spans="1:21">
      <c r="A189">
        <f>'Input data'!A140</f>
        <v>2042</v>
      </c>
      <c r="C189" s="338">
        <f>'4A SWD Case 3'!BG110</f>
        <v>1484.4488779234916</v>
      </c>
      <c r="D189" s="3">
        <f>'4B Biological treatment '!T242</f>
        <v>3.2423291499576359</v>
      </c>
      <c r="E189" s="178">
        <f>'4B Biological treatment '!U242</f>
        <v>16.211645749788179</v>
      </c>
      <c r="F189" s="178">
        <f>'4B Biological treatment '!W242</f>
        <v>0.9726987449872907</v>
      </c>
      <c r="G189" s="1184">
        <f>'4C2 Open-burning '!R181</f>
        <v>19.340503745362316</v>
      </c>
      <c r="H189" s="1184">
        <f>'4C2 Open-burning '!Z181</f>
        <v>4.7629075205968174</v>
      </c>
      <c r="I189" s="1184">
        <f>'4C2 Open-burning '!AH181</f>
        <v>7.337896996988974E-2</v>
      </c>
      <c r="J189" s="1220">
        <f>'4D Wastewater treatment and dis'!AV218</f>
        <v>231.17387447434314</v>
      </c>
      <c r="K189" s="981">
        <f>'4D Wastewater treatment and dis'!AW218</f>
        <v>3.643701371142583</v>
      </c>
      <c r="L189" s="982">
        <f t="shared" si="140"/>
        <v>31173.426436393325</v>
      </c>
      <c r="M189" s="983">
        <f t="shared" si="131"/>
        <v>68.088912149110357</v>
      </c>
      <c r="N189" s="982">
        <f t="shared" si="132"/>
        <v>641.98117169161196</v>
      </c>
      <c r="O189" s="984">
        <f t="shared" si="133"/>
        <v>142.10904236856129</v>
      </c>
      <c r="P189" s="982">
        <f t="shared" si="134"/>
        <v>5984.1987890154069</v>
      </c>
      <c r="Q189" s="650">
        <f t="shared" si="135"/>
        <v>31173.426436393325</v>
      </c>
      <c r="R189" s="652">
        <f t="shared" si="136"/>
        <v>710.0700838407223</v>
      </c>
      <c r="S189" s="649">
        <f t="shared" si="137"/>
        <v>142.10904236856129</v>
      </c>
      <c r="T189" s="650">
        <f t="shared" si="138"/>
        <v>5984.1987890154069</v>
      </c>
      <c r="U189" s="650">
        <f t="shared" si="139"/>
        <v>38009.804351618011</v>
      </c>
    </row>
    <row r="190" spans="1:21">
      <c r="A190">
        <f>'Input data'!A141</f>
        <v>2043</v>
      </c>
      <c r="C190" s="338">
        <f>'4A SWD Case 3'!BG111</f>
        <v>1455.4164285010017</v>
      </c>
      <c r="D190" s="3">
        <f>'4B Biological treatment '!T243</f>
        <v>3.4972220009132284</v>
      </c>
      <c r="E190" s="178">
        <f>'4B Biological treatment '!U243</f>
        <v>17.48611000456614</v>
      </c>
      <c r="F190" s="178">
        <f>'4B Biological treatment '!W243</f>
        <v>1.0491666002739684</v>
      </c>
      <c r="G190" s="1184">
        <f>'4C2 Open-burning '!R182</f>
        <v>19.460670993430778</v>
      </c>
      <c r="H190" s="1184">
        <f>'4C2 Open-burning '!Z182</f>
        <v>4.7925006220532342</v>
      </c>
      <c r="I190" s="1184">
        <f>'4C2 Open-burning '!AH182</f>
        <v>7.3834891335924191E-2</v>
      </c>
      <c r="J190" s="1220">
        <f>'4D Wastewater treatment and dis'!AV219</f>
        <v>232.61021391444527</v>
      </c>
      <c r="K190" s="981">
        <f>'4D Wastewater treatment and dis'!AW219</f>
        <v>3.6663405729089016</v>
      </c>
      <c r="L190" s="982">
        <f t="shared" si="140"/>
        <v>30563.744998521037</v>
      </c>
      <c r="M190" s="983">
        <f t="shared" si="131"/>
        <v>73.441662019177798</v>
      </c>
      <c r="N190" s="982">
        <f t="shared" si="132"/>
        <v>692.44995618081907</v>
      </c>
      <c r="O190" s="984">
        <f t="shared" si="133"/>
        <v>142.99200037068519</v>
      </c>
      <c r="P190" s="982">
        <f t="shared" si="134"/>
        <v>6021.38006980511</v>
      </c>
      <c r="Q190" s="650">
        <f t="shared" si="135"/>
        <v>30563.744998521037</v>
      </c>
      <c r="R190" s="652">
        <f t="shared" si="136"/>
        <v>765.89161819999686</v>
      </c>
      <c r="S190" s="649">
        <f t="shared" si="137"/>
        <v>142.99200037068519</v>
      </c>
      <c r="T190" s="650">
        <f t="shared" si="138"/>
        <v>6021.38006980511</v>
      </c>
      <c r="U190" s="650">
        <f t="shared" si="139"/>
        <v>37494.008686896828</v>
      </c>
    </row>
    <row r="191" spans="1:21">
      <c r="A191">
        <f>'Input data'!A142</f>
        <v>2044</v>
      </c>
      <c r="C191" s="338">
        <f>'4A SWD Case 3'!BG112</f>
        <v>1429.1653985358212</v>
      </c>
      <c r="D191" s="3">
        <f>'4B Biological treatment '!T244</f>
        <v>3.7574651195490132</v>
      </c>
      <c r="E191" s="178">
        <f>'4B Biological treatment '!U244</f>
        <v>18.787325597745067</v>
      </c>
      <c r="F191" s="178">
        <f>'4B Biological treatment '!W244</f>
        <v>1.127239535864704</v>
      </c>
      <c r="G191" s="1184">
        <f>'4C2 Open-burning '!R183</f>
        <v>19.581373507637633</v>
      </c>
      <c r="H191" s="1184">
        <f>'4C2 Open-burning '!Z183</f>
        <v>4.82222554133351</v>
      </c>
      <c r="I191" s="1184">
        <f>'4C2 Open-burning '!AH183</f>
        <v>7.4292843532096906E-2</v>
      </c>
      <c r="J191" s="1220">
        <f>'4D Wastewater treatment and dis'!AV220</f>
        <v>234.05295130305572</v>
      </c>
      <c r="K191" s="981">
        <f>'4D Wastewater treatment and dis'!AW220</f>
        <v>3.6890806174447812</v>
      </c>
      <c r="L191" s="982">
        <f t="shared" si="140"/>
        <v>30012.473369252246</v>
      </c>
      <c r="M191" s="983">
        <f t="shared" si="131"/>
        <v>78.906767510529278</v>
      </c>
      <c r="N191" s="982">
        <f t="shared" si="132"/>
        <v>743.97809367070465</v>
      </c>
      <c r="O191" s="984">
        <f t="shared" si="133"/>
        <v>143.87889137059139</v>
      </c>
      <c r="P191" s="982">
        <f t="shared" si="134"/>
        <v>6058.7269687720527</v>
      </c>
      <c r="Q191" s="650">
        <f t="shared" si="135"/>
        <v>30012.473369252246</v>
      </c>
      <c r="R191" s="652">
        <f t="shared" si="136"/>
        <v>822.88486118123387</v>
      </c>
      <c r="S191" s="649">
        <f t="shared" si="137"/>
        <v>143.87889137059139</v>
      </c>
      <c r="T191" s="650">
        <f t="shared" si="138"/>
        <v>6058.7269687720527</v>
      </c>
      <c r="U191" s="650">
        <f t="shared" si="139"/>
        <v>37037.964090576126</v>
      </c>
    </row>
    <row r="192" spans="1:21">
      <c r="A192">
        <f>'Input data'!A143</f>
        <v>2045</v>
      </c>
      <c r="C192" s="338">
        <f>'4A SWD Case 3'!BG113</f>
        <v>1405.6179149698035</v>
      </c>
      <c r="D192" s="3">
        <f>'4B Biological treatment '!T245</f>
        <v>4.0258924599371904</v>
      </c>
      <c r="E192" s="178">
        <f>'4B Biological treatment '!U245</f>
        <v>20.129462299685947</v>
      </c>
      <c r="F192" s="178">
        <f>'4B Biological treatment '!W245</f>
        <v>1.2077677379811567</v>
      </c>
      <c r="G192" s="1184">
        <f>'4C2 Open-burning '!R184</f>
        <v>19.703146554121268</v>
      </c>
      <c r="H192" s="1184">
        <f>'4C2 Open-burning '!Z184</f>
        <v>4.8522140962615055</v>
      </c>
      <c r="I192" s="1184">
        <f>'4C2 Open-burning '!AH184</f>
        <v>7.4754857388546078E-2</v>
      </c>
      <c r="J192" s="1220">
        <f>'4D Wastewater treatment and dis'!AV221</f>
        <v>235.50848458868253</v>
      </c>
      <c r="K192" s="981">
        <f>'4D Wastewater treatment and dis'!AW221</f>
        <v>3.7120223475197802</v>
      </c>
      <c r="L192" s="982">
        <f t="shared" si="140"/>
        <v>29517.976214365874</v>
      </c>
      <c r="M192" s="983">
        <f t="shared" si="131"/>
        <v>84.543741658681</v>
      </c>
      <c r="N192" s="982">
        <f t="shared" si="132"/>
        <v>797.12670706756353</v>
      </c>
      <c r="O192" s="984">
        <f t="shared" si="133"/>
        <v>144.77364836606216</v>
      </c>
      <c r="P192" s="982">
        <f t="shared" si="134"/>
        <v>6096.4051040934646</v>
      </c>
      <c r="Q192" s="650">
        <f t="shared" si="135"/>
        <v>29517.976214365874</v>
      </c>
      <c r="R192" s="652">
        <f t="shared" si="136"/>
        <v>881.67044872624456</v>
      </c>
      <c r="S192" s="649">
        <f t="shared" si="137"/>
        <v>144.77364836606216</v>
      </c>
      <c r="T192" s="650">
        <f t="shared" si="138"/>
        <v>6096.4051040934646</v>
      </c>
      <c r="U192" s="650">
        <f t="shared" si="139"/>
        <v>36640.825415551648</v>
      </c>
    </row>
    <row r="193" spans="1:21">
      <c r="A193">
        <f>'Input data'!A144</f>
        <v>2046</v>
      </c>
      <c r="C193" s="338">
        <f>'4A SWD Case 3'!BG114</f>
        <v>1384.7303378388158</v>
      </c>
      <c r="D193" s="3">
        <f>'4B Biological treatment '!T246</f>
        <v>4.3001725878936918</v>
      </c>
      <c r="E193" s="178">
        <f>'4B Biological treatment '!U246</f>
        <v>21.500862939468458</v>
      </c>
      <c r="F193" s="178">
        <f>'4B Biological treatment '!W246</f>
        <v>1.2900517763681076</v>
      </c>
      <c r="G193" s="1184">
        <f>'4C2 Open-burning '!R185</f>
        <v>19.803508955069315</v>
      </c>
      <c r="H193" s="1184">
        <f>'4C2 Open-burning '!Z185</f>
        <v>4.8769299382351274</v>
      </c>
      <c r="I193" s="1184">
        <f>'4C2 Open-burning '!AH185</f>
        <v>7.5135638039465727E-2</v>
      </c>
      <c r="J193" s="1220">
        <f>'4D Wastewater treatment and dis'!AV222</f>
        <v>236.70809993397941</v>
      </c>
      <c r="K193" s="981">
        <f>'4D Wastewater treatment and dis'!AW222</f>
        <v>3.7309303668123635</v>
      </c>
      <c r="L193" s="982">
        <f t="shared" si="140"/>
        <v>29079.33709461513</v>
      </c>
      <c r="M193" s="983">
        <f t="shared" si="131"/>
        <v>90.303624345767531</v>
      </c>
      <c r="N193" s="982">
        <f t="shared" si="132"/>
        <v>851.43417240295094</v>
      </c>
      <c r="O193" s="984">
        <f t="shared" si="133"/>
        <v>145.51108545024138</v>
      </c>
      <c r="P193" s="982">
        <f t="shared" si="134"/>
        <v>6127.4585123254001</v>
      </c>
      <c r="Q193" s="650">
        <f t="shared" si="135"/>
        <v>29079.33709461513</v>
      </c>
      <c r="R193" s="652">
        <f t="shared" si="136"/>
        <v>941.73779674871844</v>
      </c>
      <c r="S193" s="649">
        <f t="shared" si="137"/>
        <v>145.51108545024138</v>
      </c>
      <c r="T193" s="650">
        <f t="shared" si="138"/>
        <v>6127.4585123254001</v>
      </c>
      <c r="U193" s="650">
        <f t="shared" si="139"/>
        <v>36294.044489139487</v>
      </c>
    </row>
    <row r="194" spans="1:21">
      <c r="A194">
        <f>'Input data'!A145</f>
        <v>2047</v>
      </c>
      <c r="C194" s="338">
        <f>'4A SWD Case 3'!BG115</f>
        <v>1366.4466383371318</v>
      </c>
      <c r="D194" s="3">
        <f>'4B Biological treatment '!T247</f>
        <v>4.581298949495066</v>
      </c>
      <c r="E194" s="178">
        <f>'4B Biological treatment '!U247</f>
        <v>22.906494747475328</v>
      </c>
      <c r="F194" s="178">
        <f>'4B Biological treatment '!W247</f>
        <v>1.3743896848485195</v>
      </c>
      <c r="G194" s="1184">
        <f>'4C2 Open-burning '!R186</f>
        <v>19.904674255224954</v>
      </c>
      <c r="H194" s="1184">
        <f>'4C2 Open-burning '!Z186</f>
        <v>4.9018435069445392</v>
      </c>
      <c r="I194" s="1184">
        <f>'4C2 Open-burning '!AH186</f>
        <v>7.5519464935592751E-2</v>
      </c>
      <c r="J194" s="1220">
        <f>'4D Wastewater treatment and dis'!AV223</f>
        <v>237.91731220203872</v>
      </c>
      <c r="K194" s="981">
        <f>'4D Wastewater treatment and dis'!AW223</f>
        <v>3.7499896502592862</v>
      </c>
      <c r="L194" s="982">
        <f t="shared" si="140"/>
        <v>28695.37940507977</v>
      </c>
      <c r="M194" s="983">
        <f t="shared" si="131"/>
        <v>96.207277939396391</v>
      </c>
      <c r="N194" s="982">
        <f t="shared" si="132"/>
        <v>907.09719200002291</v>
      </c>
      <c r="O194" s="984">
        <f t="shared" si="133"/>
        <v>146.25442203109404</v>
      </c>
      <c r="P194" s="982">
        <f t="shared" si="134"/>
        <v>6158.7603478231922</v>
      </c>
      <c r="Q194" s="650">
        <f t="shared" si="135"/>
        <v>28695.37940507977</v>
      </c>
      <c r="R194" s="652">
        <f t="shared" si="136"/>
        <v>1003.3044699394193</v>
      </c>
      <c r="S194" s="649">
        <f t="shared" si="137"/>
        <v>146.25442203109404</v>
      </c>
      <c r="T194" s="650">
        <f t="shared" si="138"/>
        <v>6158.7603478231922</v>
      </c>
      <c r="U194" s="650">
        <f t="shared" si="139"/>
        <v>36003.698644873475</v>
      </c>
    </row>
    <row r="195" spans="1:21">
      <c r="A195">
        <f>'Input data'!A146</f>
        <v>2048</v>
      </c>
      <c r="C195" s="338">
        <f>'4A SWD Case 3'!BG116</f>
        <v>1350.7154516431474</v>
      </c>
      <c r="D195" s="3">
        <f>'4B Biological treatment '!T248</f>
        <v>4.8642133275846122</v>
      </c>
      <c r="E195" s="178">
        <f>'4B Biological treatment '!U248</f>
        <v>24.32106663792306</v>
      </c>
      <c r="F195" s="178">
        <f>'4B Biological treatment '!W248</f>
        <v>1.4592639982753837</v>
      </c>
      <c r="G195" s="1184">
        <f>'4C2 Open-burning '!R187</f>
        <v>20.006374821518978</v>
      </c>
      <c r="H195" s="1184">
        <f>'4C2 Open-burning '!Z187</f>
        <v>4.926888893477809</v>
      </c>
      <c r="I195" s="1184">
        <f>'4C2 Open-burning '!AH187</f>
        <v>7.5905322661857982E-2</v>
      </c>
      <c r="J195" s="1220">
        <f>'4D Wastewater treatment and dis'!AV224</f>
        <v>239.13292241860617</v>
      </c>
      <c r="K195" s="981">
        <f>'4D Wastewater treatment and dis'!AW224</f>
        <v>3.76914977647577</v>
      </c>
      <c r="L195" s="982">
        <f t="shared" si="140"/>
        <v>28365.024484506095</v>
      </c>
      <c r="M195" s="983">
        <f t="shared" si="131"/>
        <v>102.14847987927686</v>
      </c>
      <c r="N195" s="982">
        <f t="shared" si="132"/>
        <v>963.11423886175317</v>
      </c>
      <c r="O195" s="984">
        <f t="shared" si="133"/>
        <v>147.00169160972894</v>
      </c>
      <c r="P195" s="982">
        <f t="shared" si="134"/>
        <v>6190.2278014982176</v>
      </c>
      <c r="Q195" s="650">
        <f t="shared" si="135"/>
        <v>28365.024484506095</v>
      </c>
      <c r="R195" s="652">
        <f t="shared" si="136"/>
        <v>1065.2627187410301</v>
      </c>
      <c r="S195" s="649">
        <f t="shared" si="137"/>
        <v>147.00169160972894</v>
      </c>
      <c r="T195" s="650">
        <f t="shared" si="138"/>
        <v>6190.2278014982176</v>
      </c>
      <c r="U195" s="650">
        <f t="shared" si="139"/>
        <v>35767.516696355073</v>
      </c>
    </row>
    <row r="196" spans="1:21">
      <c r="A196">
        <f>'Input data'!A147</f>
        <v>2049</v>
      </c>
      <c r="C196" s="338">
        <f>'4A SWD Case 3'!BG117</f>
        <v>1337.4314292733807</v>
      </c>
      <c r="D196" s="3">
        <f>'4B Biological treatment '!T249</f>
        <v>5.1547672534095055</v>
      </c>
      <c r="E196" s="178">
        <f>'4B Biological treatment '!U249</f>
        <v>25.773836267047525</v>
      </c>
      <c r="F196" s="178">
        <f>'4B Biological treatment '!W249</f>
        <v>1.5464301760228516</v>
      </c>
      <c r="G196" s="1184">
        <f>'4C2 Open-burning '!R188</f>
        <v>20.108343020882199</v>
      </c>
      <c r="H196" s="1184">
        <f>'4C2 Open-burning '!Z188</f>
        <v>4.9520001889230096</v>
      </c>
      <c r="I196" s="1184">
        <f>'4C2 Open-burning '!AH188</f>
        <v>7.6292195803192353E-2</v>
      </c>
      <c r="J196" s="1220">
        <f>'4D Wastewater treatment and dis'!AV225</f>
        <v>240.35173160942776</v>
      </c>
      <c r="K196" s="981">
        <f>'4D Wastewater treatment and dis'!AW225</f>
        <v>3.7883603240770336</v>
      </c>
      <c r="L196" s="982">
        <f t="shared" si="140"/>
        <v>28086.060014740993</v>
      </c>
      <c r="M196" s="983">
        <f t="shared" si="131"/>
        <v>108.25011232159962</v>
      </c>
      <c r="N196" s="982">
        <f t="shared" si="132"/>
        <v>1020.643916175082</v>
      </c>
      <c r="O196" s="984">
        <f t="shared" si="133"/>
        <v>147.75092768725503</v>
      </c>
      <c r="P196" s="982">
        <f t="shared" si="134"/>
        <v>6221.7780642618636</v>
      </c>
      <c r="Q196" s="650">
        <f t="shared" si="135"/>
        <v>28086.060014740993</v>
      </c>
      <c r="R196" s="652">
        <f t="shared" si="136"/>
        <v>1128.8940284966816</v>
      </c>
      <c r="S196" s="649">
        <f t="shared" si="137"/>
        <v>147.75092768725503</v>
      </c>
      <c r="T196" s="650">
        <f t="shared" si="138"/>
        <v>6221.7780642618636</v>
      </c>
      <c r="U196" s="650">
        <f t="shared" si="139"/>
        <v>35584.483035186793</v>
      </c>
    </row>
    <row r="197" spans="1:21">
      <c r="A197">
        <f>'Input data'!A148</f>
        <v>2050</v>
      </c>
      <c r="C197" s="338">
        <f>'4A SWD Case 3'!BG118</f>
        <v>1326.5579726003887</v>
      </c>
      <c r="D197" s="3">
        <f>'4B Biological treatment '!T250</f>
        <v>5.4534331489411167</v>
      </c>
      <c r="E197" s="178">
        <f>'4B Biological treatment '!U250</f>
        <v>27.267165744705579</v>
      </c>
      <c r="F197" s="178">
        <f>'4B Biological treatment '!W250</f>
        <v>1.636029944682335</v>
      </c>
      <c r="G197" s="1184">
        <f>'4C2 Open-burning '!R189</f>
        <v>20.211114119453001</v>
      </c>
      <c r="H197" s="1184">
        <f>'4C2 Open-burning '!Z189</f>
        <v>4.9773092111039983</v>
      </c>
      <c r="I197" s="1184">
        <f>'4C2 Open-burning '!AH189</f>
        <v>7.6682115189734085E-2</v>
      </c>
      <c r="J197" s="1220">
        <f>'4D Wastewater treatment and dis'!AV226</f>
        <v>241.58013772301177</v>
      </c>
      <c r="K197" s="981">
        <f>'4D Wastewater treatment and dis'!AW226</f>
        <v>3.8077221358326381</v>
      </c>
      <c r="L197" s="982">
        <f t="shared" si="140"/>
        <v>27857.717424608163</v>
      </c>
      <c r="M197" s="983">
        <f t="shared" si="131"/>
        <v>114.52209612776345</v>
      </c>
      <c r="N197" s="982">
        <f t="shared" si="132"/>
        <v>1079.7797634903411</v>
      </c>
      <c r="O197" s="984">
        <f t="shared" si="133"/>
        <v>148.50606326145453</v>
      </c>
      <c r="P197" s="982">
        <f t="shared" si="134"/>
        <v>6253.5767542913654</v>
      </c>
      <c r="Q197" s="583">
        <f t="shared" si="135"/>
        <v>27857.717424608163</v>
      </c>
      <c r="R197" s="648">
        <f t="shared" si="136"/>
        <v>1194.3018596181046</v>
      </c>
      <c r="S197" s="645">
        <f t="shared" si="137"/>
        <v>148.50606326145453</v>
      </c>
      <c r="T197" s="583">
        <f t="shared" si="138"/>
        <v>6253.5767542913654</v>
      </c>
      <c r="U197" s="583">
        <f t="shared" si="139"/>
        <v>35454.102101779092</v>
      </c>
    </row>
    <row r="198" spans="1:21">
      <c r="A198" s="501" t="s">
        <v>769</v>
      </c>
      <c r="D198" s="3">
        <f>'4B Biological treatment '!T251</f>
        <v>0</v>
      </c>
      <c r="E198" s="178">
        <f>'4B Biological treatment '!U251</f>
        <v>0</v>
      </c>
      <c r="F198" s="178">
        <f>'4B Biological treatment '!W251</f>
        <v>0</v>
      </c>
      <c r="G198" s="1184"/>
      <c r="H198" s="1184"/>
      <c r="I198" s="1184"/>
      <c r="J198" s="1220"/>
      <c r="K198" s="981"/>
      <c r="L198" s="982"/>
      <c r="M198" s="983"/>
      <c r="N198" s="982"/>
      <c r="O198" s="984"/>
      <c r="P198" s="982"/>
      <c r="Q198" s="583">
        <f t="shared" ref="Q198:Q231" si="141">L198</f>
        <v>0</v>
      </c>
      <c r="R198" s="648">
        <f t="shared" ref="R198:R231" si="142">M198+N198</f>
        <v>0</v>
      </c>
      <c r="S198" s="645">
        <f t="shared" ref="S198:S231" si="143">O198</f>
        <v>0</v>
      </c>
      <c r="T198" s="583">
        <f t="shared" ref="T198:T231" si="144">P198</f>
        <v>0</v>
      </c>
      <c r="U198" s="583">
        <f t="shared" ref="U198:U231" si="145">SUM(Q198:T198)</f>
        <v>0</v>
      </c>
    </row>
    <row r="199" spans="1:21">
      <c r="A199">
        <f>'Input data'!A116</f>
        <v>2018</v>
      </c>
      <c r="C199" s="338">
        <f>'4A SWD Case 3'!BN86</f>
        <v>2252.9713671294257</v>
      </c>
      <c r="D199" s="3">
        <f>'4B Biological treatment '!T252</f>
        <v>1.1085411714780036</v>
      </c>
      <c r="E199" s="178">
        <f>'4B Biological treatment '!U252</f>
        <v>34.048050266824397</v>
      </c>
      <c r="F199" s="178">
        <f>'4B Biological treatment '!W252</f>
        <v>2.0428830160094638</v>
      </c>
      <c r="G199" s="1184">
        <f>'4C2 Open-burning '!R157</f>
        <v>45.721904224931905</v>
      </c>
      <c r="H199" s="1184">
        <f>'4C2 Open-burning '!Z157</f>
        <v>11.259748161479752</v>
      </c>
      <c r="I199" s="1184">
        <f>'4C2 Open-burning '!AH157</f>
        <v>0.17347150215215879</v>
      </c>
      <c r="J199" s="1220">
        <f>'4D Wastewater treatment and dis'!AV194</f>
        <v>137.16052018288545</v>
      </c>
      <c r="K199" s="981">
        <f>'4D Wastewater treatment and dis'!AW194</f>
        <v>2.8960026562367029</v>
      </c>
      <c r="L199" s="982">
        <f>C199*$B$3</f>
        <v>47312.398709717942</v>
      </c>
      <c r="M199" s="983">
        <f t="shared" ref="M199:M231" si="146">D199*$B$3</f>
        <v>23.279364601038075</v>
      </c>
      <c r="N199" s="982">
        <f t="shared" ref="N199:N231" si="147">E199*$B$3+F199*$C$3</f>
        <v>1348.3027905662461</v>
      </c>
      <c r="O199" s="984">
        <f t="shared" ref="O199:O231" si="148">G199+H199*$B$3+I199*$C$3</f>
        <v>335.95278128317591</v>
      </c>
      <c r="P199" s="982">
        <f t="shared" ref="P199:P231" si="149">J199*$B$3+K199*$C$3</f>
        <v>3778.1317472739725</v>
      </c>
      <c r="Q199" s="583">
        <f t="shared" si="141"/>
        <v>47312.398709717942</v>
      </c>
      <c r="R199" s="648">
        <f t="shared" si="142"/>
        <v>1371.5821551672841</v>
      </c>
      <c r="S199" s="645">
        <f t="shared" si="143"/>
        <v>335.95278128317591</v>
      </c>
      <c r="T199" s="583">
        <f t="shared" si="144"/>
        <v>3778.1317472739725</v>
      </c>
      <c r="U199" s="583">
        <f t="shared" si="145"/>
        <v>52798.065393442375</v>
      </c>
    </row>
    <row r="200" spans="1:21">
      <c r="A200">
        <f>'Input data'!A117</f>
        <v>2019</v>
      </c>
      <c r="C200" s="338">
        <f>'4A SWD Case 3'!BN87</f>
        <v>2265.3360135042208</v>
      </c>
      <c r="D200" s="3">
        <f>'4B Biological treatment '!T253</f>
        <v>1.8903838134210553</v>
      </c>
      <c r="E200" s="178">
        <f>'4B Biological treatment '!U253</f>
        <v>31.643381224656792</v>
      </c>
      <c r="F200" s="178">
        <f>'4B Biological treatment '!W253</f>
        <v>1.8986028734794074</v>
      </c>
      <c r="G200" s="1184">
        <f>'4C2 Open-burning '!R158</f>
        <v>45.711440266224258</v>
      </c>
      <c r="H200" s="1184">
        <f>'4C2 Open-burning '!Z158</f>
        <v>11.257171244752037</v>
      </c>
      <c r="I200" s="1184">
        <f>'4C2 Open-burning '!AH158</f>
        <v>0.1734318012983504</v>
      </c>
      <c r="J200" s="1220">
        <f>'4D Wastewater treatment and dis'!AV195</f>
        <v>143.32311856444659</v>
      </c>
      <c r="K200" s="981">
        <f>'4D Wastewater treatment and dis'!AW195</f>
        <v>2.9428441226975277</v>
      </c>
      <c r="L200" s="982">
        <f t="shared" ref="L200:L231" si="150">C200*$B$3</f>
        <v>47572.056283588638</v>
      </c>
      <c r="M200" s="983">
        <f t="shared" si="146"/>
        <v>39.698060081842165</v>
      </c>
      <c r="N200" s="982">
        <f t="shared" si="147"/>
        <v>1253.0778964964088</v>
      </c>
      <c r="O200" s="984">
        <f t="shared" si="148"/>
        <v>335.87589480850568</v>
      </c>
      <c r="P200" s="982">
        <f t="shared" si="149"/>
        <v>3922.0671678896119</v>
      </c>
      <c r="Q200" s="650">
        <f t="shared" si="141"/>
        <v>47572.056283588638</v>
      </c>
      <c r="R200" s="652">
        <f t="shared" si="142"/>
        <v>1292.775956578251</v>
      </c>
      <c r="S200" s="649">
        <f t="shared" si="143"/>
        <v>335.87589480850568</v>
      </c>
      <c r="T200" s="650">
        <f t="shared" si="144"/>
        <v>3922.0671678896119</v>
      </c>
      <c r="U200" s="650">
        <f t="shared" si="145"/>
        <v>53122.775302865011</v>
      </c>
    </row>
    <row r="201" spans="1:21">
      <c r="A201">
        <f>'Input data'!A118</f>
        <v>2020</v>
      </c>
      <c r="C201" s="338">
        <f>'4A SWD Case 3'!BN88</f>
        <v>2271.6266841673951</v>
      </c>
      <c r="D201" s="3">
        <f>'4B Biological treatment '!T254</f>
        <v>2.451152421340514</v>
      </c>
      <c r="E201" s="178">
        <f>'4B Biological treatment '!U254</f>
        <v>26.043494476742957</v>
      </c>
      <c r="F201" s="178">
        <f>'4B Biological treatment '!W254</f>
        <v>1.5626096686045776</v>
      </c>
      <c r="G201" s="1184">
        <f>'4C2 Open-burning '!R159</f>
        <v>45.38335713019427</v>
      </c>
      <c r="H201" s="1184">
        <f>'4C2 Open-burning '!Z159</f>
        <v>11.17637553970982</v>
      </c>
      <c r="I201" s="1184">
        <f>'4C2 Open-burning '!AH159</f>
        <v>0.17218703524140921</v>
      </c>
      <c r="J201" s="1220">
        <f>'4D Wastewater treatment and dis'!AV196</f>
        <v>149.6491219215433</v>
      </c>
      <c r="K201" s="981">
        <f>'4D Wastewater treatment and dis'!AW196</f>
        <v>2.9904419099300554</v>
      </c>
      <c r="L201" s="982">
        <f t="shared" si="150"/>
        <v>47704.160367515295</v>
      </c>
      <c r="M201" s="983">
        <f t="shared" si="146"/>
        <v>51.474200848150794</v>
      </c>
      <c r="N201" s="982">
        <f t="shared" si="147"/>
        <v>1031.3223812790211</v>
      </c>
      <c r="O201" s="984">
        <f t="shared" si="148"/>
        <v>333.46522438893732</v>
      </c>
      <c r="P201" s="982">
        <f t="shared" si="149"/>
        <v>4069.6685524307268</v>
      </c>
      <c r="Q201" s="650">
        <f t="shared" si="141"/>
        <v>47704.160367515295</v>
      </c>
      <c r="R201" s="652">
        <f t="shared" si="142"/>
        <v>1082.7965821271719</v>
      </c>
      <c r="S201" s="649">
        <f t="shared" si="143"/>
        <v>333.46522438893732</v>
      </c>
      <c r="T201" s="650">
        <f t="shared" si="144"/>
        <v>4069.6685524307268</v>
      </c>
      <c r="U201" s="650">
        <f t="shared" si="145"/>
        <v>53190.090726462127</v>
      </c>
    </row>
    <row r="202" spans="1:21">
      <c r="A202">
        <f>'Input data'!A119</f>
        <v>2021</v>
      </c>
      <c r="C202" s="338">
        <f>'4A SWD Case 3'!BN89</f>
        <v>2259.5051098651916</v>
      </c>
      <c r="D202" s="3">
        <f>'4B Biological treatment '!T255</f>
        <v>2.7273973659235851</v>
      </c>
      <c r="E202" s="178">
        <f>'4B Biological treatment '!U255</f>
        <v>19.623956657255057</v>
      </c>
      <c r="F202" s="178">
        <f>'4B Biological treatment '!W255</f>
        <v>1.1774373994353033</v>
      </c>
      <c r="G202" s="1184">
        <f>'4C2 Open-burning '!R160</f>
        <v>42.66309513365379</v>
      </c>
      <c r="H202" s="1184">
        <f>'4C2 Open-burning '!Z160</f>
        <v>10.506467635970591</v>
      </c>
      <c r="I202" s="1184">
        <f>'4C2 Open-burning '!AH160</f>
        <v>0.16186620668479823</v>
      </c>
      <c r="J202" s="1220">
        <f>'4D Wastewater treatment and dis'!AV197</f>
        <v>155.4265138839244</v>
      </c>
      <c r="K202" s="981">
        <f>'4D Wastewater treatment and dis'!AW197</f>
        <v>3.024879715734945</v>
      </c>
      <c r="L202" s="982">
        <f t="shared" si="150"/>
        <v>47449.607307169026</v>
      </c>
      <c r="M202" s="983">
        <f t="shared" si="146"/>
        <v>57.275344684395286</v>
      </c>
      <c r="N202" s="982">
        <f t="shared" si="147"/>
        <v>777.10868362730025</v>
      </c>
      <c r="O202" s="984">
        <f t="shared" si="148"/>
        <v>313.47743956132365</v>
      </c>
      <c r="P202" s="982">
        <f t="shared" si="149"/>
        <v>4201.6695034402455</v>
      </c>
      <c r="Q202" s="650">
        <f t="shared" si="141"/>
        <v>47449.607307169026</v>
      </c>
      <c r="R202" s="652">
        <f t="shared" si="142"/>
        <v>834.38402831169549</v>
      </c>
      <c r="S202" s="649">
        <f t="shared" si="143"/>
        <v>313.47743956132365</v>
      </c>
      <c r="T202" s="650">
        <f t="shared" si="144"/>
        <v>4201.6695034402455</v>
      </c>
      <c r="U202" s="650">
        <f t="shared" si="145"/>
        <v>52799.138278482285</v>
      </c>
    </row>
    <row r="203" spans="1:21">
      <c r="A203">
        <f>'Input data'!A120</f>
        <v>2022</v>
      </c>
      <c r="C203" s="338">
        <f>'4A SWD Case 3'!BN90</f>
        <v>2230.3474167234167</v>
      </c>
      <c r="D203" s="3">
        <f>'4B Biological treatment '!T256</f>
        <v>2.5651546231662001</v>
      </c>
      <c r="E203" s="178">
        <f>'4B Biological treatment '!U256</f>
        <v>12.825773115831</v>
      </c>
      <c r="F203" s="178">
        <f>'4B Biological treatment '!W256</f>
        <v>0.76954638694986</v>
      </c>
      <c r="G203" s="1184">
        <f>'4C2 Open-burning '!R161</f>
        <v>36.284510978703963</v>
      </c>
      <c r="H203" s="1184">
        <f>'4C2 Open-burning '!Z161</f>
        <v>8.9356395519474301</v>
      </c>
      <c r="I203" s="1184">
        <f>'4C2 Open-burning '!AH161</f>
        <v>0.13766549602498859</v>
      </c>
      <c r="J203" s="1220">
        <f>'4D Wastewater treatment and dis'!AV198</f>
        <v>161.31482365077883</v>
      </c>
      <c r="K203" s="981">
        <f>'4D Wastewater treatment and dis'!AW198</f>
        <v>3.0596704712332969</v>
      </c>
      <c r="L203" s="982">
        <f t="shared" si="150"/>
        <v>46837.295751191748</v>
      </c>
      <c r="M203" s="983">
        <f t="shared" si="146"/>
        <v>53.8682470864902</v>
      </c>
      <c r="N203" s="982">
        <f t="shared" si="147"/>
        <v>507.90061538690759</v>
      </c>
      <c r="O203" s="984">
        <f t="shared" si="148"/>
        <v>266.60924533734647</v>
      </c>
      <c r="P203" s="982">
        <f t="shared" si="149"/>
        <v>4336.1091427486772</v>
      </c>
      <c r="Q203" s="650">
        <f t="shared" si="141"/>
        <v>46837.295751191748</v>
      </c>
      <c r="R203" s="652">
        <f t="shared" si="142"/>
        <v>561.7688624733978</v>
      </c>
      <c r="S203" s="649">
        <f t="shared" si="143"/>
        <v>266.60924533734647</v>
      </c>
      <c r="T203" s="650">
        <f t="shared" si="144"/>
        <v>4336.1091427486772</v>
      </c>
      <c r="U203" s="650">
        <f t="shared" si="145"/>
        <v>52001.783001751173</v>
      </c>
    </row>
    <row r="204" spans="1:21">
      <c r="A204">
        <f>'Input data'!A121</f>
        <v>2023</v>
      </c>
      <c r="C204" s="338">
        <f>'4A SWD Case 3'!BN91</f>
        <v>2196.7590759183563</v>
      </c>
      <c r="D204" s="3">
        <f>'4B Biological treatment '!T257</f>
        <v>2.5035878057367835</v>
      </c>
      <c r="E204" s="178">
        <f>'4B Biological treatment '!U257</f>
        <v>12.517939028683919</v>
      </c>
      <c r="F204" s="178">
        <f>'4B Biological treatment '!W257</f>
        <v>0.7510763417210351</v>
      </c>
      <c r="G204" s="1184">
        <f>'4C2 Open-burning '!R162</f>
        <v>34.965015150565968</v>
      </c>
      <c r="H204" s="1184">
        <f>'4C2 Open-burning '!Z162</f>
        <v>8.6106926588375963</v>
      </c>
      <c r="I204" s="1184">
        <f>'4C2 Open-burning '!AH162</f>
        <v>0.13265925389070343</v>
      </c>
      <c r="J204" s="1220">
        <f>'4D Wastewater treatment and dis'!AV199</f>
        <v>167.32092220488411</v>
      </c>
      <c r="K204" s="981">
        <f>'4D Wastewater treatment and dis'!AW199</f>
        <v>3.0949150191946715</v>
      </c>
      <c r="L204" s="982">
        <f t="shared" si="150"/>
        <v>46131.940594285479</v>
      </c>
      <c r="M204" s="983">
        <f t="shared" si="146"/>
        <v>52.575343920472456</v>
      </c>
      <c r="N204" s="982">
        <f t="shared" si="147"/>
        <v>495.71038553588318</v>
      </c>
      <c r="O204" s="984">
        <f t="shared" si="148"/>
        <v>256.91392969227354</v>
      </c>
      <c r="P204" s="982">
        <f t="shared" si="149"/>
        <v>4473.1630222529147</v>
      </c>
      <c r="Q204" s="650">
        <f t="shared" si="141"/>
        <v>46131.940594285479</v>
      </c>
      <c r="R204" s="652">
        <f t="shared" si="142"/>
        <v>548.28572945635563</v>
      </c>
      <c r="S204" s="649">
        <f t="shared" si="143"/>
        <v>256.91392969227354</v>
      </c>
      <c r="T204" s="650">
        <f t="shared" si="144"/>
        <v>4473.1630222529147</v>
      </c>
      <c r="U204" s="650">
        <f t="shared" si="145"/>
        <v>51410.303275687023</v>
      </c>
    </row>
    <row r="205" spans="1:21">
      <c r="A205">
        <f>'Input data'!A122</f>
        <v>2024</v>
      </c>
      <c r="C205" s="338">
        <f>'4A SWD Case 3'!BN92</f>
        <v>2162.7399524222651</v>
      </c>
      <c r="D205" s="3">
        <f>'4B Biological treatment '!T258</f>
        <v>2.4370068511193392</v>
      </c>
      <c r="E205" s="178">
        <f>'4B Biological treatment '!U258</f>
        <v>12.185034255596698</v>
      </c>
      <c r="F205" s="178">
        <f>'4B Biological treatment '!W258</f>
        <v>0.73110205533580164</v>
      </c>
      <c r="G205" s="1184">
        <f>'4C2 Open-burning '!R163</f>
        <v>33.562288423297552</v>
      </c>
      <c r="H205" s="1184">
        <f>'4C2 Open-burning '!Z163</f>
        <v>8.2652488293173381</v>
      </c>
      <c r="I205" s="1184">
        <f>'4C2 Open-burning '!AH163</f>
        <v>0.12733722899665836</v>
      </c>
      <c r="J205" s="1220">
        <f>'4D Wastewater treatment and dis'!AV200</f>
        <v>173.44384059068466</v>
      </c>
      <c r="K205" s="981">
        <f>'4D Wastewater treatment and dis'!AW200</f>
        <v>3.1305629382342866</v>
      </c>
      <c r="L205" s="982">
        <f t="shared" si="150"/>
        <v>45417.539000867568</v>
      </c>
      <c r="M205" s="983">
        <f t="shared" si="146"/>
        <v>51.177143873506125</v>
      </c>
      <c r="N205" s="982">
        <f t="shared" si="147"/>
        <v>482.52735652162914</v>
      </c>
      <c r="O205" s="984">
        <f t="shared" si="148"/>
        <v>246.60705482792577</v>
      </c>
      <c r="P205" s="982">
        <f t="shared" si="149"/>
        <v>4612.7951632570066</v>
      </c>
      <c r="Q205" s="650">
        <f t="shared" si="141"/>
        <v>45417.539000867568</v>
      </c>
      <c r="R205" s="652">
        <f t="shared" si="142"/>
        <v>533.70450039513526</v>
      </c>
      <c r="S205" s="649">
        <f t="shared" si="143"/>
        <v>246.60705482792577</v>
      </c>
      <c r="T205" s="650">
        <f t="shared" si="144"/>
        <v>4612.7951632570066</v>
      </c>
      <c r="U205" s="650">
        <f t="shared" si="145"/>
        <v>50810.645719347631</v>
      </c>
    </row>
    <row r="206" spans="1:21">
      <c r="A206">
        <f>'Input data'!A123</f>
        <v>2025</v>
      </c>
      <c r="C206" s="338">
        <f>'4A SWD Case 3'!BN93</f>
        <v>2128.3069975027252</v>
      </c>
      <c r="D206" s="3">
        <f>'4B Biological treatment '!T259</f>
        <v>2.3660500217489506</v>
      </c>
      <c r="E206" s="178">
        <f>'4B Biological treatment '!U259</f>
        <v>11.830250108744753</v>
      </c>
      <c r="F206" s="178">
        <f>'4B Biological treatment '!W259</f>
        <v>0.70981500652468532</v>
      </c>
      <c r="G206" s="1184">
        <f>'4C2 Open-burning '!R164</f>
        <v>32.071977754738406</v>
      </c>
      <c r="H206" s="1184">
        <f>'4C2 Open-burning '!Z164</f>
        <v>7.8982360573253896</v>
      </c>
      <c r="I206" s="1184">
        <f>'4C2 Open-burning '!AH164</f>
        <v>0.12168290565359488</v>
      </c>
      <c r="J206" s="1220">
        <f>'4D Wastewater treatment and dis'!AV201</f>
        <v>179.68520063996107</v>
      </c>
      <c r="K206" s="981">
        <f>'4D Wastewater treatment and dis'!AW201</f>
        <v>3.166614228352143</v>
      </c>
      <c r="L206" s="982">
        <f t="shared" si="150"/>
        <v>44694.446947557226</v>
      </c>
      <c r="M206" s="983">
        <f t="shared" si="146"/>
        <v>49.68705045672796</v>
      </c>
      <c r="N206" s="982">
        <f t="shared" si="147"/>
        <v>468.47790430629226</v>
      </c>
      <c r="O206" s="984">
        <f t="shared" si="148"/>
        <v>235.65663571118603</v>
      </c>
      <c r="P206" s="982">
        <f t="shared" si="149"/>
        <v>4755.0396242283468</v>
      </c>
      <c r="Q206" s="650">
        <f t="shared" si="141"/>
        <v>44694.446947557226</v>
      </c>
      <c r="R206" s="652">
        <f t="shared" si="142"/>
        <v>518.16495476302021</v>
      </c>
      <c r="S206" s="649">
        <f t="shared" si="143"/>
        <v>235.65663571118603</v>
      </c>
      <c r="T206" s="650">
        <f t="shared" si="144"/>
        <v>4755.0396242283468</v>
      </c>
      <c r="U206" s="650">
        <f t="shared" si="145"/>
        <v>50203.308162259782</v>
      </c>
    </row>
    <row r="207" spans="1:21">
      <c r="A207">
        <f>'Input data'!A124</f>
        <v>2026</v>
      </c>
      <c r="C207" s="338">
        <f>'4A SWD Case 3'!BN94</f>
        <v>2093.4858787943876</v>
      </c>
      <c r="D207" s="3">
        <f>'4B Biological treatment '!T260</f>
        <v>2.2893666167624387</v>
      </c>
      <c r="E207" s="178">
        <f>'4B Biological treatment '!U260</f>
        <v>11.446833083812191</v>
      </c>
      <c r="F207" s="178">
        <f>'4B Biological treatment '!W260</f>
        <v>0.68680998502873147</v>
      </c>
      <c r="G207" s="1184">
        <f>'4C2 Open-burning '!R165</f>
        <v>30.439090649711311</v>
      </c>
      <c r="H207" s="1184">
        <f>'4C2 Open-burning '!Z165</f>
        <v>7.4961115638160605</v>
      </c>
      <c r="I207" s="1184">
        <f>'4C2 Open-burning '!AH165</f>
        <v>0.11548763921061328</v>
      </c>
      <c r="J207" s="1220">
        <f>'4D Wastewater treatment and dis'!AV202</f>
        <v>185.73911394397246</v>
      </c>
      <c r="K207" s="981">
        <f>'4D Wastewater treatment and dis'!AW202</f>
        <v>3.1977746441463193</v>
      </c>
      <c r="L207" s="982">
        <f t="shared" si="150"/>
        <v>43963.203454682138</v>
      </c>
      <c r="M207" s="983">
        <f t="shared" si="146"/>
        <v>48.076698952011213</v>
      </c>
      <c r="N207" s="982">
        <f t="shared" si="147"/>
        <v>453.29459011896279</v>
      </c>
      <c r="O207" s="984">
        <f t="shared" si="148"/>
        <v>223.65860164513867</v>
      </c>
      <c r="P207" s="982">
        <f t="shared" si="149"/>
        <v>4891.8315325087806</v>
      </c>
      <c r="Q207" s="650">
        <f t="shared" si="141"/>
        <v>43963.203454682138</v>
      </c>
      <c r="R207" s="652">
        <f t="shared" si="142"/>
        <v>501.371289070974</v>
      </c>
      <c r="S207" s="649">
        <f t="shared" si="143"/>
        <v>223.65860164513867</v>
      </c>
      <c r="T207" s="650">
        <f t="shared" si="144"/>
        <v>4891.8315325087806</v>
      </c>
      <c r="U207" s="650">
        <f t="shared" si="145"/>
        <v>49580.064877907032</v>
      </c>
    </row>
    <row r="208" spans="1:21">
      <c r="A208">
        <f>'Input data'!A125</f>
        <v>2027</v>
      </c>
      <c r="C208" s="338">
        <f>'4A SWD Case 3'!BN95</f>
        <v>2058.3182879853161</v>
      </c>
      <c r="D208" s="3">
        <f>'4B Biological treatment '!T261</f>
        <v>2.2075203147015099</v>
      </c>
      <c r="E208" s="178">
        <f>'4B Biological treatment '!U261</f>
        <v>11.037601573507549</v>
      </c>
      <c r="F208" s="178">
        <f>'4B Biological treatment '!W261</f>
        <v>0.66225609441045297</v>
      </c>
      <c r="G208" s="1184">
        <f>'4C2 Open-burning '!R166</f>
        <v>28.71535009346599</v>
      </c>
      <c r="H208" s="1184">
        <f>'4C2 Open-burning '!Z166</f>
        <v>7.0716129588680232</v>
      </c>
      <c r="I208" s="1184">
        <f>'4C2 Open-burning '!AH166</f>
        <v>0.10894766961220317</v>
      </c>
      <c r="J208" s="1220">
        <f>'4D Wastewater treatment and dis'!AV203</f>
        <v>191.89752530165873</v>
      </c>
      <c r="K208" s="981">
        <f>'4D Wastewater treatment and dis'!AW203</f>
        <v>3.2292880096339567</v>
      </c>
      <c r="L208" s="982">
        <f t="shared" si="150"/>
        <v>43224.68404769164</v>
      </c>
      <c r="M208" s="983">
        <f t="shared" si="146"/>
        <v>46.357926608731709</v>
      </c>
      <c r="N208" s="982">
        <f t="shared" si="147"/>
        <v>437.08902231089894</v>
      </c>
      <c r="O208" s="984">
        <f t="shared" si="148"/>
        <v>210.99299980947745</v>
      </c>
      <c r="P208" s="982">
        <f t="shared" si="149"/>
        <v>5030.9273143213595</v>
      </c>
      <c r="Q208" s="650">
        <f t="shared" si="141"/>
        <v>43224.68404769164</v>
      </c>
      <c r="R208" s="652">
        <f t="shared" si="142"/>
        <v>483.44694891963064</v>
      </c>
      <c r="S208" s="649">
        <f t="shared" si="143"/>
        <v>210.99299980947745</v>
      </c>
      <c r="T208" s="650">
        <f t="shared" si="144"/>
        <v>5030.9273143213595</v>
      </c>
      <c r="U208" s="650">
        <f t="shared" si="145"/>
        <v>48950.051310742099</v>
      </c>
    </row>
    <row r="209" spans="1:21">
      <c r="A209">
        <f>'Input data'!A126</f>
        <v>2028</v>
      </c>
      <c r="C209" s="338">
        <f>'4A SWD Case 3'!BN96</f>
        <v>2022.8200056534306</v>
      </c>
      <c r="D209" s="3">
        <f>'4B Biological treatment '!T262</f>
        <v>2.1209870230318915</v>
      </c>
      <c r="E209" s="178">
        <f>'4B Biological treatment '!U262</f>
        <v>10.604935115159456</v>
      </c>
      <c r="F209" s="178">
        <f>'4B Biological treatment '!W262</f>
        <v>0.63629610690956739</v>
      </c>
      <c r="G209" s="1184">
        <f>'4C2 Open-burning '!R167</f>
        <v>26.895169466913035</v>
      </c>
      <c r="H209" s="1184">
        <f>'4C2 Open-burning '!Z167</f>
        <v>6.6233644484261749</v>
      </c>
      <c r="I209" s="1184">
        <f>'4C2 Open-burning '!AH167</f>
        <v>0.10204180090815605</v>
      </c>
      <c r="J209" s="1220">
        <f>'4D Wastewater treatment and dis'!AV204</f>
        <v>198.15572617261648</v>
      </c>
      <c r="K209" s="981">
        <f>'4D Wastewater treatment and dis'!AW204</f>
        <v>3.2610534820454951</v>
      </c>
      <c r="L209" s="982">
        <f t="shared" si="150"/>
        <v>42479.220118722042</v>
      </c>
      <c r="M209" s="983">
        <f t="shared" si="146"/>
        <v>44.54072748366972</v>
      </c>
      <c r="N209" s="982">
        <f t="shared" si="147"/>
        <v>419.95543056031448</v>
      </c>
      <c r="O209" s="984">
        <f t="shared" si="148"/>
        <v>197.61878116539108</v>
      </c>
      <c r="P209" s="982">
        <f t="shared" si="149"/>
        <v>5172.1968290590494</v>
      </c>
      <c r="Q209" s="650">
        <f t="shared" si="141"/>
        <v>42479.220118722042</v>
      </c>
      <c r="R209" s="652">
        <f t="shared" si="142"/>
        <v>464.49615804398422</v>
      </c>
      <c r="S209" s="649">
        <f t="shared" si="143"/>
        <v>197.61878116539108</v>
      </c>
      <c r="T209" s="650">
        <f t="shared" si="144"/>
        <v>5172.1968290590494</v>
      </c>
      <c r="U209" s="650">
        <f t="shared" si="145"/>
        <v>48313.531886990473</v>
      </c>
    </row>
    <row r="210" spans="1:21">
      <c r="A210">
        <f>'Input data'!A127</f>
        <v>2029</v>
      </c>
      <c r="C210" s="338">
        <f>'4A SWD Case 3'!BN97</f>
        <v>1987.0145430610053</v>
      </c>
      <c r="D210" s="3">
        <f>'4B Biological treatment '!T263</f>
        <v>2.0293606513303439</v>
      </c>
      <c r="E210" s="178">
        <f>'4B Biological treatment '!U263</f>
        <v>10.146803256651719</v>
      </c>
      <c r="F210" s="178">
        <f>'4B Biological treatment '!W263</f>
        <v>0.60880819539910314</v>
      </c>
      <c r="G210" s="1184">
        <f>'4C2 Open-burning '!R168</f>
        <v>24.974480680349732</v>
      </c>
      <c r="H210" s="1184">
        <f>'4C2 Open-burning '!Z168</f>
        <v>6.15036420051681</v>
      </c>
      <c r="I210" s="1184">
        <f>'4C2 Open-burning '!AH168</f>
        <v>9.4754598535026088E-2</v>
      </c>
      <c r="J210" s="1220">
        <f>'4D Wastewater treatment and dis'!AV205</f>
        <v>204.52099299756838</v>
      </c>
      <c r="K210" s="981">
        <f>'4D Wastewater treatment and dis'!AW205</f>
        <v>3.2931719041504954</v>
      </c>
      <c r="L210" s="982">
        <f t="shared" si="150"/>
        <v>41727.305404281113</v>
      </c>
      <c r="M210" s="983">
        <f t="shared" si="146"/>
        <v>42.616573677937225</v>
      </c>
      <c r="N210" s="982">
        <f t="shared" si="147"/>
        <v>401.81340896340805</v>
      </c>
      <c r="O210" s="984">
        <f t="shared" si="148"/>
        <v>183.50605443706081</v>
      </c>
      <c r="P210" s="982">
        <f t="shared" si="149"/>
        <v>5315.8241432355899</v>
      </c>
      <c r="Q210" s="650">
        <f t="shared" si="141"/>
        <v>41727.305404281113</v>
      </c>
      <c r="R210" s="652">
        <f t="shared" si="142"/>
        <v>444.4299826413453</v>
      </c>
      <c r="S210" s="649">
        <f t="shared" si="143"/>
        <v>183.50605443706081</v>
      </c>
      <c r="T210" s="650">
        <f t="shared" si="144"/>
        <v>5315.8241432355899</v>
      </c>
      <c r="U210" s="650">
        <f t="shared" si="145"/>
        <v>47671.065584595111</v>
      </c>
    </row>
    <row r="211" spans="1:21">
      <c r="A211">
        <f>'Input data'!A128</f>
        <v>2030</v>
      </c>
      <c r="C211" s="338">
        <f>'4A SWD Case 3'!BN98</f>
        <v>1950.9223302593959</v>
      </c>
      <c r="D211" s="3">
        <f>'4B Biological treatment '!T264</f>
        <v>1.9323704881409063</v>
      </c>
      <c r="E211" s="178">
        <f>'4B Biological treatment '!U264</f>
        <v>9.6618524407045321</v>
      </c>
      <c r="F211" s="178">
        <f>'4B Biological treatment '!W264</f>
        <v>0.57971114644227184</v>
      </c>
      <c r="G211" s="1184">
        <f>'4C2 Open-burning '!R169</f>
        <v>22.947608725356009</v>
      </c>
      <c r="H211" s="1184">
        <f>'4C2 Open-burning '!Z169</f>
        <v>5.6512146538023789</v>
      </c>
      <c r="I211" s="1184">
        <f>'4C2 Open-burning '!AH169</f>
        <v>8.7064531188462788E-2</v>
      </c>
      <c r="J211" s="1220">
        <f>'4D Wastewater treatment and dis'!AV206</f>
        <v>210.99154590506851</v>
      </c>
      <c r="K211" s="981">
        <f>'4D Wastewater treatment and dis'!AW206</f>
        <v>3.3255928545641762</v>
      </c>
      <c r="L211" s="982">
        <f t="shared" si="150"/>
        <v>40969.368935447317</v>
      </c>
      <c r="M211" s="983">
        <f t="shared" si="146"/>
        <v>40.579780250959033</v>
      </c>
      <c r="N211" s="982">
        <f t="shared" si="147"/>
        <v>382.60935665189947</v>
      </c>
      <c r="O211" s="984">
        <f t="shared" si="148"/>
        <v>168.61312112362944</v>
      </c>
      <c r="P211" s="982">
        <f t="shared" si="149"/>
        <v>5461.7562489213324</v>
      </c>
      <c r="Q211" s="650">
        <f t="shared" si="141"/>
        <v>40969.368935447317</v>
      </c>
      <c r="R211" s="652">
        <f t="shared" si="142"/>
        <v>423.18913690285854</v>
      </c>
      <c r="S211" s="649">
        <f t="shared" si="143"/>
        <v>168.61312112362944</v>
      </c>
      <c r="T211" s="650">
        <f t="shared" si="144"/>
        <v>5461.7562489213324</v>
      </c>
      <c r="U211" s="650">
        <f t="shared" si="145"/>
        <v>47022.927442395136</v>
      </c>
    </row>
    <row r="212" spans="1:21">
      <c r="A212">
        <f>'Input data'!A129</f>
        <v>2031</v>
      </c>
      <c r="C212" s="338">
        <f>'4A SWD Case 3'!BN99</f>
        <v>1914.5632671449737</v>
      </c>
      <c r="D212" s="3">
        <f>'4B Biological treatment '!T265</f>
        <v>1.8136534194547116</v>
      </c>
      <c r="E212" s="178">
        <f>'4B Biological treatment '!U265</f>
        <v>9.0682670972735568</v>
      </c>
      <c r="F212" s="178">
        <f>'4B Biological treatment '!W265</f>
        <v>0.54409602583641337</v>
      </c>
      <c r="G212" s="1184">
        <f>'4C2 Open-burning '!R170</f>
        <v>20.47308674923433</v>
      </c>
      <c r="H212" s="1184">
        <f>'4C2 Open-burning '!Z170</f>
        <v>5.0418241495463452</v>
      </c>
      <c r="I212" s="1184">
        <f>'4C2 Open-burning '!AH170</f>
        <v>7.7676054230141289E-2</v>
      </c>
      <c r="J212" s="1220">
        <f>'4D Wastewater treatment and dis'!AV207</f>
        <v>212.79256841014094</v>
      </c>
      <c r="K212" s="981">
        <f>'4D Wastewater treatment and dis'!AW207</f>
        <v>3.3539800941954407</v>
      </c>
      <c r="L212" s="982">
        <f t="shared" si="150"/>
        <v>40205.828610044446</v>
      </c>
      <c r="M212" s="983">
        <f t="shared" si="146"/>
        <v>38.086721808548944</v>
      </c>
      <c r="N212" s="982">
        <f t="shared" si="147"/>
        <v>359.10337705203284</v>
      </c>
      <c r="O212" s="984">
        <f t="shared" si="148"/>
        <v>150.43097070105136</v>
      </c>
      <c r="P212" s="982">
        <f t="shared" si="149"/>
        <v>5508.3777658135459</v>
      </c>
      <c r="Q212" s="650">
        <f t="shared" si="141"/>
        <v>40205.828610044446</v>
      </c>
      <c r="R212" s="652">
        <f t="shared" si="142"/>
        <v>397.19009886058177</v>
      </c>
      <c r="S212" s="649">
        <f t="shared" si="143"/>
        <v>150.43097070105136</v>
      </c>
      <c r="T212" s="650">
        <f t="shared" si="144"/>
        <v>5508.3777658135459</v>
      </c>
      <c r="U212" s="650">
        <f t="shared" si="145"/>
        <v>46261.827445419629</v>
      </c>
    </row>
    <row r="213" spans="1:21">
      <c r="A213">
        <f>'Input data'!A130</f>
        <v>2032</v>
      </c>
      <c r="C213" s="338">
        <f>'4A SWD Case 3'!BN100</f>
        <v>1880.1809921727452</v>
      </c>
      <c r="D213" s="3">
        <f>'4B Biological treatment '!T266</f>
        <v>1.691650773652406</v>
      </c>
      <c r="E213" s="178">
        <f>'4B Biological treatment '!U266</f>
        <v>8.4582538682620303</v>
      </c>
      <c r="F213" s="178">
        <f>'4B Biological treatment '!W266</f>
        <v>0.50749523209572178</v>
      </c>
      <c r="G213" s="1184">
        <f>'4C2 Open-burning '!R171</f>
        <v>17.954699713071633</v>
      </c>
      <c r="H213" s="1184">
        <f>'4C2 Open-burning '!Z171</f>
        <v>4.421631174625043</v>
      </c>
      <c r="I213" s="1184">
        <f>'4C2 Open-burning '!AH171</f>
        <v>6.8121150741991182E-2</v>
      </c>
      <c r="J213" s="1220">
        <f>'4D Wastewater treatment and dis'!AV208</f>
        <v>214.6095857864839</v>
      </c>
      <c r="K213" s="981">
        <f>'4D Wastewater treatment and dis'!AW208</f>
        <v>3.3826194407506049</v>
      </c>
      <c r="L213" s="982">
        <f t="shared" si="150"/>
        <v>39483.800835627648</v>
      </c>
      <c r="M213" s="983">
        <f t="shared" si="146"/>
        <v>35.524666246700527</v>
      </c>
      <c r="N213" s="982">
        <f t="shared" si="147"/>
        <v>334.94685318317636</v>
      </c>
      <c r="O213" s="984">
        <f t="shared" si="148"/>
        <v>131.92651111021479</v>
      </c>
      <c r="P213" s="982">
        <f t="shared" si="149"/>
        <v>5555.4133281488503</v>
      </c>
      <c r="Q213" s="650">
        <f t="shared" si="141"/>
        <v>39483.800835627648</v>
      </c>
      <c r="R213" s="652">
        <f t="shared" si="142"/>
        <v>370.47151942987688</v>
      </c>
      <c r="S213" s="649">
        <f t="shared" si="143"/>
        <v>131.92651111021479</v>
      </c>
      <c r="T213" s="650">
        <f t="shared" si="144"/>
        <v>5555.4133281488503</v>
      </c>
      <c r="U213" s="650">
        <f t="shared" si="145"/>
        <v>45541.612194316593</v>
      </c>
    </row>
    <row r="214" spans="1:21">
      <c r="A214">
        <f>'Input data'!A131</f>
        <v>2033</v>
      </c>
      <c r="C214" s="338">
        <f>'4A SWD Case 3'!BN101</f>
        <v>1847.6699589329528</v>
      </c>
      <c r="D214" s="3">
        <f>'4B Biological treatment '!T267</f>
        <v>1.7194474465544651</v>
      </c>
      <c r="E214" s="178">
        <f>'4B Biological treatment '!U267</f>
        <v>8.5972372327723239</v>
      </c>
      <c r="F214" s="178">
        <f>'4B Biological treatment '!W267</f>
        <v>0.51583423396633943</v>
      </c>
      <c r="G214" s="1184">
        <f>'4C2 Open-burning '!R172</f>
        <v>18.10778582865106</v>
      </c>
      <c r="H214" s="1184">
        <f>'4C2 Open-burning '!Z172</f>
        <v>4.4593310722488075</v>
      </c>
      <c r="I214" s="1184">
        <f>'4C2 Open-burning '!AH172</f>
        <v>6.8701968161527294E-2</v>
      </c>
      <c r="J214" s="1220">
        <f>'4D Wastewater treatment and dis'!AV209</f>
        <v>216.43939905984345</v>
      </c>
      <c r="K214" s="981">
        <f>'4D Wastewater treatment and dis'!AW209</f>
        <v>3.4114604728448907</v>
      </c>
      <c r="L214" s="982">
        <f t="shared" si="150"/>
        <v>38801.069137592007</v>
      </c>
      <c r="M214" s="983">
        <f t="shared" si="146"/>
        <v>36.108396377643771</v>
      </c>
      <c r="N214" s="982">
        <f t="shared" si="147"/>
        <v>340.45059441778403</v>
      </c>
      <c r="O214" s="984">
        <f t="shared" si="148"/>
        <v>133.05134847594948</v>
      </c>
      <c r="P214" s="982">
        <f t="shared" si="149"/>
        <v>5602.7801268386283</v>
      </c>
      <c r="Q214" s="650">
        <f t="shared" si="141"/>
        <v>38801.069137592007</v>
      </c>
      <c r="R214" s="652">
        <f t="shared" si="142"/>
        <v>376.5589907954278</v>
      </c>
      <c r="S214" s="649">
        <f t="shared" si="143"/>
        <v>133.05134847594948</v>
      </c>
      <c r="T214" s="650">
        <f t="shared" si="144"/>
        <v>5602.7801268386283</v>
      </c>
      <c r="U214" s="650">
        <f t="shared" si="145"/>
        <v>44913.459603702009</v>
      </c>
    </row>
    <row r="215" spans="1:21">
      <c r="A215">
        <f>'Input data'!A132</f>
        <v>2034</v>
      </c>
      <c r="C215" s="338">
        <f>'4A SWD Case 3'!BN102</f>
        <v>1816.9583300965642</v>
      </c>
      <c r="D215" s="3">
        <f>'4B Biological treatment '!T268</f>
        <v>1.7486717309599507</v>
      </c>
      <c r="E215" s="178">
        <f>'4B Biological treatment '!U268</f>
        <v>8.7433586547997528</v>
      </c>
      <c r="F215" s="178">
        <f>'4B Biological treatment '!W268</f>
        <v>0.52460151928798504</v>
      </c>
      <c r="G215" s="1184">
        <f>'4C2 Open-burning '!R173</f>
        <v>18.262477742645647</v>
      </c>
      <c r="H215" s="1184">
        <f>'4C2 Open-burning '!Z173</f>
        <v>4.4974264233441499</v>
      </c>
      <c r="I215" s="1184">
        <f>'4C2 Open-burning '!AH173</f>
        <v>6.9288878071478099E-2</v>
      </c>
      <c r="J215" s="1220">
        <f>'4D Wastewater treatment and dis'!AV210</f>
        <v>218.28840617872763</v>
      </c>
      <c r="K215" s="981">
        <f>'4D Wastewater treatment and dis'!AW210</f>
        <v>3.4406040332478574</v>
      </c>
      <c r="L215" s="982">
        <f t="shared" si="150"/>
        <v>38156.124932027844</v>
      </c>
      <c r="M215" s="983">
        <f t="shared" si="146"/>
        <v>36.722106350158967</v>
      </c>
      <c r="N215" s="982">
        <f t="shared" si="147"/>
        <v>346.23700273007017</v>
      </c>
      <c r="O215" s="984">
        <f t="shared" si="148"/>
        <v>134.18798483503099</v>
      </c>
      <c r="P215" s="982">
        <f t="shared" si="149"/>
        <v>5650.6437800601161</v>
      </c>
      <c r="Q215" s="650">
        <f t="shared" si="141"/>
        <v>38156.124932027844</v>
      </c>
      <c r="R215" s="652">
        <f t="shared" si="142"/>
        <v>382.95910908022915</v>
      </c>
      <c r="S215" s="649">
        <f t="shared" si="143"/>
        <v>134.18798483503099</v>
      </c>
      <c r="T215" s="650">
        <f t="shared" si="144"/>
        <v>5650.6437800601161</v>
      </c>
      <c r="U215" s="650">
        <f t="shared" si="145"/>
        <v>44323.91580600322</v>
      </c>
    </row>
    <row r="216" spans="1:21">
      <c r="A216">
        <f>'Input data'!A133</f>
        <v>2035</v>
      </c>
      <c r="C216" s="338">
        <f>'4A SWD Case 3'!BN103</f>
        <v>1787.9730053402332</v>
      </c>
      <c r="D216" s="3">
        <f>'4B Biological treatment '!T269</f>
        <v>1.7793772162751407</v>
      </c>
      <c r="E216" s="178">
        <f>'4B Biological treatment '!U269</f>
        <v>8.8968860813757047</v>
      </c>
      <c r="F216" s="178">
        <f>'4B Biological treatment '!W269</f>
        <v>0.53381316488254227</v>
      </c>
      <c r="G216" s="1184">
        <f>'4C2 Open-burning '!R174</f>
        <v>18.418240188917029</v>
      </c>
      <c r="H216" s="1184">
        <f>'4C2 Open-burning '!Z174</f>
        <v>4.535785410087211</v>
      </c>
      <c r="I216" s="1184">
        <f>'4C2 Open-burning '!AH174</f>
        <v>6.9879849641705405E-2</v>
      </c>
      <c r="J216" s="1220">
        <f>'4D Wastewater treatment and dis'!AV211</f>
        <v>220.15020919462836</v>
      </c>
      <c r="K216" s="981">
        <f>'4D Wastewater treatment and dis'!AW211</f>
        <v>3.4699492791899456</v>
      </c>
      <c r="L216" s="982">
        <f t="shared" si="150"/>
        <v>37547.433112144899</v>
      </c>
      <c r="M216" s="983">
        <f t="shared" si="146"/>
        <v>37.366921541777955</v>
      </c>
      <c r="N216" s="982">
        <f t="shared" si="147"/>
        <v>352.31668882247789</v>
      </c>
      <c r="O216" s="984">
        <f t="shared" si="148"/>
        <v>135.33248718967712</v>
      </c>
      <c r="P216" s="982">
        <f t="shared" si="149"/>
        <v>5698.8386696360794</v>
      </c>
      <c r="Q216" s="650">
        <f t="shared" si="141"/>
        <v>37547.433112144899</v>
      </c>
      <c r="R216" s="652">
        <f t="shared" si="142"/>
        <v>389.68361036425586</v>
      </c>
      <c r="S216" s="649">
        <f t="shared" si="143"/>
        <v>135.33248718967712</v>
      </c>
      <c r="T216" s="650">
        <f t="shared" si="144"/>
        <v>5698.8386696360794</v>
      </c>
      <c r="U216" s="650">
        <f t="shared" si="145"/>
        <v>43771.287879334908</v>
      </c>
    </row>
    <row r="217" spans="1:21">
      <c r="A217">
        <f>'Input data'!A134</f>
        <v>2036</v>
      </c>
      <c r="C217" s="338">
        <f>'4A SWD Case 3'!BN104</f>
        <v>1760.6453247330458</v>
      </c>
      <c r="D217" s="3">
        <f>'4B Biological treatment '!T270</f>
        <v>1.8095802645832131</v>
      </c>
      <c r="E217" s="178">
        <f>'4B Biological treatment '!U270</f>
        <v>9.047901322916065</v>
      </c>
      <c r="F217" s="178">
        <f>'4B Biological treatment '!W270</f>
        <v>0.54287407937496401</v>
      </c>
      <c r="G217" s="1184">
        <f>'4C2 Open-burning '!R175</f>
        <v>18.553127255791203</v>
      </c>
      <c r="H217" s="1184">
        <f>'4C2 Open-burning '!Z175</f>
        <v>4.5690035016997594</v>
      </c>
      <c r="I217" s="1184">
        <f>'4C2 Open-burning '!AH175</f>
        <v>7.0391618836541409E-2</v>
      </c>
      <c r="J217" s="1220">
        <f>'4D Wastewater treatment and dis'!AV212</f>
        <v>221.76249221870739</v>
      </c>
      <c r="K217" s="981">
        <f>'4D Wastewater treatment and dis'!AW212</f>
        <v>3.4953616571191763</v>
      </c>
      <c r="L217" s="982">
        <f t="shared" si="150"/>
        <v>36973.551819393964</v>
      </c>
      <c r="M217" s="983">
        <f t="shared" si="146"/>
        <v>38.001185556247478</v>
      </c>
      <c r="N217" s="982">
        <f t="shared" si="147"/>
        <v>358.29689238747619</v>
      </c>
      <c r="O217" s="984">
        <f t="shared" si="148"/>
        <v>136.32360263081401</v>
      </c>
      <c r="P217" s="982">
        <f t="shared" si="149"/>
        <v>5740.5744502998004</v>
      </c>
      <c r="Q217" s="650">
        <f t="shared" si="141"/>
        <v>36973.551819393964</v>
      </c>
      <c r="R217" s="652">
        <f t="shared" si="142"/>
        <v>396.29807794372368</v>
      </c>
      <c r="S217" s="649">
        <f t="shared" si="143"/>
        <v>136.32360263081401</v>
      </c>
      <c r="T217" s="650">
        <f t="shared" si="144"/>
        <v>5740.5744502998004</v>
      </c>
      <c r="U217" s="650">
        <f t="shared" si="145"/>
        <v>43246.747950268298</v>
      </c>
    </row>
    <row r="218" spans="1:21">
      <c r="A218">
        <f>'Input data'!A135</f>
        <v>2037</v>
      </c>
      <c r="C218" s="338">
        <f>'4A SWD Case 3'!BN105</f>
        <v>1734.9007058617533</v>
      </c>
      <c r="D218" s="3">
        <f>'4B Biological treatment '!T271</f>
        <v>1.840795618249119</v>
      </c>
      <c r="E218" s="178">
        <f>'4B Biological treatment '!U271</f>
        <v>9.2039780912455953</v>
      </c>
      <c r="F218" s="178">
        <f>'4B Biological treatment '!W271</f>
        <v>0.55223868547473565</v>
      </c>
      <c r="G218" s="1184">
        <f>'4C2 Open-burning '!R176</f>
        <v>18.68881722187297</v>
      </c>
      <c r="H218" s="1184">
        <f>'4C2 Open-burning '!Z176</f>
        <v>4.6024193200480967</v>
      </c>
      <c r="I218" s="1184">
        <f>'4C2 Open-burning '!AH176</f>
        <v>7.0906434276584801E-2</v>
      </c>
      <c r="J218" s="1220">
        <f>'4D Wastewater treatment and dis'!AV213</f>
        <v>223.38437216554874</v>
      </c>
      <c r="K218" s="981">
        <f>'4D Wastewater treatment and dis'!AW213</f>
        <v>3.5209252992027475</v>
      </c>
      <c r="L218" s="982">
        <f t="shared" si="150"/>
        <v>36432.91482309682</v>
      </c>
      <c r="M218" s="983">
        <f t="shared" si="146"/>
        <v>38.656707983231499</v>
      </c>
      <c r="N218" s="982">
        <f t="shared" si="147"/>
        <v>364.47753241332555</v>
      </c>
      <c r="O218" s="984">
        <f t="shared" si="148"/>
        <v>137.3206175686243</v>
      </c>
      <c r="P218" s="982">
        <f t="shared" si="149"/>
        <v>5782.5586582293754</v>
      </c>
      <c r="Q218" s="650">
        <f t="shared" si="141"/>
        <v>36432.91482309682</v>
      </c>
      <c r="R218" s="652">
        <f t="shared" si="142"/>
        <v>403.13424039655706</v>
      </c>
      <c r="S218" s="649">
        <f t="shared" si="143"/>
        <v>137.3206175686243</v>
      </c>
      <c r="T218" s="650">
        <f t="shared" si="144"/>
        <v>5782.5586582293754</v>
      </c>
      <c r="U218" s="650">
        <f t="shared" si="145"/>
        <v>42755.928339291371</v>
      </c>
    </row>
    <row r="219" spans="1:21">
      <c r="A219">
        <f>'Input data'!A136</f>
        <v>2038</v>
      </c>
      <c r="C219" s="338">
        <f>'4A SWD Case 3'!BN106</f>
        <v>1710.6725388858176</v>
      </c>
      <c r="D219" s="3">
        <f>'4B Biological treatment '!T272</f>
        <v>1.8724468612837404</v>
      </c>
      <c r="E219" s="178">
        <f>'4B Biological treatment '!U272</f>
        <v>9.3622343064187028</v>
      </c>
      <c r="F219" s="178">
        <f>'4B Biological treatment '!W272</f>
        <v>0.56173405838512203</v>
      </c>
      <c r="G219" s="1184">
        <f>'4C2 Open-burning '!R177</f>
        <v>18.825845353300707</v>
      </c>
      <c r="H219" s="1184">
        <f>'4C2 Open-burning '!Z177</f>
        <v>4.6361646829560827</v>
      </c>
      <c r="I219" s="1184">
        <f>'4C2 Open-burning '!AH177</f>
        <v>7.1426326791973777E-2</v>
      </c>
      <c r="J219" s="1220">
        <f>'4D Wastewater treatment and dis'!AV214</f>
        <v>225.02224698366075</v>
      </c>
      <c r="K219" s="981">
        <f>'4D Wastewater treatment and dis'!AW214</f>
        <v>3.5467410482102202</v>
      </c>
      <c r="L219" s="982">
        <f t="shared" si="150"/>
        <v>35924.12331660217</v>
      </c>
      <c r="M219" s="983">
        <f t="shared" si="146"/>
        <v>39.321384086958545</v>
      </c>
      <c r="N219" s="982">
        <f t="shared" si="147"/>
        <v>370.74447853418059</v>
      </c>
      <c r="O219" s="984">
        <f t="shared" si="148"/>
        <v>138.32746500089033</v>
      </c>
      <c r="P219" s="982">
        <f t="shared" si="149"/>
        <v>5824.9569116020448</v>
      </c>
      <c r="Q219" s="650">
        <f t="shared" si="141"/>
        <v>35924.12331660217</v>
      </c>
      <c r="R219" s="652">
        <f t="shared" si="142"/>
        <v>410.0658626211391</v>
      </c>
      <c r="S219" s="649">
        <f t="shared" si="143"/>
        <v>138.32746500089033</v>
      </c>
      <c r="T219" s="650">
        <f t="shared" si="144"/>
        <v>5824.9569116020448</v>
      </c>
      <c r="U219" s="650">
        <f t="shared" si="145"/>
        <v>42297.47355582624</v>
      </c>
    </row>
    <row r="220" spans="1:21">
      <c r="A220">
        <f>'Input data'!A137</f>
        <v>2039</v>
      </c>
      <c r="C220" s="338">
        <f>'4A SWD Case 3'!BN107</f>
        <v>1687.8909079280077</v>
      </c>
      <c r="D220" s="3">
        <f>'4B Biological treatment '!T273</f>
        <v>2.3040059327101607</v>
      </c>
      <c r="E220" s="178">
        <f>'4B Biological treatment '!U273</f>
        <v>11.520029663550805</v>
      </c>
      <c r="F220" s="178">
        <f>'4B Biological treatment '!W273</f>
        <v>0.6912017798130482</v>
      </c>
      <c r="G220" s="1184">
        <f>'4C2 Open-burning '!R178</f>
        <v>18.963676383936029</v>
      </c>
      <c r="H220" s="1184">
        <f>'4C2 Open-burning '!Z178</f>
        <v>4.6701077725998559</v>
      </c>
      <c r="I220" s="1184">
        <f>'4C2 Open-burning '!AH178</f>
        <v>7.1949265552570085E-2</v>
      </c>
      <c r="J220" s="1220">
        <f>'4D Wastewater treatment and dis'!AV215</f>
        <v>226.66971872453522</v>
      </c>
      <c r="K220" s="981">
        <f>'4D Wastewater treatment and dis'!AW215</f>
        <v>3.5727080613720332</v>
      </c>
      <c r="L220" s="982">
        <f t="shared" si="150"/>
        <v>35445.709066488162</v>
      </c>
      <c r="M220" s="983">
        <f t="shared" si="146"/>
        <v>48.384124586913373</v>
      </c>
      <c r="N220" s="982">
        <f t="shared" si="147"/>
        <v>456.19317467661187</v>
      </c>
      <c r="O220" s="984">
        <f t="shared" si="148"/>
        <v>139.34021192982974</v>
      </c>
      <c r="P220" s="982">
        <f t="shared" si="149"/>
        <v>5867.6035922405699</v>
      </c>
      <c r="Q220" s="650">
        <f t="shared" si="141"/>
        <v>35445.709066488162</v>
      </c>
      <c r="R220" s="652">
        <f t="shared" si="142"/>
        <v>504.57729926352522</v>
      </c>
      <c r="S220" s="649">
        <f t="shared" si="143"/>
        <v>139.34021192982974</v>
      </c>
      <c r="T220" s="650">
        <f t="shared" si="144"/>
        <v>5867.6035922405699</v>
      </c>
      <c r="U220" s="650">
        <f t="shared" si="145"/>
        <v>41957.230169922084</v>
      </c>
    </row>
    <row r="221" spans="1:21">
      <c r="A221">
        <f>'Input data'!A138</f>
        <v>2040</v>
      </c>
      <c r="C221" s="338">
        <f>'4A SWD Case 3'!BN108</f>
        <v>1666.4960888021119</v>
      </c>
      <c r="D221" s="3">
        <f>'4B Biological treatment '!T274</f>
        <v>2.7469033882195726</v>
      </c>
      <c r="E221" s="178">
        <f>'4B Biological treatment '!U274</f>
        <v>13.734516941097866</v>
      </c>
      <c r="F221" s="178">
        <f>'4B Biological treatment '!W274</f>
        <v>0.82407101646587178</v>
      </c>
      <c r="G221" s="1184">
        <f>'4C2 Open-burning '!R179</f>
        <v>19.10231031377894</v>
      </c>
      <c r="H221" s="1184">
        <f>'4C2 Open-burning '!Z179</f>
        <v>4.7042485889794206</v>
      </c>
      <c r="I221" s="1184">
        <f>'4C2 Open-burning '!AH179</f>
        <v>7.2475250558373755E-2</v>
      </c>
      <c r="J221" s="1220">
        <f>'4D Wastewater treatment and dis'!AV216</f>
        <v>228.32678738817191</v>
      </c>
      <c r="K221" s="981">
        <f>'4D Wastewater treatment and dis'!AW216</f>
        <v>3.5988263386881876</v>
      </c>
      <c r="L221" s="982">
        <f t="shared" si="150"/>
        <v>34996.417864844349</v>
      </c>
      <c r="M221" s="983">
        <f t="shared" si="146"/>
        <v>57.684971152611027</v>
      </c>
      <c r="N221" s="982">
        <f t="shared" si="147"/>
        <v>543.88687086747541</v>
      </c>
      <c r="O221" s="984">
        <f t="shared" si="148"/>
        <v>140.35885835544264</v>
      </c>
      <c r="P221" s="982">
        <f t="shared" si="149"/>
        <v>5910.4987001449481</v>
      </c>
      <c r="Q221" s="650">
        <f t="shared" si="141"/>
        <v>34996.417864844349</v>
      </c>
      <c r="R221" s="652">
        <f t="shared" si="142"/>
        <v>601.57184202008648</v>
      </c>
      <c r="S221" s="649">
        <f t="shared" si="143"/>
        <v>140.35885835544264</v>
      </c>
      <c r="T221" s="650">
        <f t="shared" si="144"/>
        <v>5910.4987001449481</v>
      </c>
      <c r="U221" s="650">
        <f t="shared" si="145"/>
        <v>41648.847265364828</v>
      </c>
    </row>
    <row r="222" spans="1:21">
      <c r="A222">
        <f>'Input data'!A139</f>
        <v>2041</v>
      </c>
      <c r="C222" s="338">
        <f>'4A SWD Case 3'!BN109</f>
        <v>1646.4371724554915</v>
      </c>
      <c r="D222" s="3">
        <f>'4B Biological treatment '!T275</f>
        <v>2.9921268270659667</v>
      </c>
      <c r="E222" s="178">
        <f>'4B Biological treatment '!U275</f>
        <v>14.960634135329833</v>
      </c>
      <c r="F222" s="178">
        <f>'4B Biological treatment '!W275</f>
        <v>0.89763804811978998</v>
      </c>
      <c r="G222" s="1184">
        <f>'4C2 Open-burning '!R180</f>
        <v>19.221139396501432</v>
      </c>
      <c r="H222" s="1184">
        <f>'4C2 Open-burning '!Z180</f>
        <v>4.7335121458761886</v>
      </c>
      <c r="I222" s="1184">
        <f>'4C2 Open-burning '!AH180</f>
        <v>7.2926094849062623E-2</v>
      </c>
      <c r="J222" s="1220">
        <f>'4D Wastewater treatment and dis'!AV217</f>
        <v>229.7471319570034</v>
      </c>
      <c r="K222" s="981">
        <f>'4D Wastewater treatment and dis'!AW217</f>
        <v>3.6212134335306052</v>
      </c>
      <c r="L222" s="982">
        <f t="shared" si="150"/>
        <v>34575.18062156532</v>
      </c>
      <c r="M222" s="983">
        <f t="shared" si="146"/>
        <v>62.8346633683853</v>
      </c>
      <c r="N222" s="982">
        <f t="shared" si="147"/>
        <v>592.44111175906141</v>
      </c>
      <c r="O222" s="984">
        <f t="shared" si="148"/>
        <v>141.2319838631108</v>
      </c>
      <c r="P222" s="982">
        <f t="shared" si="149"/>
        <v>5947.2659354915595</v>
      </c>
      <c r="Q222" s="650">
        <f t="shared" si="141"/>
        <v>34575.18062156532</v>
      </c>
      <c r="R222" s="652">
        <f t="shared" si="142"/>
        <v>655.27577512744676</v>
      </c>
      <c r="S222" s="649">
        <f t="shared" si="143"/>
        <v>141.2319838631108</v>
      </c>
      <c r="T222" s="650">
        <f t="shared" si="144"/>
        <v>5947.2659354915595</v>
      </c>
      <c r="U222" s="650">
        <f t="shared" si="145"/>
        <v>41318.954316047435</v>
      </c>
    </row>
    <row r="223" spans="1:21">
      <c r="A223">
        <f>'Input data'!A140</f>
        <v>2042</v>
      </c>
      <c r="C223" s="338">
        <f>'4A SWD Case 3'!BN110</f>
        <v>1627.6600900568171</v>
      </c>
      <c r="D223" s="3">
        <f>'4B Biological treatment '!T276</f>
        <v>3.2423291499576354</v>
      </c>
      <c r="E223" s="178">
        <f>'4B Biological treatment '!U276</f>
        <v>16.211645749788175</v>
      </c>
      <c r="F223" s="178">
        <f>'4B Biological treatment '!W276</f>
        <v>0.97269874498729059</v>
      </c>
      <c r="G223" s="1184">
        <f>'4C2 Open-burning '!R181</f>
        <v>19.340503745362316</v>
      </c>
      <c r="H223" s="1184">
        <f>'4C2 Open-burning '!Z181</f>
        <v>4.7629075205968174</v>
      </c>
      <c r="I223" s="1184">
        <f>'4C2 Open-burning '!AH181</f>
        <v>7.337896996988974E-2</v>
      </c>
      <c r="J223" s="1220">
        <f>'4D Wastewater treatment and dis'!AV218</f>
        <v>231.17387447434314</v>
      </c>
      <c r="K223" s="981">
        <f>'4D Wastewater treatment and dis'!AW218</f>
        <v>3.643701371142583</v>
      </c>
      <c r="L223" s="982">
        <f t="shared" si="150"/>
        <v>34180.861891193163</v>
      </c>
      <c r="M223" s="983">
        <f t="shared" si="146"/>
        <v>68.088912149110342</v>
      </c>
      <c r="N223" s="982">
        <f t="shared" si="147"/>
        <v>641.98117169161173</v>
      </c>
      <c r="O223" s="984">
        <f t="shared" si="148"/>
        <v>142.10904236856129</v>
      </c>
      <c r="P223" s="982">
        <f t="shared" si="149"/>
        <v>5984.1987890154069</v>
      </c>
      <c r="Q223" s="650">
        <f t="shared" si="141"/>
        <v>34180.861891193163</v>
      </c>
      <c r="R223" s="652">
        <f t="shared" si="142"/>
        <v>710.07008384072208</v>
      </c>
      <c r="S223" s="649">
        <f t="shared" si="143"/>
        <v>142.10904236856129</v>
      </c>
      <c r="T223" s="650">
        <f t="shared" si="144"/>
        <v>5984.1987890154069</v>
      </c>
      <c r="U223" s="650">
        <f t="shared" si="145"/>
        <v>41017.239806417849</v>
      </c>
    </row>
    <row r="224" spans="1:21">
      <c r="A224">
        <f>'Input data'!A141</f>
        <v>2043</v>
      </c>
      <c r="C224" s="338">
        <f>'4A SWD Case 3'!BN111</f>
        <v>1610.1152162449578</v>
      </c>
      <c r="D224" s="3">
        <f>'4B Biological treatment '!T277</f>
        <v>3.4972220009132284</v>
      </c>
      <c r="E224" s="178">
        <f>'4B Biological treatment '!U277</f>
        <v>17.48611000456614</v>
      </c>
      <c r="F224" s="178">
        <f>'4B Biological treatment '!W277</f>
        <v>1.0491666002739684</v>
      </c>
      <c r="G224" s="1184">
        <f>'4C2 Open-burning '!R182</f>
        <v>19.460670993430778</v>
      </c>
      <c r="H224" s="1184">
        <f>'4C2 Open-burning '!Z182</f>
        <v>4.7925006220532342</v>
      </c>
      <c r="I224" s="1184">
        <f>'4C2 Open-burning '!AH182</f>
        <v>7.3834891335924191E-2</v>
      </c>
      <c r="J224" s="1220">
        <f>'4D Wastewater treatment and dis'!AV219</f>
        <v>232.61021391444527</v>
      </c>
      <c r="K224" s="981">
        <f>'4D Wastewater treatment and dis'!AW219</f>
        <v>3.6663405729089016</v>
      </c>
      <c r="L224" s="982">
        <f t="shared" si="150"/>
        <v>33812.419541144111</v>
      </c>
      <c r="M224" s="983">
        <f t="shared" si="146"/>
        <v>73.441662019177798</v>
      </c>
      <c r="N224" s="982">
        <f t="shared" si="147"/>
        <v>692.44995618081907</v>
      </c>
      <c r="O224" s="984">
        <f t="shared" si="148"/>
        <v>142.99200037068519</v>
      </c>
      <c r="P224" s="982">
        <f t="shared" si="149"/>
        <v>6021.38006980511</v>
      </c>
      <c r="Q224" s="650">
        <f t="shared" si="141"/>
        <v>33812.419541144111</v>
      </c>
      <c r="R224" s="652">
        <f t="shared" si="142"/>
        <v>765.89161819999686</v>
      </c>
      <c r="S224" s="649">
        <f t="shared" si="143"/>
        <v>142.99200037068519</v>
      </c>
      <c r="T224" s="650">
        <f t="shared" si="144"/>
        <v>6021.38006980511</v>
      </c>
      <c r="U224" s="650">
        <f t="shared" si="145"/>
        <v>40742.683229519906</v>
      </c>
    </row>
    <row r="225" spans="1:21">
      <c r="A225">
        <f>'Input data'!A142</f>
        <v>2044</v>
      </c>
      <c r="C225" s="338">
        <f>'4A SWD Case 3'!BN112</f>
        <v>1593.754568963195</v>
      </c>
      <c r="D225" s="3">
        <f>'4B Biological treatment '!T278</f>
        <v>3.7574651195490132</v>
      </c>
      <c r="E225" s="178">
        <f>'4B Biological treatment '!U278</f>
        <v>18.787325597745067</v>
      </c>
      <c r="F225" s="178">
        <f>'4B Biological treatment '!W278</f>
        <v>1.127239535864704</v>
      </c>
      <c r="G225" s="1184">
        <f>'4C2 Open-burning '!R183</f>
        <v>19.581373507637633</v>
      </c>
      <c r="H225" s="1184">
        <f>'4C2 Open-burning '!Z183</f>
        <v>4.82222554133351</v>
      </c>
      <c r="I225" s="1184">
        <f>'4C2 Open-burning '!AH183</f>
        <v>7.4292843532096906E-2</v>
      </c>
      <c r="J225" s="1220">
        <f>'4D Wastewater treatment and dis'!AV220</f>
        <v>234.05295130305572</v>
      </c>
      <c r="K225" s="981">
        <f>'4D Wastewater treatment and dis'!AW220</f>
        <v>3.6890806174447812</v>
      </c>
      <c r="L225" s="982">
        <f t="shared" si="150"/>
        <v>33468.845948227092</v>
      </c>
      <c r="M225" s="983">
        <f t="shared" si="146"/>
        <v>78.906767510529278</v>
      </c>
      <c r="N225" s="982">
        <f t="shared" si="147"/>
        <v>743.97809367070465</v>
      </c>
      <c r="O225" s="984">
        <f t="shared" si="148"/>
        <v>143.87889137059139</v>
      </c>
      <c r="P225" s="982">
        <f t="shared" si="149"/>
        <v>6058.7269687720527</v>
      </c>
      <c r="Q225" s="650">
        <f t="shared" si="141"/>
        <v>33468.845948227092</v>
      </c>
      <c r="R225" s="652">
        <f t="shared" si="142"/>
        <v>822.88486118123387</v>
      </c>
      <c r="S225" s="649">
        <f t="shared" si="143"/>
        <v>143.87889137059139</v>
      </c>
      <c r="T225" s="650">
        <f t="shared" si="144"/>
        <v>6058.7269687720527</v>
      </c>
      <c r="U225" s="650">
        <f t="shared" si="145"/>
        <v>40494.336669550976</v>
      </c>
    </row>
    <row r="226" spans="1:21">
      <c r="A226">
        <f>'Input data'!A143</f>
        <v>2045</v>
      </c>
      <c r="C226" s="338">
        <f>'4A SWD Case 3'!BN113</f>
        <v>1578.5342379256826</v>
      </c>
      <c r="D226" s="3">
        <f>'4B Biological treatment '!T279</f>
        <v>4.0258924599371904</v>
      </c>
      <c r="E226" s="178">
        <f>'4B Biological treatment '!U279</f>
        <v>20.129462299685947</v>
      </c>
      <c r="F226" s="178">
        <f>'4B Biological treatment '!W279</f>
        <v>1.2077677379811567</v>
      </c>
      <c r="G226" s="1184">
        <f>'4C2 Open-burning '!R184</f>
        <v>19.703146554121268</v>
      </c>
      <c r="H226" s="1184">
        <f>'4C2 Open-burning '!Z184</f>
        <v>4.8522140962615055</v>
      </c>
      <c r="I226" s="1184">
        <f>'4C2 Open-burning '!AH184</f>
        <v>7.4754857388546078E-2</v>
      </c>
      <c r="J226" s="1220">
        <f>'4D Wastewater treatment and dis'!AV221</f>
        <v>235.50848458868253</v>
      </c>
      <c r="K226" s="981">
        <f>'4D Wastewater treatment and dis'!AW221</f>
        <v>3.7120223475197802</v>
      </c>
      <c r="L226" s="982">
        <f t="shared" si="150"/>
        <v>33149.218996439333</v>
      </c>
      <c r="M226" s="983">
        <f t="shared" si="146"/>
        <v>84.543741658681</v>
      </c>
      <c r="N226" s="982">
        <f t="shared" si="147"/>
        <v>797.12670706756353</v>
      </c>
      <c r="O226" s="984">
        <f t="shared" si="148"/>
        <v>144.77364836606216</v>
      </c>
      <c r="P226" s="982">
        <f t="shared" si="149"/>
        <v>6096.4051040934646</v>
      </c>
      <c r="Q226" s="650">
        <f t="shared" si="141"/>
        <v>33149.218996439333</v>
      </c>
      <c r="R226" s="652">
        <f t="shared" si="142"/>
        <v>881.67044872624456</v>
      </c>
      <c r="S226" s="649">
        <f t="shared" si="143"/>
        <v>144.77364836606216</v>
      </c>
      <c r="T226" s="650">
        <f t="shared" si="144"/>
        <v>6096.4051040934646</v>
      </c>
      <c r="U226" s="650">
        <f t="shared" si="145"/>
        <v>40272.068197625107</v>
      </c>
    </row>
    <row r="227" spans="1:21">
      <c r="A227">
        <f>'Input data'!A144</f>
        <v>2046</v>
      </c>
      <c r="C227" s="338">
        <f>'4A SWD Case 3'!BN114</f>
        <v>1564.4197338572103</v>
      </c>
      <c r="D227" s="3">
        <f>'4B Biological treatment '!T280</f>
        <v>4.3001725878936918</v>
      </c>
      <c r="E227" s="178">
        <f>'4B Biological treatment '!U280</f>
        <v>21.500862939468458</v>
      </c>
      <c r="F227" s="178">
        <f>'4B Biological treatment '!W280</f>
        <v>1.2900517763681076</v>
      </c>
      <c r="G227" s="1184">
        <f>'4C2 Open-burning '!R185</f>
        <v>19.803508955069315</v>
      </c>
      <c r="H227" s="1184">
        <f>'4C2 Open-burning '!Z185</f>
        <v>4.8769299382351274</v>
      </c>
      <c r="I227" s="1184">
        <f>'4C2 Open-burning '!AH185</f>
        <v>7.5135638039465727E-2</v>
      </c>
      <c r="J227" s="1220">
        <f>'4D Wastewater treatment and dis'!AV222</f>
        <v>236.70809993397941</v>
      </c>
      <c r="K227" s="981">
        <f>'4D Wastewater treatment and dis'!AW222</f>
        <v>3.7309303668123635</v>
      </c>
      <c r="L227" s="982">
        <f t="shared" si="150"/>
        <v>32852.814411001418</v>
      </c>
      <c r="M227" s="983">
        <f t="shared" si="146"/>
        <v>90.303624345767531</v>
      </c>
      <c r="N227" s="982">
        <f t="shared" si="147"/>
        <v>851.43417240295094</v>
      </c>
      <c r="O227" s="984">
        <f t="shared" si="148"/>
        <v>145.51108545024138</v>
      </c>
      <c r="P227" s="982">
        <f t="shared" si="149"/>
        <v>6127.4585123254001</v>
      </c>
      <c r="Q227" s="650">
        <f t="shared" si="141"/>
        <v>32852.814411001418</v>
      </c>
      <c r="R227" s="652">
        <f t="shared" si="142"/>
        <v>941.73779674871844</v>
      </c>
      <c r="S227" s="649">
        <f t="shared" si="143"/>
        <v>145.51108545024138</v>
      </c>
      <c r="T227" s="650">
        <f t="shared" si="144"/>
        <v>6127.4585123254001</v>
      </c>
      <c r="U227" s="650">
        <f t="shared" si="145"/>
        <v>40067.521805525779</v>
      </c>
    </row>
    <row r="228" spans="1:21">
      <c r="A228">
        <f>'Input data'!A145</f>
        <v>2047</v>
      </c>
      <c r="C228" s="338">
        <f>'4A SWD Case 3'!BN115</f>
        <v>1551.374058546894</v>
      </c>
      <c r="D228" s="3">
        <f>'4B Biological treatment '!T281</f>
        <v>4.581298949495066</v>
      </c>
      <c r="E228" s="178">
        <f>'4B Biological treatment '!U281</f>
        <v>22.906494747475328</v>
      </c>
      <c r="F228" s="178">
        <f>'4B Biological treatment '!W281</f>
        <v>1.3743896848485195</v>
      </c>
      <c r="G228" s="1184">
        <f>'4C2 Open-burning '!R186</f>
        <v>19.904674255224954</v>
      </c>
      <c r="H228" s="1184">
        <f>'4C2 Open-burning '!Z186</f>
        <v>4.9018435069445392</v>
      </c>
      <c r="I228" s="1184">
        <f>'4C2 Open-burning '!AH186</f>
        <v>7.5519464935592751E-2</v>
      </c>
      <c r="J228" s="1220">
        <f>'4D Wastewater treatment and dis'!AV223</f>
        <v>237.91731220203872</v>
      </c>
      <c r="K228" s="981">
        <f>'4D Wastewater treatment and dis'!AW223</f>
        <v>3.7499896502592862</v>
      </c>
      <c r="L228" s="982">
        <f t="shared" si="150"/>
        <v>32578.855229484776</v>
      </c>
      <c r="M228" s="983">
        <f t="shared" si="146"/>
        <v>96.207277939396391</v>
      </c>
      <c r="N228" s="982">
        <f t="shared" si="147"/>
        <v>907.09719200002291</v>
      </c>
      <c r="O228" s="984">
        <f t="shared" si="148"/>
        <v>146.25442203109404</v>
      </c>
      <c r="P228" s="982">
        <f t="shared" si="149"/>
        <v>6158.7603478231922</v>
      </c>
      <c r="Q228" s="650">
        <f t="shared" si="141"/>
        <v>32578.855229484776</v>
      </c>
      <c r="R228" s="652">
        <f t="shared" si="142"/>
        <v>1003.3044699394193</v>
      </c>
      <c r="S228" s="649">
        <f t="shared" si="143"/>
        <v>146.25442203109404</v>
      </c>
      <c r="T228" s="650">
        <f t="shared" si="144"/>
        <v>6158.7603478231922</v>
      </c>
      <c r="U228" s="650">
        <f t="shared" si="145"/>
        <v>39887.174469278478</v>
      </c>
    </row>
    <row r="229" spans="1:21">
      <c r="A229">
        <f>'Input data'!A146</f>
        <v>2048</v>
      </c>
      <c r="C229" s="338">
        <f>'4A SWD Case 3'!BN116</f>
        <v>1539.3631986392531</v>
      </c>
      <c r="D229" s="3">
        <f>'4B Biological treatment '!T282</f>
        <v>4.8642133275846122</v>
      </c>
      <c r="E229" s="178">
        <f>'4B Biological treatment '!U282</f>
        <v>24.32106663792306</v>
      </c>
      <c r="F229" s="178">
        <f>'4B Biological treatment '!W282</f>
        <v>1.4592639982753837</v>
      </c>
      <c r="G229" s="1184">
        <f>'4C2 Open-burning '!R187</f>
        <v>20.006374821518978</v>
      </c>
      <c r="H229" s="1184">
        <f>'4C2 Open-burning '!Z187</f>
        <v>4.926888893477809</v>
      </c>
      <c r="I229" s="1184">
        <f>'4C2 Open-burning '!AH187</f>
        <v>7.5905322661857982E-2</v>
      </c>
      <c r="J229" s="1220">
        <f>'4D Wastewater treatment and dis'!AV224</f>
        <v>239.13292241860617</v>
      </c>
      <c r="K229" s="981">
        <f>'4D Wastewater treatment and dis'!AW224</f>
        <v>3.76914977647577</v>
      </c>
      <c r="L229" s="982">
        <f t="shared" si="150"/>
        <v>32326.627171424316</v>
      </c>
      <c r="M229" s="983">
        <f t="shared" si="146"/>
        <v>102.14847987927686</v>
      </c>
      <c r="N229" s="982">
        <f t="shared" si="147"/>
        <v>963.11423886175317</v>
      </c>
      <c r="O229" s="984">
        <f t="shared" si="148"/>
        <v>147.00169160972894</v>
      </c>
      <c r="P229" s="982">
        <f t="shared" si="149"/>
        <v>6190.2278014982176</v>
      </c>
      <c r="Q229" s="650">
        <f t="shared" si="141"/>
        <v>32326.627171424316</v>
      </c>
      <c r="R229" s="652">
        <f t="shared" si="142"/>
        <v>1065.2627187410301</v>
      </c>
      <c r="S229" s="649">
        <f t="shared" si="143"/>
        <v>147.00169160972894</v>
      </c>
      <c r="T229" s="650">
        <f t="shared" si="144"/>
        <v>6190.2278014982176</v>
      </c>
      <c r="U229" s="650">
        <f t="shared" si="145"/>
        <v>39729.11938327329</v>
      </c>
    </row>
    <row r="230" spans="1:21">
      <c r="A230">
        <f>'Input data'!A147</f>
        <v>2049</v>
      </c>
      <c r="C230" s="338">
        <f>'4A SWD Case 3'!BN117</f>
        <v>1528.3413053773106</v>
      </c>
      <c r="D230" s="3">
        <f>'4B Biological treatment '!T283</f>
        <v>5.1547672534095055</v>
      </c>
      <c r="E230" s="178">
        <f>'4B Biological treatment '!U283</f>
        <v>25.773836267047525</v>
      </c>
      <c r="F230" s="178">
        <f>'4B Biological treatment '!W283</f>
        <v>1.5464301760228516</v>
      </c>
      <c r="G230" s="1184">
        <f>'4C2 Open-burning '!R188</f>
        <v>20.108343020882199</v>
      </c>
      <c r="H230" s="1184">
        <f>'4C2 Open-burning '!Z188</f>
        <v>4.9520001889230096</v>
      </c>
      <c r="I230" s="1184">
        <f>'4C2 Open-burning '!AH188</f>
        <v>7.6292195803192353E-2</v>
      </c>
      <c r="J230" s="1220">
        <f>'4D Wastewater treatment and dis'!AV225</f>
        <v>240.35173160942776</v>
      </c>
      <c r="K230" s="981">
        <f>'4D Wastewater treatment and dis'!AW225</f>
        <v>3.7883603240770336</v>
      </c>
      <c r="L230" s="982">
        <f t="shared" si="150"/>
        <v>32095.167412923522</v>
      </c>
      <c r="M230" s="983">
        <f t="shared" si="146"/>
        <v>108.25011232159962</v>
      </c>
      <c r="N230" s="982">
        <f t="shared" si="147"/>
        <v>1020.643916175082</v>
      </c>
      <c r="O230" s="984">
        <f t="shared" si="148"/>
        <v>147.75092768725503</v>
      </c>
      <c r="P230" s="982">
        <f t="shared" si="149"/>
        <v>6221.7780642618636</v>
      </c>
      <c r="Q230" s="650">
        <f t="shared" si="141"/>
        <v>32095.167412923522</v>
      </c>
      <c r="R230" s="652">
        <f t="shared" si="142"/>
        <v>1128.8940284966816</v>
      </c>
      <c r="S230" s="649">
        <f t="shared" si="143"/>
        <v>147.75092768725503</v>
      </c>
      <c r="T230" s="650">
        <f t="shared" si="144"/>
        <v>6221.7780642618636</v>
      </c>
      <c r="U230" s="650">
        <f t="shared" si="145"/>
        <v>39593.590433369318</v>
      </c>
    </row>
    <row r="231" spans="1:21">
      <c r="A231">
        <f>'Input data'!A148</f>
        <v>2050</v>
      </c>
      <c r="C231" s="338">
        <f>'4A SWD Case 3'!BN118</f>
        <v>1518.2799388043406</v>
      </c>
      <c r="D231" s="3">
        <f>'4B Biological treatment '!T284</f>
        <v>5.4534331489411159</v>
      </c>
      <c r="E231" s="178">
        <f>'4B Biological treatment '!U284</f>
        <v>27.267165744705572</v>
      </c>
      <c r="F231" s="178">
        <f>'4B Biological treatment '!W284</f>
        <v>1.6360299446823345</v>
      </c>
      <c r="G231" s="1184">
        <f>'4C2 Open-burning '!R189</f>
        <v>20.211114119453001</v>
      </c>
      <c r="H231" s="1184">
        <f>'4C2 Open-burning '!Z189</f>
        <v>4.9773092111039983</v>
      </c>
      <c r="I231" s="1184">
        <f>'4C2 Open-burning '!AH189</f>
        <v>7.6682115189734085E-2</v>
      </c>
      <c r="J231" s="1220">
        <f>'4D Wastewater treatment and dis'!AV226</f>
        <v>241.58013772301177</v>
      </c>
      <c r="K231" s="981">
        <f>'4D Wastewater treatment and dis'!AW226</f>
        <v>3.8077221358326381</v>
      </c>
      <c r="L231" s="982">
        <f t="shared" si="150"/>
        <v>31883.878714891154</v>
      </c>
      <c r="M231" s="983">
        <f t="shared" si="146"/>
        <v>114.52209612776343</v>
      </c>
      <c r="N231" s="982">
        <f t="shared" si="147"/>
        <v>1079.7797634903407</v>
      </c>
      <c r="O231" s="984">
        <f t="shared" si="148"/>
        <v>148.50606326145453</v>
      </c>
      <c r="P231" s="982">
        <f t="shared" si="149"/>
        <v>6253.5767542913654</v>
      </c>
      <c r="Q231" s="583">
        <f t="shared" si="141"/>
        <v>31883.878714891154</v>
      </c>
      <c r="R231" s="648">
        <f t="shared" si="142"/>
        <v>1194.3018596181041</v>
      </c>
      <c r="S231" s="645">
        <f t="shared" si="143"/>
        <v>148.50606326145453</v>
      </c>
      <c r="T231" s="583">
        <f t="shared" si="144"/>
        <v>6253.5767542913654</v>
      </c>
      <c r="U231" s="583">
        <f t="shared" si="145"/>
        <v>39480.263392062079</v>
      </c>
    </row>
    <row r="232" spans="1:21">
      <c r="E232" s="646"/>
    </row>
    <row r="233" spans="1:21">
      <c r="E233" s="646"/>
    </row>
  </sheetData>
  <mergeCells count="35">
    <mergeCell ref="CF5:CG6"/>
    <mergeCell ref="CH5:CI6"/>
    <mergeCell ref="CJ5:CK6"/>
    <mergeCell ref="CL5:CM6"/>
    <mergeCell ref="CB5:CC6"/>
    <mergeCell ref="CD5:CE6"/>
    <mergeCell ref="BU5:BW6"/>
    <mergeCell ref="BX5:BZ6"/>
    <mergeCell ref="BO5:BQ6"/>
    <mergeCell ref="BR5:BT6"/>
    <mergeCell ref="L8:P8"/>
    <mergeCell ref="L5:P5"/>
    <mergeCell ref="Q8:U8"/>
    <mergeCell ref="Q5:U5"/>
    <mergeCell ref="M6:N6"/>
    <mergeCell ref="AP5:AT5"/>
    <mergeCell ref="AV5:AZ5"/>
    <mergeCell ref="BB5:BF5"/>
    <mergeCell ref="BI5:BK6"/>
    <mergeCell ref="BL5:BN6"/>
    <mergeCell ref="BH5:BH8"/>
    <mergeCell ref="AJ5:AN5"/>
    <mergeCell ref="A6:A8"/>
    <mergeCell ref="G7:I7"/>
    <mergeCell ref="E7:F7"/>
    <mergeCell ref="J7:K7"/>
    <mergeCell ref="B6:B7"/>
    <mergeCell ref="G6:I6"/>
    <mergeCell ref="D6:F6"/>
    <mergeCell ref="J6:K6"/>
    <mergeCell ref="W3:AD3"/>
    <mergeCell ref="C5:K5"/>
    <mergeCell ref="W6:W7"/>
    <mergeCell ref="X5:AB5"/>
    <mergeCell ref="AD5:AH5"/>
  </mergeCells>
  <phoneticPr fontId="16"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33C37-DD29-4951-B33B-3B39DFE9C46F}">
  <sheetPr codeName="Sheet4"/>
  <dimension ref="A2:AT108"/>
  <sheetViews>
    <sheetView topLeftCell="V27" zoomScale="49" zoomScaleNormal="70" workbookViewId="0">
      <selection activeCell="AS74" sqref="AS74"/>
    </sheetView>
  </sheetViews>
  <sheetFormatPr defaultRowHeight="15.75"/>
  <cols>
    <col min="2" max="2" width="25.7109375" customWidth="1"/>
    <col min="3" max="3" width="22" customWidth="1"/>
    <col min="4" max="4" width="25.28515625" customWidth="1"/>
    <col min="5" max="5" width="17.28515625" customWidth="1"/>
    <col min="6" max="6" width="15.5703125" style="183" customWidth="1"/>
    <col min="7" max="7" width="11.85546875" style="183" customWidth="1"/>
    <col min="8" max="8" width="13.85546875" style="183" customWidth="1"/>
    <col min="9" max="9" width="8.85546875" style="183"/>
    <col min="10" max="10" width="16.42578125" customWidth="1"/>
    <col min="11" max="11" width="10.140625" customWidth="1"/>
    <col min="12" max="12" width="14.28515625" customWidth="1"/>
    <col min="13" max="13" width="15.140625" customWidth="1"/>
    <col min="14" max="14" width="14.7109375" customWidth="1"/>
    <col min="15" max="15" width="13.42578125" customWidth="1"/>
    <col min="16" max="16" width="13.7109375" customWidth="1"/>
    <col min="17" max="17" width="14.140625" bestFit="1" customWidth="1"/>
    <col min="18" max="18" width="12.7109375" customWidth="1"/>
    <col min="19" max="19" width="24" customWidth="1"/>
    <col min="20" max="20" width="22.42578125" customWidth="1"/>
    <col min="21" max="21" width="17.85546875" customWidth="1"/>
    <col min="22" max="22" width="15.5703125" customWidth="1"/>
    <col min="23" max="23" width="14.7109375" customWidth="1"/>
    <col min="24" max="24" width="17.42578125" customWidth="1"/>
    <col min="25" max="25" width="15.5703125" customWidth="1"/>
    <col min="26" max="26" width="19.5703125" customWidth="1"/>
    <col min="27" max="27" width="12.7109375" customWidth="1"/>
    <col min="30" max="30" width="15.28515625" customWidth="1"/>
    <col min="31" max="31" width="16" customWidth="1"/>
    <col min="32" max="32" width="17.7109375" customWidth="1"/>
    <col min="33" max="33" width="16.7109375" customWidth="1"/>
    <col min="34" max="34" width="17.28515625" customWidth="1"/>
    <col min="37" max="37" width="11.7109375" bestFit="1" customWidth="1"/>
    <col min="38" max="38" width="12.140625" customWidth="1"/>
    <col min="39" max="39" width="13" customWidth="1"/>
    <col min="40" max="40" width="11.85546875" customWidth="1"/>
    <col min="41" max="41" width="13.42578125" customWidth="1"/>
    <col min="42" max="42" width="12.85546875" customWidth="1"/>
  </cols>
  <sheetData>
    <row r="2" spans="1:46" ht="19.5" thickBot="1">
      <c r="A2" s="497" t="s">
        <v>559</v>
      </c>
      <c r="B2" s="496"/>
      <c r="C2" s="4"/>
    </row>
    <row r="3" spans="1:46" ht="32.25" thickBot="1">
      <c r="B3" s="1581"/>
      <c r="C3" s="1581"/>
      <c r="E3" s="488"/>
      <c r="J3" s="488"/>
      <c r="K3" s="488"/>
      <c r="L3" s="488"/>
      <c r="M3" s="488"/>
      <c r="N3" s="488"/>
      <c r="O3" s="488"/>
      <c r="P3" s="488"/>
      <c r="AD3" s="698" t="s">
        <v>600</v>
      </c>
      <c r="AR3" s="1442" t="s">
        <v>717</v>
      </c>
      <c r="AS3" s="1443"/>
      <c r="AT3" s="1444"/>
    </row>
    <row r="4" spans="1:46" ht="50.45" customHeight="1">
      <c r="A4" s="1579" t="s">
        <v>217</v>
      </c>
      <c r="B4" s="656" t="str">
        <f>'Input data'!I46</f>
        <v>MSW per Capita</v>
      </c>
      <c r="C4" s="555" t="s">
        <v>560</v>
      </c>
      <c r="D4" s="1586" t="s">
        <v>557</v>
      </c>
      <c r="E4" s="1587"/>
      <c r="F4" s="1587"/>
      <c r="G4" s="1587"/>
      <c r="H4" s="1587"/>
      <c r="I4" s="1587"/>
      <c r="J4" s="1587"/>
      <c r="K4" s="1588"/>
      <c r="L4" s="1591" t="s">
        <v>561</v>
      </c>
      <c r="M4" s="1592"/>
      <c r="N4" s="1592"/>
      <c r="O4" s="1592"/>
      <c r="P4" s="1590"/>
      <c r="Q4" s="1589" t="s">
        <v>568</v>
      </c>
      <c r="R4" s="1590"/>
      <c r="S4" s="550" t="s">
        <v>551</v>
      </c>
      <c r="T4" s="551" t="s">
        <v>555</v>
      </c>
      <c r="U4" s="1582" t="s">
        <v>561</v>
      </c>
      <c r="V4" s="1583"/>
      <c r="W4" s="1583"/>
      <c r="X4" s="1583"/>
      <c r="Y4" s="1584"/>
      <c r="Z4" s="1582" t="s">
        <v>568</v>
      </c>
      <c r="AA4" s="1585"/>
      <c r="AC4" s="1577" t="s">
        <v>217</v>
      </c>
      <c r="AD4" s="1574" t="s">
        <v>603</v>
      </c>
      <c r="AE4" s="1575"/>
      <c r="AF4" s="1575"/>
      <c r="AG4" s="1575"/>
      <c r="AH4" s="1575"/>
      <c r="AI4" s="1576"/>
      <c r="AK4" s="1574" t="s">
        <v>604</v>
      </c>
      <c r="AL4" s="1575"/>
      <c r="AM4" s="1575"/>
      <c r="AN4" s="1575"/>
      <c r="AO4" s="1575"/>
      <c r="AP4" s="1576"/>
      <c r="AR4" s="1379" t="s">
        <v>609</v>
      </c>
      <c r="AS4" s="40" t="s">
        <v>718</v>
      </c>
      <c r="AT4" s="1380" t="s">
        <v>720</v>
      </c>
    </row>
    <row r="5" spans="1:46" ht="43.9" customHeight="1" thickBot="1">
      <c r="A5" s="1580"/>
      <c r="B5" s="561" t="s">
        <v>227</v>
      </c>
      <c r="C5" s="556" t="s">
        <v>228</v>
      </c>
      <c r="D5" s="557" t="s">
        <v>221</v>
      </c>
      <c r="E5" s="558" t="s">
        <v>85</v>
      </c>
      <c r="F5" s="558" t="s">
        <v>87</v>
      </c>
      <c r="G5" s="558" t="s">
        <v>222</v>
      </c>
      <c r="H5" s="558" t="s">
        <v>115</v>
      </c>
      <c r="I5" s="558" t="s">
        <v>223</v>
      </c>
      <c r="J5" s="558" t="s">
        <v>224</v>
      </c>
      <c r="K5" s="559" t="s">
        <v>225</v>
      </c>
      <c r="L5" s="549" t="s">
        <v>549</v>
      </c>
      <c r="M5" s="185" t="s">
        <v>565</v>
      </c>
      <c r="N5" s="185" t="s">
        <v>429</v>
      </c>
      <c r="O5" s="185" t="s">
        <v>553</v>
      </c>
      <c r="P5" s="188" t="s">
        <v>303</v>
      </c>
      <c r="Q5" s="509" t="s">
        <v>567</v>
      </c>
      <c r="R5" s="188" t="s">
        <v>416</v>
      </c>
      <c r="S5" s="552" t="s">
        <v>467</v>
      </c>
      <c r="T5" s="553" t="s">
        <v>228</v>
      </c>
      <c r="U5" s="553" t="s">
        <v>549</v>
      </c>
      <c r="V5" s="553" t="s">
        <v>565</v>
      </c>
      <c r="W5" s="553" t="s">
        <v>429</v>
      </c>
      <c r="X5" s="553" t="s">
        <v>553</v>
      </c>
      <c r="Y5" s="553" t="s">
        <v>303</v>
      </c>
      <c r="Z5" s="553" t="s">
        <v>567</v>
      </c>
      <c r="AA5" s="554" t="s">
        <v>416</v>
      </c>
      <c r="AC5" s="1578"/>
      <c r="AD5" s="557" t="s">
        <v>549</v>
      </c>
      <c r="AE5" s="558" t="s">
        <v>601</v>
      </c>
      <c r="AF5" s="558" t="s">
        <v>602</v>
      </c>
      <c r="AG5" s="558" t="s">
        <v>429</v>
      </c>
      <c r="AH5" s="558" t="s">
        <v>553</v>
      </c>
      <c r="AI5" s="559" t="s">
        <v>303</v>
      </c>
      <c r="AK5" s="557" t="s">
        <v>549</v>
      </c>
      <c r="AL5" s="558" t="s">
        <v>601</v>
      </c>
      <c r="AM5" s="558" t="s">
        <v>602</v>
      </c>
      <c r="AN5" s="558" t="s">
        <v>429</v>
      </c>
      <c r="AO5" s="558" t="s">
        <v>553</v>
      </c>
      <c r="AP5" s="559" t="s">
        <v>303</v>
      </c>
      <c r="AR5" s="1379" t="s">
        <v>719</v>
      </c>
      <c r="AS5" s="40" t="s">
        <v>229</v>
      </c>
      <c r="AT5" s="1380" t="s">
        <v>719</v>
      </c>
    </row>
    <row r="6" spans="1:46" ht="15.6" customHeight="1">
      <c r="A6">
        <f>'Input data'!A48</f>
        <v>1950</v>
      </c>
      <c r="B6" s="657">
        <f>'Input data'!I48</f>
        <v>578.73</v>
      </c>
      <c r="C6" s="238">
        <f>B6*'Input data'!B48</f>
        <v>3098.6118014670001</v>
      </c>
      <c r="D6" s="510">
        <f>'Input data'!M48</f>
        <v>0.19892488097366726</v>
      </c>
      <c r="E6" s="510">
        <f>'Input data'!N48</f>
        <v>0.26585903447659598</v>
      </c>
      <c r="F6" s="510">
        <f>'Input data'!O48</f>
        <v>8.9228108703258049E-2</v>
      </c>
      <c r="G6" s="510">
        <f>'Input data'!P48</f>
        <v>0</v>
      </c>
      <c r="H6" s="510">
        <f>'Input data'!Q48</f>
        <v>0</v>
      </c>
      <c r="I6" s="510">
        <f>'Input data'!R48</f>
        <v>0</v>
      </c>
      <c r="J6" s="510">
        <f>'Input data'!S48</f>
        <v>0.4459879758464787</v>
      </c>
      <c r="K6" s="510">
        <f>'Input data'!T48</f>
        <v>1</v>
      </c>
      <c r="L6" s="499">
        <f>'Input data'!B36</f>
        <v>0.8</v>
      </c>
      <c r="M6" s="499">
        <f>'Input data'!C36</f>
        <v>0.11</v>
      </c>
      <c r="N6" s="499">
        <f>'Input data'!D36</f>
        <v>0.09</v>
      </c>
      <c r="O6" s="499">
        <f>'Input data'!E36</f>
        <v>0</v>
      </c>
      <c r="P6" s="499">
        <f>SUM(L6:O6)</f>
        <v>1</v>
      </c>
      <c r="Q6" s="510">
        <f>'Input data'!$G$33</f>
        <v>0.66241124199764068</v>
      </c>
      <c r="R6" s="658">
        <f>'Input data'!$H$33</f>
        <v>0.33758875800235938</v>
      </c>
      <c r="S6" s="654">
        <f>'Input data'!J48</f>
        <v>27.526054267727826</v>
      </c>
      <c r="T6" s="238">
        <f>'Input data'!L48</f>
        <v>0</v>
      </c>
      <c r="U6" s="499">
        <f>'Input data'!B34</f>
        <v>0.85641924869700936</v>
      </c>
      <c r="V6" s="499">
        <f>'Input data'!C34</f>
        <v>0.14268338865096522</v>
      </c>
      <c r="W6" s="499">
        <f>'Input data'!D34</f>
        <v>0</v>
      </c>
      <c r="X6" s="499">
        <f>'Input data'!E34</f>
        <v>8.973626520254116E-4</v>
      </c>
      <c r="Y6" s="499">
        <f>SUM(U6:X6)</f>
        <v>1</v>
      </c>
      <c r="Z6" s="581">
        <f>'Input data'!G34</f>
        <v>0.49613166950665732</v>
      </c>
      <c r="AA6" s="655">
        <f>'Input data'!H34</f>
        <v>0.50386833049334279</v>
      </c>
      <c r="AC6" s="693">
        <f>A6</f>
        <v>1950</v>
      </c>
      <c r="AD6" s="237">
        <f>C6*L6</f>
        <v>2478.8894411736001</v>
      </c>
      <c r="AE6" s="238">
        <f>C6*Q6*M6</f>
        <v>225.78108210661327</v>
      </c>
      <c r="AF6" s="238">
        <f>C6*M6*R6</f>
        <v>115.06621605475678</v>
      </c>
      <c r="AG6" s="238">
        <f>C6*N6</f>
        <v>278.87506213203</v>
      </c>
      <c r="AH6" s="238">
        <f>C6*O6</f>
        <v>0</v>
      </c>
      <c r="AI6" s="239">
        <f>SUM(AD6:AH6)</f>
        <v>3098.6118014670001</v>
      </c>
      <c r="AK6" s="671">
        <f>U6*T6</f>
        <v>0</v>
      </c>
      <c r="AL6" s="672">
        <f>T6*V6*Z6</f>
        <v>0</v>
      </c>
      <c r="AM6" s="672">
        <f>AA6*V6*T6</f>
        <v>0</v>
      </c>
      <c r="AN6" s="238">
        <f>W6*T6</f>
        <v>0</v>
      </c>
      <c r="AO6" s="673">
        <f>X6*T6</f>
        <v>0</v>
      </c>
      <c r="AP6" s="674">
        <f>SUM(AK6:AO6)</f>
        <v>0</v>
      </c>
      <c r="AR6" s="861">
        <f>(AP6+AI6)*1000/10^6</f>
        <v>3.0986118014669999</v>
      </c>
      <c r="AS6" s="713">
        <f>(AP6+AI6-AK6-AD6)/(AD6+AK6)</f>
        <v>0.25</v>
      </c>
      <c r="AT6" s="3">
        <f>'Input data'!D48/10^6</f>
        <v>0</v>
      </c>
    </row>
    <row r="7" spans="1:46">
      <c r="A7">
        <f>'Input data'!A49</f>
        <v>1951</v>
      </c>
      <c r="B7" s="657">
        <f>'Input data'!I49</f>
        <v>578.73</v>
      </c>
      <c r="C7" s="238">
        <f>B7*'Input data'!B49</f>
        <v>3205.8334210812</v>
      </c>
      <c r="D7" s="510">
        <f>'Input data'!M49</f>
        <v>0.19892488097366726</v>
      </c>
      <c r="E7" s="510">
        <f>'Input data'!N49</f>
        <v>0.26585903447659598</v>
      </c>
      <c r="F7" s="510">
        <f>'Input data'!O49</f>
        <v>8.9228108703258049E-2</v>
      </c>
      <c r="G7" s="510">
        <f>'Input data'!P49</f>
        <v>0</v>
      </c>
      <c r="H7" s="510">
        <f>'Input data'!Q49</f>
        <v>0</v>
      </c>
      <c r="I7" s="510">
        <f>'Input data'!R49</f>
        <v>0</v>
      </c>
      <c r="J7" s="510">
        <f>'Input data'!S49</f>
        <v>0.4459879758464787</v>
      </c>
      <c r="K7" s="510">
        <f>'Input data'!T49</f>
        <v>1</v>
      </c>
      <c r="L7" s="499">
        <f>L6</f>
        <v>0.8</v>
      </c>
      <c r="M7" s="499">
        <f t="shared" ref="M7:O7" si="0">M6</f>
        <v>0.11</v>
      </c>
      <c r="N7" s="499">
        <f t="shared" si="0"/>
        <v>0.09</v>
      </c>
      <c r="O7" s="499">
        <f t="shared" si="0"/>
        <v>0</v>
      </c>
      <c r="P7" s="499">
        <f t="shared" ref="P7:P70" si="1">SUM(L7:O7)</f>
        <v>1</v>
      </c>
      <c r="Q7" s="510">
        <f>'Input data'!$G$33</f>
        <v>0.66241124199764068</v>
      </c>
      <c r="R7" s="658">
        <f>'Input data'!$H$33</f>
        <v>0.33758875800235938</v>
      </c>
      <c r="S7" s="654">
        <f>'Input data'!J49</f>
        <v>27.526054267727826</v>
      </c>
      <c r="T7" s="238">
        <f>'Input data'!L49</f>
        <v>0</v>
      </c>
      <c r="U7" s="510">
        <f>U6</f>
        <v>0.85641924869700936</v>
      </c>
      <c r="V7" s="510">
        <f t="shared" ref="V7:X7" si="2">V6</f>
        <v>0.14268338865096522</v>
      </c>
      <c r="W7" s="510">
        <f t="shared" si="2"/>
        <v>0</v>
      </c>
      <c r="X7" s="510">
        <f t="shared" si="2"/>
        <v>8.973626520254116E-4</v>
      </c>
      <c r="Y7" s="499">
        <f>SUM(U7:X7)</f>
        <v>1</v>
      </c>
      <c r="Z7" s="581">
        <f>Z6</f>
        <v>0.49613166950665732</v>
      </c>
      <c r="AA7" s="655">
        <f>AA6</f>
        <v>0.50386833049334279</v>
      </c>
      <c r="AC7" s="693">
        <f t="shared" ref="AC7:AC70" si="3">A7</f>
        <v>1951</v>
      </c>
      <c r="AD7" s="237">
        <f t="shared" ref="AD7:AD70" si="4">C7*L7</f>
        <v>2564.6667368649601</v>
      </c>
      <c r="AE7" s="238">
        <f t="shared" ref="AE7:AE70" si="5">C7*Q7*M7</f>
        <v>233.59381079055373</v>
      </c>
      <c r="AF7" s="238">
        <f t="shared" ref="AF7:AF70" si="6">C7*M7*R7</f>
        <v>119.04786552837828</v>
      </c>
      <c r="AG7" s="238">
        <f t="shared" ref="AG7:AG70" si="7">C7*N7</f>
        <v>288.525007897308</v>
      </c>
      <c r="AH7" s="238">
        <f t="shared" ref="AH7:AH70" si="8">C7*O7</f>
        <v>0</v>
      </c>
      <c r="AI7" s="239">
        <f t="shared" ref="AI7:AI70" si="9">SUM(AD7:AH7)</f>
        <v>3205.8334210812</v>
      </c>
      <c r="AK7" s="671">
        <f t="shared" ref="AK7:AK70" si="10">U7*T7</f>
        <v>0</v>
      </c>
      <c r="AL7" s="672">
        <f t="shared" ref="AL7:AL70" si="11">T7*V7*Z7</f>
        <v>0</v>
      </c>
      <c r="AM7" s="672">
        <f t="shared" ref="AM7:AM70" si="12">AA7*V7*T7</f>
        <v>0</v>
      </c>
      <c r="AN7" s="238">
        <f t="shared" ref="AN7:AN70" si="13">W7*T7</f>
        <v>0</v>
      </c>
      <c r="AO7" s="673">
        <f t="shared" ref="AO7:AO70" si="14">X7*T7</f>
        <v>0</v>
      </c>
      <c r="AP7" s="674">
        <f t="shared" ref="AP7:AP70" si="15">SUM(AK7:AO7)</f>
        <v>0</v>
      </c>
      <c r="AR7" s="861">
        <f>(AP7+AI7)*1000/10^6</f>
        <v>3.2058334210811998</v>
      </c>
      <c r="AS7" s="713">
        <f>(AP7+AI7-AK7-AD7)/(AD7+AK7)</f>
        <v>0.24999999999999994</v>
      </c>
      <c r="AT7" s="3">
        <f>'Input data'!D49/10^6</f>
        <v>0</v>
      </c>
    </row>
    <row r="8" spans="1:46">
      <c r="A8">
        <f>'Input data'!A50</f>
        <v>1952</v>
      </c>
      <c r="B8" s="657">
        <f>'Input data'!I50</f>
        <v>578.73</v>
      </c>
      <c r="C8" s="238">
        <f>B8*'Input data'!B50</f>
        <v>3306.2423700306003</v>
      </c>
      <c r="D8" s="510">
        <f>'Input data'!M50</f>
        <v>0.19892488097366726</v>
      </c>
      <c r="E8" s="510">
        <f>'Input data'!N50</f>
        <v>0.26585903447659598</v>
      </c>
      <c r="F8" s="510">
        <f>'Input data'!O50</f>
        <v>8.9228108703258049E-2</v>
      </c>
      <c r="G8" s="510">
        <f>'Input data'!P50</f>
        <v>0</v>
      </c>
      <c r="H8" s="510">
        <f>'Input data'!Q50</f>
        <v>0</v>
      </c>
      <c r="I8" s="510">
        <f>'Input data'!R50</f>
        <v>0</v>
      </c>
      <c r="J8" s="510">
        <f>'Input data'!S50</f>
        <v>0.4459879758464787</v>
      </c>
      <c r="K8" s="510">
        <f>'Input data'!T50</f>
        <v>1</v>
      </c>
      <c r="L8" s="499">
        <f t="shared" ref="L8:L56" si="16">L7</f>
        <v>0.8</v>
      </c>
      <c r="M8" s="499">
        <f t="shared" ref="M8:M56" si="17">M7</f>
        <v>0.11</v>
      </c>
      <c r="N8" s="499">
        <f t="shared" ref="N8:N65" si="18">N7</f>
        <v>0.09</v>
      </c>
      <c r="O8" s="499">
        <f t="shared" ref="O8:O71" si="19">O7</f>
        <v>0</v>
      </c>
      <c r="P8" s="499">
        <f t="shared" si="1"/>
        <v>1</v>
      </c>
      <c r="Q8" s="510">
        <f>'Input data'!$G$33</f>
        <v>0.66241124199764068</v>
      </c>
      <c r="R8" s="658">
        <f>'Input data'!$H$33</f>
        <v>0.33758875800235938</v>
      </c>
      <c r="S8" s="654">
        <f>'Input data'!J50</f>
        <v>27.526054267727826</v>
      </c>
      <c r="T8" s="238">
        <f>'Input data'!L50</f>
        <v>0</v>
      </c>
      <c r="U8" s="510">
        <f t="shared" ref="U8:U71" si="20">U7</f>
        <v>0.85641924869700936</v>
      </c>
      <c r="V8" s="510">
        <f t="shared" ref="V8:V71" si="21">V7</f>
        <v>0.14268338865096522</v>
      </c>
      <c r="W8" s="510">
        <f t="shared" ref="W8:W71" si="22">W7</f>
        <v>0</v>
      </c>
      <c r="X8" s="510">
        <f t="shared" ref="X8:X71" si="23">X7</f>
        <v>8.973626520254116E-4</v>
      </c>
      <c r="Y8" s="499">
        <f t="shared" ref="Y8:Y71" si="24">SUM(U8:X8)</f>
        <v>1</v>
      </c>
      <c r="Z8" s="581">
        <f t="shared" ref="Z8:Z71" si="25">Z7</f>
        <v>0.49613166950665732</v>
      </c>
      <c r="AA8" s="655">
        <f t="shared" ref="AA8:AA71" si="26">AA7</f>
        <v>0.50386833049334279</v>
      </c>
      <c r="AC8" s="693">
        <f t="shared" si="3"/>
        <v>1952</v>
      </c>
      <c r="AD8" s="237">
        <f t="shared" si="4"/>
        <v>2644.9938960244804</v>
      </c>
      <c r="AE8" s="238">
        <f t="shared" si="5"/>
        <v>240.91013261449123</v>
      </c>
      <c r="AF8" s="238">
        <f t="shared" si="6"/>
        <v>122.77652808887483</v>
      </c>
      <c r="AG8" s="238">
        <f t="shared" si="7"/>
        <v>297.56181330275405</v>
      </c>
      <c r="AH8" s="238">
        <f t="shared" si="8"/>
        <v>0</v>
      </c>
      <c r="AI8" s="239">
        <f t="shared" si="9"/>
        <v>3306.2423700306008</v>
      </c>
      <c r="AK8" s="671">
        <f t="shared" si="10"/>
        <v>0</v>
      </c>
      <c r="AL8" s="672">
        <f t="shared" si="11"/>
        <v>0</v>
      </c>
      <c r="AM8" s="672">
        <f t="shared" si="12"/>
        <v>0</v>
      </c>
      <c r="AN8" s="238">
        <f t="shared" si="13"/>
        <v>0</v>
      </c>
      <c r="AO8" s="673">
        <f t="shared" si="14"/>
        <v>0</v>
      </c>
      <c r="AP8" s="674">
        <f t="shared" si="15"/>
        <v>0</v>
      </c>
      <c r="AR8" s="861">
        <f t="shared" ref="AR8:AR71" si="27">(AP8+AI8)*1000/10^6</f>
        <v>3.3062423700306005</v>
      </c>
      <c r="AS8" s="713">
        <f t="shared" ref="AS8:AS71" si="28">(AP8+AI8-AK8-AD8)/(AD8+AK8)</f>
        <v>0.25000000000000011</v>
      </c>
      <c r="AT8" s="3">
        <f>'Input data'!D50/10^6</f>
        <v>0</v>
      </c>
    </row>
    <row r="9" spans="1:46">
      <c r="A9">
        <f>'Input data'!A51</f>
        <v>1953</v>
      </c>
      <c r="B9" s="657">
        <f>'Input data'!I51</f>
        <v>578.73</v>
      </c>
      <c r="C9" s="238">
        <f>B9*'Input data'!B51</f>
        <v>3430.9601665794003</v>
      </c>
      <c r="D9" s="510">
        <f>'Input data'!M51</f>
        <v>0.19892488097366726</v>
      </c>
      <c r="E9" s="510">
        <f>'Input data'!N51</f>
        <v>0.26585903447659598</v>
      </c>
      <c r="F9" s="510">
        <f>'Input data'!O51</f>
        <v>8.9228108703258049E-2</v>
      </c>
      <c r="G9" s="510">
        <f>'Input data'!P51</f>
        <v>0</v>
      </c>
      <c r="H9" s="510">
        <f>'Input data'!Q51</f>
        <v>0</v>
      </c>
      <c r="I9" s="510">
        <f>'Input data'!R51</f>
        <v>0</v>
      </c>
      <c r="J9" s="510">
        <f>'Input data'!S51</f>
        <v>0.4459879758464787</v>
      </c>
      <c r="K9" s="510">
        <f>'Input data'!T51</f>
        <v>1</v>
      </c>
      <c r="L9" s="499">
        <f t="shared" si="16"/>
        <v>0.8</v>
      </c>
      <c r="M9" s="499">
        <f t="shared" si="17"/>
        <v>0.11</v>
      </c>
      <c r="N9" s="499">
        <f t="shared" si="18"/>
        <v>0.09</v>
      </c>
      <c r="O9" s="499">
        <f t="shared" si="19"/>
        <v>0</v>
      </c>
      <c r="P9" s="499">
        <f t="shared" si="1"/>
        <v>1</v>
      </c>
      <c r="Q9" s="510">
        <f>'Input data'!$G$33</f>
        <v>0.66241124199764068</v>
      </c>
      <c r="R9" s="658">
        <f>'Input data'!$H$33</f>
        <v>0.33758875800235938</v>
      </c>
      <c r="S9" s="654">
        <f>'Input data'!J51</f>
        <v>27.526054267727826</v>
      </c>
      <c r="T9" s="238">
        <f>'Input data'!L51</f>
        <v>0</v>
      </c>
      <c r="U9" s="510">
        <f t="shared" si="20"/>
        <v>0.85641924869700936</v>
      </c>
      <c r="V9" s="510">
        <f t="shared" si="21"/>
        <v>0.14268338865096522</v>
      </c>
      <c r="W9" s="510">
        <f t="shared" si="22"/>
        <v>0</v>
      </c>
      <c r="X9" s="510">
        <f t="shared" si="23"/>
        <v>8.973626520254116E-4</v>
      </c>
      <c r="Y9" s="499">
        <f t="shared" si="24"/>
        <v>1</v>
      </c>
      <c r="Z9" s="581">
        <f t="shared" si="25"/>
        <v>0.49613166950665732</v>
      </c>
      <c r="AA9" s="655">
        <f t="shared" si="26"/>
        <v>0.50386833049334279</v>
      </c>
      <c r="AC9" s="693">
        <f t="shared" si="3"/>
        <v>1953</v>
      </c>
      <c r="AD9" s="237">
        <f t="shared" si="4"/>
        <v>2744.7681332635202</v>
      </c>
      <c r="AE9" s="238">
        <f t="shared" si="5"/>
        <v>249.99772437071218</v>
      </c>
      <c r="AF9" s="238">
        <f t="shared" si="6"/>
        <v>127.40789395302185</v>
      </c>
      <c r="AG9" s="238">
        <f t="shared" si="7"/>
        <v>308.78641499214604</v>
      </c>
      <c r="AH9" s="238">
        <f t="shared" si="8"/>
        <v>0</v>
      </c>
      <c r="AI9" s="239">
        <f t="shared" si="9"/>
        <v>3430.9601665794003</v>
      </c>
      <c r="AK9" s="671">
        <f t="shared" si="10"/>
        <v>0</v>
      </c>
      <c r="AL9" s="672">
        <f t="shared" si="11"/>
        <v>0</v>
      </c>
      <c r="AM9" s="672">
        <f t="shared" si="12"/>
        <v>0</v>
      </c>
      <c r="AN9" s="238">
        <f t="shared" si="13"/>
        <v>0</v>
      </c>
      <c r="AO9" s="673">
        <f t="shared" si="14"/>
        <v>0</v>
      </c>
      <c r="AP9" s="674">
        <f t="shared" si="15"/>
        <v>0</v>
      </c>
      <c r="AR9" s="861">
        <f t="shared" si="27"/>
        <v>3.4309601665794003</v>
      </c>
      <c r="AS9" s="713">
        <f t="shared" si="28"/>
        <v>0.25</v>
      </c>
      <c r="AT9" s="3">
        <f>'Input data'!D51/10^6</f>
        <v>0</v>
      </c>
    </row>
    <row r="10" spans="1:46">
      <c r="A10">
        <f>'Input data'!A52</f>
        <v>1954</v>
      </c>
      <c r="B10" s="657">
        <f>'Input data'!I52</f>
        <v>578.73</v>
      </c>
      <c r="C10" s="238">
        <f>B10*'Input data'!B52</f>
        <v>3534.0550014587998</v>
      </c>
      <c r="D10" s="510">
        <f>'Input data'!M52</f>
        <v>0.19892488097366726</v>
      </c>
      <c r="E10" s="510">
        <f>'Input data'!N52</f>
        <v>0.26585903447659598</v>
      </c>
      <c r="F10" s="510">
        <f>'Input data'!O52</f>
        <v>8.9228108703258049E-2</v>
      </c>
      <c r="G10" s="510">
        <f>'Input data'!P52</f>
        <v>0</v>
      </c>
      <c r="H10" s="510">
        <f>'Input data'!Q52</f>
        <v>0</v>
      </c>
      <c r="I10" s="510">
        <f>'Input data'!R52</f>
        <v>0</v>
      </c>
      <c r="J10" s="510">
        <f>'Input data'!S52</f>
        <v>0.4459879758464787</v>
      </c>
      <c r="K10" s="510">
        <f>'Input data'!T52</f>
        <v>1</v>
      </c>
      <c r="L10" s="499">
        <f t="shared" si="16"/>
        <v>0.8</v>
      </c>
      <c r="M10" s="499">
        <f t="shared" si="17"/>
        <v>0.11</v>
      </c>
      <c r="N10" s="499">
        <f t="shared" si="18"/>
        <v>0.09</v>
      </c>
      <c r="O10" s="499">
        <f t="shared" si="19"/>
        <v>0</v>
      </c>
      <c r="P10" s="499">
        <f t="shared" si="1"/>
        <v>1</v>
      </c>
      <c r="Q10" s="510">
        <f>'Input data'!$G$33</f>
        <v>0.66241124199764068</v>
      </c>
      <c r="R10" s="658">
        <f>'Input data'!$H$33</f>
        <v>0.33758875800235938</v>
      </c>
      <c r="S10" s="654">
        <f>'Input data'!J52</f>
        <v>27.526054267727826</v>
      </c>
      <c r="T10" s="238">
        <f>'Input data'!L52</f>
        <v>0</v>
      </c>
      <c r="U10" s="510">
        <f t="shared" si="20"/>
        <v>0.85641924869700936</v>
      </c>
      <c r="V10" s="510">
        <f t="shared" si="21"/>
        <v>0.14268338865096522</v>
      </c>
      <c r="W10" s="510">
        <f t="shared" si="22"/>
        <v>0</v>
      </c>
      <c r="X10" s="510">
        <f t="shared" si="23"/>
        <v>8.973626520254116E-4</v>
      </c>
      <c r="Y10" s="499">
        <f t="shared" si="24"/>
        <v>1</v>
      </c>
      <c r="Z10" s="581">
        <f t="shared" si="25"/>
        <v>0.49613166950665732</v>
      </c>
      <c r="AA10" s="655">
        <f t="shared" si="26"/>
        <v>0.50386833049334279</v>
      </c>
      <c r="AC10" s="693">
        <f t="shared" si="3"/>
        <v>1954</v>
      </c>
      <c r="AD10" s="237">
        <f t="shared" si="4"/>
        <v>2827.2440011670401</v>
      </c>
      <c r="AE10" s="238">
        <f t="shared" si="5"/>
        <v>257.5097539084727</v>
      </c>
      <c r="AF10" s="238">
        <f t="shared" si="6"/>
        <v>131.23629625199527</v>
      </c>
      <c r="AG10" s="238">
        <f t="shared" si="7"/>
        <v>318.06495013129199</v>
      </c>
      <c r="AH10" s="238">
        <f t="shared" si="8"/>
        <v>0</v>
      </c>
      <c r="AI10" s="239">
        <f t="shared" si="9"/>
        <v>3534.0550014587998</v>
      </c>
      <c r="AK10" s="671">
        <f t="shared" si="10"/>
        <v>0</v>
      </c>
      <c r="AL10" s="672">
        <f t="shared" si="11"/>
        <v>0</v>
      </c>
      <c r="AM10" s="672">
        <f t="shared" si="12"/>
        <v>0</v>
      </c>
      <c r="AN10" s="238">
        <f t="shared" si="13"/>
        <v>0</v>
      </c>
      <c r="AO10" s="673">
        <f t="shared" si="14"/>
        <v>0</v>
      </c>
      <c r="AP10" s="674">
        <f t="shared" si="15"/>
        <v>0</v>
      </c>
      <c r="AR10" s="861">
        <f t="shared" si="27"/>
        <v>3.5340550014588001</v>
      </c>
      <c r="AS10" s="713">
        <f t="shared" si="28"/>
        <v>0.24999999999999989</v>
      </c>
      <c r="AT10" s="3">
        <f>'Input data'!D52/10^6</f>
        <v>0</v>
      </c>
    </row>
    <row r="11" spans="1:46">
      <c r="A11">
        <f>'Input data'!A53</f>
        <v>1955</v>
      </c>
      <c r="B11" s="657">
        <f>'Input data'!I53</f>
        <v>578.73</v>
      </c>
      <c r="C11" s="238">
        <f>B11*'Input data'!B53</f>
        <v>3630.1212415104001</v>
      </c>
      <c r="D11" s="510">
        <f>'Input data'!M53</f>
        <v>0.19892488097366726</v>
      </c>
      <c r="E11" s="510">
        <f>'Input data'!N53</f>
        <v>0.26585903447659598</v>
      </c>
      <c r="F11" s="510">
        <f>'Input data'!O53</f>
        <v>8.9228108703258049E-2</v>
      </c>
      <c r="G11" s="510">
        <f>'Input data'!P53</f>
        <v>0</v>
      </c>
      <c r="H11" s="510">
        <f>'Input data'!Q53</f>
        <v>0</v>
      </c>
      <c r="I11" s="510">
        <f>'Input data'!R53</f>
        <v>0</v>
      </c>
      <c r="J11" s="510">
        <f>'Input data'!S53</f>
        <v>0.4459879758464787</v>
      </c>
      <c r="K11" s="510">
        <f>'Input data'!T53</f>
        <v>1</v>
      </c>
      <c r="L11" s="499">
        <f t="shared" si="16"/>
        <v>0.8</v>
      </c>
      <c r="M11" s="499">
        <f t="shared" si="17"/>
        <v>0.11</v>
      </c>
      <c r="N11" s="499">
        <f t="shared" si="18"/>
        <v>0.09</v>
      </c>
      <c r="O11" s="499">
        <f t="shared" si="19"/>
        <v>0</v>
      </c>
      <c r="P11" s="499">
        <f t="shared" si="1"/>
        <v>1</v>
      </c>
      <c r="Q11" s="510">
        <f>'Input data'!$G$33</f>
        <v>0.66241124199764068</v>
      </c>
      <c r="R11" s="658">
        <f>'Input data'!$H$33</f>
        <v>0.33758875800235938</v>
      </c>
      <c r="S11" s="654">
        <f>'Input data'!J53</f>
        <v>27.526054267727826</v>
      </c>
      <c r="T11" s="238">
        <f>'Input data'!L53</f>
        <v>0</v>
      </c>
      <c r="U11" s="510">
        <f t="shared" si="20"/>
        <v>0.85641924869700936</v>
      </c>
      <c r="V11" s="510">
        <f t="shared" si="21"/>
        <v>0.14268338865096522</v>
      </c>
      <c r="W11" s="510">
        <f t="shared" si="22"/>
        <v>0</v>
      </c>
      <c r="X11" s="510">
        <f t="shared" si="23"/>
        <v>8.973626520254116E-4</v>
      </c>
      <c r="Y11" s="499">
        <f t="shared" si="24"/>
        <v>1</v>
      </c>
      <c r="Z11" s="581">
        <f t="shared" si="25"/>
        <v>0.49613166950665732</v>
      </c>
      <c r="AA11" s="655">
        <f t="shared" si="26"/>
        <v>0.50386833049334279</v>
      </c>
      <c r="AC11" s="693">
        <f t="shared" si="3"/>
        <v>1955</v>
      </c>
      <c r="AD11" s="237">
        <f t="shared" si="4"/>
        <v>2904.0969932083203</v>
      </c>
      <c r="AE11" s="238">
        <f t="shared" si="5"/>
        <v>264.5096432210014</v>
      </c>
      <c r="AF11" s="238">
        <f t="shared" si="6"/>
        <v>134.80369334514268</v>
      </c>
      <c r="AG11" s="238">
        <f t="shared" si="7"/>
        <v>326.71091173593601</v>
      </c>
      <c r="AH11" s="238">
        <f t="shared" si="8"/>
        <v>0</v>
      </c>
      <c r="AI11" s="239">
        <f t="shared" si="9"/>
        <v>3630.1212415104005</v>
      </c>
      <c r="AK11" s="671">
        <f t="shared" si="10"/>
        <v>0</v>
      </c>
      <c r="AL11" s="672">
        <f t="shared" si="11"/>
        <v>0</v>
      </c>
      <c r="AM11" s="672">
        <f t="shared" si="12"/>
        <v>0</v>
      </c>
      <c r="AN11" s="238">
        <f t="shared" si="13"/>
        <v>0</v>
      </c>
      <c r="AO11" s="673">
        <f t="shared" si="14"/>
        <v>0</v>
      </c>
      <c r="AP11" s="674">
        <f t="shared" si="15"/>
        <v>0</v>
      </c>
      <c r="AR11" s="861">
        <f t="shared" si="27"/>
        <v>3.6301212415104005</v>
      </c>
      <c r="AS11" s="713">
        <f t="shared" si="28"/>
        <v>0.25000000000000006</v>
      </c>
      <c r="AT11" s="3">
        <f>'Input data'!D53/10^6</f>
        <v>0</v>
      </c>
    </row>
    <row r="12" spans="1:46">
      <c r="A12">
        <f>'Input data'!A54</f>
        <v>1956</v>
      </c>
      <c r="B12" s="657">
        <f>'Input data'!I54</f>
        <v>578.73</v>
      </c>
      <c r="C12" s="238">
        <f>B12*'Input data'!B54</f>
        <v>3741.5970937800003</v>
      </c>
      <c r="D12" s="510">
        <f>'Input data'!M54</f>
        <v>0.19892488097366726</v>
      </c>
      <c r="E12" s="510">
        <f>'Input data'!N54</f>
        <v>0.26585903447659598</v>
      </c>
      <c r="F12" s="510">
        <f>'Input data'!O54</f>
        <v>8.9228108703258049E-2</v>
      </c>
      <c r="G12" s="510">
        <f>'Input data'!P54</f>
        <v>0</v>
      </c>
      <c r="H12" s="510">
        <f>'Input data'!Q54</f>
        <v>0</v>
      </c>
      <c r="I12" s="510">
        <f>'Input data'!R54</f>
        <v>0</v>
      </c>
      <c r="J12" s="510">
        <f>'Input data'!S54</f>
        <v>0.4459879758464787</v>
      </c>
      <c r="K12" s="510">
        <f>'Input data'!T54</f>
        <v>1</v>
      </c>
      <c r="L12" s="499">
        <f t="shared" si="16"/>
        <v>0.8</v>
      </c>
      <c r="M12" s="499">
        <f t="shared" si="17"/>
        <v>0.11</v>
      </c>
      <c r="N12" s="499">
        <f t="shared" si="18"/>
        <v>0.09</v>
      </c>
      <c r="O12" s="499">
        <f t="shared" si="19"/>
        <v>0</v>
      </c>
      <c r="P12" s="499">
        <f t="shared" si="1"/>
        <v>1</v>
      </c>
      <c r="Q12" s="510">
        <f>'Input data'!$G$33</f>
        <v>0.66241124199764068</v>
      </c>
      <c r="R12" s="658">
        <f>'Input data'!$H$33</f>
        <v>0.33758875800235938</v>
      </c>
      <c r="S12" s="654">
        <f>'Input data'!J54</f>
        <v>27.526054267727826</v>
      </c>
      <c r="T12" s="238">
        <f>'Input data'!L54</f>
        <v>0</v>
      </c>
      <c r="U12" s="510">
        <f t="shared" si="20"/>
        <v>0.85641924869700936</v>
      </c>
      <c r="V12" s="510">
        <f t="shared" si="21"/>
        <v>0.14268338865096522</v>
      </c>
      <c r="W12" s="510">
        <f t="shared" si="22"/>
        <v>0</v>
      </c>
      <c r="X12" s="510">
        <f t="shared" si="23"/>
        <v>8.973626520254116E-4</v>
      </c>
      <c r="Y12" s="499">
        <f t="shared" si="24"/>
        <v>1</v>
      </c>
      <c r="Z12" s="581">
        <f t="shared" si="25"/>
        <v>0.49613166950665732</v>
      </c>
      <c r="AA12" s="655">
        <f t="shared" si="26"/>
        <v>0.50386833049334279</v>
      </c>
      <c r="AC12" s="693">
        <f t="shared" si="3"/>
        <v>1956</v>
      </c>
      <c r="AD12" s="237">
        <f t="shared" si="4"/>
        <v>2993.2776750240005</v>
      </c>
      <c r="AE12" s="238">
        <f t="shared" si="5"/>
        <v>272.63235757401299</v>
      </c>
      <c r="AF12" s="238">
        <f t="shared" si="6"/>
        <v>138.94332274178703</v>
      </c>
      <c r="AG12" s="238">
        <f t="shared" si="7"/>
        <v>336.74373844019999</v>
      </c>
      <c r="AH12" s="238">
        <f t="shared" si="8"/>
        <v>0</v>
      </c>
      <c r="AI12" s="239">
        <f t="shared" si="9"/>
        <v>3741.5970937800007</v>
      </c>
      <c r="AK12" s="671">
        <f t="shared" si="10"/>
        <v>0</v>
      </c>
      <c r="AL12" s="672">
        <f t="shared" si="11"/>
        <v>0</v>
      </c>
      <c r="AM12" s="672">
        <f t="shared" si="12"/>
        <v>0</v>
      </c>
      <c r="AN12" s="238">
        <f t="shared" si="13"/>
        <v>0</v>
      </c>
      <c r="AO12" s="673">
        <f t="shared" si="14"/>
        <v>0</v>
      </c>
      <c r="AP12" s="674">
        <f t="shared" si="15"/>
        <v>0</v>
      </c>
      <c r="AR12" s="861">
        <f t="shared" si="27"/>
        <v>3.7415970937800007</v>
      </c>
      <c r="AS12" s="713">
        <f t="shared" si="28"/>
        <v>0.25000000000000006</v>
      </c>
      <c r="AT12" s="3">
        <f>'Input data'!D54/10^6</f>
        <v>0</v>
      </c>
    </row>
    <row r="13" spans="1:46">
      <c r="A13">
        <f>'Input data'!A55</f>
        <v>1957</v>
      </c>
      <c r="B13" s="657">
        <f>'Input data'!I55</f>
        <v>578.73</v>
      </c>
      <c r="C13" s="238">
        <f>B13*'Input data'!B55</f>
        <v>3853.9197900839999</v>
      </c>
      <c r="D13" s="510">
        <f>'Input data'!M55</f>
        <v>0.19892488097366726</v>
      </c>
      <c r="E13" s="510">
        <f>'Input data'!N55</f>
        <v>0.26585903447659598</v>
      </c>
      <c r="F13" s="510">
        <f>'Input data'!O55</f>
        <v>8.9228108703258049E-2</v>
      </c>
      <c r="G13" s="510">
        <f>'Input data'!P55</f>
        <v>0</v>
      </c>
      <c r="H13" s="510">
        <f>'Input data'!Q55</f>
        <v>0</v>
      </c>
      <c r="I13" s="510">
        <f>'Input data'!R55</f>
        <v>0</v>
      </c>
      <c r="J13" s="510">
        <f>'Input data'!S55</f>
        <v>0.4459879758464787</v>
      </c>
      <c r="K13" s="510">
        <f>'Input data'!T55</f>
        <v>1</v>
      </c>
      <c r="L13" s="499">
        <f t="shared" si="16"/>
        <v>0.8</v>
      </c>
      <c r="M13" s="499">
        <f t="shared" si="17"/>
        <v>0.11</v>
      </c>
      <c r="N13" s="499">
        <f t="shared" si="18"/>
        <v>0.09</v>
      </c>
      <c r="O13" s="499">
        <f t="shared" si="19"/>
        <v>0</v>
      </c>
      <c r="P13" s="499">
        <f t="shared" si="1"/>
        <v>1</v>
      </c>
      <c r="Q13" s="510">
        <f>'Input data'!$G$33</f>
        <v>0.66241124199764068</v>
      </c>
      <c r="R13" s="658">
        <f>'Input data'!$H$33</f>
        <v>0.33758875800235938</v>
      </c>
      <c r="S13" s="654">
        <f>'Input data'!J55</f>
        <v>27.526054267727826</v>
      </c>
      <c r="T13" s="238">
        <f>'Input data'!L55</f>
        <v>0</v>
      </c>
      <c r="U13" s="510">
        <f t="shared" si="20"/>
        <v>0.85641924869700936</v>
      </c>
      <c r="V13" s="510">
        <f t="shared" si="21"/>
        <v>0.14268338865096522</v>
      </c>
      <c r="W13" s="510">
        <f t="shared" si="22"/>
        <v>0</v>
      </c>
      <c r="X13" s="510">
        <f t="shared" si="23"/>
        <v>8.973626520254116E-4</v>
      </c>
      <c r="Y13" s="499">
        <f t="shared" si="24"/>
        <v>1</v>
      </c>
      <c r="Z13" s="581">
        <f t="shared" si="25"/>
        <v>0.49613166950665732</v>
      </c>
      <c r="AA13" s="655">
        <f t="shared" si="26"/>
        <v>0.50386833049334279</v>
      </c>
      <c r="AC13" s="693">
        <f t="shared" si="3"/>
        <v>1957</v>
      </c>
      <c r="AD13" s="237">
        <f t="shared" si="4"/>
        <v>3083.1358320672002</v>
      </c>
      <c r="AE13" s="238">
        <f t="shared" si="5"/>
        <v>280.8167774179712</v>
      </c>
      <c r="AF13" s="238">
        <f t="shared" si="6"/>
        <v>143.11439949126881</v>
      </c>
      <c r="AG13" s="238">
        <f t="shared" si="7"/>
        <v>346.85278110755996</v>
      </c>
      <c r="AH13" s="238">
        <f t="shared" si="8"/>
        <v>0</v>
      </c>
      <c r="AI13" s="239">
        <f t="shared" si="9"/>
        <v>3853.9197900839999</v>
      </c>
      <c r="AK13" s="671">
        <f t="shared" si="10"/>
        <v>0</v>
      </c>
      <c r="AL13" s="672">
        <f t="shared" si="11"/>
        <v>0</v>
      </c>
      <c r="AM13" s="672">
        <f t="shared" si="12"/>
        <v>0</v>
      </c>
      <c r="AN13" s="238">
        <f t="shared" si="13"/>
        <v>0</v>
      </c>
      <c r="AO13" s="673">
        <f t="shared" si="14"/>
        <v>0</v>
      </c>
      <c r="AP13" s="674">
        <f t="shared" si="15"/>
        <v>0</v>
      </c>
      <c r="AR13" s="861">
        <f t="shared" si="27"/>
        <v>3.8539197900839999</v>
      </c>
      <c r="AS13" s="713">
        <f t="shared" si="28"/>
        <v>0.24999999999999989</v>
      </c>
      <c r="AT13" s="3">
        <f>'Input data'!D55/10^6</f>
        <v>0</v>
      </c>
    </row>
    <row r="14" spans="1:46">
      <c r="A14">
        <f>'Input data'!A56</f>
        <v>1958</v>
      </c>
      <c r="B14" s="657">
        <f>'Input data'!I56</f>
        <v>578.73</v>
      </c>
      <c r="C14" s="238">
        <f>B14*'Input data'!B56</f>
        <v>3975.8274126480001</v>
      </c>
      <c r="D14" s="510">
        <f>'Input data'!M56</f>
        <v>0.19892488097366726</v>
      </c>
      <c r="E14" s="510">
        <f>'Input data'!N56</f>
        <v>0.26585903447659598</v>
      </c>
      <c r="F14" s="510">
        <f>'Input data'!O56</f>
        <v>8.9228108703258049E-2</v>
      </c>
      <c r="G14" s="510">
        <f>'Input data'!P56</f>
        <v>0</v>
      </c>
      <c r="H14" s="510">
        <f>'Input data'!Q56</f>
        <v>0</v>
      </c>
      <c r="I14" s="510">
        <f>'Input data'!R56</f>
        <v>0</v>
      </c>
      <c r="J14" s="510">
        <f>'Input data'!S56</f>
        <v>0.4459879758464787</v>
      </c>
      <c r="K14" s="510">
        <f>'Input data'!T56</f>
        <v>1</v>
      </c>
      <c r="L14" s="499">
        <f t="shared" si="16"/>
        <v>0.8</v>
      </c>
      <c r="M14" s="499">
        <f t="shared" si="17"/>
        <v>0.11</v>
      </c>
      <c r="N14" s="499">
        <f t="shared" si="18"/>
        <v>0.09</v>
      </c>
      <c r="O14" s="499">
        <f t="shared" si="19"/>
        <v>0</v>
      </c>
      <c r="P14" s="499">
        <f t="shared" si="1"/>
        <v>1</v>
      </c>
      <c r="Q14" s="510">
        <f>'Input data'!$G$33</f>
        <v>0.66241124199764068</v>
      </c>
      <c r="R14" s="658">
        <f>'Input data'!$H$33</f>
        <v>0.33758875800235938</v>
      </c>
      <c r="S14" s="654">
        <f>'Input data'!J56</f>
        <v>27.526054267727826</v>
      </c>
      <c r="T14" s="238">
        <f>'Input data'!L56</f>
        <v>0</v>
      </c>
      <c r="U14" s="510">
        <f t="shared" si="20"/>
        <v>0.85641924869700936</v>
      </c>
      <c r="V14" s="510">
        <f t="shared" si="21"/>
        <v>0.14268338865096522</v>
      </c>
      <c r="W14" s="510">
        <f t="shared" si="22"/>
        <v>0</v>
      </c>
      <c r="X14" s="510">
        <f t="shared" si="23"/>
        <v>8.973626520254116E-4</v>
      </c>
      <c r="Y14" s="499">
        <f t="shared" si="24"/>
        <v>1</v>
      </c>
      <c r="Z14" s="581">
        <f t="shared" si="25"/>
        <v>0.49613166950665732</v>
      </c>
      <c r="AA14" s="655">
        <f t="shared" si="26"/>
        <v>0.50386833049334279</v>
      </c>
      <c r="AC14" s="693">
        <f t="shared" si="3"/>
        <v>1958</v>
      </c>
      <c r="AD14" s="237">
        <f t="shared" si="4"/>
        <v>3180.6619301184001</v>
      </c>
      <c r="AE14" s="238">
        <f t="shared" si="5"/>
        <v>289.69960518184712</v>
      </c>
      <c r="AF14" s="238">
        <f t="shared" si="6"/>
        <v>147.64141020943296</v>
      </c>
      <c r="AG14" s="238">
        <f t="shared" si="7"/>
        <v>357.82446713832002</v>
      </c>
      <c r="AH14" s="238">
        <f t="shared" si="8"/>
        <v>0</v>
      </c>
      <c r="AI14" s="239">
        <f t="shared" si="9"/>
        <v>3975.8274126480001</v>
      </c>
      <c r="AK14" s="671">
        <f t="shared" si="10"/>
        <v>0</v>
      </c>
      <c r="AL14" s="672">
        <f t="shared" si="11"/>
        <v>0</v>
      </c>
      <c r="AM14" s="672">
        <f t="shared" si="12"/>
        <v>0</v>
      </c>
      <c r="AN14" s="238">
        <f t="shared" si="13"/>
        <v>0</v>
      </c>
      <c r="AO14" s="673">
        <f t="shared" si="14"/>
        <v>0</v>
      </c>
      <c r="AP14" s="674">
        <f t="shared" si="15"/>
        <v>0</v>
      </c>
      <c r="AR14" s="861">
        <f t="shared" si="27"/>
        <v>3.9758274126480004</v>
      </c>
      <c r="AS14" s="713">
        <f t="shared" si="28"/>
        <v>0.25</v>
      </c>
      <c r="AT14" s="3">
        <f>'Input data'!D56/10^6</f>
        <v>0</v>
      </c>
    </row>
    <row r="15" spans="1:46">
      <c r="A15">
        <f>'Input data'!A57</f>
        <v>1959</v>
      </c>
      <c r="B15" s="657">
        <f>'Input data'!I57</f>
        <v>578.73</v>
      </c>
      <c r="C15" s="238">
        <f>B15*'Input data'!B57</f>
        <v>4099.0053012635999</v>
      </c>
      <c r="D15" s="510">
        <f>'Input data'!M57</f>
        <v>0.19892488097366726</v>
      </c>
      <c r="E15" s="510">
        <f>'Input data'!N57</f>
        <v>0.26585903447659598</v>
      </c>
      <c r="F15" s="510">
        <f>'Input data'!O57</f>
        <v>8.9228108703258049E-2</v>
      </c>
      <c r="G15" s="510">
        <f>'Input data'!P57</f>
        <v>0</v>
      </c>
      <c r="H15" s="510">
        <f>'Input data'!Q57</f>
        <v>0</v>
      </c>
      <c r="I15" s="510">
        <f>'Input data'!R57</f>
        <v>0</v>
      </c>
      <c r="J15" s="510">
        <f>'Input data'!S57</f>
        <v>0.4459879758464787</v>
      </c>
      <c r="K15" s="510">
        <f>'Input data'!T57</f>
        <v>1</v>
      </c>
      <c r="L15" s="499">
        <f t="shared" si="16"/>
        <v>0.8</v>
      </c>
      <c r="M15" s="499">
        <f t="shared" si="17"/>
        <v>0.11</v>
      </c>
      <c r="N15" s="499">
        <f t="shared" si="18"/>
        <v>0.09</v>
      </c>
      <c r="O15" s="499">
        <f t="shared" si="19"/>
        <v>0</v>
      </c>
      <c r="P15" s="499">
        <f t="shared" si="1"/>
        <v>1</v>
      </c>
      <c r="Q15" s="510">
        <f>'Input data'!$G$33</f>
        <v>0.66241124199764068</v>
      </c>
      <c r="R15" s="658">
        <f>'Input data'!$H$33</f>
        <v>0.33758875800235938</v>
      </c>
      <c r="S15" s="654">
        <f>'Input data'!J57</f>
        <v>27.526054267727826</v>
      </c>
      <c r="T15" s="238">
        <f>'Input data'!L57</f>
        <v>0</v>
      </c>
      <c r="U15" s="510">
        <f t="shared" si="20"/>
        <v>0.85641924869700936</v>
      </c>
      <c r="V15" s="510">
        <f t="shared" si="21"/>
        <v>0.14268338865096522</v>
      </c>
      <c r="W15" s="510">
        <f t="shared" si="22"/>
        <v>0</v>
      </c>
      <c r="X15" s="510">
        <f t="shared" si="23"/>
        <v>8.973626520254116E-4</v>
      </c>
      <c r="Y15" s="499">
        <f t="shared" si="24"/>
        <v>1</v>
      </c>
      <c r="Z15" s="581">
        <f t="shared" si="25"/>
        <v>0.49613166950665732</v>
      </c>
      <c r="AA15" s="655">
        <f t="shared" si="26"/>
        <v>0.50386833049334279</v>
      </c>
      <c r="AC15" s="693">
        <f t="shared" si="3"/>
        <v>1959</v>
      </c>
      <c r="AD15" s="237">
        <f t="shared" si="4"/>
        <v>3279.2042410108802</v>
      </c>
      <c r="AE15" s="238">
        <f t="shared" si="5"/>
        <v>298.67499118214278</v>
      </c>
      <c r="AF15" s="238">
        <f t="shared" si="6"/>
        <v>152.21559195685322</v>
      </c>
      <c r="AG15" s="238">
        <f t="shared" si="7"/>
        <v>368.91047711372397</v>
      </c>
      <c r="AH15" s="238">
        <f t="shared" si="8"/>
        <v>0</v>
      </c>
      <c r="AI15" s="239">
        <f t="shared" si="9"/>
        <v>4099.0053012635999</v>
      </c>
      <c r="AK15" s="671">
        <f t="shared" si="10"/>
        <v>0</v>
      </c>
      <c r="AL15" s="672">
        <f t="shared" si="11"/>
        <v>0</v>
      </c>
      <c r="AM15" s="672">
        <f t="shared" si="12"/>
        <v>0</v>
      </c>
      <c r="AN15" s="238">
        <f t="shared" si="13"/>
        <v>0</v>
      </c>
      <c r="AO15" s="673">
        <f t="shared" si="14"/>
        <v>0</v>
      </c>
      <c r="AP15" s="674">
        <f t="shared" si="15"/>
        <v>0</v>
      </c>
      <c r="AR15" s="861">
        <f t="shared" si="27"/>
        <v>4.0990053012635999</v>
      </c>
      <c r="AS15" s="713">
        <f t="shared" si="28"/>
        <v>0.24999999999999989</v>
      </c>
      <c r="AT15" s="3">
        <f>'Input data'!D57/10^6</f>
        <v>0</v>
      </c>
    </row>
    <row r="16" spans="1:46">
      <c r="A16">
        <f>'Input data'!A58</f>
        <v>1960</v>
      </c>
      <c r="B16" s="657">
        <f>'Input data'!I58</f>
        <v>578.73</v>
      </c>
      <c r="C16" s="238">
        <f>B16*'Input data'!B58</f>
        <v>4214.2919516880002</v>
      </c>
      <c r="D16" s="510">
        <f>'Input data'!M58</f>
        <v>0.19892488097366726</v>
      </c>
      <c r="E16" s="510">
        <f>'Input data'!N58</f>
        <v>0.26585903447659598</v>
      </c>
      <c r="F16" s="510">
        <f>'Input data'!O58</f>
        <v>8.9228108703258049E-2</v>
      </c>
      <c r="G16" s="510">
        <f>'Input data'!P58</f>
        <v>0</v>
      </c>
      <c r="H16" s="510">
        <f>'Input data'!Q58</f>
        <v>0</v>
      </c>
      <c r="I16" s="510">
        <f>'Input data'!R58</f>
        <v>0</v>
      </c>
      <c r="J16" s="510">
        <f>'Input data'!S58</f>
        <v>0.4459879758464787</v>
      </c>
      <c r="K16" s="510">
        <f>'Input data'!T58</f>
        <v>1</v>
      </c>
      <c r="L16" s="499">
        <f t="shared" si="16"/>
        <v>0.8</v>
      </c>
      <c r="M16" s="499">
        <f t="shared" si="17"/>
        <v>0.11</v>
      </c>
      <c r="N16" s="499">
        <f t="shared" si="18"/>
        <v>0.09</v>
      </c>
      <c r="O16" s="499">
        <f t="shared" si="19"/>
        <v>0</v>
      </c>
      <c r="P16" s="499">
        <f t="shared" si="1"/>
        <v>1</v>
      </c>
      <c r="Q16" s="510">
        <f>'Input data'!$G$33</f>
        <v>0.66241124199764068</v>
      </c>
      <c r="R16" s="658">
        <f>'Input data'!$H$33</f>
        <v>0.33758875800235938</v>
      </c>
      <c r="S16" s="654">
        <f>'Input data'!J58</f>
        <v>27.526054267727826</v>
      </c>
      <c r="T16" s="238">
        <f>'Input data'!L58</f>
        <v>0</v>
      </c>
      <c r="U16" s="510">
        <f t="shared" si="20"/>
        <v>0.85641924869700936</v>
      </c>
      <c r="V16" s="510">
        <f t="shared" si="21"/>
        <v>0.14268338865096522</v>
      </c>
      <c r="W16" s="510">
        <f t="shared" si="22"/>
        <v>0</v>
      </c>
      <c r="X16" s="510">
        <f t="shared" si="23"/>
        <v>8.973626520254116E-4</v>
      </c>
      <c r="Y16" s="499">
        <f t="shared" si="24"/>
        <v>1</v>
      </c>
      <c r="Z16" s="581">
        <f t="shared" si="25"/>
        <v>0.49613166950665732</v>
      </c>
      <c r="AA16" s="655">
        <f t="shared" si="26"/>
        <v>0.50386833049334279</v>
      </c>
      <c r="AC16" s="693">
        <f t="shared" si="3"/>
        <v>1960</v>
      </c>
      <c r="AD16" s="237">
        <f t="shared" si="4"/>
        <v>3371.4335613504004</v>
      </c>
      <c r="AE16" s="238">
        <f t="shared" si="5"/>
        <v>307.07538024441402</v>
      </c>
      <c r="AF16" s="238">
        <f t="shared" si="6"/>
        <v>156.496734441266</v>
      </c>
      <c r="AG16" s="238">
        <f t="shared" si="7"/>
        <v>379.28627565191999</v>
      </c>
      <c r="AH16" s="238">
        <f t="shared" si="8"/>
        <v>0</v>
      </c>
      <c r="AI16" s="239">
        <f t="shared" si="9"/>
        <v>4214.2919516880011</v>
      </c>
      <c r="AK16" s="671">
        <f t="shared" si="10"/>
        <v>0</v>
      </c>
      <c r="AL16" s="672">
        <f t="shared" si="11"/>
        <v>0</v>
      </c>
      <c r="AM16" s="672">
        <f t="shared" si="12"/>
        <v>0</v>
      </c>
      <c r="AN16" s="238">
        <f t="shared" si="13"/>
        <v>0</v>
      </c>
      <c r="AO16" s="673">
        <f t="shared" si="14"/>
        <v>0</v>
      </c>
      <c r="AP16" s="674">
        <f t="shared" si="15"/>
        <v>0</v>
      </c>
      <c r="AR16" s="861">
        <f t="shared" si="27"/>
        <v>4.2142919516880006</v>
      </c>
      <c r="AS16" s="713">
        <f t="shared" si="28"/>
        <v>0.25000000000000017</v>
      </c>
      <c r="AT16" s="3">
        <f>'Input data'!D58/10^6</f>
        <v>0</v>
      </c>
    </row>
    <row r="17" spans="1:46">
      <c r="A17">
        <f>'Input data'!A59</f>
        <v>1961</v>
      </c>
      <c r="B17" s="657">
        <f>'Input data'!I59</f>
        <v>578.73</v>
      </c>
      <c r="C17" s="238">
        <f>B17*'Input data'!B59</f>
        <v>4427.193176406</v>
      </c>
      <c r="D17" s="510">
        <f>'Input data'!M59</f>
        <v>0.19892488097366726</v>
      </c>
      <c r="E17" s="510">
        <f>'Input data'!N59</f>
        <v>0.26585903447659598</v>
      </c>
      <c r="F17" s="510">
        <f>'Input data'!O59</f>
        <v>8.9228108703258049E-2</v>
      </c>
      <c r="G17" s="510">
        <f>'Input data'!P59</f>
        <v>0</v>
      </c>
      <c r="H17" s="510">
        <f>'Input data'!Q59</f>
        <v>0</v>
      </c>
      <c r="I17" s="510">
        <f>'Input data'!R59</f>
        <v>0</v>
      </c>
      <c r="J17" s="510">
        <f>'Input data'!S59</f>
        <v>0.4459879758464787</v>
      </c>
      <c r="K17" s="510">
        <f>'Input data'!T59</f>
        <v>1</v>
      </c>
      <c r="L17" s="499">
        <f t="shared" si="16"/>
        <v>0.8</v>
      </c>
      <c r="M17" s="499">
        <f t="shared" si="17"/>
        <v>0.11</v>
      </c>
      <c r="N17" s="499">
        <f t="shared" si="18"/>
        <v>0.09</v>
      </c>
      <c r="O17" s="499">
        <f t="shared" si="19"/>
        <v>0</v>
      </c>
      <c r="P17" s="499">
        <f t="shared" si="1"/>
        <v>1</v>
      </c>
      <c r="Q17" s="510">
        <f>'Input data'!$G$33</f>
        <v>0.66241124199764068</v>
      </c>
      <c r="R17" s="658">
        <f>'Input data'!$H$33</f>
        <v>0.33758875800235938</v>
      </c>
      <c r="S17" s="654">
        <f>'Input data'!J59</f>
        <v>27.526054267727826</v>
      </c>
      <c r="T17" s="238">
        <f>'Input data'!L59</f>
        <v>16504.470164711191</v>
      </c>
      <c r="U17" s="510">
        <f t="shared" si="20"/>
        <v>0.85641924869700936</v>
      </c>
      <c r="V17" s="510">
        <f t="shared" si="21"/>
        <v>0.14268338865096522</v>
      </c>
      <c r="W17" s="510">
        <f t="shared" si="22"/>
        <v>0</v>
      </c>
      <c r="X17" s="510">
        <f t="shared" si="23"/>
        <v>8.973626520254116E-4</v>
      </c>
      <c r="Y17" s="499">
        <f t="shared" si="24"/>
        <v>1</v>
      </c>
      <c r="Z17" s="581">
        <f t="shared" si="25"/>
        <v>0.49613166950665732</v>
      </c>
      <c r="AA17" s="655">
        <f t="shared" si="26"/>
        <v>0.50386833049334279</v>
      </c>
      <c r="AC17" s="693">
        <f t="shared" si="3"/>
        <v>1961</v>
      </c>
      <c r="AD17" s="237">
        <f t="shared" si="4"/>
        <v>3541.7545411248002</v>
      </c>
      <c r="AE17" s="238">
        <f t="shared" si="5"/>
        <v>322.58847836012359</v>
      </c>
      <c r="AF17" s="238">
        <f t="shared" si="6"/>
        <v>164.40277104453639</v>
      </c>
      <c r="AG17" s="238">
        <f t="shared" si="7"/>
        <v>398.44738587654001</v>
      </c>
      <c r="AH17" s="238">
        <f t="shared" si="8"/>
        <v>0</v>
      </c>
      <c r="AI17" s="239">
        <f t="shared" si="9"/>
        <v>4427.1931764060009</v>
      </c>
      <c r="AK17" s="671">
        <f t="shared" si="10"/>
        <v>14134.745938604165</v>
      </c>
      <c r="AL17" s="672">
        <f t="shared" si="11"/>
        <v>1168.3472809000943</v>
      </c>
      <c r="AM17" s="672">
        <f t="shared" si="12"/>
        <v>1186.5664500896528</v>
      </c>
      <c r="AN17" s="238">
        <f t="shared" si="13"/>
        <v>0</v>
      </c>
      <c r="AO17" s="673">
        <f t="shared" si="14"/>
        <v>14.810495117279515</v>
      </c>
      <c r="AP17" s="674">
        <f t="shared" si="15"/>
        <v>16504.470164711191</v>
      </c>
      <c r="AR17" s="861">
        <f t="shared" si="27"/>
        <v>20.931663341117194</v>
      </c>
      <c r="AS17" s="713">
        <f t="shared" si="28"/>
        <v>0.18415199689108033</v>
      </c>
      <c r="AT17" s="3">
        <f>'Input data'!D59/10^6</f>
        <v>0</v>
      </c>
    </row>
    <row r="18" spans="1:46">
      <c r="A18">
        <f>'Input data'!A60</f>
        <v>1962</v>
      </c>
      <c r="B18" s="657">
        <f>'Input data'!I60</f>
        <v>578.73</v>
      </c>
      <c r="C18" s="238">
        <f>B18*'Input data'!B60</f>
        <v>4546.4991761280007</v>
      </c>
      <c r="D18" s="510">
        <f>'Input data'!M60</f>
        <v>0.19892488097366726</v>
      </c>
      <c r="E18" s="510">
        <f>'Input data'!N60</f>
        <v>0.26585903447659598</v>
      </c>
      <c r="F18" s="510">
        <f>'Input data'!O60</f>
        <v>8.9228108703258049E-2</v>
      </c>
      <c r="G18" s="510">
        <f>'Input data'!P60</f>
        <v>0</v>
      </c>
      <c r="H18" s="510">
        <f>'Input data'!Q60</f>
        <v>0</v>
      </c>
      <c r="I18" s="510">
        <f>'Input data'!R60</f>
        <v>0</v>
      </c>
      <c r="J18" s="510">
        <f>'Input data'!S60</f>
        <v>0.4459879758464787</v>
      </c>
      <c r="K18" s="510">
        <f>'Input data'!T60</f>
        <v>1</v>
      </c>
      <c r="L18" s="499">
        <f t="shared" si="16"/>
        <v>0.8</v>
      </c>
      <c r="M18" s="499">
        <f t="shared" si="17"/>
        <v>0.11</v>
      </c>
      <c r="N18" s="499">
        <f t="shared" si="18"/>
        <v>0.09</v>
      </c>
      <c r="O18" s="499">
        <f t="shared" si="19"/>
        <v>0</v>
      </c>
      <c r="P18" s="499">
        <f t="shared" si="1"/>
        <v>1</v>
      </c>
      <c r="Q18" s="510">
        <f>'Input data'!$G$33</f>
        <v>0.66241124199764068</v>
      </c>
      <c r="R18" s="658">
        <f>'Input data'!$H$33</f>
        <v>0.33758875800235938</v>
      </c>
      <c r="S18" s="654">
        <f>'Input data'!J60</f>
        <v>27.526054267727826</v>
      </c>
      <c r="T18" s="238">
        <f>'Input data'!L60</f>
        <v>17524.097036936204</v>
      </c>
      <c r="U18" s="510">
        <f t="shared" si="20"/>
        <v>0.85641924869700936</v>
      </c>
      <c r="V18" s="510">
        <f t="shared" si="21"/>
        <v>0.14268338865096522</v>
      </c>
      <c r="W18" s="510">
        <f t="shared" si="22"/>
        <v>0</v>
      </c>
      <c r="X18" s="510">
        <f t="shared" si="23"/>
        <v>8.973626520254116E-4</v>
      </c>
      <c r="Y18" s="499">
        <f t="shared" si="24"/>
        <v>1</v>
      </c>
      <c r="Z18" s="581">
        <f t="shared" si="25"/>
        <v>0.49613166950665732</v>
      </c>
      <c r="AA18" s="655">
        <f t="shared" si="26"/>
        <v>0.50386833049334279</v>
      </c>
      <c r="AC18" s="693">
        <f t="shared" si="3"/>
        <v>1962</v>
      </c>
      <c r="AD18" s="237">
        <f t="shared" si="4"/>
        <v>3637.1993409024008</v>
      </c>
      <c r="AE18" s="238">
        <f t="shared" si="5"/>
        <v>331.28173826002188</v>
      </c>
      <c r="AF18" s="238">
        <f t="shared" si="6"/>
        <v>168.83317111405822</v>
      </c>
      <c r="AG18" s="238">
        <f t="shared" si="7"/>
        <v>409.18492585152006</v>
      </c>
      <c r="AH18" s="238">
        <f t="shared" si="8"/>
        <v>0</v>
      </c>
      <c r="AI18" s="239">
        <f t="shared" si="9"/>
        <v>4546.4991761280016</v>
      </c>
      <c r="AK18" s="671">
        <f t="shared" si="10"/>
        <v>15007.974018466391</v>
      </c>
      <c r="AL18" s="672">
        <f t="shared" si="11"/>
        <v>1240.5264100577135</v>
      </c>
      <c r="AM18" s="672">
        <f t="shared" si="12"/>
        <v>1259.8711382206832</v>
      </c>
      <c r="AN18" s="238">
        <f t="shared" si="13"/>
        <v>0</v>
      </c>
      <c r="AO18" s="673">
        <f t="shared" si="14"/>
        <v>15.725470191415729</v>
      </c>
      <c r="AP18" s="674">
        <f t="shared" si="15"/>
        <v>17524.097036936204</v>
      </c>
      <c r="AR18" s="861">
        <f t="shared" si="27"/>
        <v>22.07059621306421</v>
      </c>
      <c r="AS18" s="713">
        <f t="shared" si="28"/>
        <v>0.18371633171081322</v>
      </c>
      <c r="AT18" s="3">
        <f>'Input data'!D60/10^6</f>
        <v>0</v>
      </c>
    </row>
    <row r="19" spans="1:46">
      <c r="A19">
        <f>'Input data'!A61</f>
        <v>1963</v>
      </c>
      <c r="B19" s="657">
        <f>'Input data'!I61</f>
        <v>578.73</v>
      </c>
      <c r="C19" s="238">
        <f>B19*'Input data'!B61</f>
        <v>4665.8051758500005</v>
      </c>
      <c r="D19" s="510">
        <f>'Input data'!M61</f>
        <v>0.19892488097366726</v>
      </c>
      <c r="E19" s="510">
        <f>'Input data'!N61</f>
        <v>0.26585903447659598</v>
      </c>
      <c r="F19" s="510">
        <f>'Input data'!O61</f>
        <v>8.9228108703258049E-2</v>
      </c>
      <c r="G19" s="510">
        <f>'Input data'!P61</f>
        <v>0</v>
      </c>
      <c r="H19" s="510">
        <f>'Input data'!Q61</f>
        <v>0</v>
      </c>
      <c r="I19" s="510">
        <f>'Input data'!R61</f>
        <v>0</v>
      </c>
      <c r="J19" s="510">
        <f>'Input data'!S61</f>
        <v>0.4459879758464787</v>
      </c>
      <c r="K19" s="510">
        <f>'Input data'!T61</f>
        <v>1</v>
      </c>
      <c r="L19" s="499">
        <f t="shared" si="16"/>
        <v>0.8</v>
      </c>
      <c r="M19" s="499">
        <f t="shared" si="17"/>
        <v>0.11</v>
      </c>
      <c r="N19" s="499">
        <f t="shared" si="18"/>
        <v>0.09</v>
      </c>
      <c r="O19" s="499">
        <f t="shared" si="19"/>
        <v>0</v>
      </c>
      <c r="P19" s="499">
        <f t="shared" si="1"/>
        <v>1</v>
      </c>
      <c r="Q19" s="510">
        <f>'Input data'!$G$33</f>
        <v>0.66241124199764068</v>
      </c>
      <c r="R19" s="658">
        <f>'Input data'!$H$33</f>
        <v>0.33758875800235938</v>
      </c>
      <c r="S19" s="654">
        <f>'Input data'!J61</f>
        <v>27.526054267727826</v>
      </c>
      <c r="T19" s="238">
        <f>'Input data'!L61</f>
        <v>18816.256096507535</v>
      </c>
      <c r="U19" s="510">
        <f t="shared" si="20"/>
        <v>0.85641924869700936</v>
      </c>
      <c r="V19" s="510">
        <f t="shared" si="21"/>
        <v>0.14268338865096522</v>
      </c>
      <c r="W19" s="510">
        <f t="shared" si="22"/>
        <v>0</v>
      </c>
      <c r="X19" s="510">
        <f t="shared" si="23"/>
        <v>8.973626520254116E-4</v>
      </c>
      <c r="Y19" s="499">
        <f t="shared" si="24"/>
        <v>1</v>
      </c>
      <c r="Z19" s="581">
        <f t="shared" si="25"/>
        <v>0.49613166950665732</v>
      </c>
      <c r="AA19" s="655">
        <f t="shared" si="26"/>
        <v>0.50386833049334279</v>
      </c>
      <c r="AC19" s="693">
        <f t="shared" si="3"/>
        <v>1963</v>
      </c>
      <c r="AD19" s="237">
        <f t="shared" si="4"/>
        <v>3732.6441406800004</v>
      </c>
      <c r="AE19" s="238">
        <f t="shared" si="5"/>
        <v>339.97499815992006</v>
      </c>
      <c r="AF19" s="238">
        <f t="shared" si="6"/>
        <v>173.26357118358001</v>
      </c>
      <c r="AG19" s="238">
        <f t="shared" si="7"/>
        <v>419.92246582650006</v>
      </c>
      <c r="AH19" s="238">
        <f t="shared" si="8"/>
        <v>0</v>
      </c>
      <c r="AI19" s="239">
        <f t="shared" si="9"/>
        <v>4665.8051758500005</v>
      </c>
      <c r="AK19" s="671">
        <f t="shared" si="10"/>
        <v>16114.603909461506</v>
      </c>
      <c r="AL19" s="672">
        <f t="shared" si="11"/>
        <v>1331.9980240310304</v>
      </c>
      <c r="AM19" s="672">
        <f t="shared" si="12"/>
        <v>1352.7691575430483</v>
      </c>
      <c r="AN19" s="238">
        <f t="shared" si="13"/>
        <v>0</v>
      </c>
      <c r="AO19" s="673">
        <f t="shared" si="14"/>
        <v>16.88500547195132</v>
      </c>
      <c r="AP19" s="674">
        <f t="shared" si="15"/>
        <v>18816.256096507535</v>
      </c>
      <c r="AR19" s="861">
        <f t="shared" si="27"/>
        <v>23.482061272357534</v>
      </c>
      <c r="AS19" s="713">
        <f t="shared" si="28"/>
        <v>0.18313940618029986</v>
      </c>
      <c r="AT19" s="3">
        <f>'Input data'!D61/10^6</f>
        <v>0</v>
      </c>
    </row>
    <row r="20" spans="1:46">
      <c r="A20">
        <f>'Input data'!A62</f>
        <v>1964</v>
      </c>
      <c r="B20" s="657">
        <f>'Input data'!I62</f>
        <v>578.73</v>
      </c>
      <c r="C20" s="238">
        <f>B20*'Input data'!B62</f>
        <v>4785.1111755720003</v>
      </c>
      <c r="D20" s="510">
        <f>'Input data'!M62</f>
        <v>0.19892488097366726</v>
      </c>
      <c r="E20" s="510">
        <f>'Input data'!N62</f>
        <v>0.26585903447659598</v>
      </c>
      <c r="F20" s="510">
        <f>'Input data'!O62</f>
        <v>8.9228108703258049E-2</v>
      </c>
      <c r="G20" s="510">
        <f>'Input data'!P62</f>
        <v>0</v>
      </c>
      <c r="H20" s="510">
        <f>'Input data'!Q62</f>
        <v>0</v>
      </c>
      <c r="I20" s="510">
        <f>'Input data'!R62</f>
        <v>0</v>
      </c>
      <c r="J20" s="510">
        <f>'Input data'!S62</f>
        <v>0.4459879758464787</v>
      </c>
      <c r="K20" s="510">
        <f>'Input data'!T62</f>
        <v>1</v>
      </c>
      <c r="L20" s="499">
        <f t="shared" si="16"/>
        <v>0.8</v>
      </c>
      <c r="M20" s="499">
        <f t="shared" si="17"/>
        <v>0.11</v>
      </c>
      <c r="N20" s="499">
        <f t="shared" si="18"/>
        <v>0.09</v>
      </c>
      <c r="O20" s="499">
        <f t="shared" si="19"/>
        <v>0</v>
      </c>
      <c r="P20" s="499">
        <f t="shared" si="1"/>
        <v>1</v>
      </c>
      <c r="Q20" s="510">
        <f>'Input data'!$G$33</f>
        <v>0.66241124199764068</v>
      </c>
      <c r="R20" s="658">
        <f>'Input data'!$H$33</f>
        <v>0.33758875800235938</v>
      </c>
      <c r="S20" s="654">
        <f>'Input data'!J62</f>
        <v>27.526054267727826</v>
      </c>
      <c r="T20" s="238">
        <f>'Input data'!L62</f>
        <v>20310.225748850138</v>
      </c>
      <c r="U20" s="510">
        <f t="shared" si="20"/>
        <v>0.85641924869700936</v>
      </c>
      <c r="V20" s="510">
        <f t="shared" si="21"/>
        <v>0.14268338865096522</v>
      </c>
      <c r="W20" s="510">
        <f t="shared" si="22"/>
        <v>0</v>
      </c>
      <c r="X20" s="510">
        <f t="shared" si="23"/>
        <v>8.973626520254116E-4</v>
      </c>
      <c r="Y20" s="499">
        <f t="shared" si="24"/>
        <v>1</v>
      </c>
      <c r="Z20" s="581">
        <f t="shared" si="25"/>
        <v>0.49613166950665732</v>
      </c>
      <c r="AA20" s="655">
        <f t="shared" si="26"/>
        <v>0.50386833049334279</v>
      </c>
      <c r="AC20" s="693">
        <f t="shared" si="3"/>
        <v>1964</v>
      </c>
      <c r="AD20" s="237">
        <f t="shared" si="4"/>
        <v>3828.0889404576005</v>
      </c>
      <c r="AE20" s="238">
        <f t="shared" si="5"/>
        <v>348.6682580598183</v>
      </c>
      <c r="AF20" s="238">
        <f t="shared" si="6"/>
        <v>177.69397125310175</v>
      </c>
      <c r="AG20" s="238">
        <f t="shared" si="7"/>
        <v>430.66000580148</v>
      </c>
      <c r="AH20" s="238">
        <f t="shared" si="8"/>
        <v>0</v>
      </c>
      <c r="AI20" s="239">
        <f t="shared" si="9"/>
        <v>4785.1111755720012</v>
      </c>
      <c r="AK20" s="671">
        <f t="shared" si="10"/>
        <v>17394.068276696889</v>
      </c>
      <c r="AL20" s="672">
        <f t="shared" si="11"/>
        <v>1437.7557589744888</v>
      </c>
      <c r="AM20" s="672">
        <f t="shared" si="12"/>
        <v>1460.1760751375371</v>
      </c>
      <c r="AN20" s="238">
        <f t="shared" si="13"/>
        <v>0</v>
      </c>
      <c r="AO20" s="673">
        <f t="shared" si="14"/>
        <v>18.225638041222961</v>
      </c>
      <c r="AP20" s="674">
        <f t="shared" si="15"/>
        <v>20310.225748850138</v>
      </c>
      <c r="AR20" s="861">
        <f t="shared" si="27"/>
        <v>25.095336924422142</v>
      </c>
      <c r="AS20" s="713">
        <f t="shared" si="28"/>
        <v>0.18250640910985455</v>
      </c>
      <c r="AT20" s="3">
        <f>'Input data'!D62/10^6</f>
        <v>0</v>
      </c>
    </row>
    <row r="21" spans="1:46">
      <c r="A21">
        <f>'Input data'!A63</f>
        <v>1965</v>
      </c>
      <c r="B21" s="657">
        <f>'Input data'!I63</f>
        <v>578.73</v>
      </c>
      <c r="C21" s="238">
        <f>B21*'Input data'!B63</f>
        <v>4904.4171752940001</v>
      </c>
      <c r="D21" s="510">
        <f>'Input data'!M63</f>
        <v>0.19892488097366726</v>
      </c>
      <c r="E21" s="510">
        <f>'Input data'!N63</f>
        <v>0.26585903447659598</v>
      </c>
      <c r="F21" s="510">
        <f>'Input data'!O63</f>
        <v>8.9228108703258049E-2</v>
      </c>
      <c r="G21" s="510">
        <f>'Input data'!P63</f>
        <v>0</v>
      </c>
      <c r="H21" s="510">
        <f>'Input data'!Q63</f>
        <v>0</v>
      </c>
      <c r="I21" s="510">
        <f>'Input data'!R63</f>
        <v>0</v>
      </c>
      <c r="J21" s="510">
        <f>'Input data'!S63</f>
        <v>0.4459879758464787</v>
      </c>
      <c r="K21" s="510">
        <f>'Input data'!T63</f>
        <v>1</v>
      </c>
      <c r="L21" s="499">
        <f t="shared" si="16"/>
        <v>0.8</v>
      </c>
      <c r="M21" s="499">
        <f t="shared" si="17"/>
        <v>0.11</v>
      </c>
      <c r="N21" s="499">
        <f t="shared" si="18"/>
        <v>0.09</v>
      </c>
      <c r="O21" s="499">
        <f t="shared" si="19"/>
        <v>0</v>
      </c>
      <c r="P21" s="499">
        <f t="shared" si="1"/>
        <v>1</v>
      </c>
      <c r="Q21" s="510">
        <f>'Input data'!$G$33</f>
        <v>0.66241124199764068</v>
      </c>
      <c r="R21" s="658">
        <f>'Input data'!$H$33</f>
        <v>0.33758875800235938</v>
      </c>
      <c r="S21" s="654">
        <f>'Input data'!J63</f>
        <v>27.526054267727826</v>
      </c>
      <c r="T21" s="238">
        <f>'Input data'!L63</f>
        <v>21553.772294876002</v>
      </c>
      <c r="U21" s="510">
        <f t="shared" si="20"/>
        <v>0.85641924869700936</v>
      </c>
      <c r="V21" s="510">
        <f t="shared" si="21"/>
        <v>0.14268338865096522</v>
      </c>
      <c r="W21" s="510">
        <f t="shared" si="22"/>
        <v>0</v>
      </c>
      <c r="X21" s="510">
        <f t="shared" si="23"/>
        <v>8.973626520254116E-4</v>
      </c>
      <c r="Y21" s="499">
        <f t="shared" si="24"/>
        <v>1</v>
      </c>
      <c r="Z21" s="581">
        <f t="shared" si="25"/>
        <v>0.49613166950665732</v>
      </c>
      <c r="AA21" s="655">
        <f t="shared" si="26"/>
        <v>0.50386833049334279</v>
      </c>
      <c r="AC21" s="693">
        <f t="shared" si="3"/>
        <v>1965</v>
      </c>
      <c r="AD21" s="237">
        <f t="shared" si="4"/>
        <v>3923.5337402352002</v>
      </c>
      <c r="AE21" s="238">
        <f t="shared" si="5"/>
        <v>357.36151795971654</v>
      </c>
      <c r="AF21" s="238">
        <f t="shared" si="6"/>
        <v>182.12437132262355</v>
      </c>
      <c r="AG21" s="238">
        <f t="shared" si="7"/>
        <v>441.39754577645999</v>
      </c>
      <c r="AH21" s="238">
        <f t="shared" si="8"/>
        <v>0</v>
      </c>
      <c r="AI21" s="239">
        <f t="shared" si="9"/>
        <v>4904.4171752940001</v>
      </c>
      <c r="AK21" s="671">
        <f t="shared" si="10"/>
        <v>18459.065475364121</v>
      </c>
      <c r="AL21" s="672">
        <f t="shared" si="11"/>
        <v>1525.7861053729152</v>
      </c>
      <c r="AM21" s="672">
        <f t="shared" si="12"/>
        <v>1549.5791638712842</v>
      </c>
      <c r="AN21" s="238">
        <f t="shared" si="13"/>
        <v>0</v>
      </c>
      <c r="AO21" s="673">
        <f t="shared" si="14"/>
        <v>19.341550267681772</v>
      </c>
      <c r="AP21" s="674">
        <f t="shared" si="15"/>
        <v>21553.772294876002</v>
      </c>
      <c r="AR21" s="861">
        <f t="shared" si="27"/>
        <v>26.458189470169998</v>
      </c>
      <c r="AS21" s="713">
        <f t="shared" si="28"/>
        <v>0.18208744280826145</v>
      </c>
      <c r="AT21" s="3">
        <f>'Input data'!D63/10^6</f>
        <v>0</v>
      </c>
    </row>
    <row r="22" spans="1:46">
      <c r="A22">
        <f>'Input data'!A64</f>
        <v>1966</v>
      </c>
      <c r="B22" s="657">
        <f>'Input data'!I64</f>
        <v>578.73</v>
      </c>
      <c r="C22" s="238">
        <f>B22*'Input data'!B64</f>
        <v>5058.5238303599999</v>
      </c>
      <c r="D22" s="510">
        <f>'Input data'!M64</f>
        <v>0.19892488097366726</v>
      </c>
      <c r="E22" s="510">
        <f>'Input data'!N64</f>
        <v>0.26585903447659598</v>
      </c>
      <c r="F22" s="510">
        <f>'Input data'!O64</f>
        <v>8.9228108703258049E-2</v>
      </c>
      <c r="G22" s="510">
        <f>'Input data'!P64</f>
        <v>0</v>
      </c>
      <c r="H22" s="510">
        <f>'Input data'!Q64</f>
        <v>0</v>
      </c>
      <c r="I22" s="510">
        <f>'Input data'!R64</f>
        <v>0</v>
      </c>
      <c r="J22" s="510">
        <f>'Input data'!S64</f>
        <v>0.4459879758464787</v>
      </c>
      <c r="K22" s="510">
        <f>'Input data'!T64</f>
        <v>1</v>
      </c>
      <c r="L22" s="499">
        <f t="shared" si="16"/>
        <v>0.8</v>
      </c>
      <c r="M22" s="499">
        <f t="shared" si="17"/>
        <v>0.11</v>
      </c>
      <c r="N22" s="499">
        <f t="shared" si="18"/>
        <v>0.09</v>
      </c>
      <c r="O22" s="499">
        <f t="shared" si="19"/>
        <v>0</v>
      </c>
      <c r="P22" s="499">
        <f t="shared" si="1"/>
        <v>1</v>
      </c>
      <c r="Q22" s="510">
        <f>'Input data'!$G$33</f>
        <v>0.66241124199764068</v>
      </c>
      <c r="R22" s="658">
        <f>'Input data'!$H$33</f>
        <v>0.33758875800235938</v>
      </c>
      <c r="S22" s="654">
        <f>'Input data'!J64</f>
        <v>27.526054267727826</v>
      </c>
      <c r="T22" s="238">
        <f>'Input data'!L64</f>
        <v>22510.39515248984</v>
      </c>
      <c r="U22" s="510">
        <f t="shared" si="20"/>
        <v>0.85641924869700936</v>
      </c>
      <c r="V22" s="510">
        <f t="shared" si="21"/>
        <v>0.14268338865096522</v>
      </c>
      <c r="W22" s="510">
        <f t="shared" si="22"/>
        <v>0</v>
      </c>
      <c r="X22" s="510">
        <f t="shared" si="23"/>
        <v>8.973626520254116E-4</v>
      </c>
      <c r="Y22" s="499">
        <f t="shared" si="24"/>
        <v>1</v>
      </c>
      <c r="Z22" s="581">
        <f t="shared" si="25"/>
        <v>0.49613166950665732</v>
      </c>
      <c r="AA22" s="655">
        <f t="shared" si="26"/>
        <v>0.50386833049334279</v>
      </c>
      <c r="AC22" s="693">
        <f t="shared" si="3"/>
        <v>1966</v>
      </c>
      <c r="AD22" s="237">
        <f t="shared" si="4"/>
        <v>4046.8190642879999</v>
      </c>
      <c r="AE22" s="238">
        <f t="shared" si="5"/>
        <v>368.59053584577731</v>
      </c>
      <c r="AF22" s="238">
        <f t="shared" si="6"/>
        <v>187.8470854938227</v>
      </c>
      <c r="AG22" s="238">
        <f t="shared" si="7"/>
        <v>455.26714473239997</v>
      </c>
      <c r="AH22" s="238">
        <f t="shared" si="8"/>
        <v>0</v>
      </c>
      <c r="AI22" s="239">
        <f t="shared" si="9"/>
        <v>5058.5238303599999</v>
      </c>
      <c r="AK22" s="671">
        <f t="shared" si="10"/>
        <v>19278.33570436815</v>
      </c>
      <c r="AL22" s="672">
        <f t="shared" si="11"/>
        <v>1593.5051962244188</v>
      </c>
      <c r="AM22" s="672">
        <f t="shared" si="12"/>
        <v>1618.354264005093</v>
      </c>
      <c r="AN22" s="238">
        <f t="shared" si="13"/>
        <v>0</v>
      </c>
      <c r="AO22" s="673">
        <f t="shared" si="14"/>
        <v>20.199987892178253</v>
      </c>
      <c r="AP22" s="674">
        <f t="shared" si="15"/>
        <v>22510.39515248984</v>
      </c>
      <c r="AR22" s="861">
        <f t="shared" si="27"/>
        <v>27.568918982849844</v>
      </c>
      <c r="AS22" s="713">
        <f t="shared" si="28"/>
        <v>0.18193938073655883</v>
      </c>
      <c r="AT22" s="3">
        <f>'Input data'!D64/10^6</f>
        <v>0</v>
      </c>
    </row>
    <row r="23" spans="1:46">
      <c r="A23">
        <f>'Input data'!A65</f>
        <v>1967</v>
      </c>
      <c r="B23" s="657">
        <f>'Input data'!I65</f>
        <v>578.73</v>
      </c>
      <c r="C23" s="238">
        <f>B23*'Input data'!B65</f>
        <v>5214.2588696016001</v>
      </c>
      <c r="D23" s="510">
        <f>'Input data'!M65</f>
        <v>0.19892488097366726</v>
      </c>
      <c r="E23" s="510">
        <f>'Input data'!N65</f>
        <v>0.26585903447659598</v>
      </c>
      <c r="F23" s="510">
        <f>'Input data'!O65</f>
        <v>8.9228108703258049E-2</v>
      </c>
      <c r="G23" s="510">
        <f>'Input data'!P65</f>
        <v>0</v>
      </c>
      <c r="H23" s="510">
        <f>'Input data'!Q65</f>
        <v>0</v>
      </c>
      <c r="I23" s="510">
        <f>'Input data'!R65</f>
        <v>0</v>
      </c>
      <c r="J23" s="510">
        <f>'Input data'!S65</f>
        <v>0.4459879758464787</v>
      </c>
      <c r="K23" s="510">
        <f>'Input data'!T65</f>
        <v>1</v>
      </c>
      <c r="L23" s="499">
        <f t="shared" si="16"/>
        <v>0.8</v>
      </c>
      <c r="M23" s="499">
        <f t="shared" si="17"/>
        <v>0.11</v>
      </c>
      <c r="N23" s="499">
        <f t="shared" si="18"/>
        <v>0.09</v>
      </c>
      <c r="O23" s="499">
        <f t="shared" si="19"/>
        <v>0</v>
      </c>
      <c r="P23" s="499">
        <f t="shared" si="1"/>
        <v>1</v>
      </c>
      <c r="Q23" s="510">
        <f>'Input data'!$G$33</f>
        <v>0.66241124199764068</v>
      </c>
      <c r="R23" s="658">
        <f>'Input data'!$H$33</f>
        <v>0.33758875800235938</v>
      </c>
      <c r="S23" s="654">
        <f>'Input data'!J65</f>
        <v>27.526054267727826</v>
      </c>
      <c r="T23" s="238">
        <f>'Input data'!L65</f>
        <v>24130.372834257956</v>
      </c>
      <c r="U23" s="510">
        <f t="shared" si="20"/>
        <v>0.85641924869700936</v>
      </c>
      <c r="V23" s="510">
        <f t="shared" si="21"/>
        <v>0.14268338865096522</v>
      </c>
      <c r="W23" s="510">
        <f t="shared" si="22"/>
        <v>0</v>
      </c>
      <c r="X23" s="510">
        <f t="shared" si="23"/>
        <v>8.973626520254116E-4</v>
      </c>
      <c r="Y23" s="499">
        <f t="shared" si="24"/>
        <v>1</v>
      </c>
      <c r="Z23" s="581">
        <f t="shared" si="25"/>
        <v>0.49613166950665732</v>
      </c>
      <c r="AA23" s="655">
        <f t="shared" si="26"/>
        <v>0.50386833049334279</v>
      </c>
      <c r="AC23" s="693">
        <f t="shared" si="3"/>
        <v>1967</v>
      </c>
      <c r="AD23" s="237">
        <f t="shared" si="4"/>
        <v>4171.4070956812802</v>
      </c>
      <c r="AE23" s="238">
        <f t="shared" si="5"/>
        <v>379.93820633010108</v>
      </c>
      <c r="AF23" s="238">
        <f t="shared" si="6"/>
        <v>193.63026932607497</v>
      </c>
      <c r="AG23" s="238">
        <f t="shared" si="7"/>
        <v>469.28329826414398</v>
      </c>
      <c r="AH23" s="238">
        <f t="shared" si="8"/>
        <v>0</v>
      </c>
      <c r="AI23" s="239">
        <f t="shared" si="9"/>
        <v>5214.2588696016001</v>
      </c>
      <c r="AK23" s="671">
        <f t="shared" si="10"/>
        <v>20665.715773493925</v>
      </c>
      <c r="AL23" s="672">
        <f t="shared" si="11"/>
        <v>1708.1830077944903</v>
      </c>
      <c r="AM23" s="672">
        <f t="shared" si="12"/>
        <v>1734.8203576086314</v>
      </c>
      <c r="AN23" s="238">
        <f t="shared" si="13"/>
        <v>0</v>
      </c>
      <c r="AO23" s="673">
        <f t="shared" si="14"/>
        <v>21.653695360911666</v>
      </c>
      <c r="AP23" s="674">
        <f t="shared" si="15"/>
        <v>24130.372834257956</v>
      </c>
      <c r="AR23" s="861">
        <f t="shared" si="27"/>
        <v>29.344631703859555</v>
      </c>
      <c r="AS23" s="713">
        <f t="shared" si="28"/>
        <v>0.18148272883404376</v>
      </c>
      <c r="AT23" s="3">
        <f>'Input data'!D65/10^6</f>
        <v>0</v>
      </c>
    </row>
    <row r="24" spans="1:46">
      <c r="A24">
        <f>'Input data'!A66</f>
        <v>1968</v>
      </c>
      <c r="B24" s="657">
        <f>'Input data'!I66</f>
        <v>578.73</v>
      </c>
      <c r="C24" s="238">
        <f>B24*'Input data'!B66</f>
        <v>5371.1272473768013</v>
      </c>
      <c r="D24" s="510">
        <f>'Input data'!M66</f>
        <v>0.19892488097366726</v>
      </c>
      <c r="E24" s="510">
        <f>'Input data'!N66</f>
        <v>0.26585903447659598</v>
      </c>
      <c r="F24" s="510">
        <f>'Input data'!O66</f>
        <v>8.9228108703258049E-2</v>
      </c>
      <c r="G24" s="510">
        <f>'Input data'!P66</f>
        <v>0</v>
      </c>
      <c r="H24" s="510">
        <f>'Input data'!Q66</f>
        <v>0</v>
      </c>
      <c r="I24" s="510">
        <f>'Input data'!R66</f>
        <v>0</v>
      </c>
      <c r="J24" s="510">
        <f>'Input data'!S66</f>
        <v>0.4459879758464787</v>
      </c>
      <c r="K24" s="510">
        <f>'Input data'!T66</f>
        <v>1</v>
      </c>
      <c r="L24" s="499">
        <f t="shared" si="16"/>
        <v>0.8</v>
      </c>
      <c r="M24" s="499">
        <f t="shared" si="17"/>
        <v>0.11</v>
      </c>
      <c r="N24" s="499">
        <f t="shared" si="18"/>
        <v>0.09</v>
      </c>
      <c r="O24" s="499">
        <f t="shared" si="19"/>
        <v>0</v>
      </c>
      <c r="P24" s="499">
        <f t="shared" si="1"/>
        <v>1</v>
      </c>
      <c r="Q24" s="510">
        <f>'Input data'!$G$33</f>
        <v>0.66241124199764068</v>
      </c>
      <c r="R24" s="658">
        <f>'Input data'!$H$33</f>
        <v>0.33758875800235938</v>
      </c>
      <c r="S24" s="654">
        <f>'Input data'!J66</f>
        <v>27.526054267727826</v>
      </c>
      <c r="T24" s="238">
        <f>'Input data'!L66</f>
        <v>25132.614553341307</v>
      </c>
      <c r="U24" s="510">
        <f t="shared" si="20"/>
        <v>0.85641924869700936</v>
      </c>
      <c r="V24" s="510">
        <f t="shared" si="21"/>
        <v>0.14268338865096522</v>
      </c>
      <c r="W24" s="510">
        <f t="shared" si="22"/>
        <v>0</v>
      </c>
      <c r="X24" s="510">
        <f t="shared" si="23"/>
        <v>8.973626520254116E-4</v>
      </c>
      <c r="Y24" s="499">
        <f t="shared" si="24"/>
        <v>1</v>
      </c>
      <c r="Z24" s="581">
        <f t="shared" si="25"/>
        <v>0.49613166950665732</v>
      </c>
      <c r="AA24" s="655">
        <f t="shared" si="26"/>
        <v>0.50386833049334279</v>
      </c>
      <c r="AC24" s="693">
        <f t="shared" si="3"/>
        <v>1968</v>
      </c>
      <c r="AD24" s="237">
        <f t="shared" si="4"/>
        <v>4296.9017979014416</v>
      </c>
      <c r="AE24" s="238">
        <f t="shared" si="5"/>
        <v>391.36845779484594</v>
      </c>
      <c r="AF24" s="238">
        <f t="shared" si="6"/>
        <v>199.45553941660222</v>
      </c>
      <c r="AG24" s="238">
        <f t="shared" si="7"/>
        <v>483.40145226391212</v>
      </c>
      <c r="AH24" s="238">
        <f t="shared" si="8"/>
        <v>0</v>
      </c>
      <c r="AI24" s="239">
        <f t="shared" si="9"/>
        <v>5371.1272473768013</v>
      </c>
      <c r="AK24" s="671">
        <f t="shared" si="10"/>
        <v>21524.054873564084</v>
      </c>
      <c r="AL24" s="672">
        <f t="shared" si="11"/>
        <v>1779.1314463453596</v>
      </c>
      <c r="AM24" s="672">
        <f t="shared" si="12"/>
        <v>1806.8751637839432</v>
      </c>
      <c r="AN24" s="238">
        <f t="shared" si="13"/>
        <v>0</v>
      </c>
      <c r="AO24" s="673">
        <f t="shared" si="14"/>
        <v>22.553069647918811</v>
      </c>
      <c r="AP24" s="674">
        <f t="shared" si="15"/>
        <v>25132.614553341307</v>
      </c>
      <c r="AR24" s="861">
        <f t="shared" si="27"/>
        <v>30.503741800718107</v>
      </c>
      <c r="AS24" s="713">
        <f t="shared" si="28"/>
        <v>0.18135598881305121</v>
      </c>
      <c r="AT24" s="3">
        <f>'Input data'!D66/10^6</f>
        <v>0</v>
      </c>
    </row>
    <row r="25" spans="1:46">
      <c r="A25">
        <f>'Input data'!A67</f>
        <v>1969</v>
      </c>
      <c r="B25" s="657">
        <f>'Input data'!I67</f>
        <v>578.73</v>
      </c>
      <c r="C25" s="238">
        <f>B25*'Input data'!B67</f>
        <v>5529.1289636856</v>
      </c>
      <c r="D25" s="510">
        <f>'Input data'!M67</f>
        <v>0.19892488097366726</v>
      </c>
      <c r="E25" s="510">
        <f>'Input data'!N67</f>
        <v>0.26585903447659598</v>
      </c>
      <c r="F25" s="510">
        <f>'Input data'!O67</f>
        <v>8.9228108703258049E-2</v>
      </c>
      <c r="G25" s="510">
        <f>'Input data'!P67</f>
        <v>0</v>
      </c>
      <c r="H25" s="510">
        <f>'Input data'!Q67</f>
        <v>0</v>
      </c>
      <c r="I25" s="510">
        <f>'Input data'!R67</f>
        <v>0</v>
      </c>
      <c r="J25" s="510">
        <f>'Input data'!S67</f>
        <v>0.4459879758464787</v>
      </c>
      <c r="K25" s="510">
        <f>'Input data'!T67</f>
        <v>1</v>
      </c>
      <c r="L25" s="499">
        <f t="shared" si="16"/>
        <v>0.8</v>
      </c>
      <c r="M25" s="499">
        <f t="shared" si="17"/>
        <v>0.11</v>
      </c>
      <c r="N25" s="499">
        <f t="shared" si="18"/>
        <v>0.09</v>
      </c>
      <c r="O25" s="499">
        <f t="shared" si="19"/>
        <v>0</v>
      </c>
      <c r="P25" s="499">
        <f t="shared" si="1"/>
        <v>1</v>
      </c>
      <c r="Q25" s="510">
        <f>'Input data'!$G$33</f>
        <v>0.66241124199764068</v>
      </c>
      <c r="R25" s="658">
        <f>'Input data'!$H$33</f>
        <v>0.33758875800235938</v>
      </c>
      <c r="S25" s="654">
        <f>'Input data'!J67</f>
        <v>27.526054267727826</v>
      </c>
      <c r="T25" s="238">
        <f>'Input data'!L67</f>
        <v>26317.826083289765</v>
      </c>
      <c r="U25" s="510">
        <f t="shared" si="20"/>
        <v>0.85641924869700936</v>
      </c>
      <c r="V25" s="510">
        <f t="shared" si="21"/>
        <v>0.14268338865096522</v>
      </c>
      <c r="W25" s="510">
        <f t="shared" si="22"/>
        <v>0</v>
      </c>
      <c r="X25" s="510">
        <f t="shared" si="23"/>
        <v>8.973626520254116E-4</v>
      </c>
      <c r="Y25" s="499">
        <f t="shared" si="24"/>
        <v>1</v>
      </c>
      <c r="Z25" s="581">
        <f t="shared" si="25"/>
        <v>0.49613166950665732</v>
      </c>
      <c r="AA25" s="655">
        <f t="shared" si="26"/>
        <v>0.50386833049334279</v>
      </c>
      <c r="AC25" s="693">
        <f t="shared" si="3"/>
        <v>1969</v>
      </c>
      <c r="AD25" s="237">
        <f t="shared" si="4"/>
        <v>4423.3031709484803</v>
      </c>
      <c r="AE25" s="238">
        <f t="shared" si="5"/>
        <v>402.88129024001171</v>
      </c>
      <c r="AF25" s="238">
        <f t="shared" si="6"/>
        <v>205.32289576540435</v>
      </c>
      <c r="AG25" s="238">
        <f t="shared" si="7"/>
        <v>497.62160673170399</v>
      </c>
      <c r="AH25" s="238">
        <f t="shared" si="8"/>
        <v>0</v>
      </c>
      <c r="AI25" s="239">
        <f t="shared" si="9"/>
        <v>5529.1289636856</v>
      </c>
      <c r="AK25" s="671">
        <f t="shared" si="10"/>
        <v>22539.092841589576</v>
      </c>
      <c r="AL25" s="672">
        <f t="shared" si="11"/>
        <v>1863.0322716664584</v>
      </c>
      <c r="AM25" s="672">
        <f t="shared" si="12"/>
        <v>1892.0843358240852</v>
      </c>
      <c r="AN25" s="238">
        <f t="shared" si="13"/>
        <v>0</v>
      </c>
      <c r="AO25" s="673">
        <f t="shared" si="14"/>
        <v>23.616634209644456</v>
      </c>
      <c r="AP25" s="674">
        <f t="shared" si="15"/>
        <v>26317.826083289765</v>
      </c>
      <c r="AR25" s="861">
        <f t="shared" si="27"/>
        <v>31.846955046975367</v>
      </c>
      <c r="AS25" s="713">
        <f t="shared" si="28"/>
        <v>0.18116190535017335</v>
      </c>
      <c r="AT25" s="3">
        <f>'Input data'!D67/10^6</f>
        <v>0</v>
      </c>
    </row>
    <row r="26" spans="1:46">
      <c r="A26">
        <f>'Input data'!A68</f>
        <v>1970</v>
      </c>
      <c r="B26" s="657">
        <f>'Input data'!I68</f>
        <v>578.73</v>
      </c>
      <c r="C26" s="238">
        <f>B26*'Input data'!B68</f>
        <v>5688.2640185279997</v>
      </c>
      <c r="D26" s="510">
        <f>'Input data'!M68</f>
        <v>0.19892488097366726</v>
      </c>
      <c r="E26" s="510">
        <f>'Input data'!N68</f>
        <v>0.26585903447659598</v>
      </c>
      <c r="F26" s="510">
        <f>'Input data'!O68</f>
        <v>8.9228108703258049E-2</v>
      </c>
      <c r="G26" s="510">
        <f>'Input data'!P68</f>
        <v>0</v>
      </c>
      <c r="H26" s="510">
        <f>'Input data'!Q68</f>
        <v>0</v>
      </c>
      <c r="I26" s="510">
        <f>'Input data'!R68</f>
        <v>0</v>
      </c>
      <c r="J26" s="510">
        <f>'Input data'!S68</f>
        <v>0.4459879758464787</v>
      </c>
      <c r="K26" s="510">
        <f>'Input data'!T68</f>
        <v>1</v>
      </c>
      <c r="L26" s="499">
        <f t="shared" si="16"/>
        <v>0.8</v>
      </c>
      <c r="M26" s="499">
        <f t="shared" si="17"/>
        <v>0.11</v>
      </c>
      <c r="N26" s="499">
        <f t="shared" si="18"/>
        <v>0.09</v>
      </c>
      <c r="O26" s="499">
        <f t="shared" si="19"/>
        <v>0</v>
      </c>
      <c r="P26" s="499">
        <f t="shared" si="1"/>
        <v>1</v>
      </c>
      <c r="Q26" s="510">
        <f>'Input data'!$G$33</f>
        <v>0.66241124199764068</v>
      </c>
      <c r="R26" s="658">
        <f>'Input data'!$H$33</f>
        <v>0.33758875800235938</v>
      </c>
      <c r="S26" s="654">
        <f>'Input data'!J68</f>
        <v>27.526054267727826</v>
      </c>
      <c r="T26" s="238">
        <f>'Input data'!L68</f>
        <v>27699.163013817684</v>
      </c>
      <c r="U26" s="510">
        <f t="shared" si="20"/>
        <v>0.85641924869700936</v>
      </c>
      <c r="V26" s="510">
        <f t="shared" si="21"/>
        <v>0.14268338865096522</v>
      </c>
      <c r="W26" s="510">
        <f t="shared" si="22"/>
        <v>0</v>
      </c>
      <c r="X26" s="510">
        <f t="shared" si="23"/>
        <v>8.973626520254116E-4</v>
      </c>
      <c r="Y26" s="499">
        <f t="shared" si="24"/>
        <v>1</v>
      </c>
      <c r="Z26" s="581">
        <f t="shared" si="25"/>
        <v>0.49613166950665732</v>
      </c>
      <c r="AA26" s="655">
        <f t="shared" si="26"/>
        <v>0.50386833049334279</v>
      </c>
      <c r="AC26" s="693">
        <f t="shared" si="3"/>
        <v>1970</v>
      </c>
      <c r="AD26" s="237">
        <f t="shared" si="4"/>
        <v>4550.6112148224001</v>
      </c>
      <c r="AE26" s="238">
        <f t="shared" si="5"/>
        <v>414.47670366559851</v>
      </c>
      <c r="AF26" s="238">
        <f t="shared" si="6"/>
        <v>211.23233837248148</v>
      </c>
      <c r="AG26" s="238">
        <f t="shared" si="7"/>
        <v>511.94376166751994</v>
      </c>
      <c r="AH26" s="238">
        <f t="shared" si="8"/>
        <v>0</v>
      </c>
      <c r="AI26" s="239">
        <f t="shared" si="9"/>
        <v>5688.2640185279997</v>
      </c>
      <c r="AK26" s="671">
        <f t="shared" si="10"/>
        <v>23722.09637782973</v>
      </c>
      <c r="AL26" s="672">
        <f t="shared" si="11"/>
        <v>1960.8167646361192</v>
      </c>
      <c r="AM26" s="672">
        <f t="shared" si="12"/>
        <v>1991.393676970871</v>
      </c>
      <c r="AN26" s="238">
        <f t="shared" si="13"/>
        <v>0</v>
      </c>
      <c r="AO26" s="673">
        <f t="shared" si="14"/>
        <v>24.856194380963629</v>
      </c>
      <c r="AP26" s="674">
        <f t="shared" si="15"/>
        <v>27699.163013817681</v>
      </c>
      <c r="AR26" s="861">
        <f t="shared" si="27"/>
        <v>33.387427032345677</v>
      </c>
      <c r="AS26" s="713">
        <f t="shared" si="28"/>
        <v>0.1809066012843718</v>
      </c>
      <c r="AT26" s="3">
        <f>'Input data'!D68/10^6</f>
        <v>0</v>
      </c>
    </row>
    <row r="27" spans="1:46">
      <c r="A27">
        <f>'Input data'!A69</f>
        <v>1971</v>
      </c>
      <c r="B27" s="657">
        <f>'Input data'!I69</f>
        <v>578.73</v>
      </c>
      <c r="C27" s="238">
        <f>B27*'Input data'!B69</f>
        <v>11903.214468600001</v>
      </c>
      <c r="D27" s="510">
        <f>'Input data'!M69</f>
        <v>0.19892488097366726</v>
      </c>
      <c r="E27" s="510">
        <f>'Input data'!N69</f>
        <v>0.26585903447659598</v>
      </c>
      <c r="F27" s="510">
        <f>'Input data'!O69</f>
        <v>8.9228108703258049E-2</v>
      </c>
      <c r="G27" s="510">
        <f>'Input data'!P69</f>
        <v>0</v>
      </c>
      <c r="H27" s="510">
        <f>'Input data'!Q69</f>
        <v>0</v>
      </c>
      <c r="I27" s="510">
        <f>'Input data'!R69</f>
        <v>0</v>
      </c>
      <c r="J27" s="510">
        <f>'Input data'!S69</f>
        <v>0.4459879758464787</v>
      </c>
      <c r="K27" s="510">
        <f>'Input data'!T69</f>
        <v>1</v>
      </c>
      <c r="L27" s="499">
        <f t="shared" si="16"/>
        <v>0.8</v>
      </c>
      <c r="M27" s="499">
        <f t="shared" si="17"/>
        <v>0.11</v>
      </c>
      <c r="N27" s="499">
        <f t="shared" si="18"/>
        <v>0.09</v>
      </c>
      <c r="O27" s="499">
        <f t="shared" si="19"/>
        <v>0</v>
      </c>
      <c r="P27" s="499">
        <f t="shared" si="1"/>
        <v>1</v>
      </c>
      <c r="Q27" s="510">
        <f>'Input data'!$G$33</f>
        <v>0.66241124199764068</v>
      </c>
      <c r="R27" s="658">
        <f>'Input data'!$H$33</f>
        <v>0.33758875800235938</v>
      </c>
      <c r="S27" s="654">
        <f>'Input data'!J69</f>
        <v>27.526054267727826</v>
      </c>
      <c r="T27" s="238">
        <f>'Input data'!L69</f>
        <v>28884.402008259447</v>
      </c>
      <c r="U27" s="510">
        <f t="shared" si="20"/>
        <v>0.85641924869700936</v>
      </c>
      <c r="V27" s="510">
        <f t="shared" si="21"/>
        <v>0.14268338865096522</v>
      </c>
      <c r="W27" s="510">
        <f t="shared" si="22"/>
        <v>0</v>
      </c>
      <c r="X27" s="510">
        <f t="shared" si="23"/>
        <v>8.973626520254116E-4</v>
      </c>
      <c r="Y27" s="499">
        <f t="shared" si="24"/>
        <v>1</v>
      </c>
      <c r="Z27" s="581">
        <f t="shared" si="25"/>
        <v>0.49613166950665732</v>
      </c>
      <c r="AA27" s="655">
        <f t="shared" si="26"/>
        <v>0.50386833049334279</v>
      </c>
      <c r="AC27" s="693">
        <f t="shared" si="3"/>
        <v>1971</v>
      </c>
      <c r="AD27" s="237">
        <f t="shared" si="4"/>
        <v>9522.5715748800012</v>
      </c>
      <c r="AE27" s="238">
        <f t="shared" si="5"/>
        <v>867.3305387900574</v>
      </c>
      <c r="AF27" s="238">
        <f t="shared" si="6"/>
        <v>442.02305275594279</v>
      </c>
      <c r="AG27" s="238">
        <f t="shared" si="7"/>
        <v>1071.2893021740001</v>
      </c>
      <c r="AH27" s="238">
        <f t="shared" si="8"/>
        <v>0</v>
      </c>
      <c r="AI27" s="239">
        <f t="shared" si="9"/>
        <v>11903.214468600003</v>
      </c>
      <c r="AK27" s="671">
        <f t="shared" si="10"/>
        <v>24737.157866975944</v>
      </c>
      <c r="AL27" s="672">
        <f t="shared" si="11"/>
        <v>2044.719534161773</v>
      </c>
      <c r="AM27" s="672">
        <f t="shared" si="12"/>
        <v>2076.6048235334301</v>
      </c>
      <c r="AN27" s="238">
        <f t="shared" si="13"/>
        <v>0</v>
      </c>
      <c r="AO27" s="673">
        <f t="shared" si="14"/>
        <v>25.919783588299822</v>
      </c>
      <c r="AP27" s="674">
        <f t="shared" si="15"/>
        <v>28884.402008259447</v>
      </c>
      <c r="AR27" s="861">
        <f t="shared" si="27"/>
        <v>40.787616476859441</v>
      </c>
      <c r="AS27" s="713">
        <f t="shared" si="28"/>
        <v>0.19054111463671464</v>
      </c>
      <c r="AT27" s="3">
        <f>'Input data'!D69/10^6</f>
        <v>0</v>
      </c>
    </row>
    <row r="28" spans="1:46">
      <c r="A28">
        <f>'Input data'!A70</f>
        <v>1972</v>
      </c>
      <c r="B28" s="657">
        <f>'Input data'!I70</f>
        <v>578.73</v>
      </c>
      <c r="C28" s="238">
        <f>B28*'Input data'!B70</f>
        <v>12179.1760818</v>
      </c>
      <c r="D28" s="510">
        <f>'Input data'!M70</f>
        <v>0.19892488097366726</v>
      </c>
      <c r="E28" s="510">
        <f>'Input data'!N70</f>
        <v>0.26585903447659598</v>
      </c>
      <c r="F28" s="510">
        <f>'Input data'!O70</f>
        <v>8.9228108703258049E-2</v>
      </c>
      <c r="G28" s="510">
        <f>'Input data'!P70</f>
        <v>0</v>
      </c>
      <c r="H28" s="510">
        <f>'Input data'!Q70</f>
        <v>0</v>
      </c>
      <c r="I28" s="510">
        <f>'Input data'!R70</f>
        <v>0</v>
      </c>
      <c r="J28" s="510">
        <f>'Input data'!S70</f>
        <v>0.4459879758464787</v>
      </c>
      <c r="K28" s="510">
        <f>'Input data'!T70</f>
        <v>1</v>
      </c>
      <c r="L28" s="499">
        <f t="shared" si="16"/>
        <v>0.8</v>
      </c>
      <c r="M28" s="499">
        <f t="shared" si="17"/>
        <v>0.11</v>
      </c>
      <c r="N28" s="499">
        <f t="shared" si="18"/>
        <v>0.09</v>
      </c>
      <c r="O28" s="499">
        <f t="shared" si="19"/>
        <v>0</v>
      </c>
      <c r="P28" s="499">
        <f t="shared" si="1"/>
        <v>1</v>
      </c>
      <c r="Q28" s="510">
        <f>'Input data'!$G$33</f>
        <v>0.66241124199764068</v>
      </c>
      <c r="R28" s="658">
        <f>'Input data'!$H$33</f>
        <v>0.33758875800235938</v>
      </c>
      <c r="S28" s="654">
        <f>'Input data'!J70</f>
        <v>27.526054267727826</v>
      </c>
      <c r="T28" s="238">
        <f>'Input data'!L70</f>
        <v>29362.370128461964</v>
      </c>
      <c r="U28" s="510">
        <f t="shared" si="20"/>
        <v>0.85641924869700936</v>
      </c>
      <c r="V28" s="510">
        <f t="shared" si="21"/>
        <v>0.14268338865096522</v>
      </c>
      <c r="W28" s="510">
        <f t="shared" si="22"/>
        <v>0</v>
      </c>
      <c r="X28" s="510">
        <f t="shared" si="23"/>
        <v>8.973626520254116E-4</v>
      </c>
      <c r="Y28" s="499">
        <f t="shared" si="24"/>
        <v>1</v>
      </c>
      <c r="Z28" s="581">
        <f t="shared" si="25"/>
        <v>0.49613166950665732</v>
      </c>
      <c r="AA28" s="655">
        <f t="shared" si="26"/>
        <v>0.50386833049334279</v>
      </c>
      <c r="AC28" s="693">
        <f t="shared" si="3"/>
        <v>1972</v>
      </c>
      <c r="AD28" s="237">
        <f t="shared" si="4"/>
        <v>9743.3408654400009</v>
      </c>
      <c r="AE28" s="238">
        <f t="shared" si="5"/>
        <v>887.43854703384068</v>
      </c>
      <c r="AF28" s="238">
        <f t="shared" si="6"/>
        <v>452.27082196415938</v>
      </c>
      <c r="AG28" s="238">
        <f t="shared" si="7"/>
        <v>1096.1258473620001</v>
      </c>
      <c r="AH28" s="238">
        <f t="shared" si="8"/>
        <v>0</v>
      </c>
      <c r="AI28" s="239">
        <f t="shared" si="9"/>
        <v>12179.1760818</v>
      </c>
      <c r="AK28" s="671">
        <f t="shared" si="10"/>
        <v>25146.498965380906</v>
      </c>
      <c r="AL28" s="672">
        <f t="shared" si="11"/>
        <v>2078.5547768579941</v>
      </c>
      <c r="AM28" s="672">
        <f t="shared" si="12"/>
        <v>2110.9676918948362</v>
      </c>
      <c r="AN28" s="238">
        <f t="shared" si="13"/>
        <v>0</v>
      </c>
      <c r="AO28" s="673">
        <f t="shared" si="14"/>
        <v>26.348694328228355</v>
      </c>
      <c r="AP28" s="674">
        <f t="shared" si="15"/>
        <v>29362.370128461964</v>
      </c>
      <c r="AR28" s="861">
        <f t="shared" si="27"/>
        <v>41.541546210261963</v>
      </c>
      <c r="AS28" s="713">
        <f t="shared" si="28"/>
        <v>0.19064880812565632</v>
      </c>
      <c r="AT28" s="3">
        <f>'Input data'!D70/10^6</f>
        <v>0</v>
      </c>
    </row>
    <row r="29" spans="1:46">
      <c r="A29">
        <f>'Input data'!A71</f>
        <v>1973</v>
      </c>
      <c r="B29" s="657">
        <f>'Input data'!I71</f>
        <v>578.73</v>
      </c>
      <c r="C29" s="238">
        <f>B29*'Input data'!B71</f>
        <v>12458.2975608</v>
      </c>
      <c r="D29" s="510">
        <f>'Input data'!M71</f>
        <v>0.19892488097366726</v>
      </c>
      <c r="E29" s="510">
        <f>'Input data'!N71</f>
        <v>0.26585903447659598</v>
      </c>
      <c r="F29" s="510">
        <f>'Input data'!O71</f>
        <v>8.9228108703258049E-2</v>
      </c>
      <c r="G29" s="510">
        <f>'Input data'!P71</f>
        <v>0</v>
      </c>
      <c r="H29" s="510">
        <f>'Input data'!Q71</f>
        <v>0</v>
      </c>
      <c r="I29" s="510">
        <f>'Input data'!R71</f>
        <v>0</v>
      </c>
      <c r="J29" s="510">
        <f>'Input data'!S71</f>
        <v>0.4459879758464787</v>
      </c>
      <c r="K29" s="510">
        <f>'Input data'!T71</f>
        <v>1</v>
      </c>
      <c r="L29" s="499">
        <f t="shared" si="16"/>
        <v>0.8</v>
      </c>
      <c r="M29" s="499">
        <f t="shared" si="17"/>
        <v>0.11</v>
      </c>
      <c r="N29" s="499">
        <f t="shared" si="18"/>
        <v>0.09</v>
      </c>
      <c r="O29" s="499">
        <f t="shared" si="19"/>
        <v>0</v>
      </c>
      <c r="P29" s="499">
        <f t="shared" si="1"/>
        <v>1</v>
      </c>
      <c r="Q29" s="510">
        <f>'Input data'!$G$33</f>
        <v>0.66241124199764068</v>
      </c>
      <c r="R29" s="658">
        <f>'Input data'!$H$33</f>
        <v>0.33758875800235938</v>
      </c>
      <c r="S29" s="654">
        <f>'Input data'!J71</f>
        <v>27.526054267727826</v>
      </c>
      <c r="T29" s="238">
        <f>'Input data'!L71</f>
        <v>30704.817047992961</v>
      </c>
      <c r="U29" s="510">
        <f t="shared" si="20"/>
        <v>0.85641924869700936</v>
      </c>
      <c r="V29" s="510">
        <f t="shared" si="21"/>
        <v>0.14268338865096522</v>
      </c>
      <c r="W29" s="510">
        <f t="shared" si="22"/>
        <v>0</v>
      </c>
      <c r="X29" s="510">
        <f t="shared" si="23"/>
        <v>8.973626520254116E-4</v>
      </c>
      <c r="Y29" s="499">
        <f t="shared" si="24"/>
        <v>1</v>
      </c>
      <c r="Z29" s="581">
        <f t="shared" si="25"/>
        <v>0.49613166950665732</v>
      </c>
      <c r="AA29" s="655">
        <f t="shared" si="26"/>
        <v>0.50386833049334279</v>
      </c>
      <c r="AC29" s="693">
        <f t="shared" si="3"/>
        <v>1973</v>
      </c>
      <c r="AD29" s="237">
        <f t="shared" si="4"/>
        <v>9966.6380486400012</v>
      </c>
      <c r="AE29" s="238">
        <f t="shared" si="5"/>
        <v>907.7767996468275</v>
      </c>
      <c r="AF29" s="238">
        <f t="shared" si="6"/>
        <v>462.63593204117245</v>
      </c>
      <c r="AG29" s="238">
        <f t="shared" si="7"/>
        <v>1121.246780472</v>
      </c>
      <c r="AH29" s="238">
        <f t="shared" si="8"/>
        <v>0</v>
      </c>
      <c r="AI29" s="239">
        <f t="shared" si="9"/>
        <v>12458.297560800002</v>
      </c>
      <c r="AK29" s="671">
        <f t="shared" si="10"/>
        <v>26296.196347621255</v>
      </c>
      <c r="AL29" s="672">
        <f t="shared" si="11"/>
        <v>2173.5862557563773</v>
      </c>
      <c r="AM29" s="672">
        <f t="shared" si="12"/>
        <v>2207.4810885591855</v>
      </c>
      <c r="AN29" s="238">
        <f t="shared" si="13"/>
        <v>0</v>
      </c>
      <c r="AO29" s="673">
        <f t="shared" si="14"/>
        <v>27.553356056142032</v>
      </c>
      <c r="AP29" s="674">
        <f t="shared" si="15"/>
        <v>30704.817047992961</v>
      </c>
      <c r="AR29" s="861">
        <f t="shared" si="27"/>
        <v>43.163114608792966</v>
      </c>
      <c r="AS29" s="713">
        <f t="shared" si="28"/>
        <v>0.19028518667705516</v>
      </c>
      <c r="AT29" s="3">
        <f>'Input data'!D71/10^6</f>
        <v>0</v>
      </c>
    </row>
    <row r="30" spans="1:46">
      <c r="A30">
        <f>'Input data'!A72</f>
        <v>1974</v>
      </c>
      <c r="B30" s="657">
        <f>'Input data'!I72</f>
        <v>578.73</v>
      </c>
      <c r="C30" s="238">
        <f>B30*'Input data'!B72</f>
        <v>12739.525617000001</v>
      </c>
      <c r="D30" s="510">
        <f>'Input data'!M72</f>
        <v>0.19892488097366726</v>
      </c>
      <c r="E30" s="510">
        <f>'Input data'!N72</f>
        <v>0.26585903447659598</v>
      </c>
      <c r="F30" s="510">
        <f>'Input data'!O72</f>
        <v>8.9228108703258049E-2</v>
      </c>
      <c r="G30" s="510">
        <f>'Input data'!P72</f>
        <v>0</v>
      </c>
      <c r="H30" s="510">
        <f>'Input data'!Q72</f>
        <v>0</v>
      </c>
      <c r="I30" s="510">
        <f>'Input data'!R72</f>
        <v>0</v>
      </c>
      <c r="J30" s="510">
        <f>'Input data'!S72</f>
        <v>0.4459879758464787</v>
      </c>
      <c r="K30" s="510">
        <f>'Input data'!T72</f>
        <v>1</v>
      </c>
      <c r="L30" s="499">
        <f t="shared" si="16"/>
        <v>0.8</v>
      </c>
      <c r="M30" s="499">
        <f t="shared" si="17"/>
        <v>0.11</v>
      </c>
      <c r="N30" s="499">
        <f t="shared" si="18"/>
        <v>0.09</v>
      </c>
      <c r="O30" s="499">
        <f t="shared" si="19"/>
        <v>0</v>
      </c>
      <c r="P30" s="499">
        <f t="shared" si="1"/>
        <v>1</v>
      </c>
      <c r="Q30" s="510">
        <f>'Input data'!$G$33</f>
        <v>0.66241124199764068</v>
      </c>
      <c r="R30" s="658">
        <f>'Input data'!$H$33</f>
        <v>0.33758875800235938</v>
      </c>
      <c r="S30" s="654">
        <f>'Input data'!J72</f>
        <v>27.526054267727826</v>
      </c>
      <c r="T30" s="238">
        <f>'Input data'!L72</f>
        <v>32581.205139946225</v>
      </c>
      <c r="U30" s="510">
        <f t="shared" si="20"/>
        <v>0.85641924869700936</v>
      </c>
      <c r="V30" s="510">
        <f t="shared" si="21"/>
        <v>0.14268338865096522</v>
      </c>
      <c r="W30" s="510">
        <f t="shared" si="22"/>
        <v>0</v>
      </c>
      <c r="X30" s="510">
        <f t="shared" si="23"/>
        <v>8.973626520254116E-4</v>
      </c>
      <c r="Y30" s="499">
        <f t="shared" si="24"/>
        <v>1</v>
      </c>
      <c r="Z30" s="581">
        <f t="shared" si="25"/>
        <v>0.49613166950665732</v>
      </c>
      <c r="AA30" s="655">
        <f t="shared" si="26"/>
        <v>0.50386833049334279</v>
      </c>
      <c r="AC30" s="693">
        <f t="shared" si="3"/>
        <v>1974</v>
      </c>
      <c r="AD30" s="237">
        <f t="shared" si="4"/>
        <v>10191.620493600001</v>
      </c>
      <c r="AE30" s="238">
        <f t="shared" si="5"/>
        <v>928.26854850595032</v>
      </c>
      <c r="AF30" s="238">
        <f t="shared" si="6"/>
        <v>473.07926936404988</v>
      </c>
      <c r="AG30" s="238">
        <f t="shared" si="7"/>
        <v>1146.5573055300001</v>
      </c>
      <c r="AH30" s="238">
        <f t="shared" si="8"/>
        <v>0</v>
      </c>
      <c r="AI30" s="239">
        <f t="shared" si="9"/>
        <v>12739.525617000003</v>
      </c>
      <c r="AK30" s="671">
        <f t="shared" si="10"/>
        <v>27903.171227595885</v>
      </c>
      <c r="AL30" s="672">
        <f t="shared" si="11"/>
        <v>2306.4152956024604</v>
      </c>
      <c r="AM30" s="672">
        <f t="shared" si="12"/>
        <v>2342.3814600973128</v>
      </c>
      <c r="AN30" s="238">
        <f t="shared" si="13"/>
        <v>0</v>
      </c>
      <c r="AO30" s="673">
        <f t="shared" si="14"/>
        <v>29.237156650566117</v>
      </c>
      <c r="AP30" s="674">
        <f t="shared" si="15"/>
        <v>32581.205139946222</v>
      </c>
      <c r="AR30" s="861">
        <f t="shared" si="27"/>
        <v>45.320730756946226</v>
      </c>
      <c r="AS30" s="713">
        <f t="shared" si="28"/>
        <v>0.18968312226602463</v>
      </c>
      <c r="AT30" s="3">
        <f>'Input data'!D72/10^6</f>
        <v>0</v>
      </c>
    </row>
    <row r="31" spans="1:46">
      <c r="A31">
        <f>'Input data'!A73</f>
        <v>1975</v>
      </c>
      <c r="B31" s="657">
        <f>'Input data'!I73</f>
        <v>578.73</v>
      </c>
      <c r="C31" s="238">
        <f>B31*'Input data'!B73</f>
        <v>13022.860250400001</v>
      </c>
      <c r="D31" s="510">
        <f>'Input data'!M73</f>
        <v>0.19892488097366726</v>
      </c>
      <c r="E31" s="510">
        <f>'Input data'!N73</f>
        <v>0.26585903447659598</v>
      </c>
      <c r="F31" s="510">
        <f>'Input data'!O73</f>
        <v>8.9228108703258049E-2</v>
      </c>
      <c r="G31" s="510">
        <f>'Input data'!P73</f>
        <v>0</v>
      </c>
      <c r="H31" s="510">
        <f>'Input data'!Q73</f>
        <v>0</v>
      </c>
      <c r="I31" s="510">
        <f>'Input data'!R73</f>
        <v>0</v>
      </c>
      <c r="J31" s="510">
        <f>'Input data'!S73</f>
        <v>0.4459879758464787</v>
      </c>
      <c r="K31" s="510">
        <f>'Input data'!T73</f>
        <v>1</v>
      </c>
      <c r="L31" s="499">
        <f t="shared" si="16"/>
        <v>0.8</v>
      </c>
      <c r="M31" s="499">
        <f t="shared" si="17"/>
        <v>0.11</v>
      </c>
      <c r="N31" s="499">
        <f t="shared" si="18"/>
        <v>0.09</v>
      </c>
      <c r="O31" s="499">
        <f t="shared" si="19"/>
        <v>0</v>
      </c>
      <c r="P31" s="499">
        <f t="shared" si="1"/>
        <v>1</v>
      </c>
      <c r="Q31" s="510">
        <f>'Input data'!$G$33</f>
        <v>0.66241124199764068</v>
      </c>
      <c r="R31" s="658">
        <f>'Input data'!$H$33</f>
        <v>0.33758875800235938</v>
      </c>
      <c r="S31" s="654">
        <f>'Input data'!J73</f>
        <v>27.526054267727826</v>
      </c>
      <c r="T31" s="238">
        <f>'Input data'!L73</f>
        <v>33133.60258853608</v>
      </c>
      <c r="U31" s="510">
        <f t="shared" si="20"/>
        <v>0.85641924869700936</v>
      </c>
      <c r="V31" s="510">
        <f t="shared" si="21"/>
        <v>0.14268338865096522</v>
      </c>
      <c r="W31" s="510">
        <f t="shared" si="22"/>
        <v>0</v>
      </c>
      <c r="X31" s="510">
        <f t="shared" si="23"/>
        <v>8.973626520254116E-4</v>
      </c>
      <c r="Y31" s="499">
        <f t="shared" si="24"/>
        <v>1</v>
      </c>
      <c r="Z31" s="581">
        <f t="shared" si="25"/>
        <v>0.49613166950665732</v>
      </c>
      <c r="AA31" s="655">
        <f t="shared" si="26"/>
        <v>0.50386833049334279</v>
      </c>
      <c r="AC31" s="693">
        <f t="shared" si="3"/>
        <v>1975</v>
      </c>
      <c r="AD31" s="237">
        <f t="shared" si="4"/>
        <v>10418.288200320001</v>
      </c>
      <c r="AE31" s="238">
        <f t="shared" si="5"/>
        <v>948.9137936112088</v>
      </c>
      <c r="AF31" s="238">
        <f t="shared" si="6"/>
        <v>483.60083393279143</v>
      </c>
      <c r="AG31" s="238">
        <f t="shared" si="7"/>
        <v>1172.0574225360001</v>
      </c>
      <c r="AH31" s="238">
        <f t="shared" si="8"/>
        <v>0</v>
      </c>
      <c r="AI31" s="239">
        <f t="shared" si="9"/>
        <v>13022.860250400001</v>
      </c>
      <c r="AK31" s="671">
        <f t="shared" si="10"/>
        <v>28376.255035499355</v>
      </c>
      <c r="AL31" s="672">
        <f t="shared" si="11"/>
        <v>2345.5193716858021</v>
      </c>
      <c r="AM31" s="672">
        <f t="shared" si="12"/>
        <v>2382.0953238609195</v>
      </c>
      <c r="AN31" s="238">
        <f t="shared" si="13"/>
        <v>0</v>
      </c>
      <c r="AO31" s="673">
        <f t="shared" si="14"/>
        <v>29.732857490004779</v>
      </c>
      <c r="AP31" s="674">
        <f t="shared" si="15"/>
        <v>33133.60258853608</v>
      </c>
      <c r="AR31" s="861">
        <f t="shared" si="27"/>
        <v>46.156462838936086</v>
      </c>
      <c r="AS31" s="713">
        <f t="shared" si="28"/>
        <v>0.18976688443954656</v>
      </c>
      <c r="AT31" s="3">
        <f>'Input data'!D73/10^6</f>
        <v>0</v>
      </c>
    </row>
    <row r="32" spans="1:46">
      <c r="A32">
        <f>'Input data'!A74</f>
        <v>1976</v>
      </c>
      <c r="B32" s="657">
        <f>'Input data'!I74</f>
        <v>578.73</v>
      </c>
      <c r="C32" s="238">
        <f>B32*'Input data'!B74</f>
        <v>13307.248172400001</v>
      </c>
      <c r="D32" s="510">
        <f>'Input data'!M74</f>
        <v>0.19892488097366726</v>
      </c>
      <c r="E32" s="510">
        <f>'Input data'!N74</f>
        <v>0.26585903447659598</v>
      </c>
      <c r="F32" s="510">
        <f>'Input data'!O74</f>
        <v>8.9228108703258049E-2</v>
      </c>
      <c r="G32" s="510">
        <f>'Input data'!P74</f>
        <v>0</v>
      </c>
      <c r="H32" s="510">
        <f>'Input data'!Q74</f>
        <v>0</v>
      </c>
      <c r="I32" s="510">
        <f>'Input data'!R74</f>
        <v>0</v>
      </c>
      <c r="J32" s="510">
        <f>'Input data'!S74</f>
        <v>0.4459879758464787</v>
      </c>
      <c r="K32" s="510">
        <f>'Input data'!T74</f>
        <v>1</v>
      </c>
      <c r="L32" s="499">
        <f t="shared" si="16"/>
        <v>0.8</v>
      </c>
      <c r="M32" s="499">
        <f t="shared" si="17"/>
        <v>0.11</v>
      </c>
      <c r="N32" s="499">
        <f t="shared" si="18"/>
        <v>0.09</v>
      </c>
      <c r="O32" s="499">
        <f t="shared" si="19"/>
        <v>0</v>
      </c>
      <c r="P32" s="499">
        <f t="shared" si="1"/>
        <v>1</v>
      </c>
      <c r="Q32" s="510">
        <f>'Input data'!$G$33</f>
        <v>0.66241124199764068</v>
      </c>
      <c r="R32" s="658">
        <f>'Input data'!$H$33</f>
        <v>0.33758875800235938</v>
      </c>
      <c r="S32" s="654">
        <f>'Input data'!J74</f>
        <v>27.526054267727826</v>
      </c>
      <c r="T32" s="238">
        <f>'Input data'!L74</f>
        <v>33879.076856411804</v>
      </c>
      <c r="U32" s="510">
        <f t="shared" si="20"/>
        <v>0.85641924869700936</v>
      </c>
      <c r="V32" s="510">
        <f t="shared" si="21"/>
        <v>0.14268338865096522</v>
      </c>
      <c r="W32" s="510">
        <f t="shared" si="22"/>
        <v>0</v>
      </c>
      <c r="X32" s="510">
        <f t="shared" si="23"/>
        <v>8.973626520254116E-4</v>
      </c>
      <c r="Y32" s="499">
        <f t="shared" si="24"/>
        <v>1</v>
      </c>
      <c r="Z32" s="581">
        <f t="shared" si="25"/>
        <v>0.49613166950665732</v>
      </c>
      <c r="AA32" s="655">
        <f t="shared" si="26"/>
        <v>0.50386833049334279</v>
      </c>
      <c r="AC32" s="693">
        <f t="shared" si="3"/>
        <v>1976</v>
      </c>
      <c r="AD32" s="237">
        <f t="shared" si="4"/>
        <v>10645.798537920002</v>
      </c>
      <c r="AE32" s="238">
        <f t="shared" si="5"/>
        <v>969.63578683953506</v>
      </c>
      <c r="AF32" s="238">
        <f t="shared" si="6"/>
        <v>494.1615121244651</v>
      </c>
      <c r="AG32" s="238">
        <f t="shared" si="7"/>
        <v>1197.652335516</v>
      </c>
      <c r="AH32" s="238">
        <f t="shared" si="8"/>
        <v>0</v>
      </c>
      <c r="AI32" s="239">
        <f t="shared" si="9"/>
        <v>13307.248172400003</v>
      </c>
      <c r="AK32" s="671">
        <f t="shared" si="10"/>
        <v>29014.693547916435</v>
      </c>
      <c r="AL32" s="672">
        <f t="shared" si="11"/>
        <v>2398.2913071167163</v>
      </c>
      <c r="AM32" s="672">
        <f t="shared" si="12"/>
        <v>2435.6901831226105</v>
      </c>
      <c r="AN32" s="238">
        <f t="shared" si="13"/>
        <v>0</v>
      </c>
      <c r="AO32" s="673">
        <f t="shared" si="14"/>
        <v>30.401818256042443</v>
      </c>
      <c r="AP32" s="674">
        <f t="shared" si="15"/>
        <v>33879.076856411804</v>
      </c>
      <c r="AR32" s="861">
        <f t="shared" si="27"/>
        <v>47.186325028811808</v>
      </c>
      <c r="AS32" s="713">
        <f t="shared" si="28"/>
        <v>0.18975641872237378</v>
      </c>
      <c r="AT32" s="3">
        <f>'Input data'!D74/10^6</f>
        <v>0</v>
      </c>
    </row>
    <row r="33" spans="1:46">
      <c r="A33">
        <f>'Input data'!A75</f>
        <v>1977</v>
      </c>
      <c r="B33" s="657">
        <f>'Input data'!I75</f>
        <v>578.73</v>
      </c>
      <c r="C33" s="238">
        <f>B33*'Input data'!B75</f>
        <v>13590.582805800001</v>
      </c>
      <c r="D33" s="510">
        <f>'Input data'!M75</f>
        <v>0.19892488097366726</v>
      </c>
      <c r="E33" s="510">
        <f>'Input data'!N75</f>
        <v>0.26585903447659598</v>
      </c>
      <c r="F33" s="510">
        <f>'Input data'!O75</f>
        <v>8.9228108703258049E-2</v>
      </c>
      <c r="G33" s="510">
        <f>'Input data'!P75</f>
        <v>0</v>
      </c>
      <c r="H33" s="510">
        <f>'Input data'!Q75</f>
        <v>0</v>
      </c>
      <c r="I33" s="510">
        <f>'Input data'!R75</f>
        <v>0</v>
      </c>
      <c r="J33" s="510">
        <f>'Input data'!S75</f>
        <v>0.4459879758464787</v>
      </c>
      <c r="K33" s="510">
        <f>'Input data'!T75</f>
        <v>1</v>
      </c>
      <c r="L33" s="499">
        <f t="shared" si="16"/>
        <v>0.8</v>
      </c>
      <c r="M33" s="499">
        <f t="shared" si="17"/>
        <v>0.11</v>
      </c>
      <c r="N33" s="499">
        <f t="shared" si="18"/>
        <v>0.09</v>
      </c>
      <c r="O33" s="499">
        <f t="shared" si="19"/>
        <v>0</v>
      </c>
      <c r="P33" s="499">
        <f t="shared" si="1"/>
        <v>1</v>
      </c>
      <c r="Q33" s="510">
        <f>'Input data'!$G$33</f>
        <v>0.66241124199764068</v>
      </c>
      <c r="R33" s="658">
        <f>'Input data'!$H$33</f>
        <v>0.33758875800235938</v>
      </c>
      <c r="S33" s="654">
        <f>'Input data'!J75</f>
        <v>27.526054267727826</v>
      </c>
      <c r="T33" s="238">
        <f>'Input data'!L75</f>
        <v>33847.217807994064</v>
      </c>
      <c r="U33" s="510">
        <f t="shared" si="20"/>
        <v>0.85641924869700936</v>
      </c>
      <c r="V33" s="510">
        <f t="shared" si="21"/>
        <v>0.14268338865096522</v>
      </c>
      <c r="W33" s="510">
        <f t="shared" si="22"/>
        <v>0</v>
      </c>
      <c r="X33" s="510">
        <f t="shared" si="23"/>
        <v>8.973626520254116E-4</v>
      </c>
      <c r="Y33" s="499">
        <f t="shared" si="24"/>
        <v>1</v>
      </c>
      <c r="Z33" s="581">
        <f t="shared" si="25"/>
        <v>0.49613166950665732</v>
      </c>
      <c r="AA33" s="655">
        <f t="shared" si="26"/>
        <v>0.50386833049334279</v>
      </c>
      <c r="AC33" s="693">
        <f t="shared" si="3"/>
        <v>1977</v>
      </c>
      <c r="AD33" s="237">
        <f t="shared" si="4"/>
        <v>10872.466244640002</v>
      </c>
      <c r="AE33" s="238">
        <f t="shared" si="5"/>
        <v>990.28103194479343</v>
      </c>
      <c r="AF33" s="238">
        <f t="shared" si="6"/>
        <v>504.68307669320666</v>
      </c>
      <c r="AG33" s="238">
        <f t="shared" si="7"/>
        <v>1223.152452522</v>
      </c>
      <c r="AH33" s="238">
        <f t="shared" si="8"/>
        <v>0</v>
      </c>
      <c r="AI33" s="239">
        <f t="shared" si="9"/>
        <v>13590.582805800001</v>
      </c>
      <c r="AK33" s="671">
        <f t="shared" si="10"/>
        <v>28987.408845606311</v>
      </c>
      <c r="AL33" s="672">
        <f t="shared" si="11"/>
        <v>2396.0360131133671</v>
      </c>
      <c r="AM33" s="672">
        <f t="shared" si="12"/>
        <v>2433.3997201385218</v>
      </c>
      <c r="AN33" s="238">
        <f t="shared" si="13"/>
        <v>0</v>
      </c>
      <c r="AO33" s="673">
        <f t="shared" si="14"/>
        <v>30.373229135863291</v>
      </c>
      <c r="AP33" s="674">
        <f t="shared" si="15"/>
        <v>33847.217807994064</v>
      </c>
      <c r="AR33" s="861">
        <f t="shared" si="27"/>
        <v>47.437800613794067</v>
      </c>
      <c r="AS33" s="713">
        <f t="shared" si="28"/>
        <v>0.19011413122571649</v>
      </c>
      <c r="AT33" s="3">
        <f>'Input data'!D75/10^6</f>
        <v>0</v>
      </c>
    </row>
    <row r="34" spans="1:46">
      <c r="A34">
        <f>'Input data'!A76</f>
        <v>1978</v>
      </c>
      <c r="B34" s="657">
        <f>'Input data'!I76</f>
        <v>578.73</v>
      </c>
      <c r="C34" s="238">
        <f>B34*'Input data'!B76</f>
        <v>13879.710526499999</v>
      </c>
      <c r="D34" s="510">
        <f>'Input data'!M76</f>
        <v>0.19892488097366726</v>
      </c>
      <c r="E34" s="510">
        <f>'Input data'!N76</f>
        <v>0.26585903447659598</v>
      </c>
      <c r="F34" s="510">
        <f>'Input data'!O76</f>
        <v>8.9228108703258049E-2</v>
      </c>
      <c r="G34" s="510">
        <f>'Input data'!P76</f>
        <v>0</v>
      </c>
      <c r="H34" s="510">
        <f>'Input data'!Q76</f>
        <v>0</v>
      </c>
      <c r="I34" s="510">
        <f>'Input data'!R76</f>
        <v>0</v>
      </c>
      <c r="J34" s="510">
        <f>'Input data'!S76</f>
        <v>0.4459879758464787</v>
      </c>
      <c r="K34" s="510">
        <f>'Input data'!T76</f>
        <v>1</v>
      </c>
      <c r="L34" s="499">
        <f t="shared" si="16"/>
        <v>0.8</v>
      </c>
      <c r="M34" s="499">
        <f t="shared" si="17"/>
        <v>0.11</v>
      </c>
      <c r="N34" s="499">
        <f t="shared" si="18"/>
        <v>0.09</v>
      </c>
      <c r="O34" s="499">
        <f t="shared" si="19"/>
        <v>0</v>
      </c>
      <c r="P34" s="499">
        <f t="shared" si="1"/>
        <v>1</v>
      </c>
      <c r="Q34" s="510">
        <f>'Input data'!$G$33</f>
        <v>0.66241124199764068</v>
      </c>
      <c r="R34" s="658">
        <f>'Input data'!$H$33</f>
        <v>0.33758875800235938</v>
      </c>
      <c r="S34" s="654">
        <f>'Input data'!J76</f>
        <v>27.526054267727826</v>
      </c>
      <c r="T34" s="238">
        <f>'Input data'!L76</f>
        <v>34867.558762444714</v>
      </c>
      <c r="U34" s="510">
        <f t="shared" si="20"/>
        <v>0.85641924869700936</v>
      </c>
      <c r="V34" s="510">
        <f t="shared" si="21"/>
        <v>0.14268338865096522</v>
      </c>
      <c r="W34" s="510">
        <f t="shared" si="22"/>
        <v>0</v>
      </c>
      <c r="X34" s="510">
        <f t="shared" si="23"/>
        <v>8.973626520254116E-4</v>
      </c>
      <c r="Y34" s="499">
        <f t="shared" si="24"/>
        <v>1</v>
      </c>
      <c r="Z34" s="581">
        <f t="shared" si="25"/>
        <v>0.49613166950665732</v>
      </c>
      <c r="AA34" s="655">
        <f t="shared" si="26"/>
        <v>0.50386833049334279</v>
      </c>
      <c r="AC34" s="693">
        <f t="shared" si="3"/>
        <v>1978</v>
      </c>
      <c r="AD34" s="237">
        <f t="shared" si="4"/>
        <v>11103.7684212</v>
      </c>
      <c r="AE34" s="238">
        <f t="shared" si="5"/>
        <v>1011.3483917269251</v>
      </c>
      <c r="AF34" s="238">
        <f t="shared" si="6"/>
        <v>515.41976618807485</v>
      </c>
      <c r="AG34" s="238">
        <f t="shared" si="7"/>
        <v>1249.1739473849998</v>
      </c>
      <c r="AH34" s="238">
        <f t="shared" si="8"/>
        <v>0</v>
      </c>
      <c r="AI34" s="239">
        <f t="shared" si="9"/>
        <v>13879.710526500001</v>
      </c>
      <c r="AK34" s="671">
        <f t="shared" si="10"/>
        <v>29861.248479231726</v>
      </c>
      <c r="AL34" s="672">
        <f t="shared" si="11"/>
        <v>2468.2656919716633</v>
      </c>
      <c r="AM34" s="672">
        <f t="shared" si="12"/>
        <v>2506.7557462406044</v>
      </c>
      <c r="AN34" s="238">
        <f t="shared" si="13"/>
        <v>0</v>
      </c>
      <c r="AO34" s="673">
        <f t="shared" si="14"/>
        <v>31.288845000719267</v>
      </c>
      <c r="AP34" s="674">
        <f t="shared" si="15"/>
        <v>34867.558762444714</v>
      </c>
      <c r="AR34" s="861">
        <f t="shared" si="27"/>
        <v>48.747269288944715</v>
      </c>
      <c r="AS34" s="713">
        <f t="shared" si="28"/>
        <v>0.18997312774039085</v>
      </c>
      <c r="AT34" s="3">
        <f>'Input data'!D76/10^6</f>
        <v>0</v>
      </c>
    </row>
    <row r="35" spans="1:46">
      <c r="A35">
        <f>'Input data'!A77</f>
        <v>1979</v>
      </c>
      <c r="B35" s="657">
        <f>'Input data'!I77</f>
        <v>578.73</v>
      </c>
      <c r="C35" s="238">
        <f>B35*'Input data'!B77</f>
        <v>14188.324086299999</v>
      </c>
      <c r="D35" s="510">
        <f>'Input data'!M77</f>
        <v>0.19892488097366726</v>
      </c>
      <c r="E35" s="510">
        <f>'Input data'!N77</f>
        <v>0.26585903447659598</v>
      </c>
      <c r="F35" s="510">
        <f>'Input data'!O77</f>
        <v>8.9228108703258049E-2</v>
      </c>
      <c r="G35" s="510">
        <f>'Input data'!P77</f>
        <v>0</v>
      </c>
      <c r="H35" s="510">
        <f>'Input data'!Q77</f>
        <v>0</v>
      </c>
      <c r="I35" s="510">
        <f>'Input data'!R77</f>
        <v>0</v>
      </c>
      <c r="J35" s="510">
        <f>'Input data'!S77</f>
        <v>0.4459879758464787</v>
      </c>
      <c r="K35" s="510">
        <f>'Input data'!T77</f>
        <v>1</v>
      </c>
      <c r="L35" s="499">
        <f t="shared" si="16"/>
        <v>0.8</v>
      </c>
      <c r="M35" s="499">
        <f t="shared" si="17"/>
        <v>0.11</v>
      </c>
      <c r="N35" s="499">
        <f t="shared" si="18"/>
        <v>0.09</v>
      </c>
      <c r="O35" s="499">
        <f t="shared" si="19"/>
        <v>0</v>
      </c>
      <c r="P35" s="499">
        <f t="shared" si="1"/>
        <v>1</v>
      </c>
      <c r="Q35" s="510">
        <f>'Input data'!$G$33</f>
        <v>0.66241124199764068</v>
      </c>
      <c r="R35" s="658">
        <f>'Input data'!$H$33</f>
        <v>0.33758875800235938</v>
      </c>
      <c r="S35" s="654">
        <f>'Input data'!J77</f>
        <v>27.526054267727826</v>
      </c>
      <c r="T35" s="238">
        <f>'Input data'!L77</f>
        <v>36189.214906486523</v>
      </c>
      <c r="U35" s="510">
        <f t="shared" si="20"/>
        <v>0.85641924869700936</v>
      </c>
      <c r="V35" s="510">
        <f t="shared" si="21"/>
        <v>0.14268338865096522</v>
      </c>
      <c r="W35" s="510">
        <f t="shared" si="22"/>
        <v>0</v>
      </c>
      <c r="X35" s="510">
        <f t="shared" si="23"/>
        <v>8.973626520254116E-4</v>
      </c>
      <c r="Y35" s="499">
        <f t="shared" si="24"/>
        <v>1</v>
      </c>
      <c r="Z35" s="581">
        <f t="shared" si="25"/>
        <v>0.49613166950665732</v>
      </c>
      <c r="AA35" s="655">
        <f t="shared" si="26"/>
        <v>0.50386833049334279</v>
      </c>
      <c r="AC35" s="693">
        <f t="shared" si="3"/>
        <v>1979</v>
      </c>
      <c r="AD35" s="237">
        <f t="shared" si="4"/>
        <v>11350.659269039999</v>
      </c>
      <c r="AE35" s="238">
        <f t="shared" si="5"/>
        <v>1033.8355917858125</v>
      </c>
      <c r="AF35" s="238">
        <f t="shared" si="6"/>
        <v>526.88005770718758</v>
      </c>
      <c r="AG35" s="238">
        <f t="shared" si="7"/>
        <v>1276.9491677669998</v>
      </c>
      <c r="AH35" s="238">
        <f t="shared" si="8"/>
        <v>0</v>
      </c>
      <c r="AI35" s="239">
        <f t="shared" si="9"/>
        <v>14188.324086299999</v>
      </c>
      <c r="AK35" s="671">
        <f t="shared" si="10"/>
        <v>30993.140241147801</v>
      </c>
      <c r="AL35" s="672">
        <f t="shared" si="11"/>
        <v>2561.825397116138</v>
      </c>
      <c r="AM35" s="672">
        <f t="shared" si="12"/>
        <v>2601.7744183593836</v>
      </c>
      <c r="AN35" s="238">
        <f t="shared" si="13"/>
        <v>0</v>
      </c>
      <c r="AO35" s="673">
        <f t="shared" si="14"/>
        <v>32.474849863202301</v>
      </c>
      <c r="AP35" s="674">
        <f t="shared" si="15"/>
        <v>36189.214906486523</v>
      </c>
      <c r="AR35" s="861">
        <f t="shared" si="27"/>
        <v>50.377538992786519</v>
      </c>
      <c r="AS35" s="713">
        <f t="shared" si="28"/>
        <v>0.18972646705135238</v>
      </c>
      <c r="AT35" s="3">
        <f>'Input data'!D77/10^6</f>
        <v>0</v>
      </c>
    </row>
    <row r="36" spans="1:46">
      <c r="A36">
        <f>'Input data'!A78</f>
        <v>1980</v>
      </c>
      <c r="B36" s="657">
        <f>'Input data'!I78</f>
        <v>578.73</v>
      </c>
      <c r="C36" s="238">
        <f>B36*'Input data'!B78</f>
        <v>14522.743216800001</v>
      </c>
      <c r="D36" s="510">
        <f>'Input data'!M78</f>
        <v>0.19892488097366726</v>
      </c>
      <c r="E36" s="510">
        <f>'Input data'!N78</f>
        <v>0.26585903447659598</v>
      </c>
      <c r="F36" s="510">
        <f>'Input data'!O78</f>
        <v>8.9228108703258049E-2</v>
      </c>
      <c r="G36" s="510">
        <f>'Input data'!P78</f>
        <v>0</v>
      </c>
      <c r="H36" s="510">
        <f>'Input data'!Q78</f>
        <v>0</v>
      </c>
      <c r="I36" s="510">
        <f>'Input data'!R78</f>
        <v>0</v>
      </c>
      <c r="J36" s="510">
        <f>'Input data'!S78</f>
        <v>0.4459879758464787</v>
      </c>
      <c r="K36" s="510">
        <f>'Input data'!T78</f>
        <v>1</v>
      </c>
      <c r="L36" s="499">
        <f t="shared" si="16"/>
        <v>0.8</v>
      </c>
      <c r="M36" s="499">
        <f t="shared" si="17"/>
        <v>0.11</v>
      </c>
      <c r="N36" s="499">
        <f t="shared" si="18"/>
        <v>0.09</v>
      </c>
      <c r="O36" s="499">
        <f t="shared" si="19"/>
        <v>0</v>
      </c>
      <c r="P36" s="499">
        <f t="shared" si="1"/>
        <v>1</v>
      </c>
      <c r="Q36" s="510">
        <f>'Input data'!$G$33</f>
        <v>0.66241124199764068</v>
      </c>
      <c r="R36" s="658">
        <f>'Input data'!$H$33</f>
        <v>0.33758875800235938</v>
      </c>
      <c r="S36" s="654">
        <f>'Input data'!J78</f>
        <v>27.526054267727826</v>
      </c>
      <c r="T36" s="238">
        <f>'Input data'!L78</f>
        <v>38585.152669516399</v>
      </c>
      <c r="U36" s="510">
        <f t="shared" si="20"/>
        <v>0.85641924869700936</v>
      </c>
      <c r="V36" s="510">
        <f t="shared" si="21"/>
        <v>0.14268338865096522</v>
      </c>
      <c r="W36" s="510">
        <f t="shared" si="22"/>
        <v>0</v>
      </c>
      <c r="X36" s="510">
        <f t="shared" si="23"/>
        <v>8.973626520254116E-4</v>
      </c>
      <c r="Y36" s="499">
        <f t="shared" si="24"/>
        <v>1</v>
      </c>
      <c r="Z36" s="581">
        <f t="shared" si="25"/>
        <v>0.49613166950665732</v>
      </c>
      <c r="AA36" s="655">
        <f t="shared" si="26"/>
        <v>0.50386833049334279</v>
      </c>
      <c r="AC36" s="693">
        <f t="shared" si="3"/>
        <v>1980</v>
      </c>
      <c r="AD36" s="237">
        <f t="shared" si="4"/>
        <v>11618.194573440001</v>
      </c>
      <c r="AE36" s="238">
        <f t="shared" si="5"/>
        <v>1058.203120859863</v>
      </c>
      <c r="AF36" s="238">
        <f t="shared" si="6"/>
        <v>539.29863298813723</v>
      </c>
      <c r="AG36" s="238">
        <f t="shared" si="7"/>
        <v>1307.046889512</v>
      </c>
      <c r="AH36" s="238">
        <f t="shared" si="8"/>
        <v>0</v>
      </c>
      <c r="AI36" s="239">
        <f t="shared" si="9"/>
        <v>14522.743216800001</v>
      </c>
      <c r="AK36" s="671">
        <f t="shared" si="10"/>
        <v>33045.06746008664</v>
      </c>
      <c r="AL36" s="672">
        <f t="shared" si="11"/>
        <v>2731.4332271588778</v>
      </c>
      <c r="AM36" s="672">
        <f t="shared" si="12"/>
        <v>2774.0271073425597</v>
      </c>
      <c r="AN36" s="238">
        <f t="shared" si="13"/>
        <v>0</v>
      </c>
      <c r="AO36" s="673">
        <f t="shared" si="14"/>
        <v>34.624874928322626</v>
      </c>
      <c r="AP36" s="674">
        <f t="shared" si="15"/>
        <v>38585.152669516407</v>
      </c>
      <c r="AR36" s="861">
        <f t="shared" si="27"/>
        <v>53.107895886316413</v>
      </c>
      <c r="AS36" s="713">
        <f t="shared" si="28"/>
        <v>0.18907337861822029</v>
      </c>
      <c r="AT36" s="3">
        <f>'Input data'!D78/10^6</f>
        <v>0</v>
      </c>
    </row>
    <row r="37" spans="1:46">
      <c r="A37">
        <f>'Input data'!A79</f>
        <v>1981</v>
      </c>
      <c r="B37" s="657">
        <f>'Input data'!I79</f>
        <v>578.73</v>
      </c>
      <c r="C37" s="238">
        <f>B37*'Input data'!B79</f>
        <v>14880.3346965</v>
      </c>
      <c r="D37" s="510">
        <f>'Input data'!M79</f>
        <v>0.19892488097366726</v>
      </c>
      <c r="E37" s="510">
        <f>'Input data'!N79</f>
        <v>0.26585903447659598</v>
      </c>
      <c r="F37" s="510">
        <f>'Input data'!O79</f>
        <v>8.9228108703258049E-2</v>
      </c>
      <c r="G37" s="510">
        <f>'Input data'!P79</f>
        <v>0</v>
      </c>
      <c r="H37" s="510">
        <f>'Input data'!Q79</f>
        <v>0</v>
      </c>
      <c r="I37" s="510">
        <f>'Input data'!R79</f>
        <v>0</v>
      </c>
      <c r="J37" s="510">
        <f>'Input data'!S79</f>
        <v>0.4459879758464787</v>
      </c>
      <c r="K37" s="510">
        <f>'Input data'!T79</f>
        <v>1</v>
      </c>
      <c r="L37" s="499">
        <f t="shared" si="16"/>
        <v>0.8</v>
      </c>
      <c r="M37" s="499">
        <f t="shared" si="17"/>
        <v>0.11</v>
      </c>
      <c r="N37" s="499">
        <f t="shared" si="18"/>
        <v>0.09</v>
      </c>
      <c r="O37" s="499">
        <f t="shared" si="19"/>
        <v>0</v>
      </c>
      <c r="P37" s="499">
        <f t="shared" si="1"/>
        <v>1</v>
      </c>
      <c r="Q37" s="510">
        <f>'Input data'!$G$33</f>
        <v>0.66241124199764068</v>
      </c>
      <c r="R37" s="658">
        <f>'Input data'!$H$33</f>
        <v>0.33758875800235938</v>
      </c>
      <c r="S37" s="654">
        <f>'Input data'!J79</f>
        <v>27.526054267727826</v>
      </c>
      <c r="T37" s="238">
        <f>'Input data'!L79</f>
        <v>40653.601386849448</v>
      </c>
      <c r="U37" s="510">
        <f t="shared" si="20"/>
        <v>0.85641924869700936</v>
      </c>
      <c r="V37" s="510">
        <f t="shared" si="21"/>
        <v>0.14268338865096522</v>
      </c>
      <c r="W37" s="510">
        <f t="shared" si="22"/>
        <v>0</v>
      </c>
      <c r="X37" s="510">
        <f t="shared" si="23"/>
        <v>8.973626520254116E-4</v>
      </c>
      <c r="Y37" s="499">
        <f t="shared" si="24"/>
        <v>1</v>
      </c>
      <c r="Z37" s="581">
        <f t="shared" si="25"/>
        <v>0.49613166950665732</v>
      </c>
      <c r="AA37" s="655">
        <f t="shared" si="26"/>
        <v>0.50386833049334279</v>
      </c>
      <c r="AC37" s="693">
        <f t="shared" si="3"/>
        <v>1981</v>
      </c>
      <c r="AD37" s="237">
        <f t="shared" si="4"/>
        <v>11904.267757200001</v>
      </c>
      <c r="AE37" s="238">
        <f t="shared" si="5"/>
        <v>1084.2591086414066</v>
      </c>
      <c r="AF37" s="238">
        <f t="shared" si="6"/>
        <v>552.57770797359353</v>
      </c>
      <c r="AG37" s="238">
        <f t="shared" si="7"/>
        <v>1339.230122685</v>
      </c>
      <c r="AH37" s="238">
        <f t="shared" si="8"/>
        <v>0</v>
      </c>
      <c r="AI37" s="239">
        <f t="shared" si="9"/>
        <v>14880.334696500002</v>
      </c>
      <c r="AK37" s="671">
        <f t="shared" si="10"/>
        <v>34816.526756553299</v>
      </c>
      <c r="AL37" s="672">
        <f t="shared" si="11"/>
        <v>2877.8581902421834</v>
      </c>
      <c r="AM37" s="672">
        <f t="shared" si="12"/>
        <v>2922.7354164990757</v>
      </c>
      <c r="AN37" s="238">
        <f t="shared" si="13"/>
        <v>0</v>
      </c>
      <c r="AO37" s="673">
        <f t="shared" si="14"/>
        <v>36.481023554887173</v>
      </c>
      <c r="AP37" s="674">
        <f t="shared" si="15"/>
        <v>40653.601386849448</v>
      </c>
      <c r="AR37" s="861">
        <f t="shared" si="27"/>
        <v>55.533936083349452</v>
      </c>
      <c r="AS37" s="713">
        <f t="shared" si="28"/>
        <v>0.188634240091996</v>
      </c>
      <c r="AT37" s="3">
        <f>'Input data'!D79/10^6</f>
        <v>0</v>
      </c>
    </row>
    <row r="38" spans="1:46">
      <c r="A38">
        <f>'Input data'!A80</f>
        <v>1982</v>
      </c>
      <c r="B38" s="657">
        <f>'Input data'!I80</f>
        <v>578.73</v>
      </c>
      <c r="C38" s="238">
        <f>B38*'Input data'!B80</f>
        <v>15257.938659600002</v>
      </c>
      <c r="D38" s="510">
        <f>'Input data'!M80</f>
        <v>0.19892488097366726</v>
      </c>
      <c r="E38" s="510">
        <f>'Input data'!N80</f>
        <v>0.26585903447659598</v>
      </c>
      <c r="F38" s="510">
        <f>'Input data'!O80</f>
        <v>8.9228108703258049E-2</v>
      </c>
      <c r="G38" s="510">
        <f>'Input data'!P80</f>
        <v>0</v>
      </c>
      <c r="H38" s="510">
        <f>'Input data'!Q80</f>
        <v>0</v>
      </c>
      <c r="I38" s="510">
        <f>'Input data'!R80</f>
        <v>0</v>
      </c>
      <c r="J38" s="510">
        <f>'Input data'!S80</f>
        <v>0.4459879758464787</v>
      </c>
      <c r="K38" s="510">
        <f>'Input data'!T80</f>
        <v>1</v>
      </c>
      <c r="L38" s="499">
        <f t="shared" si="16"/>
        <v>0.8</v>
      </c>
      <c r="M38" s="499">
        <f t="shared" si="17"/>
        <v>0.11</v>
      </c>
      <c r="N38" s="499">
        <f t="shared" si="18"/>
        <v>0.09</v>
      </c>
      <c r="O38" s="499">
        <f t="shared" si="19"/>
        <v>0</v>
      </c>
      <c r="P38" s="499">
        <f t="shared" si="1"/>
        <v>1</v>
      </c>
      <c r="Q38" s="510">
        <f>'Input data'!$G$33</f>
        <v>0.66241124199764068</v>
      </c>
      <c r="R38" s="658">
        <f>'Input data'!$H$33</f>
        <v>0.33758875800235938</v>
      </c>
      <c r="S38" s="654">
        <f>'Input data'!J80</f>
        <v>27.526054267727826</v>
      </c>
      <c r="T38" s="238">
        <f>'Input data'!L80</f>
        <v>40497.73923186621</v>
      </c>
      <c r="U38" s="510">
        <f t="shared" si="20"/>
        <v>0.85641924869700936</v>
      </c>
      <c r="V38" s="510">
        <f t="shared" si="21"/>
        <v>0.14268338865096522</v>
      </c>
      <c r="W38" s="510">
        <f t="shared" si="22"/>
        <v>0</v>
      </c>
      <c r="X38" s="510">
        <f t="shared" si="23"/>
        <v>8.973626520254116E-4</v>
      </c>
      <c r="Y38" s="499">
        <f t="shared" si="24"/>
        <v>1</v>
      </c>
      <c r="Z38" s="581">
        <f t="shared" si="25"/>
        <v>0.49613166950665732</v>
      </c>
      <c r="AA38" s="655">
        <f t="shared" si="26"/>
        <v>0.50386833049334279</v>
      </c>
      <c r="AC38" s="693">
        <f t="shared" si="3"/>
        <v>1982</v>
      </c>
      <c r="AD38" s="237">
        <f t="shared" si="4"/>
        <v>12206.350927680003</v>
      </c>
      <c r="AE38" s="238">
        <f t="shared" si="5"/>
        <v>1111.7733107612401</v>
      </c>
      <c r="AF38" s="238">
        <f t="shared" si="6"/>
        <v>566.59994179476041</v>
      </c>
      <c r="AG38" s="238">
        <f t="shared" si="7"/>
        <v>1373.2144793640002</v>
      </c>
      <c r="AH38" s="238">
        <f t="shared" si="8"/>
        <v>0</v>
      </c>
      <c r="AI38" s="239">
        <f t="shared" si="9"/>
        <v>15257.938659600004</v>
      </c>
      <c r="AK38" s="671">
        <f t="shared" si="10"/>
        <v>34683.043406882258</v>
      </c>
      <c r="AL38" s="672">
        <f t="shared" si="11"/>
        <v>2866.8247475958842</v>
      </c>
      <c r="AM38" s="672">
        <f t="shared" si="12"/>
        <v>2911.5299187099245</v>
      </c>
      <c r="AN38" s="238">
        <f t="shared" si="13"/>
        <v>0</v>
      </c>
      <c r="AO38" s="673">
        <f t="shared" si="14"/>
        <v>36.341158678141014</v>
      </c>
      <c r="AP38" s="674">
        <f t="shared" si="15"/>
        <v>40497.73923186621</v>
      </c>
      <c r="AR38" s="861">
        <f t="shared" si="27"/>
        <v>55.755677891466213</v>
      </c>
      <c r="AS38" s="713">
        <f t="shared" si="28"/>
        <v>0.18908931716289196</v>
      </c>
      <c r="AT38" s="3">
        <f>'Input data'!D80/10^6</f>
        <v>0</v>
      </c>
    </row>
    <row r="39" spans="1:46">
      <c r="A39">
        <f>'Input data'!A81</f>
        <v>1983</v>
      </c>
      <c r="B39" s="657">
        <f>'Input data'!I81</f>
        <v>578.73</v>
      </c>
      <c r="C39" s="238">
        <f>B39*'Input data'!B81</f>
        <v>15653.9751732</v>
      </c>
      <c r="D39" s="510">
        <f>'Input data'!M81</f>
        <v>0.19892488097366726</v>
      </c>
      <c r="E39" s="510">
        <f>'Input data'!N81</f>
        <v>0.26585903447659598</v>
      </c>
      <c r="F39" s="510">
        <f>'Input data'!O81</f>
        <v>8.9228108703258049E-2</v>
      </c>
      <c r="G39" s="510">
        <f>'Input data'!P81</f>
        <v>0</v>
      </c>
      <c r="H39" s="510">
        <f>'Input data'!Q81</f>
        <v>0</v>
      </c>
      <c r="I39" s="510">
        <f>'Input data'!R81</f>
        <v>0</v>
      </c>
      <c r="J39" s="510">
        <f>'Input data'!S81</f>
        <v>0.4459879758464787</v>
      </c>
      <c r="K39" s="510">
        <f>'Input data'!T81</f>
        <v>1</v>
      </c>
      <c r="L39" s="499">
        <f t="shared" si="16"/>
        <v>0.8</v>
      </c>
      <c r="M39" s="499">
        <f t="shared" si="17"/>
        <v>0.11</v>
      </c>
      <c r="N39" s="499">
        <f t="shared" si="18"/>
        <v>0.09</v>
      </c>
      <c r="O39" s="499">
        <f t="shared" si="19"/>
        <v>0</v>
      </c>
      <c r="P39" s="499">
        <f t="shared" si="1"/>
        <v>1</v>
      </c>
      <c r="Q39" s="510">
        <f>'Input data'!$G$33</f>
        <v>0.66241124199764068</v>
      </c>
      <c r="R39" s="658">
        <f>'Input data'!$H$33</f>
        <v>0.33758875800235938</v>
      </c>
      <c r="S39" s="654">
        <f>'Input data'!J81</f>
        <v>27.526054267727826</v>
      </c>
      <c r="T39" s="238">
        <f>'Input data'!L81</f>
        <v>39749.930464770317</v>
      </c>
      <c r="U39" s="510">
        <f t="shared" si="20"/>
        <v>0.85641924869700936</v>
      </c>
      <c r="V39" s="510">
        <f t="shared" si="21"/>
        <v>0.14268338865096522</v>
      </c>
      <c r="W39" s="510">
        <f t="shared" si="22"/>
        <v>0</v>
      </c>
      <c r="X39" s="510">
        <f t="shared" si="23"/>
        <v>8.973626520254116E-4</v>
      </c>
      <c r="Y39" s="499">
        <f t="shared" si="24"/>
        <v>1</v>
      </c>
      <c r="Z39" s="581">
        <f t="shared" si="25"/>
        <v>0.49613166950665732</v>
      </c>
      <c r="AA39" s="655">
        <f t="shared" si="26"/>
        <v>0.50386833049334279</v>
      </c>
      <c r="AC39" s="693">
        <f t="shared" si="3"/>
        <v>1983</v>
      </c>
      <c r="AD39" s="237">
        <f t="shared" si="4"/>
        <v>12523.180138560001</v>
      </c>
      <c r="AE39" s="238">
        <f t="shared" si="5"/>
        <v>1140.6306050347609</v>
      </c>
      <c r="AF39" s="238">
        <f t="shared" si="6"/>
        <v>581.30666401723931</v>
      </c>
      <c r="AG39" s="238">
        <f t="shared" si="7"/>
        <v>1408.8577655879999</v>
      </c>
      <c r="AH39" s="238">
        <f t="shared" si="8"/>
        <v>0</v>
      </c>
      <c r="AI39" s="239">
        <f t="shared" si="9"/>
        <v>15653.975173200002</v>
      </c>
      <c r="AK39" s="671">
        <f t="shared" si="10"/>
        <v>34042.605584396959</v>
      </c>
      <c r="AL39" s="672">
        <f t="shared" si="11"/>
        <v>2813.8875535538832</v>
      </c>
      <c r="AM39" s="672">
        <f t="shared" si="12"/>
        <v>2857.7672237997836</v>
      </c>
      <c r="AN39" s="238">
        <f t="shared" si="13"/>
        <v>0</v>
      </c>
      <c r="AO39" s="673">
        <f t="shared" si="14"/>
        <v>35.670103019691993</v>
      </c>
      <c r="AP39" s="674">
        <f t="shared" si="15"/>
        <v>39749.930464770317</v>
      </c>
      <c r="AR39" s="861">
        <f t="shared" si="27"/>
        <v>55.403905637970318</v>
      </c>
      <c r="AS39" s="713">
        <f t="shared" si="28"/>
        <v>0.18979857802885003</v>
      </c>
      <c r="AT39" s="3">
        <f>'Input data'!D81/10^6</f>
        <v>0</v>
      </c>
    </row>
    <row r="40" spans="1:46">
      <c r="A40">
        <f>'Input data'!A82</f>
        <v>1984</v>
      </c>
      <c r="B40" s="657">
        <f>'Input data'!I82</f>
        <v>578.73</v>
      </c>
      <c r="C40" s="238">
        <f>B40*'Input data'!B82</f>
        <v>16065.284371499998</v>
      </c>
      <c r="D40" s="510">
        <f>'Input data'!M82</f>
        <v>0.19892488097366726</v>
      </c>
      <c r="E40" s="510">
        <f>'Input data'!N82</f>
        <v>0.26585903447659598</v>
      </c>
      <c r="F40" s="510">
        <f>'Input data'!O82</f>
        <v>8.9228108703258049E-2</v>
      </c>
      <c r="G40" s="510">
        <f>'Input data'!P82</f>
        <v>0</v>
      </c>
      <c r="H40" s="510">
        <f>'Input data'!Q82</f>
        <v>0</v>
      </c>
      <c r="I40" s="510">
        <f>'Input data'!R82</f>
        <v>0</v>
      </c>
      <c r="J40" s="510">
        <f>'Input data'!S82</f>
        <v>0.4459879758464787</v>
      </c>
      <c r="K40" s="510">
        <f>'Input data'!T82</f>
        <v>1</v>
      </c>
      <c r="L40" s="499">
        <f t="shared" si="16"/>
        <v>0.8</v>
      </c>
      <c r="M40" s="499">
        <f t="shared" si="17"/>
        <v>0.11</v>
      </c>
      <c r="N40" s="499">
        <f t="shared" si="18"/>
        <v>0.09</v>
      </c>
      <c r="O40" s="499">
        <f t="shared" si="19"/>
        <v>0</v>
      </c>
      <c r="P40" s="499">
        <f t="shared" si="1"/>
        <v>1</v>
      </c>
      <c r="Q40" s="510">
        <f>'Input data'!$G$33</f>
        <v>0.66241124199764068</v>
      </c>
      <c r="R40" s="658">
        <f>'Input data'!$H$33</f>
        <v>0.33758875800235938</v>
      </c>
      <c r="S40" s="654">
        <f>'Input data'!J82</f>
        <v>27.526054267727826</v>
      </c>
      <c r="T40" s="238">
        <f>'Input data'!L82</f>
        <v>41776.825095814049</v>
      </c>
      <c r="U40" s="510">
        <f t="shared" si="20"/>
        <v>0.85641924869700936</v>
      </c>
      <c r="V40" s="510">
        <f t="shared" si="21"/>
        <v>0.14268338865096522</v>
      </c>
      <c r="W40" s="510">
        <f t="shared" si="22"/>
        <v>0</v>
      </c>
      <c r="X40" s="510">
        <f t="shared" si="23"/>
        <v>8.973626520254116E-4</v>
      </c>
      <c r="Y40" s="499">
        <f t="shared" si="24"/>
        <v>1</v>
      </c>
      <c r="Z40" s="581">
        <f t="shared" si="25"/>
        <v>0.49613166950665732</v>
      </c>
      <c r="AA40" s="655">
        <f t="shared" si="26"/>
        <v>0.50386833049334279</v>
      </c>
      <c r="AC40" s="693">
        <f t="shared" si="3"/>
        <v>1984</v>
      </c>
      <c r="AD40" s="237">
        <f t="shared" si="4"/>
        <v>12852.2274972</v>
      </c>
      <c r="AE40" s="238">
        <f t="shared" si="5"/>
        <v>1170.6007470927659</v>
      </c>
      <c r="AF40" s="238">
        <f t="shared" si="6"/>
        <v>596.58053377223382</v>
      </c>
      <c r="AG40" s="238">
        <f t="shared" si="7"/>
        <v>1445.8755934349997</v>
      </c>
      <c r="AH40" s="238">
        <f t="shared" si="8"/>
        <v>0</v>
      </c>
      <c r="AI40" s="239">
        <f t="shared" si="9"/>
        <v>16065.284371499998</v>
      </c>
      <c r="AK40" s="671">
        <f t="shared" si="10"/>
        <v>35778.477161503433</v>
      </c>
      <c r="AL40" s="672">
        <f t="shared" si="11"/>
        <v>2957.3709133477832</v>
      </c>
      <c r="AM40" s="672">
        <f t="shared" si="12"/>
        <v>3003.488058401651</v>
      </c>
      <c r="AN40" s="238">
        <f t="shared" si="13"/>
        <v>0</v>
      </c>
      <c r="AO40" s="673">
        <f t="shared" si="14"/>
        <v>37.488962561181467</v>
      </c>
      <c r="AP40" s="674">
        <f t="shared" si="15"/>
        <v>41776.825095814049</v>
      </c>
      <c r="AR40" s="861">
        <f t="shared" si="27"/>
        <v>57.842109467314053</v>
      </c>
      <c r="AS40" s="713">
        <f t="shared" si="28"/>
        <v>0.18941540891207401</v>
      </c>
      <c r="AT40" s="3">
        <f>'Input data'!D82/10^6</f>
        <v>0</v>
      </c>
    </row>
    <row r="41" spans="1:46">
      <c r="A41">
        <f>'Input data'!A83</f>
        <v>1985</v>
      </c>
      <c r="B41" s="657">
        <f>'Input data'!I83</f>
        <v>578.73</v>
      </c>
      <c r="C41" s="238">
        <f>B41*'Input data'!B83</f>
        <v>16488.1797444</v>
      </c>
      <c r="D41" s="510">
        <f>'Input data'!M83</f>
        <v>0.19892488097366726</v>
      </c>
      <c r="E41" s="510">
        <f>'Input data'!N83</f>
        <v>0.26585903447659598</v>
      </c>
      <c r="F41" s="510">
        <f>'Input data'!O83</f>
        <v>8.9228108703258049E-2</v>
      </c>
      <c r="G41" s="510">
        <f>'Input data'!P83</f>
        <v>0</v>
      </c>
      <c r="H41" s="510">
        <f>'Input data'!Q83</f>
        <v>0</v>
      </c>
      <c r="I41" s="510">
        <f>'Input data'!R83</f>
        <v>0</v>
      </c>
      <c r="J41" s="510">
        <f>'Input data'!S83</f>
        <v>0.4459879758464787</v>
      </c>
      <c r="K41" s="510">
        <f>'Input data'!T83</f>
        <v>1</v>
      </c>
      <c r="L41" s="499">
        <f t="shared" si="16"/>
        <v>0.8</v>
      </c>
      <c r="M41" s="499">
        <f t="shared" si="17"/>
        <v>0.11</v>
      </c>
      <c r="N41" s="499">
        <f t="shared" si="18"/>
        <v>0.09</v>
      </c>
      <c r="O41" s="499">
        <f t="shared" si="19"/>
        <v>0</v>
      </c>
      <c r="P41" s="499">
        <f t="shared" si="1"/>
        <v>1</v>
      </c>
      <c r="Q41" s="510">
        <f>'Input data'!$G$33</f>
        <v>0.66241124199764068</v>
      </c>
      <c r="R41" s="658">
        <f>'Input data'!$H$33</f>
        <v>0.33758875800235938</v>
      </c>
      <c r="S41" s="654">
        <f>'Input data'!J83</f>
        <v>27.526054267727826</v>
      </c>
      <c r="T41" s="238">
        <f>'Input data'!L83</f>
        <v>41270.705661463151</v>
      </c>
      <c r="U41" s="510">
        <f t="shared" si="20"/>
        <v>0.85641924869700936</v>
      </c>
      <c r="V41" s="510">
        <f t="shared" si="21"/>
        <v>0.14268338865096522</v>
      </c>
      <c r="W41" s="510">
        <f t="shared" si="22"/>
        <v>0</v>
      </c>
      <c r="X41" s="510">
        <f t="shared" si="23"/>
        <v>8.973626520254116E-4</v>
      </c>
      <c r="Y41" s="499">
        <f t="shared" si="24"/>
        <v>1</v>
      </c>
      <c r="Z41" s="581">
        <f t="shared" si="25"/>
        <v>0.49613166950665732</v>
      </c>
      <c r="AA41" s="655">
        <f t="shared" si="26"/>
        <v>0.50386833049334279</v>
      </c>
      <c r="AC41" s="693">
        <f t="shared" si="3"/>
        <v>1985</v>
      </c>
      <c r="AD41" s="237">
        <f t="shared" si="4"/>
        <v>13190.543795520001</v>
      </c>
      <c r="AE41" s="238">
        <f t="shared" si="5"/>
        <v>1201.415118504518</v>
      </c>
      <c r="AF41" s="238">
        <f t="shared" si="6"/>
        <v>612.28465337948205</v>
      </c>
      <c r="AG41" s="238">
        <f t="shared" si="7"/>
        <v>1483.9361769960001</v>
      </c>
      <c r="AH41" s="238">
        <f t="shared" si="8"/>
        <v>0</v>
      </c>
      <c r="AI41" s="239">
        <f t="shared" si="9"/>
        <v>16488.1797444</v>
      </c>
      <c r="AK41" s="671">
        <f t="shared" si="10"/>
        <v>35345.026735785679</v>
      </c>
      <c r="AL41" s="672">
        <f t="shared" si="11"/>
        <v>2921.542846222133</v>
      </c>
      <c r="AM41" s="672">
        <f t="shared" si="12"/>
        <v>2967.1012895720055</v>
      </c>
      <c r="AN41" s="238">
        <f t="shared" si="13"/>
        <v>0</v>
      </c>
      <c r="AO41" s="673">
        <f t="shared" si="14"/>
        <v>37.034789883330745</v>
      </c>
      <c r="AP41" s="674">
        <f t="shared" si="15"/>
        <v>41270.705661463144</v>
      </c>
      <c r="AR41" s="861">
        <f t="shared" si="27"/>
        <v>57.758885405863147</v>
      </c>
      <c r="AS41" s="713">
        <f t="shared" si="28"/>
        <v>0.19003206871975217</v>
      </c>
      <c r="AT41" s="3">
        <f>'Input data'!D83/10^6</f>
        <v>0</v>
      </c>
    </row>
    <row r="42" spans="1:46">
      <c r="A42">
        <f>'Input data'!A84</f>
        <v>1986</v>
      </c>
      <c r="B42" s="657">
        <f>'Input data'!I84</f>
        <v>578.73</v>
      </c>
      <c r="C42" s="238">
        <f>B42*'Input data'!B84</f>
        <v>16916.341560300003</v>
      </c>
      <c r="D42" s="510">
        <f>'Input data'!M84</f>
        <v>0.19892488097366726</v>
      </c>
      <c r="E42" s="510">
        <f>'Input data'!N84</f>
        <v>0.26585903447659598</v>
      </c>
      <c r="F42" s="510">
        <f>'Input data'!O84</f>
        <v>8.9228108703258049E-2</v>
      </c>
      <c r="G42" s="510">
        <f>'Input data'!P84</f>
        <v>0</v>
      </c>
      <c r="H42" s="510">
        <f>'Input data'!Q84</f>
        <v>0</v>
      </c>
      <c r="I42" s="510">
        <f>'Input data'!R84</f>
        <v>0</v>
      </c>
      <c r="J42" s="510">
        <f>'Input data'!S84</f>
        <v>0.4459879758464787</v>
      </c>
      <c r="K42" s="510">
        <f>'Input data'!T84</f>
        <v>1</v>
      </c>
      <c r="L42" s="499">
        <f t="shared" si="16"/>
        <v>0.8</v>
      </c>
      <c r="M42" s="499">
        <f t="shared" si="17"/>
        <v>0.11</v>
      </c>
      <c r="N42" s="499">
        <f t="shared" si="18"/>
        <v>0.09</v>
      </c>
      <c r="O42" s="499">
        <f t="shared" si="19"/>
        <v>0</v>
      </c>
      <c r="P42" s="499">
        <f t="shared" si="1"/>
        <v>1</v>
      </c>
      <c r="Q42" s="510">
        <f>'Input data'!$G$33</f>
        <v>0.66241124199764068</v>
      </c>
      <c r="R42" s="658">
        <f>'Input data'!$H$33</f>
        <v>0.33758875800235938</v>
      </c>
      <c r="S42" s="654">
        <f>'Input data'!J84</f>
        <v>27.526054267727826</v>
      </c>
      <c r="T42" s="238">
        <f>'Input data'!L84</f>
        <v>41278.06620019691</v>
      </c>
      <c r="U42" s="510">
        <f t="shared" si="20"/>
        <v>0.85641924869700936</v>
      </c>
      <c r="V42" s="510">
        <f t="shared" si="21"/>
        <v>0.14268338865096522</v>
      </c>
      <c r="W42" s="510">
        <f t="shared" si="22"/>
        <v>0</v>
      </c>
      <c r="X42" s="510">
        <f t="shared" si="23"/>
        <v>8.973626520254116E-4</v>
      </c>
      <c r="Y42" s="499">
        <f t="shared" si="24"/>
        <v>1</v>
      </c>
      <c r="Z42" s="581">
        <f t="shared" si="25"/>
        <v>0.49613166950665732</v>
      </c>
      <c r="AA42" s="655">
        <f t="shared" si="26"/>
        <v>0.50386833049334279</v>
      </c>
      <c r="AC42" s="693">
        <f t="shared" si="3"/>
        <v>1986</v>
      </c>
      <c r="AD42" s="237">
        <f t="shared" si="4"/>
        <v>13533.073248240004</v>
      </c>
      <c r="AE42" s="238">
        <f t="shared" si="5"/>
        <v>1232.6132305316094</v>
      </c>
      <c r="AF42" s="238">
        <f t="shared" si="6"/>
        <v>628.18434110139094</v>
      </c>
      <c r="AG42" s="238">
        <f t="shared" si="7"/>
        <v>1522.4707404270002</v>
      </c>
      <c r="AH42" s="238">
        <f t="shared" si="8"/>
        <v>0</v>
      </c>
      <c r="AI42" s="239">
        <f t="shared" si="9"/>
        <v>16916.341560300003</v>
      </c>
      <c r="AK42" s="671">
        <f t="shared" si="10"/>
        <v>35351.330442838051</v>
      </c>
      <c r="AL42" s="672">
        <f t="shared" si="11"/>
        <v>2922.0638969029319</v>
      </c>
      <c r="AM42" s="672">
        <f t="shared" si="12"/>
        <v>2967.6304655000358</v>
      </c>
      <c r="AN42" s="238">
        <f t="shared" si="13"/>
        <v>0</v>
      </c>
      <c r="AO42" s="673">
        <f t="shared" si="14"/>
        <v>37.041394955889203</v>
      </c>
      <c r="AP42" s="674">
        <f t="shared" si="15"/>
        <v>41278.066200196903</v>
      </c>
      <c r="AR42" s="861">
        <f t="shared" si="27"/>
        <v>58.194407760496908</v>
      </c>
      <c r="AS42" s="713">
        <f t="shared" si="28"/>
        <v>0.19044937375635884</v>
      </c>
      <c r="AT42" s="3">
        <f>'Input data'!D84/10^6</f>
        <v>0</v>
      </c>
    </row>
    <row r="43" spans="1:46">
      <c r="A43">
        <f>'Input data'!A85</f>
        <v>1987</v>
      </c>
      <c r="B43" s="657">
        <f>'Input data'!I85</f>
        <v>578.73</v>
      </c>
      <c r="C43" s="238">
        <f>B43*'Input data'!B85</f>
        <v>17343.976731900002</v>
      </c>
      <c r="D43" s="510">
        <f>'Input data'!M85</f>
        <v>0.19892488097366726</v>
      </c>
      <c r="E43" s="510">
        <f>'Input data'!N85</f>
        <v>0.26585903447659598</v>
      </c>
      <c r="F43" s="510">
        <f>'Input data'!O85</f>
        <v>8.9228108703258049E-2</v>
      </c>
      <c r="G43" s="510">
        <f>'Input data'!P85</f>
        <v>0</v>
      </c>
      <c r="H43" s="510">
        <f>'Input data'!Q85</f>
        <v>0</v>
      </c>
      <c r="I43" s="510">
        <f>'Input data'!R85</f>
        <v>0</v>
      </c>
      <c r="J43" s="510">
        <f>'Input data'!S85</f>
        <v>0.4459879758464787</v>
      </c>
      <c r="K43" s="510">
        <f>'Input data'!T85</f>
        <v>1</v>
      </c>
      <c r="L43" s="499">
        <f t="shared" si="16"/>
        <v>0.8</v>
      </c>
      <c r="M43" s="499">
        <f t="shared" si="17"/>
        <v>0.11</v>
      </c>
      <c r="N43" s="499">
        <f t="shared" si="18"/>
        <v>0.09</v>
      </c>
      <c r="O43" s="499">
        <f t="shared" si="19"/>
        <v>0</v>
      </c>
      <c r="P43" s="499">
        <f t="shared" si="1"/>
        <v>1</v>
      </c>
      <c r="Q43" s="510">
        <f>'Input data'!$G$33</f>
        <v>0.66241124199764068</v>
      </c>
      <c r="R43" s="658">
        <f>'Input data'!$H$33</f>
        <v>0.33758875800235938</v>
      </c>
      <c r="S43" s="654">
        <f>'Input data'!J85</f>
        <v>27.526054267727826</v>
      </c>
      <c r="T43" s="238">
        <f>'Input data'!L85</f>
        <v>42145.209075412138</v>
      </c>
      <c r="U43" s="510">
        <f t="shared" si="20"/>
        <v>0.85641924869700936</v>
      </c>
      <c r="V43" s="510">
        <f t="shared" si="21"/>
        <v>0.14268338865096522</v>
      </c>
      <c r="W43" s="510">
        <f t="shared" si="22"/>
        <v>0</v>
      </c>
      <c r="X43" s="510">
        <f t="shared" si="23"/>
        <v>8.973626520254116E-4</v>
      </c>
      <c r="Y43" s="499">
        <f t="shared" si="24"/>
        <v>1</v>
      </c>
      <c r="Z43" s="581">
        <f t="shared" si="25"/>
        <v>0.49613166950665732</v>
      </c>
      <c r="AA43" s="655">
        <f t="shared" si="26"/>
        <v>0.50386833049334279</v>
      </c>
      <c r="AC43" s="693">
        <f t="shared" si="3"/>
        <v>1987</v>
      </c>
      <c r="AD43" s="237">
        <f t="shared" si="4"/>
        <v>13875.181385520002</v>
      </c>
      <c r="AE43" s="238">
        <f t="shared" si="5"/>
        <v>1263.7729684971669</v>
      </c>
      <c r="AF43" s="238">
        <f t="shared" si="6"/>
        <v>644.06447201183357</v>
      </c>
      <c r="AG43" s="238">
        <f t="shared" si="7"/>
        <v>1560.9579058710001</v>
      </c>
      <c r="AH43" s="238">
        <f t="shared" si="8"/>
        <v>0</v>
      </c>
      <c r="AI43" s="239">
        <f t="shared" si="9"/>
        <v>17343.976731900002</v>
      </c>
      <c r="AK43" s="671">
        <f t="shared" si="10"/>
        <v>36093.968292542842</v>
      </c>
      <c r="AL43" s="672">
        <f t="shared" si="11"/>
        <v>2983.4487223652964</v>
      </c>
      <c r="AM43" s="672">
        <f t="shared" si="12"/>
        <v>3029.9725239179211</v>
      </c>
      <c r="AN43" s="238">
        <f t="shared" si="13"/>
        <v>0</v>
      </c>
      <c r="AO43" s="673">
        <f t="shared" si="14"/>
        <v>37.819536586077284</v>
      </c>
      <c r="AP43" s="674">
        <f t="shared" si="15"/>
        <v>42145.209075412138</v>
      </c>
      <c r="AR43" s="861">
        <f t="shared" si="27"/>
        <v>59.48918580731214</v>
      </c>
      <c r="AS43" s="713">
        <f t="shared" si="28"/>
        <v>0.19051827358648701</v>
      </c>
      <c r="AT43" s="3">
        <f>'Input data'!D85/10^6</f>
        <v>0</v>
      </c>
    </row>
    <row r="44" spans="1:46">
      <c r="A44">
        <f>'Input data'!A86</f>
        <v>1988</v>
      </c>
      <c r="B44" s="657">
        <f>'Input data'!I86</f>
        <v>578.73</v>
      </c>
      <c r="C44" s="238">
        <f>B44*'Input data'!B86</f>
        <v>17762.658950400004</v>
      </c>
      <c r="D44" s="510">
        <f>'Input data'!M86</f>
        <v>0.19892488097366726</v>
      </c>
      <c r="E44" s="510">
        <f>'Input data'!N86</f>
        <v>0.26585903447659598</v>
      </c>
      <c r="F44" s="510">
        <f>'Input data'!O86</f>
        <v>8.9228108703258049E-2</v>
      </c>
      <c r="G44" s="510">
        <f>'Input data'!P86</f>
        <v>0</v>
      </c>
      <c r="H44" s="510">
        <f>'Input data'!Q86</f>
        <v>0</v>
      </c>
      <c r="I44" s="510">
        <f>'Input data'!R86</f>
        <v>0</v>
      </c>
      <c r="J44" s="510">
        <f>'Input data'!S86</f>
        <v>0.4459879758464787</v>
      </c>
      <c r="K44" s="510">
        <f>'Input data'!T86</f>
        <v>1</v>
      </c>
      <c r="L44" s="499">
        <f t="shared" si="16"/>
        <v>0.8</v>
      </c>
      <c r="M44" s="499">
        <f t="shared" si="17"/>
        <v>0.11</v>
      </c>
      <c r="N44" s="499">
        <f t="shared" si="18"/>
        <v>0.09</v>
      </c>
      <c r="O44" s="499">
        <f t="shared" si="19"/>
        <v>0</v>
      </c>
      <c r="P44" s="499">
        <f t="shared" si="1"/>
        <v>1</v>
      </c>
      <c r="Q44" s="510">
        <f>'Input data'!$G$33</f>
        <v>0.66241124199764068</v>
      </c>
      <c r="R44" s="658">
        <f>'Input data'!$H$33</f>
        <v>0.33758875800235938</v>
      </c>
      <c r="S44" s="654">
        <f>'Input data'!J86</f>
        <v>27.526054267727826</v>
      </c>
      <c r="T44" s="238">
        <f>'Input data'!L86</f>
        <v>43915.363719632624</v>
      </c>
      <c r="U44" s="510">
        <f t="shared" si="20"/>
        <v>0.85641924869700936</v>
      </c>
      <c r="V44" s="510">
        <f t="shared" si="21"/>
        <v>0.14268338865096522</v>
      </c>
      <c r="W44" s="510">
        <f t="shared" si="22"/>
        <v>0</v>
      </c>
      <c r="X44" s="510">
        <f t="shared" si="23"/>
        <v>8.973626520254116E-4</v>
      </c>
      <c r="Y44" s="499">
        <f t="shared" si="24"/>
        <v>1</v>
      </c>
      <c r="Z44" s="581">
        <f t="shared" si="25"/>
        <v>0.49613166950665732</v>
      </c>
      <c r="AA44" s="655">
        <f t="shared" si="26"/>
        <v>0.50386833049334279</v>
      </c>
      <c r="AC44" s="693">
        <f t="shared" si="3"/>
        <v>1988</v>
      </c>
      <c r="AD44" s="237">
        <f t="shared" si="4"/>
        <v>14210.127160320004</v>
      </c>
      <c r="AE44" s="238">
        <f t="shared" si="5"/>
        <v>1294.2803474166471</v>
      </c>
      <c r="AF44" s="238">
        <f t="shared" si="6"/>
        <v>659.61213712735321</v>
      </c>
      <c r="AG44" s="238">
        <f t="shared" si="7"/>
        <v>1598.6393055360004</v>
      </c>
      <c r="AH44" s="238">
        <f t="shared" si="8"/>
        <v>0</v>
      </c>
      <c r="AI44" s="239">
        <f t="shared" si="9"/>
        <v>17762.658950400004</v>
      </c>
      <c r="AK44" s="671">
        <f t="shared" si="10"/>
        <v>37609.962803023671</v>
      </c>
      <c r="AL44" s="672">
        <f t="shared" si="11"/>
        <v>3108.7575232360855</v>
      </c>
      <c r="AM44" s="672">
        <f t="shared" si="12"/>
        <v>3157.2353861207544</v>
      </c>
      <c r="AN44" s="238">
        <f t="shared" si="13"/>
        <v>0</v>
      </c>
      <c r="AO44" s="673">
        <f t="shared" si="14"/>
        <v>39.408007252110075</v>
      </c>
      <c r="AP44" s="674">
        <f t="shared" si="15"/>
        <v>43915.363719632616</v>
      </c>
      <c r="AR44" s="861">
        <f t="shared" si="27"/>
        <v>61.678022670032611</v>
      </c>
      <c r="AS44" s="713">
        <f t="shared" si="28"/>
        <v>0.19023380147858124</v>
      </c>
      <c r="AT44" s="3">
        <f>'Input data'!D86/10^6</f>
        <v>0</v>
      </c>
    </row>
    <row r="45" spans="1:46">
      <c r="A45">
        <f>'Input data'!A87</f>
        <v>1989</v>
      </c>
      <c r="B45" s="657">
        <f>'Input data'!I87</f>
        <v>578.73</v>
      </c>
      <c r="C45" s="238">
        <f>B45*'Input data'!B87</f>
        <v>18164.488551300001</v>
      </c>
      <c r="D45" s="510">
        <f>'Input data'!M87</f>
        <v>0.19892488097366726</v>
      </c>
      <c r="E45" s="510">
        <f>'Input data'!N87</f>
        <v>0.26585903447659598</v>
      </c>
      <c r="F45" s="510">
        <f>'Input data'!O87</f>
        <v>8.9228108703258049E-2</v>
      </c>
      <c r="G45" s="510">
        <f>'Input data'!P87</f>
        <v>0</v>
      </c>
      <c r="H45" s="510">
        <f>'Input data'!Q87</f>
        <v>0</v>
      </c>
      <c r="I45" s="510">
        <f>'Input data'!R87</f>
        <v>0</v>
      </c>
      <c r="J45" s="510">
        <f>'Input data'!S87</f>
        <v>0.4459879758464787</v>
      </c>
      <c r="K45" s="510">
        <f>'Input data'!T87</f>
        <v>1</v>
      </c>
      <c r="L45" s="499">
        <f t="shared" si="16"/>
        <v>0.8</v>
      </c>
      <c r="M45" s="499">
        <f t="shared" si="17"/>
        <v>0.11</v>
      </c>
      <c r="N45" s="499">
        <f t="shared" si="18"/>
        <v>0.09</v>
      </c>
      <c r="O45" s="499">
        <f t="shared" si="19"/>
        <v>0</v>
      </c>
      <c r="P45" s="499">
        <f t="shared" si="1"/>
        <v>1</v>
      </c>
      <c r="Q45" s="510">
        <f>'Input data'!$G$33</f>
        <v>0.66241124199764068</v>
      </c>
      <c r="R45" s="658">
        <f>'Input data'!$H$33</f>
        <v>0.33758875800235938</v>
      </c>
      <c r="S45" s="654">
        <f>'Input data'!J87</f>
        <v>27.526054267727826</v>
      </c>
      <c r="T45" s="238">
        <f>'Input data'!L87</f>
        <v>44967.041893357622</v>
      </c>
      <c r="U45" s="510">
        <f t="shared" si="20"/>
        <v>0.85641924869700936</v>
      </c>
      <c r="V45" s="510">
        <f t="shared" si="21"/>
        <v>0.14268338865096522</v>
      </c>
      <c r="W45" s="510">
        <f t="shared" si="22"/>
        <v>0</v>
      </c>
      <c r="X45" s="510">
        <f t="shared" si="23"/>
        <v>8.973626520254116E-4</v>
      </c>
      <c r="Y45" s="499">
        <f t="shared" si="24"/>
        <v>1</v>
      </c>
      <c r="Z45" s="581">
        <f t="shared" si="25"/>
        <v>0.49613166950665732</v>
      </c>
      <c r="AA45" s="655">
        <f t="shared" si="26"/>
        <v>0.50386833049334279</v>
      </c>
      <c r="AC45" s="693">
        <f t="shared" si="3"/>
        <v>1989</v>
      </c>
      <c r="AD45" s="237">
        <f t="shared" si="4"/>
        <v>14531.590841040001</v>
      </c>
      <c r="AE45" s="238">
        <f t="shared" si="5"/>
        <v>1323.5597563670415</v>
      </c>
      <c r="AF45" s="238">
        <f t="shared" si="6"/>
        <v>674.5339842759588</v>
      </c>
      <c r="AG45" s="238">
        <f t="shared" si="7"/>
        <v>1634.8039696170001</v>
      </c>
      <c r="AH45" s="238">
        <f t="shared" si="8"/>
        <v>0</v>
      </c>
      <c r="AI45" s="239">
        <f t="shared" si="9"/>
        <v>18164.488551300004</v>
      </c>
      <c r="AK45" s="671">
        <f t="shared" si="10"/>
        <v>38510.64023443628</v>
      </c>
      <c r="AL45" s="672">
        <f t="shared" si="11"/>
        <v>3183.2055559442642</v>
      </c>
      <c r="AM45" s="672">
        <f t="shared" si="12"/>
        <v>3232.8443590099168</v>
      </c>
      <c r="AN45" s="238">
        <f t="shared" si="13"/>
        <v>0</v>
      </c>
      <c r="AO45" s="673">
        <f t="shared" si="14"/>
        <v>40.351743967161184</v>
      </c>
      <c r="AP45" s="674">
        <f t="shared" si="15"/>
        <v>44967.041893357629</v>
      </c>
      <c r="AR45" s="861">
        <f t="shared" si="27"/>
        <v>63.131530444657628</v>
      </c>
      <c r="AS45" s="713">
        <f t="shared" si="28"/>
        <v>0.19021257523698082</v>
      </c>
      <c r="AT45" s="3">
        <f>'Input data'!D87/10^6</f>
        <v>0</v>
      </c>
    </row>
    <row r="46" spans="1:46">
      <c r="A46">
        <f>'Input data'!A88</f>
        <v>1990</v>
      </c>
      <c r="B46" s="657">
        <f>'Input data'!I88</f>
        <v>578.73</v>
      </c>
      <c r="C46" s="238">
        <f>B46*'Input data'!B88</f>
        <v>18537.879360000003</v>
      </c>
      <c r="D46" s="510">
        <f>'Input data'!M88</f>
        <v>0.19892488097366726</v>
      </c>
      <c r="E46" s="510">
        <f>'Input data'!N88</f>
        <v>0.26585903447659598</v>
      </c>
      <c r="F46" s="510">
        <f>'Input data'!O88</f>
        <v>8.9228108703258049E-2</v>
      </c>
      <c r="G46" s="510">
        <f>'Input data'!P88</f>
        <v>0</v>
      </c>
      <c r="H46" s="510">
        <f>'Input data'!Q88</f>
        <v>0</v>
      </c>
      <c r="I46" s="510">
        <f>'Input data'!R88</f>
        <v>0</v>
      </c>
      <c r="J46" s="510">
        <f>'Input data'!S88</f>
        <v>0.4459879758464787</v>
      </c>
      <c r="K46" s="510">
        <f>'Input data'!T88</f>
        <v>1</v>
      </c>
      <c r="L46" s="499">
        <f t="shared" si="16"/>
        <v>0.8</v>
      </c>
      <c r="M46" s="499">
        <f t="shared" si="17"/>
        <v>0.11</v>
      </c>
      <c r="N46" s="499">
        <f t="shared" si="18"/>
        <v>0.09</v>
      </c>
      <c r="O46" s="499">
        <f t="shared" si="19"/>
        <v>0</v>
      </c>
      <c r="P46" s="499">
        <f t="shared" si="1"/>
        <v>1</v>
      </c>
      <c r="Q46" s="510">
        <f>'Input data'!$G$33</f>
        <v>0.66241124199764068</v>
      </c>
      <c r="R46" s="658">
        <f>'Input data'!$H$33</f>
        <v>0.33758875800235938</v>
      </c>
      <c r="S46" s="654">
        <f>'Input data'!J88</f>
        <v>27.526054267727826</v>
      </c>
      <c r="T46" s="238">
        <f>'Input data'!L88</f>
        <v>44824.143075299617</v>
      </c>
      <c r="U46" s="510">
        <f t="shared" si="20"/>
        <v>0.85641924869700936</v>
      </c>
      <c r="V46" s="510">
        <f t="shared" si="21"/>
        <v>0.14268338865096522</v>
      </c>
      <c r="W46" s="510">
        <f t="shared" si="22"/>
        <v>0</v>
      </c>
      <c r="X46" s="510">
        <f t="shared" si="23"/>
        <v>8.973626520254116E-4</v>
      </c>
      <c r="Y46" s="499">
        <f t="shared" si="24"/>
        <v>1</v>
      </c>
      <c r="Z46" s="581">
        <f t="shared" si="25"/>
        <v>0.49613166950665732</v>
      </c>
      <c r="AA46" s="655">
        <f t="shared" si="26"/>
        <v>0.50386833049334279</v>
      </c>
      <c r="AC46" s="693">
        <f t="shared" si="3"/>
        <v>1990</v>
      </c>
      <c r="AD46" s="237">
        <f t="shared" si="4"/>
        <v>14830.303488000003</v>
      </c>
      <c r="AE46" s="238">
        <f t="shared" si="5"/>
        <v>1350.7669659946034</v>
      </c>
      <c r="AF46" s="238">
        <f t="shared" si="6"/>
        <v>688.39976360539708</v>
      </c>
      <c r="AG46" s="238">
        <f t="shared" si="7"/>
        <v>1668.4091424000001</v>
      </c>
      <c r="AH46" s="238">
        <f t="shared" si="8"/>
        <v>0</v>
      </c>
      <c r="AI46" s="239">
        <f t="shared" si="9"/>
        <v>18537.879360000003</v>
      </c>
      <c r="AK46" s="671">
        <f t="shared" si="10"/>
        <v>38388.258936035352</v>
      </c>
      <c r="AL46" s="672">
        <f t="shared" si="11"/>
        <v>3173.0897846498374</v>
      </c>
      <c r="AM46" s="672">
        <f t="shared" si="12"/>
        <v>3222.5708427096097</v>
      </c>
      <c r="AN46" s="238">
        <f t="shared" si="13"/>
        <v>0</v>
      </c>
      <c r="AO46" s="673">
        <f t="shared" si="14"/>
        <v>40.22351190481735</v>
      </c>
      <c r="AP46" s="674">
        <f t="shared" si="15"/>
        <v>44824.143075299617</v>
      </c>
      <c r="AR46" s="861">
        <f t="shared" si="27"/>
        <v>63.362022435299615</v>
      </c>
      <c r="AS46" s="713">
        <f t="shared" si="28"/>
        <v>0.19060003782971635</v>
      </c>
      <c r="AT46" s="3">
        <f>'Input data'!D88/10^6</f>
        <v>0</v>
      </c>
    </row>
    <row r="47" spans="1:46">
      <c r="A47">
        <f>'Input data'!A89</f>
        <v>1991</v>
      </c>
      <c r="B47" s="657">
        <f>'Input data'!I89</f>
        <v>578.73</v>
      </c>
      <c r="C47" s="238">
        <f>B47*'Input data'!B89</f>
        <v>18923.909631900002</v>
      </c>
      <c r="D47" s="510">
        <f>'Input data'!M89</f>
        <v>0.19892488097366726</v>
      </c>
      <c r="E47" s="510">
        <f>'Input data'!N89</f>
        <v>0.26585903447659598</v>
      </c>
      <c r="F47" s="510">
        <f>'Input data'!O89</f>
        <v>8.9228108703258049E-2</v>
      </c>
      <c r="G47" s="510">
        <f>'Input data'!P89</f>
        <v>0</v>
      </c>
      <c r="H47" s="510">
        <f>'Input data'!Q89</f>
        <v>0</v>
      </c>
      <c r="I47" s="510">
        <f>'Input data'!R89</f>
        <v>0</v>
      </c>
      <c r="J47" s="510">
        <f>'Input data'!S89</f>
        <v>0.4459879758464787</v>
      </c>
      <c r="K47" s="510">
        <f>'Input data'!T89</f>
        <v>1</v>
      </c>
      <c r="L47" s="499">
        <f t="shared" si="16"/>
        <v>0.8</v>
      </c>
      <c r="M47" s="499">
        <f t="shared" si="17"/>
        <v>0.11</v>
      </c>
      <c r="N47" s="499">
        <f t="shared" si="18"/>
        <v>0.09</v>
      </c>
      <c r="O47" s="499">
        <f t="shared" si="19"/>
        <v>0</v>
      </c>
      <c r="P47" s="499">
        <f t="shared" si="1"/>
        <v>1</v>
      </c>
      <c r="Q47" s="510">
        <f>'Input data'!$G$33</f>
        <v>0.66241124199764068</v>
      </c>
      <c r="R47" s="658">
        <f>'Input data'!$H$33</f>
        <v>0.33758875800235938</v>
      </c>
      <c r="S47" s="654">
        <f>'Input data'!J89</f>
        <v>27.526054267727826</v>
      </c>
      <c r="T47" s="238">
        <f>'Input data'!L89</f>
        <v>44367.73474260496</v>
      </c>
      <c r="U47" s="510">
        <f t="shared" si="20"/>
        <v>0.85641924869700936</v>
      </c>
      <c r="V47" s="510">
        <f t="shared" si="21"/>
        <v>0.14268338865096522</v>
      </c>
      <c r="W47" s="510">
        <f t="shared" si="22"/>
        <v>0</v>
      </c>
      <c r="X47" s="510">
        <f t="shared" si="23"/>
        <v>8.973626520254116E-4</v>
      </c>
      <c r="Y47" s="499">
        <f t="shared" si="24"/>
        <v>1</v>
      </c>
      <c r="Z47" s="581">
        <f t="shared" si="25"/>
        <v>0.49613166950665732</v>
      </c>
      <c r="AA47" s="655">
        <f t="shared" si="26"/>
        <v>0.50386833049334279</v>
      </c>
      <c r="AC47" s="693">
        <f t="shared" si="3"/>
        <v>1991</v>
      </c>
      <c r="AD47" s="237">
        <f t="shared" si="4"/>
        <v>15139.127705520003</v>
      </c>
      <c r="AE47" s="238">
        <f t="shared" si="5"/>
        <v>1378.8951530989796</v>
      </c>
      <c r="AF47" s="238">
        <f t="shared" si="6"/>
        <v>702.73490641002081</v>
      </c>
      <c r="AG47" s="238">
        <f t="shared" si="7"/>
        <v>1703.151866871</v>
      </c>
      <c r="AH47" s="238">
        <f t="shared" si="8"/>
        <v>0</v>
      </c>
      <c r="AI47" s="239">
        <f t="shared" si="9"/>
        <v>18923.909631900002</v>
      </c>
      <c r="AK47" s="671">
        <f t="shared" si="10"/>
        <v>37997.382054649941</v>
      </c>
      <c r="AL47" s="672">
        <f t="shared" si="11"/>
        <v>3140.7807538744</v>
      </c>
      <c r="AM47" s="672">
        <f t="shared" si="12"/>
        <v>3189.7579859676366</v>
      </c>
      <c r="AN47" s="238">
        <f t="shared" si="13"/>
        <v>0</v>
      </c>
      <c r="AO47" s="673">
        <f t="shared" si="14"/>
        <v>39.813948112983979</v>
      </c>
      <c r="AP47" s="674">
        <f t="shared" si="15"/>
        <v>44367.73474260496</v>
      </c>
      <c r="AR47" s="861">
        <f t="shared" si="27"/>
        <v>63.291644374504962</v>
      </c>
      <c r="AS47" s="713">
        <f t="shared" si="28"/>
        <v>0.19111406940670203</v>
      </c>
      <c r="AT47" s="3">
        <f>'Input data'!D89/10^6</f>
        <v>0</v>
      </c>
    </row>
    <row r="48" spans="1:46">
      <c r="A48">
        <f>'Input data'!A90</f>
        <v>1992</v>
      </c>
      <c r="B48" s="657">
        <f>'Input data'!I90</f>
        <v>578.73</v>
      </c>
      <c r="C48" s="238">
        <f>B48*'Input data'!B90</f>
        <v>19323.106011299998</v>
      </c>
      <c r="D48" s="510">
        <f>'Input data'!M90</f>
        <v>0.19892488097366726</v>
      </c>
      <c r="E48" s="510">
        <f>'Input data'!N90</f>
        <v>0.26585903447659598</v>
      </c>
      <c r="F48" s="510">
        <f>'Input data'!O90</f>
        <v>8.9228108703258049E-2</v>
      </c>
      <c r="G48" s="510">
        <f>'Input data'!P90</f>
        <v>0</v>
      </c>
      <c r="H48" s="510">
        <f>'Input data'!Q90</f>
        <v>0</v>
      </c>
      <c r="I48" s="510">
        <f>'Input data'!R90</f>
        <v>0</v>
      </c>
      <c r="J48" s="510">
        <f>'Input data'!S90</f>
        <v>0.4459879758464787</v>
      </c>
      <c r="K48" s="510">
        <f>'Input data'!T90</f>
        <v>1</v>
      </c>
      <c r="L48" s="499">
        <f t="shared" si="16"/>
        <v>0.8</v>
      </c>
      <c r="M48" s="499">
        <f t="shared" si="17"/>
        <v>0.11</v>
      </c>
      <c r="N48" s="499">
        <f t="shared" si="18"/>
        <v>0.09</v>
      </c>
      <c r="O48" s="499">
        <f t="shared" si="19"/>
        <v>0</v>
      </c>
      <c r="P48" s="499">
        <f t="shared" si="1"/>
        <v>1</v>
      </c>
      <c r="Q48" s="510">
        <f>'Input data'!$G$33</f>
        <v>0.66241124199764068</v>
      </c>
      <c r="R48" s="658">
        <f>'Input data'!$H$33</f>
        <v>0.33758875800235938</v>
      </c>
      <c r="S48" s="654">
        <f>'Input data'!J90</f>
        <v>27.526054267727826</v>
      </c>
      <c r="T48" s="238">
        <f>'Input data'!L90</f>
        <v>43419.571010794869</v>
      </c>
      <c r="U48" s="510">
        <f t="shared" si="20"/>
        <v>0.85641924869700936</v>
      </c>
      <c r="V48" s="510">
        <f t="shared" si="21"/>
        <v>0.14268338865096522</v>
      </c>
      <c r="W48" s="510">
        <f t="shared" si="22"/>
        <v>0</v>
      </c>
      <c r="X48" s="510">
        <f t="shared" si="23"/>
        <v>8.973626520254116E-4</v>
      </c>
      <c r="Y48" s="499">
        <f t="shared" si="24"/>
        <v>1</v>
      </c>
      <c r="Z48" s="581">
        <f t="shared" si="25"/>
        <v>0.49613166950665732</v>
      </c>
      <c r="AA48" s="655">
        <f t="shared" si="26"/>
        <v>0.50386833049334279</v>
      </c>
      <c r="AC48" s="693">
        <f t="shared" si="3"/>
        <v>1992</v>
      </c>
      <c r="AD48" s="237">
        <f t="shared" si="4"/>
        <v>15458.484809039999</v>
      </c>
      <c r="AE48" s="238">
        <f t="shared" si="5"/>
        <v>1407.982691741704</v>
      </c>
      <c r="AF48" s="238">
        <f t="shared" si="6"/>
        <v>717.55896950129602</v>
      </c>
      <c r="AG48" s="238">
        <f t="shared" si="7"/>
        <v>1739.0795410169999</v>
      </c>
      <c r="AH48" s="238">
        <f t="shared" si="8"/>
        <v>0</v>
      </c>
      <c r="AI48" s="239">
        <f t="shared" si="9"/>
        <v>19323.106011299998</v>
      </c>
      <c r="AK48" s="671">
        <f t="shared" si="10"/>
        <v>37185.356383811391</v>
      </c>
      <c r="AL48" s="672">
        <f t="shared" si="11"/>
        <v>3073.6604824053402</v>
      </c>
      <c r="AM48" s="672">
        <f t="shared" si="12"/>
        <v>3121.5910431860875</v>
      </c>
      <c r="AN48" s="238">
        <f t="shared" si="13"/>
        <v>0</v>
      </c>
      <c r="AO48" s="673">
        <f t="shared" si="14"/>
        <v>38.963101392052565</v>
      </c>
      <c r="AP48" s="674">
        <f t="shared" si="15"/>
        <v>43419.571010794876</v>
      </c>
      <c r="AR48" s="861">
        <f t="shared" si="27"/>
        <v>62.742677022094874</v>
      </c>
      <c r="AS48" s="713">
        <f t="shared" si="28"/>
        <v>0.19183318694865345</v>
      </c>
      <c r="AT48" s="3">
        <f>'Input data'!D90/10^6</f>
        <v>0</v>
      </c>
    </row>
    <row r="49" spans="1:46">
      <c r="A49">
        <f>'Input data'!A91</f>
        <v>1993</v>
      </c>
      <c r="B49" s="657">
        <f>'Input data'!I91</f>
        <v>578.73</v>
      </c>
      <c r="C49" s="238">
        <f>B49*'Input data'!B91</f>
        <v>19735.468498199996</v>
      </c>
      <c r="D49" s="510">
        <f>'Input data'!M91</f>
        <v>0.19892488097366726</v>
      </c>
      <c r="E49" s="510">
        <f>'Input data'!N91</f>
        <v>0.26585903447659598</v>
      </c>
      <c r="F49" s="510">
        <f>'Input data'!O91</f>
        <v>8.9228108703258049E-2</v>
      </c>
      <c r="G49" s="510">
        <f>'Input data'!P91</f>
        <v>0</v>
      </c>
      <c r="H49" s="510">
        <f>'Input data'!Q91</f>
        <v>0</v>
      </c>
      <c r="I49" s="510">
        <f>'Input data'!R91</f>
        <v>0</v>
      </c>
      <c r="J49" s="510">
        <f>'Input data'!S91</f>
        <v>0.4459879758464787</v>
      </c>
      <c r="K49" s="510">
        <f>'Input data'!T91</f>
        <v>1</v>
      </c>
      <c r="L49" s="499">
        <f t="shared" si="16"/>
        <v>0.8</v>
      </c>
      <c r="M49" s="499">
        <f t="shared" si="17"/>
        <v>0.11</v>
      </c>
      <c r="N49" s="499">
        <f t="shared" si="18"/>
        <v>0.09</v>
      </c>
      <c r="O49" s="499">
        <f t="shared" si="19"/>
        <v>0</v>
      </c>
      <c r="P49" s="499">
        <f t="shared" si="1"/>
        <v>1</v>
      </c>
      <c r="Q49" s="510">
        <f>'Input data'!$G$33</f>
        <v>0.66241124199764068</v>
      </c>
      <c r="R49" s="658">
        <f>'Input data'!$H$33</f>
        <v>0.33758875800235938</v>
      </c>
      <c r="S49" s="654">
        <f>'Input data'!J91</f>
        <v>27.526054267727826</v>
      </c>
      <c r="T49" s="238">
        <f>'Input data'!L91</f>
        <v>43955.160065352204</v>
      </c>
      <c r="U49" s="510">
        <f t="shared" si="20"/>
        <v>0.85641924869700936</v>
      </c>
      <c r="V49" s="510">
        <f t="shared" si="21"/>
        <v>0.14268338865096522</v>
      </c>
      <c r="W49" s="510">
        <f t="shared" si="22"/>
        <v>0</v>
      </c>
      <c r="X49" s="510">
        <f t="shared" si="23"/>
        <v>8.973626520254116E-4</v>
      </c>
      <c r="Y49" s="499">
        <f t="shared" si="24"/>
        <v>1</v>
      </c>
      <c r="Z49" s="581">
        <f t="shared" si="25"/>
        <v>0.49613166950665732</v>
      </c>
      <c r="AA49" s="655">
        <f t="shared" si="26"/>
        <v>0.50386833049334279</v>
      </c>
      <c r="AC49" s="693">
        <f t="shared" si="3"/>
        <v>1993</v>
      </c>
      <c r="AD49" s="237">
        <f t="shared" si="4"/>
        <v>15788.374798559998</v>
      </c>
      <c r="AE49" s="238">
        <f t="shared" si="5"/>
        <v>1438.029581922777</v>
      </c>
      <c r="AF49" s="238">
        <f t="shared" si="6"/>
        <v>732.87195287922282</v>
      </c>
      <c r="AG49" s="238">
        <f t="shared" si="7"/>
        <v>1776.1921648379996</v>
      </c>
      <c r="AH49" s="238">
        <f t="shared" si="8"/>
        <v>0</v>
      </c>
      <c r="AI49" s="239">
        <f t="shared" si="9"/>
        <v>19735.4684982</v>
      </c>
      <c r="AK49" s="671">
        <f t="shared" si="10"/>
        <v>37644.045159525725</v>
      </c>
      <c r="AL49" s="672">
        <f t="shared" si="11"/>
        <v>3111.5746965138228</v>
      </c>
      <c r="AM49" s="672">
        <f t="shared" si="12"/>
        <v>3160.0964903062127</v>
      </c>
      <c r="AN49" s="238">
        <f t="shared" si="13"/>
        <v>0</v>
      </c>
      <c r="AO49" s="673">
        <f t="shared" si="14"/>
        <v>39.443719006445917</v>
      </c>
      <c r="AP49" s="674">
        <f t="shared" si="15"/>
        <v>43955.160065352211</v>
      </c>
      <c r="AR49" s="861">
        <f t="shared" si="27"/>
        <v>63.69062856355221</v>
      </c>
      <c r="AS49" s="713">
        <f t="shared" si="28"/>
        <v>0.19198472787707133</v>
      </c>
      <c r="AT49" s="3">
        <f>'Input data'!D91/10^6</f>
        <v>0</v>
      </c>
    </row>
    <row r="50" spans="1:46">
      <c r="A50">
        <f>'Input data'!A92</f>
        <v>1994</v>
      </c>
      <c r="B50" s="657">
        <f>'Input data'!I92</f>
        <v>578.73</v>
      </c>
      <c r="C50" s="238">
        <f>B50*'Input data'!B92</f>
        <v>20161.523736900002</v>
      </c>
      <c r="D50" s="510">
        <f>'Input data'!M92</f>
        <v>0.19892488097366726</v>
      </c>
      <c r="E50" s="510">
        <f>'Input data'!N92</f>
        <v>0.26585903447659598</v>
      </c>
      <c r="F50" s="510">
        <f>'Input data'!O92</f>
        <v>8.9228108703258049E-2</v>
      </c>
      <c r="G50" s="510">
        <f>'Input data'!P92</f>
        <v>0</v>
      </c>
      <c r="H50" s="510">
        <f>'Input data'!Q92</f>
        <v>0</v>
      </c>
      <c r="I50" s="510">
        <f>'Input data'!R92</f>
        <v>0</v>
      </c>
      <c r="J50" s="510">
        <f>'Input data'!S92</f>
        <v>0.4459879758464787</v>
      </c>
      <c r="K50" s="510">
        <f>'Input data'!T92</f>
        <v>1</v>
      </c>
      <c r="L50" s="499">
        <f t="shared" si="16"/>
        <v>0.8</v>
      </c>
      <c r="M50" s="499">
        <f t="shared" si="17"/>
        <v>0.11</v>
      </c>
      <c r="N50" s="499">
        <f t="shared" si="18"/>
        <v>0.09</v>
      </c>
      <c r="O50" s="499">
        <f t="shared" si="19"/>
        <v>0</v>
      </c>
      <c r="P50" s="499">
        <f t="shared" si="1"/>
        <v>1</v>
      </c>
      <c r="Q50" s="510">
        <f>'Input data'!$G$33</f>
        <v>0.66241124199764068</v>
      </c>
      <c r="R50" s="658">
        <f>'Input data'!$H$33</f>
        <v>0.33758875800235938</v>
      </c>
      <c r="S50" s="654">
        <f>'Input data'!J92</f>
        <v>27.526054267727826</v>
      </c>
      <c r="T50" s="238">
        <f>'Input data'!L92</f>
        <v>45361.725648533102</v>
      </c>
      <c r="U50" s="510">
        <f t="shared" si="20"/>
        <v>0.85641924869700936</v>
      </c>
      <c r="V50" s="510">
        <f t="shared" si="21"/>
        <v>0.14268338865096522</v>
      </c>
      <c r="W50" s="510">
        <f t="shared" si="22"/>
        <v>0</v>
      </c>
      <c r="X50" s="510">
        <f t="shared" si="23"/>
        <v>8.973626520254116E-4</v>
      </c>
      <c r="Y50" s="499">
        <f t="shared" si="24"/>
        <v>1</v>
      </c>
      <c r="Z50" s="581">
        <f t="shared" si="25"/>
        <v>0.49613166950665732</v>
      </c>
      <c r="AA50" s="655">
        <f t="shared" si="26"/>
        <v>0.50386833049334279</v>
      </c>
      <c r="AC50" s="693">
        <f t="shared" si="3"/>
        <v>1994</v>
      </c>
      <c r="AD50" s="237">
        <f t="shared" si="4"/>
        <v>16129.218989520003</v>
      </c>
      <c r="AE50" s="238">
        <f t="shared" si="5"/>
        <v>1469.0741977037328</v>
      </c>
      <c r="AF50" s="238">
        <f t="shared" si="6"/>
        <v>748.69341335526758</v>
      </c>
      <c r="AG50" s="238">
        <f t="shared" si="7"/>
        <v>1814.5371363210002</v>
      </c>
      <c r="AH50" s="238">
        <f t="shared" si="8"/>
        <v>0</v>
      </c>
      <c r="AI50" s="239">
        <f t="shared" si="9"/>
        <v>20161.523736900002</v>
      </c>
      <c r="AK50" s="671">
        <f t="shared" si="10"/>
        <v>38848.654999516577</v>
      </c>
      <c r="AL50" s="672">
        <f t="shared" si="11"/>
        <v>3211.1451194426832</v>
      </c>
      <c r="AM50" s="672">
        <f t="shared" si="12"/>
        <v>3261.2196111454236</v>
      </c>
      <c r="AN50" s="238">
        <f t="shared" si="13"/>
        <v>0</v>
      </c>
      <c r="AO50" s="673">
        <f t="shared" si="14"/>
        <v>40.705918428416801</v>
      </c>
      <c r="AP50" s="674">
        <f t="shared" si="15"/>
        <v>45361.725648533102</v>
      </c>
      <c r="AR50" s="861">
        <f t="shared" si="27"/>
        <v>65.523249385433104</v>
      </c>
      <c r="AS50" s="713">
        <f t="shared" si="28"/>
        <v>0.19181126208153176</v>
      </c>
      <c r="AT50" s="3">
        <f>'Input data'!D92/10^6</f>
        <v>0</v>
      </c>
    </row>
    <row r="51" spans="1:46">
      <c r="A51">
        <f>'Input data'!A93</f>
        <v>1995</v>
      </c>
      <c r="B51" s="657">
        <f>'Input data'!I93</f>
        <v>578.73</v>
      </c>
      <c r="C51" s="238">
        <f>B51*'Input data'!B93</f>
        <v>20602.325015999999</v>
      </c>
      <c r="D51" s="510">
        <f>'Input data'!M93</f>
        <v>0.19892488097366726</v>
      </c>
      <c r="E51" s="510">
        <f>'Input data'!N93</f>
        <v>0.26585903447659598</v>
      </c>
      <c r="F51" s="510">
        <f>'Input data'!O93</f>
        <v>8.9228108703258049E-2</v>
      </c>
      <c r="G51" s="510">
        <f>'Input data'!P93</f>
        <v>0</v>
      </c>
      <c r="H51" s="510">
        <f>'Input data'!Q93</f>
        <v>0</v>
      </c>
      <c r="I51" s="510">
        <f>'Input data'!R93</f>
        <v>0</v>
      </c>
      <c r="J51" s="510">
        <f>'Input data'!S93</f>
        <v>0.4459879758464787</v>
      </c>
      <c r="K51" s="510">
        <f>'Input data'!T93</f>
        <v>1</v>
      </c>
      <c r="L51" s="499">
        <f t="shared" si="16"/>
        <v>0.8</v>
      </c>
      <c r="M51" s="499">
        <f t="shared" si="17"/>
        <v>0.11</v>
      </c>
      <c r="N51" s="499">
        <f t="shared" si="18"/>
        <v>0.09</v>
      </c>
      <c r="O51" s="499">
        <f t="shared" si="19"/>
        <v>0</v>
      </c>
      <c r="P51" s="499">
        <f t="shared" si="1"/>
        <v>1</v>
      </c>
      <c r="Q51" s="510">
        <f>'Input data'!$G$33</f>
        <v>0.66241124199764068</v>
      </c>
      <c r="R51" s="658">
        <f>'Input data'!$H$33</f>
        <v>0.33758875800235938</v>
      </c>
      <c r="S51" s="654">
        <f>'Input data'!J93</f>
        <v>27.526054267727826</v>
      </c>
      <c r="T51" s="238">
        <f>'Input data'!L93</f>
        <v>46767.937065163351</v>
      </c>
      <c r="U51" s="510">
        <f t="shared" si="20"/>
        <v>0.85641924869700936</v>
      </c>
      <c r="V51" s="510">
        <f t="shared" si="21"/>
        <v>0.14268338865096522</v>
      </c>
      <c r="W51" s="510">
        <f t="shared" si="22"/>
        <v>0</v>
      </c>
      <c r="X51" s="510">
        <f t="shared" si="23"/>
        <v>8.973626520254116E-4</v>
      </c>
      <c r="Y51" s="499">
        <f t="shared" si="24"/>
        <v>1</v>
      </c>
      <c r="Z51" s="581">
        <f t="shared" si="25"/>
        <v>0.49613166950665732</v>
      </c>
      <c r="AA51" s="655">
        <f t="shared" si="26"/>
        <v>0.50386833049334279</v>
      </c>
      <c r="AC51" s="693">
        <f t="shared" si="3"/>
        <v>1995</v>
      </c>
      <c r="AD51" s="237">
        <f t="shared" si="4"/>
        <v>16481.8600128</v>
      </c>
      <c r="AE51" s="238">
        <f t="shared" si="5"/>
        <v>1501.1932872076384</v>
      </c>
      <c r="AF51" s="238">
        <f t="shared" si="6"/>
        <v>765.06246455236158</v>
      </c>
      <c r="AG51" s="238">
        <f t="shared" si="7"/>
        <v>1854.2092514399999</v>
      </c>
      <c r="AH51" s="238">
        <f t="shared" si="8"/>
        <v>0</v>
      </c>
      <c r="AI51" s="239">
        <f t="shared" si="9"/>
        <v>20602.325015999999</v>
      </c>
      <c r="AK51" s="671">
        <f t="shared" si="10"/>
        <v>40052.961524456216</v>
      </c>
      <c r="AL51" s="672">
        <f t="shared" si="11"/>
        <v>3310.6904710107365</v>
      </c>
      <c r="AM51" s="672">
        <f t="shared" si="12"/>
        <v>3362.3172696618485</v>
      </c>
      <c r="AN51" s="238">
        <f t="shared" si="13"/>
        <v>0</v>
      </c>
      <c r="AO51" s="673">
        <f t="shared" si="14"/>
        <v>41.967800034552532</v>
      </c>
      <c r="AP51" s="674">
        <f t="shared" si="15"/>
        <v>46767.937065163351</v>
      </c>
      <c r="AR51" s="861">
        <f t="shared" si="27"/>
        <v>67.370262081163347</v>
      </c>
      <c r="AS51" s="713">
        <f t="shared" si="28"/>
        <v>0.19165958694619081</v>
      </c>
      <c r="AT51" s="3">
        <f>'Input data'!D93/10^6</f>
        <v>0</v>
      </c>
    </row>
    <row r="52" spans="1:46">
      <c r="A52">
        <f>'Input data'!A94</f>
        <v>1996</v>
      </c>
      <c r="B52" s="657">
        <f>'Input data'!I94</f>
        <v>578.73</v>
      </c>
      <c r="C52" s="238">
        <f>B52*'Input data'!B94</f>
        <v>21065.772000000001</v>
      </c>
      <c r="D52" s="510">
        <f>'Input data'!M94</f>
        <v>0.19892488097366726</v>
      </c>
      <c r="E52" s="510">
        <f>'Input data'!N94</f>
        <v>0.26585903447659598</v>
      </c>
      <c r="F52" s="510">
        <f>'Input data'!O94</f>
        <v>8.9228108703258049E-2</v>
      </c>
      <c r="G52" s="510">
        <f>'Input data'!P94</f>
        <v>0</v>
      </c>
      <c r="H52" s="510">
        <f>'Input data'!Q94</f>
        <v>0</v>
      </c>
      <c r="I52" s="510">
        <f>'Input data'!R94</f>
        <v>0</v>
      </c>
      <c r="J52" s="510">
        <f>'Input data'!S94</f>
        <v>0.4459879758464787</v>
      </c>
      <c r="K52" s="510">
        <f>'Input data'!T94</f>
        <v>1</v>
      </c>
      <c r="L52" s="499">
        <f t="shared" si="16"/>
        <v>0.8</v>
      </c>
      <c r="M52" s="499">
        <f t="shared" si="17"/>
        <v>0.11</v>
      </c>
      <c r="N52" s="499">
        <f t="shared" si="18"/>
        <v>0.09</v>
      </c>
      <c r="O52" s="499">
        <f t="shared" si="19"/>
        <v>0</v>
      </c>
      <c r="P52" s="499">
        <f t="shared" si="1"/>
        <v>1</v>
      </c>
      <c r="Q52" s="510">
        <f>'Input data'!$G$33</f>
        <v>0.66241124199764068</v>
      </c>
      <c r="R52" s="658">
        <f>'Input data'!$H$33</f>
        <v>0.33758875800235938</v>
      </c>
      <c r="S52" s="654">
        <f>'Input data'!J94</f>
        <v>27.526054267727826</v>
      </c>
      <c r="T52" s="238">
        <f>'Input data'!L94</f>
        <v>48778.957873046515</v>
      </c>
      <c r="U52" s="510">
        <f t="shared" si="20"/>
        <v>0.85641924869700936</v>
      </c>
      <c r="V52" s="510">
        <f t="shared" si="21"/>
        <v>0.14268338865096522</v>
      </c>
      <c r="W52" s="510">
        <f t="shared" si="22"/>
        <v>0</v>
      </c>
      <c r="X52" s="510">
        <f t="shared" si="23"/>
        <v>8.973626520254116E-4</v>
      </c>
      <c r="Y52" s="499">
        <f t="shared" si="24"/>
        <v>1</v>
      </c>
      <c r="Z52" s="581">
        <f t="shared" si="25"/>
        <v>0.49613166950665732</v>
      </c>
      <c r="AA52" s="655">
        <f t="shared" si="26"/>
        <v>0.50386833049334279</v>
      </c>
      <c r="AC52" s="693">
        <f t="shared" si="3"/>
        <v>1996</v>
      </c>
      <c r="AD52" s="237">
        <f t="shared" si="4"/>
        <v>16852.617600000001</v>
      </c>
      <c r="AE52" s="238">
        <f t="shared" si="5"/>
        <v>1534.9624613575036</v>
      </c>
      <c r="AF52" s="238">
        <f t="shared" si="6"/>
        <v>782.27245864249676</v>
      </c>
      <c r="AG52" s="238">
        <f t="shared" si="7"/>
        <v>1895.91948</v>
      </c>
      <c r="AH52" s="238">
        <f t="shared" si="8"/>
        <v>0</v>
      </c>
      <c r="AI52" s="239">
        <f t="shared" si="9"/>
        <v>21065.772000000001</v>
      </c>
      <c r="AK52" s="671">
        <f t="shared" si="10"/>
        <v>41775.238453857564</v>
      </c>
      <c r="AL52" s="672">
        <f t="shared" si="11"/>
        <v>3453.0501268661246</v>
      </c>
      <c r="AM52" s="672">
        <f t="shared" si="12"/>
        <v>3506.8968773228316</v>
      </c>
      <c r="AN52" s="238">
        <f t="shared" si="13"/>
        <v>0</v>
      </c>
      <c r="AO52" s="673">
        <f t="shared" si="14"/>
        <v>43.772414999992854</v>
      </c>
      <c r="AP52" s="674">
        <f t="shared" si="15"/>
        <v>48778.957873046515</v>
      </c>
      <c r="AR52" s="861">
        <f t="shared" si="27"/>
        <v>69.844729873046518</v>
      </c>
      <c r="AS52" s="713">
        <f t="shared" si="28"/>
        <v>0.19132328169880097</v>
      </c>
      <c r="AT52" s="3">
        <f>'Input data'!D94/10^6</f>
        <v>0</v>
      </c>
    </row>
    <row r="53" spans="1:46">
      <c r="A53">
        <f>'Input data'!A95</f>
        <v>1997</v>
      </c>
      <c r="B53" s="657">
        <f>'Input data'!I95</f>
        <v>578.73</v>
      </c>
      <c r="C53" s="238">
        <f>B53*'Input data'!B95</f>
        <v>21553.444621800001</v>
      </c>
      <c r="D53" s="510">
        <f>'Input data'!M95</f>
        <v>0.19892488097366726</v>
      </c>
      <c r="E53" s="510">
        <f>'Input data'!N95</f>
        <v>0.26585903447659598</v>
      </c>
      <c r="F53" s="510">
        <f>'Input data'!O95</f>
        <v>8.9228108703258049E-2</v>
      </c>
      <c r="G53" s="510">
        <f>'Input data'!P95</f>
        <v>0</v>
      </c>
      <c r="H53" s="510">
        <f>'Input data'!Q95</f>
        <v>0</v>
      </c>
      <c r="I53" s="510">
        <f>'Input data'!R95</f>
        <v>0</v>
      </c>
      <c r="J53" s="510">
        <f>'Input data'!S95</f>
        <v>0.4459879758464787</v>
      </c>
      <c r="K53" s="510">
        <f>'Input data'!T95</f>
        <v>1</v>
      </c>
      <c r="L53" s="499">
        <f t="shared" si="16"/>
        <v>0.8</v>
      </c>
      <c r="M53" s="499">
        <f t="shared" si="17"/>
        <v>0.11</v>
      </c>
      <c r="N53" s="499">
        <f t="shared" si="18"/>
        <v>0.09</v>
      </c>
      <c r="O53" s="499">
        <f t="shared" si="19"/>
        <v>0</v>
      </c>
      <c r="P53" s="499">
        <f t="shared" si="1"/>
        <v>1</v>
      </c>
      <c r="Q53" s="510">
        <f>'Input data'!$G$33</f>
        <v>0.66241124199764068</v>
      </c>
      <c r="R53" s="658">
        <f>'Input data'!$H$33</f>
        <v>0.33758875800235938</v>
      </c>
      <c r="S53" s="654">
        <f>'Input data'!J95</f>
        <v>27.526054267727826</v>
      </c>
      <c r="T53" s="238">
        <f>'Input data'!L95</f>
        <v>50047.211809908469</v>
      </c>
      <c r="U53" s="510">
        <f t="shared" si="20"/>
        <v>0.85641924869700936</v>
      </c>
      <c r="V53" s="510">
        <f t="shared" si="21"/>
        <v>0.14268338865096522</v>
      </c>
      <c r="W53" s="510">
        <f t="shared" si="22"/>
        <v>0</v>
      </c>
      <c r="X53" s="510">
        <f t="shared" si="23"/>
        <v>8.973626520254116E-4</v>
      </c>
      <c r="Y53" s="499">
        <f t="shared" si="24"/>
        <v>1</v>
      </c>
      <c r="Z53" s="581">
        <f t="shared" si="25"/>
        <v>0.49613166950665732</v>
      </c>
      <c r="AA53" s="655">
        <f t="shared" si="26"/>
        <v>0.50386833049334279</v>
      </c>
      <c r="AC53" s="693">
        <f t="shared" si="3"/>
        <v>1997</v>
      </c>
      <c r="AD53" s="237">
        <f t="shared" si="4"/>
        <v>17242.755697440003</v>
      </c>
      <c r="AE53" s="238">
        <f t="shared" si="5"/>
        <v>1570.4968423379298</v>
      </c>
      <c r="AF53" s="238">
        <f t="shared" si="6"/>
        <v>800.38206606007043</v>
      </c>
      <c r="AG53" s="238">
        <f t="shared" si="7"/>
        <v>1939.8100159620001</v>
      </c>
      <c r="AH53" s="238">
        <f t="shared" si="8"/>
        <v>0</v>
      </c>
      <c r="AI53" s="239">
        <f t="shared" si="9"/>
        <v>21553.444621800001</v>
      </c>
      <c r="AK53" s="671">
        <f t="shared" si="10"/>
        <v>42861.395537621902</v>
      </c>
      <c r="AL53" s="672">
        <f t="shared" si="11"/>
        <v>3542.8295032311844</v>
      </c>
      <c r="AM53" s="672">
        <f t="shared" si="12"/>
        <v>3598.0762703391633</v>
      </c>
      <c r="AN53" s="238">
        <f t="shared" si="13"/>
        <v>0</v>
      </c>
      <c r="AO53" s="673">
        <f t="shared" si="14"/>
        <v>44.910498716216964</v>
      </c>
      <c r="AP53" s="674">
        <f t="shared" si="15"/>
        <v>50047.211809908469</v>
      </c>
      <c r="AR53" s="861">
        <f t="shared" si="27"/>
        <v>71.600656431708472</v>
      </c>
      <c r="AS53" s="713">
        <f t="shared" si="28"/>
        <v>0.19127639206957225</v>
      </c>
      <c r="AT53" s="3">
        <f>'Input data'!D95/10^6</f>
        <v>0</v>
      </c>
    </row>
    <row r="54" spans="1:46">
      <c r="A54">
        <f>'Input data'!A96</f>
        <v>1998</v>
      </c>
      <c r="B54" s="657">
        <f>'Input data'!I96</f>
        <v>578.73</v>
      </c>
      <c r="C54" s="238">
        <f>B54*'Input data'!B96</f>
        <v>22066.39617</v>
      </c>
      <c r="D54" s="510">
        <f>'Input data'!M96</f>
        <v>0.19892488097366726</v>
      </c>
      <c r="E54" s="510">
        <f>'Input data'!N96</f>
        <v>0.26585903447659598</v>
      </c>
      <c r="F54" s="510">
        <f>'Input data'!O96</f>
        <v>8.9228108703258049E-2</v>
      </c>
      <c r="G54" s="510">
        <f>'Input data'!P96</f>
        <v>0</v>
      </c>
      <c r="H54" s="510">
        <f>'Input data'!Q96</f>
        <v>0</v>
      </c>
      <c r="I54" s="510">
        <f>'Input data'!R96</f>
        <v>0</v>
      </c>
      <c r="J54" s="510">
        <f>'Input data'!S96</f>
        <v>0.4459879758464787</v>
      </c>
      <c r="K54" s="510">
        <f>'Input data'!T96</f>
        <v>1</v>
      </c>
      <c r="L54" s="499">
        <f t="shared" si="16"/>
        <v>0.8</v>
      </c>
      <c r="M54" s="499">
        <f t="shared" si="17"/>
        <v>0.11</v>
      </c>
      <c r="N54" s="499">
        <f t="shared" si="18"/>
        <v>0.09</v>
      </c>
      <c r="O54" s="499">
        <f t="shared" si="19"/>
        <v>0</v>
      </c>
      <c r="P54" s="499">
        <f t="shared" si="1"/>
        <v>1</v>
      </c>
      <c r="Q54" s="510">
        <f>'Input data'!$G$33</f>
        <v>0.66241124199764068</v>
      </c>
      <c r="R54" s="658">
        <f>'Input data'!$H$33</f>
        <v>0.33758875800235938</v>
      </c>
      <c r="S54" s="654">
        <f>'Input data'!J96</f>
        <v>27.526054267727826</v>
      </c>
      <c r="T54" s="238">
        <f>'Input data'!L96</f>
        <v>50297.448321885269</v>
      </c>
      <c r="U54" s="510">
        <f t="shared" si="20"/>
        <v>0.85641924869700936</v>
      </c>
      <c r="V54" s="510">
        <f t="shared" si="21"/>
        <v>0.14268338865096522</v>
      </c>
      <c r="W54" s="510">
        <f t="shared" si="22"/>
        <v>0</v>
      </c>
      <c r="X54" s="510">
        <f t="shared" si="23"/>
        <v>8.973626520254116E-4</v>
      </c>
      <c r="Y54" s="499">
        <f t="shared" si="24"/>
        <v>1</v>
      </c>
      <c r="Z54" s="581">
        <f t="shared" si="25"/>
        <v>0.49613166950665732</v>
      </c>
      <c r="AA54" s="655">
        <f t="shared" si="26"/>
        <v>0.50386833049334279</v>
      </c>
      <c r="AC54" s="693">
        <f t="shared" si="3"/>
        <v>1998</v>
      </c>
      <c r="AD54" s="237">
        <f t="shared" si="4"/>
        <v>17653.116936000002</v>
      </c>
      <c r="AE54" s="238">
        <f t="shared" si="5"/>
        <v>1607.8731782719849</v>
      </c>
      <c r="AF54" s="238">
        <f t="shared" si="6"/>
        <v>819.4304004280151</v>
      </c>
      <c r="AG54" s="238">
        <f t="shared" si="7"/>
        <v>1985.9756553</v>
      </c>
      <c r="AH54" s="238">
        <f t="shared" si="8"/>
        <v>0</v>
      </c>
      <c r="AI54" s="239">
        <f t="shared" si="9"/>
        <v>22066.396170000004</v>
      </c>
      <c r="AK54" s="671">
        <f t="shared" si="10"/>
        <v>43075.702903205638</v>
      </c>
      <c r="AL54" s="672">
        <f t="shared" si="11"/>
        <v>3560.5436828099469</v>
      </c>
      <c r="AM54" s="672">
        <f t="shared" si="12"/>
        <v>3616.0666842534488</v>
      </c>
      <c r="AN54" s="238">
        <f t="shared" si="13"/>
        <v>0</v>
      </c>
      <c r="AO54" s="673">
        <f t="shared" si="14"/>
        <v>45.135051616238052</v>
      </c>
      <c r="AP54" s="674">
        <f t="shared" si="15"/>
        <v>50297.448321885269</v>
      </c>
      <c r="AR54" s="861">
        <f t="shared" si="27"/>
        <v>72.363844491885274</v>
      </c>
      <c r="AS54" s="713">
        <f t="shared" si="28"/>
        <v>0.19158983631636844</v>
      </c>
      <c r="AT54" s="3">
        <f>'Input data'!D96/10^6</f>
        <v>0</v>
      </c>
    </row>
    <row r="55" spans="1:46">
      <c r="A55">
        <f>'Input data'!A97</f>
        <v>1999</v>
      </c>
      <c r="B55" s="657">
        <f>'Input data'!I97</f>
        <v>578.73</v>
      </c>
      <c r="C55" s="238">
        <f>B55*'Input data'!B97</f>
        <v>22605.153288900001</v>
      </c>
      <c r="D55" s="510">
        <f>'Input data'!M97</f>
        <v>0.19892488097366726</v>
      </c>
      <c r="E55" s="510">
        <f>'Input data'!N97</f>
        <v>0.26585903447659598</v>
      </c>
      <c r="F55" s="510">
        <f>'Input data'!O97</f>
        <v>8.9228108703258049E-2</v>
      </c>
      <c r="G55" s="510">
        <f>'Input data'!P97</f>
        <v>0</v>
      </c>
      <c r="H55" s="510">
        <f>'Input data'!Q97</f>
        <v>0</v>
      </c>
      <c r="I55" s="510">
        <f>'Input data'!R97</f>
        <v>0</v>
      </c>
      <c r="J55" s="510">
        <f>'Input data'!S97</f>
        <v>0.4459879758464787</v>
      </c>
      <c r="K55" s="510">
        <f>'Input data'!T97</f>
        <v>1</v>
      </c>
      <c r="L55" s="499">
        <f t="shared" si="16"/>
        <v>0.8</v>
      </c>
      <c r="M55" s="499">
        <f t="shared" si="17"/>
        <v>0.11</v>
      </c>
      <c r="N55" s="499">
        <f t="shared" si="18"/>
        <v>0.09</v>
      </c>
      <c r="O55" s="499">
        <f t="shared" si="19"/>
        <v>0</v>
      </c>
      <c r="P55" s="499">
        <f t="shared" si="1"/>
        <v>1</v>
      </c>
      <c r="Q55" s="510">
        <f>'Input data'!$G$33</f>
        <v>0.66241124199764068</v>
      </c>
      <c r="R55" s="658">
        <f>'Input data'!$H$33</f>
        <v>0.33758875800235938</v>
      </c>
      <c r="S55" s="654">
        <f>'Input data'!J97</f>
        <v>27.526054267727826</v>
      </c>
      <c r="T55" s="238">
        <f>'Input data'!L97</f>
        <v>51504.585192941347</v>
      </c>
      <c r="U55" s="510">
        <f t="shared" si="20"/>
        <v>0.85641924869700936</v>
      </c>
      <c r="V55" s="510">
        <f t="shared" si="21"/>
        <v>0.14268338865096522</v>
      </c>
      <c r="W55" s="510">
        <f t="shared" si="22"/>
        <v>0</v>
      </c>
      <c r="X55" s="510">
        <f t="shared" si="23"/>
        <v>8.973626520254116E-4</v>
      </c>
      <c r="Y55" s="499">
        <f t="shared" si="24"/>
        <v>1</v>
      </c>
      <c r="Z55" s="581">
        <f t="shared" si="25"/>
        <v>0.49613166950665732</v>
      </c>
      <c r="AA55" s="655">
        <f t="shared" si="26"/>
        <v>0.50386833049334279</v>
      </c>
      <c r="AC55" s="693">
        <f t="shared" si="3"/>
        <v>1999</v>
      </c>
      <c r="AD55" s="237">
        <f t="shared" si="4"/>
        <v>18084.122631120001</v>
      </c>
      <c r="AE55" s="238">
        <f t="shared" si="5"/>
        <v>1647.1298432212031</v>
      </c>
      <c r="AF55" s="238">
        <f t="shared" si="6"/>
        <v>839.43701855779705</v>
      </c>
      <c r="AG55" s="238">
        <f t="shared" si="7"/>
        <v>2034.463796001</v>
      </c>
      <c r="AH55" s="238">
        <f t="shared" si="8"/>
        <v>0</v>
      </c>
      <c r="AI55" s="239">
        <f t="shared" si="9"/>
        <v>22605.153288900001</v>
      </c>
      <c r="AK55" s="671">
        <f t="shared" si="10"/>
        <v>44109.518155389938</v>
      </c>
      <c r="AL55" s="672">
        <f t="shared" si="11"/>
        <v>3645.9965974989714</v>
      </c>
      <c r="AM55" s="672">
        <f t="shared" si="12"/>
        <v>3702.8521488922283</v>
      </c>
      <c r="AN55" s="238">
        <f t="shared" si="13"/>
        <v>0</v>
      </c>
      <c r="AO55" s="673">
        <f t="shared" si="14"/>
        <v>46.21829116020659</v>
      </c>
      <c r="AP55" s="674">
        <f t="shared" si="15"/>
        <v>51504.58519294134</v>
      </c>
      <c r="AR55" s="861">
        <f t="shared" si="27"/>
        <v>74.109738481841347</v>
      </c>
      <c r="AS55" s="713">
        <f t="shared" si="28"/>
        <v>0.19159672186157098</v>
      </c>
      <c r="AT55" s="3">
        <f>'Input data'!D97/10^6</f>
        <v>0</v>
      </c>
    </row>
    <row r="56" spans="1:46">
      <c r="A56" s="501">
        <f>'Input data'!A98</f>
        <v>2000</v>
      </c>
      <c r="B56" s="659">
        <f>'Input data'!I98</f>
        <v>578.73</v>
      </c>
      <c r="C56" s="660">
        <f>B56*'Input data'!B98</f>
        <v>25464.120000000003</v>
      </c>
      <c r="D56" s="503">
        <f>'Input data'!M98</f>
        <v>0.19892488097366726</v>
      </c>
      <c r="E56" s="503">
        <f>'Input data'!N98</f>
        <v>0.26585903447659598</v>
      </c>
      <c r="F56" s="503">
        <f>'Input data'!O98</f>
        <v>8.9228108703258049E-2</v>
      </c>
      <c r="G56" s="503">
        <f>'Input data'!P98</f>
        <v>0</v>
      </c>
      <c r="H56" s="503">
        <f>'Input data'!Q98</f>
        <v>0</v>
      </c>
      <c r="I56" s="503">
        <f>'Input data'!R98</f>
        <v>0</v>
      </c>
      <c r="J56" s="503">
        <f>'Input data'!S98</f>
        <v>0.4459879758464787</v>
      </c>
      <c r="K56" s="503">
        <f>'Input data'!T98</f>
        <v>1</v>
      </c>
      <c r="L56" s="503">
        <f t="shared" si="16"/>
        <v>0.8</v>
      </c>
      <c r="M56" s="503">
        <f t="shared" si="17"/>
        <v>0.11</v>
      </c>
      <c r="N56" s="503">
        <f t="shared" si="18"/>
        <v>0.09</v>
      </c>
      <c r="O56" s="503">
        <f t="shared" si="19"/>
        <v>0</v>
      </c>
      <c r="P56" s="503">
        <f t="shared" si="1"/>
        <v>1</v>
      </c>
      <c r="Q56" s="510">
        <f>'Input data'!$G$33</f>
        <v>0.66241124199764068</v>
      </c>
      <c r="R56" s="658">
        <f>'Input data'!$H$33</f>
        <v>0.33758875800235938</v>
      </c>
      <c r="S56" s="675">
        <f>'Input data'!J98</f>
        <v>27.526054267727826</v>
      </c>
      <c r="T56" s="660">
        <f>'Input data'!L98</f>
        <v>53667.779561344265</v>
      </c>
      <c r="U56" s="503">
        <f t="shared" si="20"/>
        <v>0.85641924869700936</v>
      </c>
      <c r="V56" s="503">
        <f t="shared" si="21"/>
        <v>0.14268338865096522</v>
      </c>
      <c r="W56" s="503">
        <f t="shared" si="22"/>
        <v>0</v>
      </c>
      <c r="X56" s="503">
        <f t="shared" si="23"/>
        <v>8.973626520254116E-4</v>
      </c>
      <c r="Y56" s="503">
        <f t="shared" si="24"/>
        <v>1</v>
      </c>
      <c r="Z56" s="676">
        <f t="shared" si="25"/>
        <v>0.49613166950665732</v>
      </c>
      <c r="AA56" s="677">
        <f t="shared" si="26"/>
        <v>0.50386833049334279</v>
      </c>
      <c r="AB56" s="501"/>
      <c r="AC56" s="693">
        <f t="shared" si="3"/>
        <v>2000</v>
      </c>
      <c r="AD56" s="678">
        <f t="shared" si="4"/>
        <v>20371.296000000002</v>
      </c>
      <c r="AE56" s="660">
        <f t="shared" si="5"/>
        <v>1855.4491291134659</v>
      </c>
      <c r="AF56" s="660">
        <f t="shared" si="6"/>
        <v>945.60407088653449</v>
      </c>
      <c r="AG56" s="660">
        <f t="shared" si="7"/>
        <v>2291.7708000000002</v>
      </c>
      <c r="AH56" s="660">
        <f t="shared" si="8"/>
        <v>0</v>
      </c>
      <c r="AI56" s="679">
        <f t="shared" si="9"/>
        <v>25464.120000000003</v>
      </c>
      <c r="AJ56" s="501"/>
      <c r="AK56" s="680">
        <f t="shared" si="10"/>
        <v>45962.119451163169</v>
      </c>
      <c r="AL56" s="681">
        <f t="shared" si="11"/>
        <v>3799.1285813287695</v>
      </c>
      <c r="AM56" s="681">
        <f t="shared" si="12"/>
        <v>3858.3720678568429</v>
      </c>
      <c r="AN56" s="660">
        <f t="shared" si="13"/>
        <v>0</v>
      </c>
      <c r="AO56" s="695">
        <f t="shared" si="14"/>
        <v>48.159460995483073</v>
      </c>
      <c r="AP56" s="682">
        <f t="shared" si="15"/>
        <v>53667.779561344265</v>
      </c>
      <c r="AR56" s="861">
        <f t="shared" si="27"/>
        <v>79.13189956134427</v>
      </c>
      <c r="AS56" s="713">
        <f t="shared" si="28"/>
        <v>0.19294173265665418</v>
      </c>
      <c r="AT56" s="3">
        <f>'Input data'!D98/10^6</f>
        <v>31.23682808253357</v>
      </c>
    </row>
    <row r="57" spans="1:46">
      <c r="A57" s="1">
        <f>'Input data'!A99</f>
        <v>2001</v>
      </c>
      <c r="B57" s="661">
        <f>'Input data'!I99</f>
        <v>578.73</v>
      </c>
      <c r="C57" s="662">
        <f>B57*'Input data'!B99</f>
        <v>25990.764299999999</v>
      </c>
      <c r="D57" s="498">
        <f>'Input data'!M99</f>
        <v>0.19892488097366726</v>
      </c>
      <c r="E57" s="498">
        <f>'Input data'!N99</f>
        <v>0.26585903447659598</v>
      </c>
      <c r="F57" s="498">
        <f>'Input data'!O99</f>
        <v>8.9228108703258049E-2</v>
      </c>
      <c r="G57" s="498">
        <f>'Input data'!P99</f>
        <v>0</v>
      </c>
      <c r="H57" s="498">
        <f>'Input data'!Q99</f>
        <v>0</v>
      </c>
      <c r="I57" s="498">
        <f>'Input data'!R99</f>
        <v>0</v>
      </c>
      <c r="J57" s="498">
        <f>'Input data'!S99</f>
        <v>0.4459879758464787</v>
      </c>
      <c r="K57" s="498">
        <f>'Input data'!T99</f>
        <v>1</v>
      </c>
      <c r="L57" s="498">
        <f t="shared" ref="L57:L65" si="29">L56</f>
        <v>0.8</v>
      </c>
      <c r="M57" s="498">
        <f t="shared" ref="M57:M65" si="30">M56</f>
        <v>0.11</v>
      </c>
      <c r="N57" s="498">
        <f t="shared" si="18"/>
        <v>0.09</v>
      </c>
      <c r="O57" s="498">
        <f t="shared" si="19"/>
        <v>0</v>
      </c>
      <c r="P57" s="498">
        <f t="shared" si="1"/>
        <v>1</v>
      </c>
      <c r="Q57" s="510">
        <f>'Input data'!$G$33</f>
        <v>0.66241124199764068</v>
      </c>
      <c r="R57" s="658">
        <f>'Input data'!$H$33</f>
        <v>0.33758875800235938</v>
      </c>
      <c r="S57" s="654">
        <f>'Input data'!J99</f>
        <v>27.526054267727826</v>
      </c>
      <c r="T57" s="238">
        <f>'Input data'!L99</f>
        <v>55116.806693730105</v>
      </c>
      <c r="U57" s="510">
        <f t="shared" si="20"/>
        <v>0.85641924869700936</v>
      </c>
      <c r="V57" s="510">
        <f t="shared" si="21"/>
        <v>0.14268338865096522</v>
      </c>
      <c r="W57" s="510">
        <f t="shared" si="22"/>
        <v>0</v>
      </c>
      <c r="X57" s="510">
        <f t="shared" si="23"/>
        <v>8.973626520254116E-4</v>
      </c>
      <c r="Y57" s="499">
        <f t="shared" si="24"/>
        <v>1</v>
      </c>
      <c r="Z57" s="581">
        <f t="shared" si="25"/>
        <v>0.49613166950665732</v>
      </c>
      <c r="AA57" s="655">
        <f t="shared" si="26"/>
        <v>0.50386833049334279</v>
      </c>
      <c r="AC57" s="693">
        <f t="shared" si="3"/>
        <v>2001</v>
      </c>
      <c r="AD57" s="237">
        <f t="shared" si="4"/>
        <v>20792.611440000001</v>
      </c>
      <c r="AE57" s="238">
        <f t="shared" si="5"/>
        <v>1893.8231906474034</v>
      </c>
      <c r="AF57" s="238">
        <f t="shared" si="6"/>
        <v>965.16088235259679</v>
      </c>
      <c r="AG57" s="238">
        <f t="shared" si="7"/>
        <v>2339.1687869999996</v>
      </c>
      <c r="AH57" s="238">
        <f t="shared" si="8"/>
        <v>0</v>
      </c>
      <c r="AI57" s="239">
        <f t="shared" si="9"/>
        <v>25990.764299999999</v>
      </c>
      <c r="AK57" s="671">
        <f t="shared" si="10"/>
        <v>47203.094179222629</v>
      </c>
      <c r="AL57" s="672">
        <f t="shared" si="11"/>
        <v>3901.7048466179913</v>
      </c>
      <c r="AM57" s="672">
        <f t="shared" si="12"/>
        <v>3962.5479040636237</v>
      </c>
      <c r="AN57" s="238">
        <f t="shared" si="13"/>
        <v>0</v>
      </c>
      <c r="AO57" s="696">
        <f t="shared" si="14"/>
        <v>49.459763825857607</v>
      </c>
      <c r="AP57" s="674">
        <f t="shared" si="15"/>
        <v>55116.806693730105</v>
      </c>
      <c r="AR57" s="861">
        <f t="shared" si="27"/>
        <v>81.107570993730093</v>
      </c>
      <c r="AS57" s="713">
        <f t="shared" si="28"/>
        <v>0.19283372758765369</v>
      </c>
      <c r="AT57" s="3">
        <f>'Input data'!D99/10^6</f>
        <v>32.080220743665109</v>
      </c>
    </row>
    <row r="58" spans="1:46">
      <c r="A58" s="1">
        <f>'Input data'!A100</f>
        <v>2002</v>
      </c>
      <c r="B58" s="661">
        <f>'Input data'!I100</f>
        <v>578.73</v>
      </c>
      <c r="C58" s="662">
        <f>B58*'Input data'!B100</f>
        <v>26351.313090000003</v>
      </c>
      <c r="D58" s="498">
        <f>'Input data'!M100</f>
        <v>0.19892488097366726</v>
      </c>
      <c r="E58" s="498">
        <f>'Input data'!N100</f>
        <v>0.26585903447659598</v>
      </c>
      <c r="F58" s="498">
        <f>'Input data'!O100</f>
        <v>8.9228108703258049E-2</v>
      </c>
      <c r="G58" s="498">
        <f>'Input data'!P100</f>
        <v>0</v>
      </c>
      <c r="H58" s="498">
        <f>'Input data'!Q100</f>
        <v>0</v>
      </c>
      <c r="I58" s="498">
        <f>'Input data'!R100</f>
        <v>0</v>
      </c>
      <c r="J58" s="498">
        <f>'Input data'!S100</f>
        <v>0.4459879758464787</v>
      </c>
      <c r="K58" s="498">
        <f>'Input data'!T100</f>
        <v>1</v>
      </c>
      <c r="L58" s="498">
        <f t="shared" si="29"/>
        <v>0.8</v>
      </c>
      <c r="M58" s="498">
        <f t="shared" si="30"/>
        <v>0.11</v>
      </c>
      <c r="N58" s="498">
        <f t="shared" si="18"/>
        <v>0.09</v>
      </c>
      <c r="O58" s="498">
        <f t="shared" si="19"/>
        <v>0</v>
      </c>
      <c r="P58" s="498">
        <f t="shared" si="1"/>
        <v>1</v>
      </c>
      <c r="Q58" s="510">
        <f>'Input data'!$G$33</f>
        <v>0.66241124199764068</v>
      </c>
      <c r="R58" s="658">
        <f>'Input data'!$H$33</f>
        <v>0.33758875800235938</v>
      </c>
      <c r="S58" s="654">
        <f>'Input data'!J100</f>
        <v>27.526054267727826</v>
      </c>
      <c r="T58" s="238">
        <f>'Input data'!L100</f>
        <v>57156.339281610846</v>
      </c>
      <c r="U58" s="510">
        <f t="shared" si="20"/>
        <v>0.85641924869700936</v>
      </c>
      <c r="V58" s="510">
        <f t="shared" si="21"/>
        <v>0.14268338865096522</v>
      </c>
      <c r="W58" s="510">
        <f t="shared" si="22"/>
        <v>0</v>
      </c>
      <c r="X58" s="510">
        <f t="shared" si="23"/>
        <v>8.973626520254116E-4</v>
      </c>
      <c r="Y58" s="499">
        <f t="shared" si="24"/>
        <v>1</v>
      </c>
      <c r="Z58" s="581">
        <f t="shared" si="25"/>
        <v>0.49613166950665732</v>
      </c>
      <c r="AA58" s="655">
        <f t="shared" si="26"/>
        <v>0.50386833049334279</v>
      </c>
      <c r="AC58" s="693">
        <f t="shared" si="3"/>
        <v>2002</v>
      </c>
      <c r="AD58" s="237">
        <f t="shared" si="4"/>
        <v>21081.050472000003</v>
      </c>
      <c r="AE58" s="238">
        <f t="shared" si="5"/>
        <v>1920.0946635437149</v>
      </c>
      <c r="AF58" s="238">
        <f t="shared" si="6"/>
        <v>978.54977635628575</v>
      </c>
      <c r="AG58" s="238">
        <f t="shared" si="7"/>
        <v>2371.6181781</v>
      </c>
      <c r="AH58" s="238">
        <f t="shared" si="8"/>
        <v>0</v>
      </c>
      <c r="AI58" s="239">
        <f t="shared" si="9"/>
        <v>26351.313090000003</v>
      </c>
      <c r="AK58" s="671">
        <f t="shared" si="10"/>
        <v>48949.789145828523</v>
      </c>
      <c r="AL58" s="672">
        <f t="shared" si="11"/>
        <v>4046.0828441893718</v>
      </c>
      <c r="AM58" s="672">
        <f t="shared" si="12"/>
        <v>4109.1773273951394</v>
      </c>
      <c r="AN58" s="238">
        <f t="shared" si="13"/>
        <v>0</v>
      </c>
      <c r="AO58" s="696">
        <f t="shared" si="14"/>
        <v>51.289964197810519</v>
      </c>
      <c r="AP58" s="674">
        <f t="shared" si="15"/>
        <v>57156.339281610846</v>
      </c>
      <c r="AR58" s="861">
        <f t="shared" si="27"/>
        <v>83.507652371610845</v>
      </c>
      <c r="AS58" s="713">
        <f t="shared" si="28"/>
        <v>0.19244111347697429</v>
      </c>
      <c r="AT58" s="3">
        <f>'Input data'!D100/10^6</f>
        <v>33.26731157054634</v>
      </c>
    </row>
    <row r="59" spans="1:46">
      <c r="A59" s="1">
        <f>'Input data'!A101</f>
        <v>2003</v>
      </c>
      <c r="B59" s="661">
        <f>'Input data'!I101</f>
        <v>578.73</v>
      </c>
      <c r="C59" s="662">
        <f>B59*'Input data'!B101</f>
        <v>26688.712680000001</v>
      </c>
      <c r="D59" s="498">
        <f>'Input data'!M101</f>
        <v>0.19892488097366726</v>
      </c>
      <c r="E59" s="498">
        <f>'Input data'!N101</f>
        <v>0.26585903447659598</v>
      </c>
      <c r="F59" s="498">
        <f>'Input data'!O101</f>
        <v>8.9228108703258049E-2</v>
      </c>
      <c r="G59" s="498">
        <f>'Input data'!P101</f>
        <v>0</v>
      </c>
      <c r="H59" s="498">
        <f>'Input data'!Q101</f>
        <v>0</v>
      </c>
      <c r="I59" s="498">
        <f>'Input data'!R101</f>
        <v>0</v>
      </c>
      <c r="J59" s="498">
        <f>'Input data'!S101</f>
        <v>0.4459879758464787</v>
      </c>
      <c r="K59" s="498">
        <f>'Input data'!T101</f>
        <v>1</v>
      </c>
      <c r="L59" s="498">
        <f t="shared" si="29"/>
        <v>0.8</v>
      </c>
      <c r="M59" s="498">
        <f t="shared" si="30"/>
        <v>0.11</v>
      </c>
      <c r="N59" s="498">
        <f t="shared" si="18"/>
        <v>0.09</v>
      </c>
      <c r="O59" s="498">
        <f t="shared" si="19"/>
        <v>0</v>
      </c>
      <c r="P59" s="498">
        <f t="shared" si="1"/>
        <v>1</v>
      </c>
      <c r="Q59" s="510">
        <f>'Input data'!$G$33</f>
        <v>0.66241124199764068</v>
      </c>
      <c r="R59" s="658">
        <f>'Input data'!$H$33</f>
        <v>0.33758875800235938</v>
      </c>
      <c r="S59" s="654">
        <f>'Input data'!J101</f>
        <v>27.526054267727826</v>
      </c>
      <c r="T59" s="238">
        <f>'Input data'!L101</f>
        <v>58841.924958837779</v>
      </c>
      <c r="U59" s="510">
        <f t="shared" si="20"/>
        <v>0.85641924869700936</v>
      </c>
      <c r="V59" s="510">
        <f t="shared" si="21"/>
        <v>0.14268338865096522</v>
      </c>
      <c r="W59" s="510">
        <f t="shared" si="22"/>
        <v>0</v>
      </c>
      <c r="X59" s="510">
        <f t="shared" si="23"/>
        <v>8.973626520254116E-4</v>
      </c>
      <c r="Y59" s="499">
        <f t="shared" si="24"/>
        <v>1</v>
      </c>
      <c r="Z59" s="581">
        <f t="shared" si="25"/>
        <v>0.49613166950665732</v>
      </c>
      <c r="AA59" s="655">
        <f t="shared" si="26"/>
        <v>0.50386833049334279</v>
      </c>
      <c r="AC59" s="693">
        <f t="shared" si="3"/>
        <v>2003</v>
      </c>
      <c r="AD59" s="237">
        <f t="shared" si="4"/>
        <v>21350.970144000003</v>
      </c>
      <c r="AE59" s="238">
        <f t="shared" si="5"/>
        <v>1944.6793645044681</v>
      </c>
      <c r="AF59" s="238">
        <f t="shared" si="6"/>
        <v>991.07903029553222</v>
      </c>
      <c r="AG59" s="238">
        <f t="shared" si="7"/>
        <v>2401.9841412000001</v>
      </c>
      <c r="AH59" s="238">
        <f t="shared" si="8"/>
        <v>0</v>
      </c>
      <c r="AI59" s="239">
        <f t="shared" si="9"/>
        <v>26688.712680000001</v>
      </c>
      <c r="AK59" s="671">
        <f t="shared" si="10"/>
        <v>50393.357165133653</v>
      </c>
      <c r="AL59" s="672">
        <f t="shared" si="11"/>
        <v>4165.4050292130978</v>
      </c>
      <c r="AM59" s="672">
        <f t="shared" si="12"/>
        <v>4230.3602186596845</v>
      </c>
      <c r="AN59" s="238">
        <f t="shared" si="13"/>
        <v>0</v>
      </c>
      <c r="AO59" s="696">
        <f t="shared" si="14"/>
        <v>52.802545831342925</v>
      </c>
      <c r="AP59" s="674">
        <f t="shared" si="15"/>
        <v>58841.924958837779</v>
      </c>
      <c r="AR59" s="861">
        <f t="shared" si="27"/>
        <v>85.530637638837788</v>
      </c>
      <c r="AS59" s="713">
        <f t="shared" si="28"/>
        <v>0.1921588904207206</v>
      </c>
      <c r="AT59" s="3">
        <f>'Input data'!D101/10^6</f>
        <v>34.248390915514115</v>
      </c>
    </row>
    <row r="60" spans="1:46">
      <c r="A60" s="1">
        <f>'Input data'!A102</f>
        <v>2004</v>
      </c>
      <c r="B60" s="661">
        <f>'Input data'!I102</f>
        <v>578.73</v>
      </c>
      <c r="C60" s="662">
        <f>B60*'Input data'!B102</f>
        <v>27006.435450000001</v>
      </c>
      <c r="D60" s="498">
        <f>'Input data'!M102</f>
        <v>0.19892488097366726</v>
      </c>
      <c r="E60" s="498">
        <f>'Input data'!N102</f>
        <v>0.26585903447659598</v>
      </c>
      <c r="F60" s="498">
        <f>'Input data'!O102</f>
        <v>8.9228108703258049E-2</v>
      </c>
      <c r="G60" s="498">
        <f>'Input data'!P102</f>
        <v>0</v>
      </c>
      <c r="H60" s="498">
        <f>'Input data'!Q102</f>
        <v>0</v>
      </c>
      <c r="I60" s="498">
        <f>'Input data'!R102</f>
        <v>0</v>
      </c>
      <c r="J60" s="498">
        <f>'Input data'!S102</f>
        <v>0.4459879758464787</v>
      </c>
      <c r="K60" s="498">
        <f>'Input data'!T102</f>
        <v>1</v>
      </c>
      <c r="L60" s="498">
        <f t="shared" si="29"/>
        <v>0.8</v>
      </c>
      <c r="M60" s="498">
        <f t="shared" si="30"/>
        <v>0.11</v>
      </c>
      <c r="N60" s="498">
        <f t="shared" si="18"/>
        <v>0.09</v>
      </c>
      <c r="O60" s="498">
        <f t="shared" si="19"/>
        <v>0</v>
      </c>
      <c r="P60" s="498">
        <f t="shared" si="1"/>
        <v>1</v>
      </c>
      <c r="Q60" s="510">
        <f>'Input data'!$G$33</f>
        <v>0.66241124199764068</v>
      </c>
      <c r="R60" s="658">
        <f>'Input data'!$H$33</f>
        <v>0.33758875800235938</v>
      </c>
      <c r="S60" s="654">
        <f>'Input data'!J102</f>
        <v>27.526054267727826</v>
      </c>
      <c r="T60" s="238">
        <f>'Input data'!L102</f>
        <v>61521.911467261365</v>
      </c>
      <c r="U60" s="510">
        <f t="shared" si="20"/>
        <v>0.85641924869700936</v>
      </c>
      <c r="V60" s="510">
        <f t="shared" si="21"/>
        <v>0.14268338865096522</v>
      </c>
      <c r="W60" s="510">
        <f t="shared" si="22"/>
        <v>0</v>
      </c>
      <c r="X60" s="510">
        <f t="shared" si="23"/>
        <v>8.973626520254116E-4</v>
      </c>
      <c r="Y60" s="499">
        <f t="shared" si="24"/>
        <v>1</v>
      </c>
      <c r="Z60" s="581">
        <f t="shared" si="25"/>
        <v>0.49613166950665732</v>
      </c>
      <c r="AA60" s="655">
        <f t="shared" si="26"/>
        <v>0.50386833049334279</v>
      </c>
      <c r="AC60" s="693">
        <f t="shared" si="3"/>
        <v>2004</v>
      </c>
      <c r="AD60" s="237">
        <f t="shared" si="4"/>
        <v>21605.148360000003</v>
      </c>
      <c r="AE60" s="238">
        <f t="shared" si="5"/>
        <v>1967.8303093199975</v>
      </c>
      <c r="AF60" s="238">
        <f t="shared" si="6"/>
        <v>1002.8775901800029</v>
      </c>
      <c r="AG60" s="238">
        <f t="shared" si="7"/>
        <v>2430.5791905000001</v>
      </c>
      <c r="AH60" s="238">
        <f t="shared" si="8"/>
        <v>0</v>
      </c>
      <c r="AI60" s="239">
        <f t="shared" si="9"/>
        <v>27006.435450000004</v>
      </c>
      <c r="AK60" s="671">
        <f t="shared" si="10"/>
        <v>52688.549197195905</v>
      </c>
      <c r="AL60" s="672">
        <f t="shared" si="11"/>
        <v>4355.1205983114905</v>
      </c>
      <c r="AM60" s="672">
        <f t="shared" si="12"/>
        <v>4423.0342061220372</v>
      </c>
      <c r="AN60" s="238">
        <f t="shared" si="13"/>
        <v>0</v>
      </c>
      <c r="AO60" s="696">
        <f t="shared" si="14"/>
        <v>55.207465631934241</v>
      </c>
      <c r="AP60" s="674">
        <f t="shared" si="15"/>
        <v>61521.911467261365</v>
      </c>
      <c r="AR60" s="861">
        <f t="shared" si="27"/>
        <v>88.528346917261359</v>
      </c>
      <c r="AS60" s="713">
        <f t="shared" si="28"/>
        <v>0.19159968918099338</v>
      </c>
      <c r="AT60" s="3">
        <f>'Input data'!D102/10^6</f>
        <v>35.808251944074989</v>
      </c>
    </row>
    <row r="61" spans="1:46">
      <c r="A61" s="1">
        <f>'Input data'!A103</f>
        <v>2005</v>
      </c>
      <c r="B61" s="661">
        <f>'Input data'!I103</f>
        <v>578.73</v>
      </c>
      <c r="C61" s="662">
        <f>B61*'Input data'!B103</f>
        <v>27314.898540000002</v>
      </c>
      <c r="D61" s="498">
        <f>'Input data'!M103</f>
        <v>0.19892488097366726</v>
      </c>
      <c r="E61" s="498">
        <f>'Input data'!N103</f>
        <v>0.26585903447659598</v>
      </c>
      <c r="F61" s="498">
        <f>'Input data'!O103</f>
        <v>8.9228108703258049E-2</v>
      </c>
      <c r="G61" s="498">
        <f>'Input data'!P103</f>
        <v>0</v>
      </c>
      <c r="H61" s="498">
        <f>'Input data'!Q103</f>
        <v>0</v>
      </c>
      <c r="I61" s="498">
        <f>'Input data'!R103</f>
        <v>0</v>
      </c>
      <c r="J61" s="498">
        <f>'Input data'!S103</f>
        <v>0.4459879758464787</v>
      </c>
      <c r="K61" s="498">
        <f>'Input data'!T103</f>
        <v>1</v>
      </c>
      <c r="L61" s="498">
        <f t="shared" si="29"/>
        <v>0.8</v>
      </c>
      <c r="M61" s="498">
        <f t="shared" si="30"/>
        <v>0.11</v>
      </c>
      <c r="N61" s="498">
        <f t="shared" si="18"/>
        <v>0.09</v>
      </c>
      <c r="O61" s="498">
        <f t="shared" si="19"/>
        <v>0</v>
      </c>
      <c r="P61" s="498">
        <f t="shared" si="1"/>
        <v>1</v>
      </c>
      <c r="Q61" s="510">
        <f>'Input data'!$G$33</f>
        <v>0.66241124199764068</v>
      </c>
      <c r="R61" s="658">
        <f>'Input data'!$H$33</f>
        <v>0.33758875800235938</v>
      </c>
      <c r="S61" s="654">
        <f>'Input data'!J103</f>
        <v>27.526054267727826</v>
      </c>
      <c r="T61" s="238">
        <f>'Input data'!L103</f>
        <v>64768.457379607527</v>
      </c>
      <c r="U61" s="510">
        <f t="shared" si="20"/>
        <v>0.85641924869700936</v>
      </c>
      <c r="V61" s="510">
        <f t="shared" si="21"/>
        <v>0.14268338865096522</v>
      </c>
      <c r="W61" s="510">
        <f t="shared" si="22"/>
        <v>0</v>
      </c>
      <c r="X61" s="510">
        <f t="shared" si="23"/>
        <v>8.973626520254116E-4</v>
      </c>
      <c r="Y61" s="499">
        <f t="shared" si="24"/>
        <v>1</v>
      </c>
      <c r="Z61" s="581">
        <f t="shared" si="25"/>
        <v>0.49613166950665732</v>
      </c>
      <c r="AA61" s="655">
        <f t="shared" si="26"/>
        <v>0.50386833049334279</v>
      </c>
      <c r="AC61" s="693">
        <f t="shared" si="3"/>
        <v>2005</v>
      </c>
      <c r="AD61" s="237">
        <f t="shared" si="4"/>
        <v>21851.918832000003</v>
      </c>
      <c r="AE61" s="238">
        <f t="shared" si="5"/>
        <v>1990.3065453613035</v>
      </c>
      <c r="AF61" s="238">
        <f t="shared" si="6"/>
        <v>1014.3322940386965</v>
      </c>
      <c r="AG61" s="238">
        <f t="shared" si="7"/>
        <v>2458.3408686000002</v>
      </c>
      <c r="AH61" s="238">
        <f t="shared" si="8"/>
        <v>0</v>
      </c>
      <c r="AI61" s="239">
        <f t="shared" si="9"/>
        <v>27314.898540000002</v>
      </c>
      <c r="AK61" s="671">
        <f t="shared" si="10"/>
        <v>55468.953608307747</v>
      </c>
      <c r="AL61" s="672">
        <f t="shared" si="11"/>
        <v>4584.9427647398988</v>
      </c>
      <c r="AM61" s="672">
        <f t="shared" si="12"/>
        <v>4656.440211878119</v>
      </c>
      <c r="AN61" s="238">
        <f t="shared" si="13"/>
        <v>0</v>
      </c>
      <c r="AO61" s="696">
        <f t="shared" si="14"/>
        <v>58.120794681759449</v>
      </c>
      <c r="AP61" s="674">
        <f t="shared" si="15"/>
        <v>64768.457379607527</v>
      </c>
      <c r="AR61" s="861">
        <f t="shared" si="27"/>
        <v>92.083355919607541</v>
      </c>
      <c r="AS61" s="713">
        <f t="shared" si="28"/>
        <v>0.19092494708587937</v>
      </c>
      <c r="AT61" s="3">
        <f>'Input data'!D103/10^6</f>
        <v>37.697873563506654</v>
      </c>
    </row>
    <row r="62" spans="1:46">
      <c r="A62" s="1">
        <f>'Input data'!A104</f>
        <v>2006</v>
      </c>
      <c r="B62" s="661">
        <f>'Input data'!I104</f>
        <v>578.73</v>
      </c>
      <c r="C62" s="662">
        <f>B62*'Input data'!B104</f>
        <v>27623.361630000003</v>
      </c>
      <c r="D62" s="498">
        <f>'Input data'!M104</f>
        <v>0.19892488097366726</v>
      </c>
      <c r="E62" s="498">
        <f>'Input data'!N104</f>
        <v>0.26585903447659598</v>
      </c>
      <c r="F62" s="498">
        <f>'Input data'!O104</f>
        <v>8.9228108703258049E-2</v>
      </c>
      <c r="G62" s="498">
        <f>'Input data'!P104</f>
        <v>0</v>
      </c>
      <c r="H62" s="498">
        <f>'Input data'!Q104</f>
        <v>0</v>
      </c>
      <c r="I62" s="498">
        <f>'Input data'!R104</f>
        <v>0</v>
      </c>
      <c r="J62" s="498">
        <f>'Input data'!S104</f>
        <v>0.4459879758464787</v>
      </c>
      <c r="K62" s="498">
        <f>'Input data'!T104</f>
        <v>1</v>
      </c>
      <c r="L62" s="498">
        <f t="shared" si="29"/>
        <v>0.8</v>
      </c>
      <c r="M62" s="498">
        <f t="shared" si="30"/>
        <v>0.11</v>
      </c>
      <c r="N62" s="498">
        <f t="shared" si="18"/>
        <v>0.09</v>
      </c>
      <c r="O62" s="498">
        <f t="shared" si="19"/>
        <v>0</v>
      </c>
      <c r="P62" s="498">
        <f t="shared" si="1"/>
        <v>1</v>
      </c>
      <c r="Q62" s="510">
        <f>'Input data'!$G$33</f>
        <v>0.66241124199764068</v>
      </c>
      <c r="R62" s="658">
        <f>'Input data'!$H$33</f>
        <v>0.33758875800235938</v>
      </c>
      <c r="S62" s="654">
        <f>'Input data'!J104</f>
        <v>27.526054267727826</v>
      </c>
      <c r="T62" s="238">
        <f>'Input data'!L104</f>
        <v>68397.950676721026</v>
      </c>
      <c r="U62" s="510">
        <f t="shared" si="20"/>
        <v>0.85641924869700936</v>
      </c>
      <c r="V62" s="510">
        <f t="shared" si="21"/>
        <v>0.14268338865096522</v>
      </c>
      <c r="W62" s="510">
        <f t="shared" si="22"/>
        <v>0</v>
      </c>
      <c r="X62" s="510">
        <f t="shared" si="23"/>
        <v>8.973626520254116E-4</v>
      </c>
      <c r="Y62" s="499">
        <f t="shared" si="24"/>
        <v>1</v>
      </c>
      <c r="Z62" s="581">
        <f t="shared" si="25"/>
        <v>0.49613166950665732</v>
      </c>
      <c r="AA62" s="655">
        <f t="shared" si="26"/>
        <v>0.50386833049334279</v>
      </c>
      <c r="AC62" s="693">
        <f t="shared" si="3"/>
        <v>2006</v>
      </c>
      <c r="AD62" s="237">
        <f t="shared" si="4"/>
        <v>22098.689304000003</v>
      </c>
      <c r="AE62" s="238">
        <f t="shared" si="5"/>
        <v>2012.7827814026102</v>
      </c>
      <c r="AF62" s="238">
        <f t="shared" si="6"/>
        <v>1025.7869978973904</v>
      </c>
      <c r="AG62" s="238">
        <f t="shared" si="7"/>
        <v>2486.1025467000004</v>
      </c>
      <c r="AH62" s="238">
        <f t="shared" si="8"/>
        <v>0</v>
      </c>
      <c r="AI62" s="239">
        <f t="shared" si="9"/>
        <v>27623.361630000003</v>
      </c>
      <c r="AK62" s="671">
        <f t="shared" si="10"/>
        <v>58577.321530972527</v>
      </c>
      <c r="AL62" s="672">
        <f t="shared" si="11"/>
        <v>4841.8736799651851</v>
      </c>
      <c r="AM62" s="672">
        <f t="shared" si="12"/>
        <v>4917.3776993709516</v>
      </c>
      <c r="AN62" s="238">
        <f t="shared" si="13"/>
        <v>0</v>
      </c>
      <c r="AO62" s="696">
        <f t="shared" si="14"/>
        <v>61.377766412365673</v>
      </c>
      <c r="AP62" s="674">
        <f t="shared" si="15"/>
        <v>68397.950676721026</v>
      </c>
      <c r="AR62" s="861">
        <f t="shared" si="27"/>
        <v>96.021312306721029</v>
      </c>
      <c r="AS62" s="713">
        <f t="shared" si="28"/>
        <v>0.19020897678168794</v>
      </c>
      <c r="AT62" s="3">
        <f>'Input data'!D104/10^6</f>
        <v>39.810386118997272</v>
      </c>
    </row>
    <row r="63" spans="1:46">
      <c r="A63" s="1">
        <f>'Input data'!A105</f>
        <v>2007</v>
      </c>
      <c r="B63" s="661">
        <f>'Input data'!I105</f>
        <v>578.73</v>
      </c>
      <c r="C63" s="662">
        <f>B63*'Input data'!B105</f>
        <v>27927.77361</v>
      </c>
      <c r="D63" s="498">
        <f>'Input data'!M105</f>
        <v>0.19892488097366726</v>
      </c>
      <c r="E63" s="498">
        <f>'Input data'!N105</f>
        <v>0.26585903447659598</v>
      </c>
      <c r="F63" s="498">
        <f>'Input data'!O105</f>
        <v>8.9228108703258049E-2</v>
      </c>
      <c r="G63" s="498">
        <f>'Input data'!P105</f>
        <v>0</v>
      </c>
      <c r="H63" s="498">
        <f>'Input data'!Q105</f>
        <v>0</v>
      </c>
      <c r="I63" s="498">
        <f>'Input data'!R105</f>
        <v>0</v>
      </c>
      <c r="J63" s="498">
        <f>'Input data'!S105</f>
        <v>0.4459879758464787</v>
      </c>
      <c r="K63" s="498">
        <f>'Input data'!T105</f>
        <v>1</v>
      </c>
      <c r="L63" s="498">
        <f t="shared" si="29"/>
        <v>0.8</v>
      </c>
      <c r="M63" s="498">
        <f t="shared" si="30"/>
        <v>0.11</v>
      </c>
      <c r="N63" s="498">
        <f t="shared" si="18"/>
        <v>0.09</v>
      </c>
      <c r="O63" s="498">
        <f t="shared" si="19"/>
        <v>0</v>
      </c>
      <c r="P63" s="498">
        <f t="shared" si="1"/>
        <v>1</v>
      </c>
      <c r="Q63" s="510">
        <f>'Input data'!$G$33</f>
        <v>0.66241124199764068</v>
      </c>
      <c r="R63" s="658">
        <f>'Input data'!$H$33</f>
        <v>0.33758875800235938</v>
      </c>
      <c r="S63" s="654">
        <f>'Input data'!J105</f>
        <v>27.526054267727826</v>
      </c>
      <c r="T63" s="238">
        <f>'Input data'!L105</f>
        <v>72064.406332684724</v>
      </c>
      <c r="U63" s="510">
        <f t="shared" si="20"/>
        <v>0.85641924869700936</v>
      </c>
      <c r="V63" s="510">
        <f t="shared" si="21"/>
        <v>0.14268338865096522</v>
      </c>
      <c r="W63" s="510">
        <f t="shared" si="22"/>
        <v>0</v>
      </c>
      <c r="X63" s="510">
        <f t="shared" si="23"/>
        <v>8.973626520254116E-4</v>
      </c>
      <c r="Y63" s="499">
        <f t="shared" si="24"/>
        <v>1</v>
      </c>
      <c r="Z63" s="581">
        <f t="shared" si="25"/>
        <v>0.49613166950665732</v>
      </c>
      <c r="AA63" s="655">
        <f t="shared" si="26"/>
        <v>0.50386833049334279</v>
      </c>
      <c r="AC63" s="693">
        <f t="shared" si="3"/>
        <v>2007</v>
      </c>
      <c r="AD63" s="237">
        <f t="shared" si="4"/>
        <v>22342.218888000003</v>
      </c>
      <c r="AE63" s="238">
        <f t="shared" si="5"/>
        <v>2034.9638323551937</v>
      </c>
      <c r="AF63" s="238">
        <f t="shared" si="6"/>
        <v>1037.0912647448067</v>
      </c>
      <c r="AG63" s="238">
        <f t="shared" si="7"/>
        <v>2513.4996249000001</v>
      </c>
      <c r="AH63" s="238">
        <f t="shared" si="8"/>
        <v>0</v>
      </c>
      <c r="AI63" s="239">
        <f t="shared" si="9"/>
        <v>27927.773610000004</v>
      </c>
      <c r="AK63" s="671">
        <f t="shared" si="10"/>
        <v>61717.344729233853</v>
      </c>
      <c r="AL63" s="672">
        <f t="shared" si="11"/>
        <v>5101.4211512523934</v>
      </c>
      <c r="AM63" s="672">
        <f t="shared" si="12"/>
        <v>5180.9725454151421</v>
      </c>
      <c r="AN63" s="238">
        <f t="shared" si="13"/>
        <v>0</v>
      </c>
      <c r="AO63" s="696">
        <f t="shared" si="14"/>
        <v>64.667906783334828</v>
      </c>
      <c r="AP63" s="674">
        <f t="shared" si="15"/>
        <v>72064.406332684724</v>
      </c>
      <c r="AR63" s="861">
        <f t="shared" si="27"/>
        <v>99.992179942684729</v>
      </c>
      <c r="AS63" s="713">
        <f t="shared" si="28"/>
        <v>0.18953960310810339</v>
      </c>
      <c r="AT63" s="3">
        <f>'Input data'!D105/10^6</f>
        <v>41.94441226902012</v>
      </c>
    </row>
    <row r="64" spans="1:46">
      <c r="A64" s="1">
        <f>'Input data'!A106</f>
        <v>2008</v>
      </c>
      <c r="B64" s="661">
        <f>'Input data'!I106</f>
        <v>578.73</v>
      </c>
      <c r="C64" s="662">
        <f>B64*'Input data'!B106</f>
        <v>28237.972890000001</v>
      </c>
      <c r="D64" s="498">
        <f>'Input data'!M106</f>
        <v>0.19892488097366726</v>
      </c>
      <c r="E64" s="498">
        <f>'Input data'!N106</f>
        <v>0.26585903447659598</v>
      </c>
      <c r="F64" s="498">
        <f>'Input data'!O106</f>
        <v>8.9228108703258049E-2</v>
      </c>
      <c r="G64" s="498">
        <f>'Input data'!P106</f>
        <v>0</v>
      </c>
      <c r="H64" s="498">
        <f>'Input data'!Q106</f>
        <v>0</v>
      </c>
      <c r="I64" s="498">
        <f>'Input data'!R106</f>
        <v>0</v>
      </c>
      <c r="J64" s="498">
        <f>'Input data'!S106</f>
        <v>0.4459879758464787</v>
      </c>
      <c r="K64" s="498">
        <f>'Input data'!T106</f>
        <v>1</v>
      </c>
      <c r="L64" s="498">
        <f t="shared" si="29"/>
        <v>0.8</v>
      </c>
      <c r="M64" s="498">
        <f t="shared" si="30"/>
        <v>0.11</v>
      </c>
      <c r="N64" s="498">
        <f t="shared" si="18"/>
        <v>0.09</v>
      </c>
      <c r="O64" s="498">
        <f t="shared" si="19"/>
        <v>0</v>
      </c>
      <c r="P64" s="498">
        <f t="shared" si="1"/>
        <v>1</v>
      </c>
      <c r="Q64" s="510">
        <f>'Input data'!$G$33</f>
        <v>0.66241124199764068</v>
      </c>
      <c r="R64" s="658">
        <f>'Input data'!$H$33</f>
        <v>0.33758875800235938</v>
      </c>
      <c r="S64" s="654">
        <f>'Input data'!J106</f>
        <v>27.526054267727826</v>
      </c>
      <c r="T64" s="238">
        <f>'Input data'!L106</f>
        <v>74364.015222384842</v>
      </c>
      <c r="U64" s="510">
        <f t="shared" si="20"/>
        <v>0.85641924869700936</v>
      </c>
      <c r="V64" s="510">
        <f t="shared" si="21"/>
        <v>0.14268338865096522</v>
      </c>
      <c r="W64" s="510">
        <f t="shared" si="22"/>
        <v>0</v>
      </c>
      <c r="X64" s="510">
        <f t="shared" si="23"/>
        <v>8.973626520254116E-4</v>
      </c>
      <c r="Y64" s="499">
        <f t="shared" si="24"/>
        <v>1</v>
      </c>
      <c r="Z64" s="581">
        <f t="shared" si="25"/>
        <v>0.49613166950665732</v>
      </c>
      <c r="AA64" s="655">
        <f t="shared" si="26"/>
        <v>0.50386833049334279</v>
      </c>
      <c r="AC64" s="693">
        <f t="shared" si="3"/>
        <v>2008</v>
      </c>
      <c r="AD64" s="237">
        <f t="shared" si="4"/>
        <v>22590.378312000001</v>
      </c>
      <c r="AE64" s="238">
        <f t="shared" si="5"/>
        <v>2057.5665762916669</v>
      </c>
      <c r="AF64" s="238">
        <f t="shared" si="6"/>
        <v>1048.6104416083335</v>
      </c>
      <c r="AG64" s="238">
        <f t="shared" si="7"/>
        <v>2541.4175601000002</v>
      </c>
      <c r="AH64" s="238">
        <f t="shared" si="8"/>
        <v>0</v>
      </c>
      <c r="AI64" s="239">
        <f t="shared" si="9"/>
        <v>28237.972890000001</v>
      </c>
      <c r="AK64" s="671">
        <f t="shared" si="10"/>
        <v>63686.774046847793</v>
      </c>
      <c r="AL64" s="672">
        <f t="shared" si="11"/>
        <v>5264.2098846441158</v>
      </c>
      <c r="AM64" s="672">
        <f t="shared" si="12"/>
        <v>5346.2998009777148</v>
      </c>
      <c r="AN64" s="238">
        <f t="shared" si="13"/>
        <v>0</v>
      </c>
      <c r="AO64" s="696">
        <f t="shared" si="14"/>
        <v>66.731489915217338</v>
      </c>
      <c r="AP64" s="674">
        <f t="shared" si="15"/>
        <v>74364.015222384842</v>
      </c>
      <c r="AR64" s="861">
        <f t="shared" si="27"/>
        <v>102.60198811238484</v>
      </c>
      <c r="AS64" s="713">
        <f t="shared" si="28"/>
        <v>0.18921389159482299</v>
      </c>
      <c r="AT64" s="3">
        <f>'Input data'!D106/10^6</f>
        <v>43.282878069762283</v>
      </c>
    </row>
    <row r="65" spans="1:46">
      <c r="A65" s="1">
        <f>'Input data'!A107</f>
        <v>2009</v>
      </c>
      <c r="B65" s="661">
        <f>'Input data'!I107</f>
        <v>578.73</v>
      </c>
      <c r="C65" s="662">
        <f>B65*'Input data'!B107</f>
        <v>28542.963600000003</v>
      </c>
      <c r="D65" s="498">
        <f>'Input data'!M107</f>
        <v>0.19892488097366726</v>
      </c>
      <c r="E65" s="498">
        <f>'Input data'!N107</f>
        <v>0.26585903447659598</v>
      </c>
      <c r="F65" s="498">
        <f>'Input data'!O107</f>
        <v>8.9228108703258049E-2</v>
      </c>
      <c r="G65" s="498">
        <f>'Input data'!P107</f>
        <v>0</v>
      </c>
      <c r="H65" s="498">
        <f>'Input data'!Q107</f>
        <v>0</v>
      </c>
      <c r="I65" s="498">
        <f>'Input data'!R107</f>
        <v>0</v>
      </c>
      <c r="J65" s="498">
        <f>'Input data'!S107</f>
        <v>0.4459879758464787</v>
      </c>
      <c r="K65" s="498">
        <f>'Input data'!T107</f>
        <v>1</v>
      </c>
      <c r="L65" s="498">
        <f t="shared" si="29"/>
        <v>0.8</v>
      </c>
      <c r="M65" s="498">
        <f t="shared" si="30"/>
        <v>0.11</v>
      </c>
      <c r="N65" s="498">
        <f t="shared" si="18"/>
        <v>0.09</v>
      </c>
      <c r="O65" s="498">
        <f t="shared" si="19"/>
        <v>0</v>
      </c>
      <c r="P65" s="498">
        <f t="shared" si="1"/>
        <v>1</v>
      </c>
      <c r="Q65" s="510">
        <f>'Input data'!$G$33</f>
        <v>0.66241124199764068</v>
      </c>
      <c r="R65" s="658">
        <f>'Input data'!$H$33</f>
        <v>0.33758875800235938</v>
      </c>
      <c r="S65" s="654">
        <f>'Input data'!J107</f>
        <v>27.526054267727826</v>
      </c>
      <c r="T65" s="238">
        <f>'Input data'!L107</f>
        <v>73220.230235915209</v>
      </c>
      <c r="U65" s="510">
        <f t="shared" si="20"/>
        <v>0.85641924869700936</v>
      </c>
      <c r="V65" s="510">
        <f t="shared" si="21"/>
        <v>0.14268338865096522</v>
      </c>
      <c r="W65" s="510">
        <f t="shared" si="22"/>
        <v>0</v>
      </c>
      <c r="X65" s="510">
        <f t="shared" si="23"/>
        <v>8.973626520254116E-4</v>
      </c>
      <c r="Y65" s="499">
        <f t="shared" si="24"/>
        <v>1</v>
      </c>
      <c r="Z65" s="581">
        <f t="shared" si="25"/>
        <v>0.49613166950665732</v>
      </c>
      <c r="AA65" s="655">
        <f t="shared" si="26"/>
        <v>0.50386833049334279</v>
      </c>
      <c r="AC65" s="693">
        <f t="shared" si="3"/>
        <v>2009</v>
      </c>
      <c r="AD65" s="237">
        <f t="shared" si="4"/>
        <v>22834.370880000002</v>
      </c>
      <c r="AE65" s="238">
        <f t="shared" si="5"/>
        <v>2079.7897965426396</v>
      </c>
      <c r="AF65" s="238">
        <f t="shared" si="6"/>
        <v>1059.9361994573608</v>
      </c>
      <c r="AG65" s="238">
        <f t="shared" si="7"/>
        <v>2568.866724</v>
      </c>
      <c r="AH65" s="238">
        <f t="shared" si="8"/>
        <v>0</v>
      </c>
      <c r="AI65" s="239">
        <f t="shared" si="9"/>
        <v>28542.963599999999</v>
      </c>
      <c r="AK65" s="671">
        <f t="shared" si="10"/>
        <v>62707.214568064555</v>
      </c>
      <c r="AL65" s="672">
        <f t="shared" si="11"/>
        <v>5183.2416338890316</v>
      </c>
      <c r="AM65" s="672">
        <f t="shared" si="12"/>
        <v>5264.0689339752143</v>
      </c>
      <c r="AN65" s="238">
        <f t="shared" si="13"/>
        <v>0</v>
      </c>
      <c r="AO65" s="696">
        <f t="shared" si="14"/>
        <v>65.705099986412094</v>
      </c>
      <c r="AP65" s="674">
        <f t="shared" si="15"/>
        <v>73220.230235915209</v>
      </c>
      <c r="AR65" s="861">
        <f t="shared" si="27"/>
        <v>101.7631938359152</v>
      </c>
      <c r="AS65" s="713">
        <f t="shared" si="28"/>
        <v>0.18963417971367144</v>
      </c>
      <c r="AT65" s="3">
        <f>'Input data'!D107/10^6</f>
        <v>42.617148738723039</v>
      </c>
    </row>
    <row r="66" spans="1:46">
      <c r="A66" s="504">
        <f>'Input data'!A108</f>
        <v>2010</v>
      </c>
      <c r="B66" s="663">
        <f>'Input data'!I108</f>
        <v>559.42164173673609</v>
      </c>
      <c r="C66" s="664">
        <f>B66*'Input data'!B108</f>
        <v>27898.357273411028</v>
      </c>
      <c r="D66" s="505">
        <f>'Input data'!M108</f>
        <v>0.19892488097366726</v>
      </c>
      <c r="E66" s="505">
        <f>'Input data'!N108</f>
        <v>0.26585903447659598</v>
      </c>
      <c r="F66" s="505">
        <f>'Input data'!O108</f>
        <v>8.9228108703258049E-2</v>
      </c>
      <c r="G66" s="505">
        <f>'Input data'!P108</f>
        <v>0</v>
      </c>
      <c r="H66" s="505">
        <f>'Input data'!Q108</f>
        <v>0</v>
      </c>
      <c r="I66" s="505">
        <f>'Input data'!R108</f>
        <v>0</v>
      </c>
      <c r="J66" s="505">
        <f>'Input data'!S108</f>
        <v>0.4459879758464787</v>
      </c>
      <c r="K66" s="505">
        <f>'Input data'!T108</f>
        <v>1</v>
      </c>
      <c r="L66" s="505">
        <f>($L$73-$L$65)/($A$73-$A$65)+L65</f>
        <v>0.75808980601378384</v>
      </c>
      <c r="M66" s="505">
        <f>($M$73-$M$65)/($A$73-$A$65)+M65</f>
        <v>0.14797665887920658</v>
      </c>
      <c r="N66" s="506">
        <f>($N$73-$N$65)/($A$73-$A$65)+N65</f>
        <v>9.3933535107009608E-2</v>
      </c>
      <c r="O66" s="505">
        <f t="shared" si="19"/>
        <v>0</v>
      </c>
      <c r="P66" s="505">
        <f t="shared" si="1"/>
        <v>1</v>
      </c>
      <c r="Q66" s="510">
        <f>'Input data'!$G$33</f>
        <v>0.66241124199764068</v>
      </c>
      <c r="R66" s="658">
        <f>'Input data'!$H$33</f>
        <v>0.33758875800235938</v>
      </c>
      <c r="S66" s="654">
        <f>'Input data'!J108</f>
        <v>27.526054267727826</v>
      </c>
      <c r="T66" s="238">
        <f>'Input data'!L108</f>
        <v>75445.928136478062</v>
      </c>
      <c r="U66" s="510">
        <f t="shared" si="20"/>
        <v>0.85641924869700936</v>
      </c>
      <c r="V66" s="510">
        <f t="shared" si="21"/>
        <v>0.14268338865096522</v>
      </c>
      <c r="W66" s="510">
        <f t="shared" si="22"/>
        <v>0</v>
      </c>
      <c r="X66" s="510">
        <f t="shared" si="23"/>
        <v>8.973626520254116E-4</v>
      </c>
      <c r="Y66" s="499">
        <f t="shared" si="24"/>
        <v>1</v>
      </c>
      <c r="Z66" s="581">
        <f t="shared" si="25"/>
        <v>0.49613166950665732</v>
      </c>
      <c r="AA66" s="655">
        <f t="shared" si="26"/>
        <v>0.50386833049334279</v>
      </c>
      <c r="AC66" s="693">
        <f t="shared" si="3"/>
        <v>2010</v>
      </c>
      <c r="AD66" s="237">
        <f t="shared" si="4"/>
        <v>21149.460253503403</v>
      </c>
      <c r="AE66" s="238">
        <f t="shared" si="5"/>
        <v>2734.636104451934</v>
      </c>
      <c r="AF66" s="238">
        <f t="shared" si="6"/>
        <v>1393.6695930858416</v>
      </c>
      <c r="AG66" s="238">
        <f t="shared" si="7"/>
        <v>2620.5913223698517</v>
      </c>
      <c r="AH66" s="238">
        <f t="shared" si="8"/>
        <v>0</v>
      </c>
      <c r="AI66" s="239">
        <f t="shared" si="9"/>
        <v>27898.357273411028</v>
      </c>
      <c r="AK66" s="671">
        <f t="shared" si="10"/>
        <v>64613.345091891104</v>
      </c>
      <c r="AL66" s="672">
        <f t="shared" si="11"/>
        <v>5340.7982269984332</v>
      </c>
      <c r="AM66" s="672">
        <f t="shared" si="12"/>
        <v>5424.0824594314599</v>
      </c>
      <c r="AN66" s="238">
        <f t="shared" si="13"/>
        <v>0</v>
      </c>
      <c r="AO66" s="696">
        <f t="shared" si="14"/>
        <v>67.702358157068574</v>
      </c>
      <c r="AP66" s="674">
        <f t="shared" si="15"/>
        <v>75445.928136478062</v>
      </c>
      <c r="AR66" s="861">
        <f t="shared" si="27"/>
        <v>103.3442854098891</v>
      </c>
      <c r="AS66" s="713">
        <f t="shared" si="28"/>
        <v>0.20500122394187426</v>
      </c>
      <c r="AT66" s="3">
        <f>'Input data'!D108/10^6</f>
        <v>43.912595340982222</v>
      </c>
    </row>
    <row r="67" spans="1:46">
      <c r="A67" s="471">
        <f>'Input data'!A109</f>
        <v>2011</v>
      </c>
      <c r="B67" s="663">
        <f>'Input data'!I109</f>
        <v>540.11328347347217</v>
      </c>
      <c r="C67" s="665">
        <f>B67*'Input data'!B109</f>
        <v>27962.204798705126</v>
      </c>
      <c r="D67" s="507">
        <f>'Input data'!M109</f>
        <v>0.19892488097366726</v>
      </c>
      <c r="E67" s="507">
        <f>'Input data'!N109</f>
        <v>0.26585903447659598</v>
      </c>
      <c r="F67" s="507">
        <f>'Input data'!O109</f>
        <v>8.9228108703258049E-2</v>
      </c>
      <c r="G67" s="507">
        <f>'Input data'!P109</f>
        <v>0</v>
      </c>
      <c r="H67" s="507">
        <f>'Input data'!Q109</f>
        <v>0</v>
      </c>
      <c r="I67" s="507">
        <f>'Input data'!R109</f>
        <v>0</v>
      </c>
      <c r="J67" s="507">
        <f>'Input data'!S109</f>
        <v>0.4459879758464787</v>
      </c>
      <c r="K67" s="507">
        <f>'Input data'!T109</f>
        <v>1</v>
      </c>
      <c r="L67" s="507">
        <f t="shared" ref="L67:L72" si="31">($L$73-$L$65)/($A$73-$A$65)+L66</f>
        <v>0.71617961202756764</v>
      </c>
      <c r="M67" s="507">
        <f t="shared" ref="M67:M72" si="32">($M$73-$M$65)/($A$73-$A$65)+M66</f>
        <v>0.18595331775841314</v>
      </c>
      <c r="N67" s="508">
        <f t="shared" ref="N67:N72" si="33">($N$73-$N$65)/($A$73-$A$65)+N66</f>
        <v>9.7867070214019219E-2</v>
      </c>
      <c r="O67" s="507">
        <f t="shared" si="19"/>
        <v>0</v>
      </c>
      <c r="P67" s="507">
        <f t="shared" si="1"/>
        <v>1</v>
      </c>
      <c r="Q67" s="510">
        <f>'Input data'!$G$33</f>
        <v>0.66241124199764068</v>
      </c>
      <c r="R67" s="658">
        <f>'Input data'!$H$33</f>
        <v>0.33758875800235938</v>
      </c>
      <c r="S67" s="654">
        <f>'Input data'!J109</f>
        <v>27.526054267727826</v>
      </c>
      <c r="T67" s="238">
        <f>'Input data'!L109</f>
        <v>77923.699272772501</v>
      </c>
      <c r="U67" s="510">
        <f t="shared" si="20"/>
        <v>0.85641924869700936</v>
      </c>
      <c r="V67" s="510">
        <f t="shared" si="21"/>
        <v>0.14268338865096522</v>
      </c>
      <c r="W67" s="510">
        <f t="shared" si="22"/>
        <v>0</v>
      </c>
      <c r="X67" s="510">
        <f t="shared" si="23"/>
        <v>8.973626520254116E-4</v>
      </c>
      <c r="Y67" s="499">
        <f t="shared" si="24"/>
        <v>1</v>
      </c>
      <c r="Z67" s="581">
        <f t="shared" si="25"/>
        <v>0.49613166950665732</v>
      </c>
      <c r="AA67" s="655">
        <f t="shared" si="26"/>
        <v>0.50386833049334279</v>
      </c>
      <c r="AC67" s="693">
        <f t="shared" si="3"/>
        <v>2011</v>
      </c>
      <c r="AD67" s="237">
        <f t="shared" si="4"/>
        <v>20025.960984172027</v>
      </c>
      <c r="AE67" s="238">
        <f t="shared" si="5"/>
        <v>3444.3163877741108</v>
      </c>
      <c r="AF67" s="238">
        <f t="shared" si="6"/>
        <v>1755.3483663853285</v>
      </c>
      <c r="AG67" s="238">
        <f t="shared" si="7"/>
        <v>2736.5790603736596</v>
      </c>
      <c r="AH67" s="238">
        <f t="shared" si="8"/>
        <v>0</v>
      </c>
      <c r="AI67" s="239">
        <f t="shared" si="9"/>
        <v>27962.204798705126</v>
      </c>
      <c r="AK67" s="671">
        <f t="shared" si="10"/>
        <v>66735.355986879513</v>
      </c>
      <c r="AL67" s="672">
        <f t="shared" si="11"/>
        <v>5516.1990208980169</v>
      </c>
      <c r="AM67" s="672">
        <f t="shared" si="12"/>
        <v>5602.2184475599188</v>
      </c>
      <c r="AN67" s="238">
        <f t="shared" si="13"/>
        <v>0</v>
      </c>
      <c r="AO67" s="696">
        <f t="shared" si="14"/>
        <v>69.925817435045772</v>
      </c>
      <c r="AP67" s="674">
        <f t="shared" si="15"/>
        <v>77923.699272772486</v>
      </c>
      <c r="AR67" s="861">
        <f t="shared" si="27"/>
        <v>105.88590407147763</v>
      </c>
      <c r="AS67" s="713">
        <f t="shared" si="28"/>
        <v>0.22042757957220865</v>
      </c>
      <c r="AT67" s="3">
        <f>'Input data'!D109/10^6</f>
        <v>45.35475880749614</v>
      </c>
    </row>
    <row r="68" spans="1:46">
      <c r="A68" s="471">
        <f>'Input data'!A110</f>
        <v>2012</v>
      </c>
      <c r="B68" s="663">
        <f>'Input data'!I110</f>
        <v>520.80492521020824</v>
      </c>
      <c r="C68" s="665">
        <f>B68*'Input data'!B110</f>
        <v>27251.117711624149</v>
      </c>
      <c r="D68" s="507">
        <f>'Input data'!M110</f>
        <v>0.19892488097366726</v>
      </c>
      <c r="E68" s="507">
        <f>'Input data'!N110</f>
        <v>0.26585903447659598</v>
      </c>
      <c r="F68" s="507">
        <f>'Input data'!O110</f>
        <v>8.9228108703258049E-2</v>
      </c>
      <c r="G68" s="507">
        <f>'Input data'!P110</f>
        <v>0</v>
      </c>
      <c r="H68" s="507">
        <f>'Input data'!Q110</f>
        <v>0</v>
      </c>
      <c r="I68" s="507">
        <f>'Input data'!R110</f>
        <v>0</v>
      </c>
      <c r="J68" s="507">
        <f>'Input data'!S110</f>
        <v>0.4459879758464787</v>
      </c>
      <c r="K68" s="507">
        <f>'Input data'!T110</f>
        <v>1</v>
      </c>
      <c r="L68" s="507">
        <f t="shared" si="31"/>
        <v>0.67426941804135143</v>
      </c>
      <c r="M68" s="507">
        <f t="shared" si="32"/>
        <v>0.22392997663761971</v>
      </c>
      <c r="N68" s="508">
        <f t="shared" si="33"/>
        <v>0.10180060532102883</v>
      </c>
      <c r="O68" s="507">
        <f t="shared" si="19"/>
        <v>0</v>
      </c>
      <c r="P68" s="507">
        <f t="shared" si="1"/>
        <v>1</v>
      </c>
      <c r="Q68" s="510">
        <f>'Input data'!$G$33</f>
        <v>0.66241124199764068</v>
      </c>
      <c r="R68" s="658">
        <f>'Input data'!$H$33</f>
        <v>0.33758875800235938</v>
      </c>
      <c r="S68" s="654">
        <f>'Input data'!J110</f>
        <v>27.526054267727826</v>
      </c>
      <c r="T68" s="238">
        <f>'Input data'!L110</f>
        <v>79648.840108011893</v>
      </c>
      <c r="U68" s="510">
        <f t="shared" si="20"/>
        <v>0.85641924869700936</v>
      </c>
      <c r="V68" s="510">
        <f t="shared" si="21"/>
        <v>0.14268338865096522</v>
      </c>
      <c r="W68" s="510">
        <f t="shared" si="22"/>
        <v>0</v>
      </c>
      <c r="X68" s="510">
        <f t="shared" si="23"/>
        <v>8.973626520254116E-4</v>
      </c>
      <c r="Y68" s="499">
        <f t="shared" si="24"/>
        <v>1</v>
      </c>
      <c r="Z68" s="581">
        <f t="shared" si="25"/>
        <v>0.49613166950665732</v>
      </c>
      <c r="AA68" s="655">
        <f t="shared" si="26"/>
        <v>0.50386833049334279</v>
      </c>
      <c r="AC68" s="693">
        <f t="shared" si="3"/>
        <v>2012</v>
      </c>
      <c r="AD68" s="237">
        <f t="shared" si="4"/>
        <v>18374.59528039318</v>
      </c>
      <c r="AE68" s="238">
        <f t="shared" si="5"/>
        <v>4042.2600443407064</v>
      </c>
      <c r="AF68" s="238">
        <f t="shared" si="6"/>
        <v>2060.0821081723147</v>
      </c>
      <c r="AG68" s="238">
        <f t="shared" si="7"/>
        <v>2774.1802787179481</v>
      </c>
      <c r="AH68" s="238">
        <f t="shared" si="8"/>
        <v>0</v>
      </c>
      <c r="AI68" s="239">
        <f t="shared" si="9"/>
        <v>27251.117711624149</v>
      </c>
      <c r="AK68" s="671">
        <f t="shared" si="10"/>
        <v>68212.799804891765</v>
      </c>
      <c r="AL68" s="672">
        <f t="shared" si="11"/>
        <v>5638.3213055825163</v>
      </c>
      <c r="AM68" s="672">
        <f t="shared" si="12"/>
        <v>5726.2451031475339</v>
      </c>
      <c r="AN68" s="238">
        <f t="shared" si="13"/>
        <v>0</v>
      </c>
      <c r="AO68" s="696">
        <f t="shared" si="14"/>
        <v>71.473894390073525</v>
      </c>
      <c r="AP68" s="674">
        <f t="shared" si="15"/>
        <v>79648.840108011893</v>
      </c>
      <c r="AR68" s="861">
        <f t="shared" si="27"/>
        <v>106.89995781963603</v>
      </c>
      <c r="AS68" s="713">
        <f t="shared" si="28"/>
        <v>0.23459029705587137</v>
      </c>
      <c r="AT68" s="3">
        <f>'Input data'!D110/10^6</f>
        <v>46.358860861447063</v>
      </c>
    </row>
    <row r="69" spans="1:46">
      <c r="A69" s="471">
        <f>'Input data'!A111</f>
        <v>2013</v>
      </c>
      <c r="B69" s="663">
        <f>'Input data'!I111</f>
        <v>501.49656694694431</v>
      </c>
      <c r="C69" s="665">
        <f>B69*'Input data'!B111</f>
        <v>26631.473691150532</v>
      </c>
      <c r="D69" s="507">
        <f>'Input data'!M111</f>
        <v>0.19892488097366726</v>
      </c>
      <c r="E69" s="507">
        <f>'Input data'!N111</f>
        <v>0.26585903447659598</v>
      </c>
      <c r="F69" s="507">
        <f>'Input data'!O111</f>
        <v>8.9228108703258049E-2</v>
      </c>
      <c r="G69" s="507">
        <f>'Input data'!P111</f>
        <v>0</v>
      </c>
      <c r="H69" s="507">
        <f>'Input data'!Q111</f>
        <v>0</v>
      </c>
      <c r="I69" s="507">
        <f>'Input data'!R111</f>
        <v>0</v>
      </c>
      <c r="J69" s="507">
        <f>'Input data'!S111</f>
        <v>0.4459879758464787</v>
      </c>
      <c r="K69" s="507">
        <f>'Input data'!T111</f>
        <v>1</v>
      </c>
      <c r="L69" s="507">
        <f t="shared" si="31"/>
        <v>0.63235922405513523</v>
      </c>
      <c r="M69" s="507">
        <f t="shared" si="32"/>
        <v>0.26190663551682625</v>
      </c>
      <c r="N69" s="508">
        <f t="shared" si="33"/>
        <v>0.10573414042803844</v>
      </c>
      <c r="O69" s="507">
        <f t="shared" si="19"/>
        <v>0</v>
      </c>
      <c r="P69" s="507">
        <f t="shared" si="1"/>
        <v>0.99999999999999989</v>
      </c>
      <c r="Q69" s="510">
        <f>'Input data'!$G$33</f>
        <v>0.66241124199764068</v>
      </c>
      <c r="R69" s="658">
        <f>'Input data'!$H$33</f>
        <v>0.33758875800235938</v>
      </c>
      <c r="S69" s="654">
        <f>'Input data'!J111</f>
        <v>27.526054267727826</v>
      </c>
      <c r="T69" s="238">
        <f>'Input data'!L111</f>
        <v>81622.182938465281</v>
      </c>
      <c r="U69" s="510">
        <f t="shared" si="20"/>
        <v>0.85641924869700936</v>
      </c>
      <c r="V69" s="510">
        <f t="shared" si="21"/>
        <v>0.14268338865096522</v>
      </c>
      <c r="W69" s="510">
        <f t="shared" si="22"/>
        <v>0</v>
      </c>
      <c r="X69" s="510">
        <f t="shared" si="23"/>
        <v>8.973626520254116E-4</v>
      </c>
      <c r="Y69" s="499">
        <f t="shared" si="24"/>
        <v>1</v>
      </c>
      <c r="Z69" s="581">
        <f t="shared" si="25"/>
        <v>0.49613166950665732</v>
      </c>
      <c r="AA69" s="655">
        <f t="shared" si="26"/>
        <v>0.50386833049334279</v>
      </c>
      <c r="AC69" s="693">
        <f t="shared" si="3"/>
        <v>2013</v>
      </c>
      <c r="AD69" s="237">
        <f t="shared" si="4"/>
        <v>16840.658038780697</v>
      </c>
      <c r="AE69" s="238">
        <f t="shared" si="5"/>
        <v>4620.291700076833</v>
      </c>
      <c r="AF69" s="238">
        <f t="shared" si="6"/>
        <v>2354.6679732272769</v>
      </c>
      <c r="AG69" s="238">
        <f t="shared" si="7"/>
        <v>2815.8559790657214</v>
      </c>
      <c r="AH69" s="238">
        <f t="shared" si="8"/>
        <v>0</v>
      </c>
      <c r="AI69" s="239">
        <f t="shared" si="9"/>
        <v>26631.473691150528</v>
      </c>
      <c r="AK69" s="671">
        <f t="shared" si="10"/>
        <v>69902.808589170294</v>
      </c>
      <c r="AL69" s="672">
        <f t="shared" si="11"/>
        <v>5778.0137469171968</v>
      </c>
      <c r="AM69" s="672">
        <f t="shared" si="12"/>
        <v>5868.1159038320293</v>
      </c>
      <c r="AN69" s="238">
        <f t="shared" si="13"/>
        <v>0</v>
      </c>
      <c r="AO69" s="696">
        <f t="shared" si="14"/>
        <v>73.244698545764507</v>
      </c>
      <c r="AP69" s="674">
        <f t="shared" si="15"/>
        <v>81622.182938465296</v>
      </c>
      <c r="AR69" s="861">
        <f t="shared" si="27"/>
        <v>108.25365662961583</v>
      </c>
      <c r="AS69" s="713">
        <f t="shared" si="28"/>
        <v>0.2479747563458998</v>
      </c>
      <c r="AT69" s="3">
        <f>'Input data'!D111/10^6</f>
        <v>47.507426560393391</v>
      </c>
    </row>
    <row r="70" spans="1:46">
      <c r="A70" s="471">
        <f>'Input data'!A112</f>
        <v>2014</v>
      </c>
      <c r="B70" s="663">
        <f>'Input data'!I112</f>
        <v>482.18820868368039</v>
      </c>
      <c r="C70" s="665">
        <f>B70*'Input data'!B112</f>
        <v>25995.730706554576</v>
      </c>
      <c r="D70" s="507">
        <f>'Input data'!M112</f>
        <v>0.19892488097366726</v>
      </c>
      <c r="E70" s="507">
        <f>'Input data'!N112</f>
        <v>0.26585903447659598</v>
      </c>
      <c r="F70" s="507">
        <f>'Input data'!O112</f>
        <v>8.9228108703258049E-2</v>
      </c>
      <c r="G70" s="507">
        <f>'Input data'!P112</f>
        <v>0</v>
      </c>
      <c r="H70" s="507">
        <f>'Input data'!Q112</f>
        <v>0</v>
      </c>
      <c r="I70" s="507">
        <f>'Input data'!R112</f>
        <v>0</v>
      </c>
      <c r="J70" s="507">
        <f>'Input data'!S112</f>
        <v>0.4459879758464787</v>
      </c>
      <c r="K70" s="507">
        <f>'Input data'!T112</f>
        <v>1</v>
      </c>
      <c r="L70" s="507">
        <f t="shared" si="31"/>
        <v>0.59044903006891902</v>
      </c>
      <c r="M70" s="507">
        <f t="shared" si="32"/>
        <v>0.29988329439603278</v>
      </c>
      <c r="N70" s="508">
        <f t="shared" si="33"/>
        <v>0.10966767553504805</v>
      </c>
      <c r="O70" s="507">
        <f t="shared" si="19"/>
        <v>0</v>
      </c>
      <c r="P70" s="507">
        <f t="shared" si="1"/>
        <v>0.99999999999999989</v>
      </c>
      <c r="Q70" s="510">
        <f>'Input data'!$G$33</f>
        <v>0.66241124199764068</v>
      </c>
      <c r="R70" s="658">
        <f>'Input data'!$H$33</f>
        <v>0.33758875800235938</v>
      </c>
      <c r="S70" s="654">
        <f>'Input data'!J112</f>
        <v>27.526054267727826</v>
      </c>
      <c r="T70" s="238">
        <f>'Input data'!L112</f>
        <v>83155.108900635038</v>
      </c>
      <c r="U70" s="510">
        <f t="shared" si="20"/>
        <v>0.85641924869700936</v>
      </c>
      <c r="V70" s="510">
        <f t="shared" si="21"/>
        <v>0.14268338865096522</v>
      </c>
      <c r="W70" s="510">
        <f t="shared" si="22"/>
        <v>0</v>
      </c>
      <c r="X70" s="510">
        <f t="shared" si="23"/>
        <v>8.973626520254116E-4</v>
      </c>
      <c r="Y70" s="499">
        <f t="shared" si="24"/>
        <v>1</v>
      </c>
      <c r="Z70" s="581">
        <f t="shared" si="25"/>
        <v>0.49613166950665732</v>
      </c>
      <c r="AA70" s="655">
        <f t="shared" si="26"/>
        <v>0.50386833049334279</v>
      </c>
      <c r="AC70" s="693">
        <f t="shared" si="3"/>
        <v>2014</v>
      </c>
      <c r="AD70" s="237">
        <f t="shared" si="4"/>
        <v>15349.153981617965</v>
      </c>
      <c r="AE70" s="238">
        <f t="shared" si="5"/>
        <v>5163.9496245303471</v>
      </c>
      <c r="AF70" s="238">
        <f t="shared" si="6"/>
        <v>2631.7357399833486</v>
      </c>
      <c r="AG70" s="238">
        <f t="shared" si="7"/>
        <v>2850.8913604229128</v>
      </c>
      <c r="AH70" s="238">
        <f t="shared" si="8"/>
        <v>0</v>
      </c>
      <c r="AI70" s="239">
        <f t="shared" si="9"/>
        <v>25995.730706554572</v>
      </c>
      <c r="AK70" s="671">
        <f t="shared" si="10"/>
        <v>71215.63588999986</v>
      </c>
      <c r="AL70" s="672">
        <f t="shared" si="11"/>
        <v>5886.5291892094056</v>
      </c>
      <c r="AM70" s="672">
        <f t="shared" si="12"/>
        <v>5978.3235323732424</v>
      </c>
      <c r="AN70" s="238">
        <f t="shared" si="13"/>
        <v>0</v>
      </c>
      <c r="AO70" s="696">
        <f t="shared" si="14"/>
        <v>74.620289052535767</v>
      </c>
      <c r="AP70" s="674">
        <f t="shared" si="15"/>
        <v>83155.108900635038</v>
      </c>
      <c r="AR70" s="861">
        <f t="shared" si="27"/>
        <v>109.15083960718961</v>
      </c>
      <c r="AS70" s="713">
        <f t="shared" si="28"/>
        <v>0.26091497211589859</v>
      </c>
      <c r="AT70" s="3">
        <f>'Input data'!D112/10^6</f>
        <v>48.399651749043436</v>
      </c>
    </row>
    <row r="71" spans="1:46">
      <c r="A71" s="471">
        <f>'Input data'!A113</f>
        <v>2015</v>
      </c>
      <c r="B71" s="663">
        <f>'Input data'!I113</f>
        <v>462.87985042041646</v>
      </c>
      <c r="C71" s="665">
        <f>B71*'Input data'!B113</f>
        <v>25342.671810517801</v>
      </c>
      <c r="D71" s="507">
        <f>'Input data'!M113</f>
        <v>0.19892488097366726</v>
      </c>
      <c r="E71" s="507">
        <f>'Input data'!N113</f>
        <v>0.26585903447659598</v>
      </c>
      <c r="F71" s="507">
        <f>'Input data'!O113</f>
        <v>8.9228108703258049E-2</v>
      </c>
      <c r="G71" s="507">
        <f>'Input data'!P113</f>
        <v>0</v>
      </c>
      <c r="H71" s="507">
        <f>'Input data'!Q113</f>
        <v>0</v>
      </c>
      <c r="I71" s="507">
        <f>'Input data'!R113</f>
        <v>0</v>
      </c>
      <c r="J71" s="507">
        <f>'Input data'!S113</f>
        <v>0.4459879758464787</v>
      </c>
      <c r="K71" s="507">
        <f>'Input data'!T113</f>
        <v>1</v>
      </c>
      <c r="L71" s="507">
        <f t="shared" si="31"/>
        <v>0.54853883608270282</v>
      </c>
      <c r="M71" s="507">
        <f t="shared" si="32"/>
        <v>0.33785995327523932</v>
      </c>
      <c r="N71" s="508">
        <f t="shared" si="33"/>
        <v>0.11360121064205767</v>
      </c>
      <c r="O71" s="507">
        <f t="shared" si="19"/>
        <v>0</v>
      </c>
      <c r="P71" s="507">
        <f t="shared" ref="P71:P72" si="34">SUM(L71:O71)</f>
        <v>0.99999999999999978</v>
      </c>
      <c r="Q71" s="510">
        <f>'Input data'!$G$33</f>
        <v>0.66241124199764068</v>
      </c>
      <c r="R71" s="658">
        <f>'Input data'!$H$33</f>
        <v>0.33758875800235938</v>
      </c>
      <c r="S71" s="654">
        <f>'Input data'!J113</f>
        <v>27.526054267727826</v>
      </c>
      <c r="T71" s="238">
        <f>'Input data'!L113</f>
        <v>84214.586729399889</v>
      </c>
      <c r="U71" s="510">
        <f t="shared" si="20"/>
        <v>0.85641924869700936</v>
      </c>
      <c r="V71" s="510">
        <f t="shared" si="21"/>
        <v>0.14268338865096522</v>
      </c>
      <c r="W71" s="510">
        <f t="shared" si="22"/>
        <v>0</v>
      </c>
      <c r="X71" s="510">
        <f t="shared" si="23"/>
        <v>8.973626520254116E-4</v>
      </c>
      <c r="Y71" s="499">
        <f t="shared" si="24"/>
        <v>1</v>
      </c>
      <c r="Z71" s="581">
        <f t="shared" si="25"/>
        <v>0.49613166950665732</v>
      </c>
      <c r="AA71" s="655">
        <f t="shared" si="26"/>
        <v>0.50386833049334279</v>
      </c>
      <c r="AC71" s="693">
        <f t="shared" ref="AC71:AC73" si="35">A71</f>
        <v>2015</v>
      </c>
      <c r="AD71" s="237">
        <f t="shared" ref="AD71:AD73" si="36">C71*L71</f>
        <v>13901.439698167358</v>
      </c>
      <c r="AE71" s="238">
        <f t="shared" ref="AE71:AE73" si="37">C71*Q71*M71</f>
        <v>5671.7464975452258</v>
      </c>
      <c r="AF71" s="238">
        <f t="shared" ref="AF71:AF73" si="38">C71*M71*R71</f>
        <v>2890.5274162260434</v>
      </c>
      <c r="AG71" s="238">
        <f t="shared" ref="AG71:AG73" si="39">C71*N71</f>
        <v>2878.9581985791697</v>
      </c>
      <c r="AH71" s="238">
        <f t="shared" ref="AH71:AH73" si="40">C71*O71</f>
        <v>0</v>
      </c>
      <c r="AI71" s="239">
        <f t="shared" ref="AI71:AI73" si="41">SUM(AD71:AH71)</f>
        <v>25342.671810517797</v>
      </c>
      <c r="AK71" s="671">
        <f t="shared" ref="AK71:AK73" si="42">U71*T71</f>
        <v>72122.993096121791</v>
      </c>
      <c r="AL71" s="672">
        <f t="shared" ref="AL71:AL73" si="43">T71*V71*Z71</f>
        <v>5961.5293575309561</v>
      </c>
      <c r="AM71" s="672">
        <f t="shared" ref="AM71:AM73" si="44">AA71*V71*T71</f>
        <v>6054.4932508604279</v>
      </c>
      <c r="AN71" s="238">
        <f t="shared" ref="AN71:AN73" si="45">W71*T71</f>
        <v>0</v>
      </c>
      <c r="AO71" s="696">
        <f t="shared" ref="AO71:AO73" si="46">X71*T71</f>
        <v>75.57102488671832</v>
      </c>
      <c r="AP71" s="674">
        <f t="shared" ref="AP71:AP73" si="47">SUM(AK71:AO71)</f>
        <v>84214.586729399904</v>
      </c>
      <c r="AR71" s="861">
        <f t="shared" si="27"/>
        <v>109.55725853991771</v>
      </c>
      <c r="AS71" s="713">
        <f t="shared" si="28"/>
        <v>0.27355978971582146</v>
      </c>
      <c r="AT71" s="3">
        <f>'Input data'!D113/10^6</f>
        <v>49.016310889124959</v>
      </c>
    </row>
    <row r="72" spans="1:46">
      <c r="A72" s="471">
        <f>'Input data'!A114</f>
        <v>2016</v>
      </c>
      <c r="B72" s="663">
        <f>'Input data'!I114</f>
        <v>443.57149215715253</v>
      </c>
      <c r="C72" s="665">
        <f>B72*'Input data'!B114</f>
        <v>24671.446393780821</v>
      </c>
      <c r="D72" s="507">
        <f>'Input data'!M114</f>
        <v>0.19892488097366726</v>
      </c>
      <c r="E72" s="507">
        <f>'Input data'!N114</f>
        <v>0.26585903447659598</v>
      </c>
      <c r="F72" s="507">
        <f>'Input data'!O114</f>
        <v>8.9228108703258049E-2</v>
      </c>
      <c r="G72" s="507">
        <f>'Input data'!P114</f>
        <v>0</v>
      </c>
      <c r="H72" s="507">
        <f>'Input data'!Q114</f>
        <v>0</v>
      </c>
      <c r="I72" s="507">
        <f>'Input data'!R114</f>
        <v>0</v>
      </c>
      <c r="J72" s="507">
        <f>'Input data'!S114</f>
        <v>0.4459879758464787</v>
      </c>
      <c r="K72" s="507">
        <f>'Input data'!T114</f>
        <v>1</v>
      </c>
      <c r="L72" s="507">
        <f t="shared" si="31"/>
        <v>0.50662864209648661</v>
      </c>
      <c r="M72" s="507">
        <f t="shared" si="32"/>
        <v>0.37583661215444586</v>
      </c>
      <c r="N72" s="508">
        <f t="shared" si="33"/>
        <v>0.11753474574906728</v>
      </c>
      <c r="O72" s="507">
        <f t="shared" ref="O72" si="48">O71</f>
        <v>0</v>
      </c>
      <c r="P72" s="507">
        <f t="shared" si="34"/>
        <v>0.99999999999999978</v>
      </c>
      <c r="Q72" s="510">
        <f>'Input data'!$G$33</f>
        <v>0.66241124199764068</v>
      </c>
      <c r="R72" s="658">
        <f>'Input data'!$H$33</f>
        <v>0.33758875800235938</v>
      </c>
      <c r="S72" s="654">
        <f>'Input data'!J114</f>
        <v>27.526054267727826</v>
      </c>
      <c r="T72" s="238">
        <f>'Input data'!L114</f>
        <v>84888.149277331191</v>
      </c>
      <c r="U72" s="510">
        <f t="shared" ref="U72:U73" si="49">U71</f>
        <v>0.85641924869700936</v>
      </c>
      <c r="V72" s="510">
        <f t="shared" ref="V72:V73" si="50">V71</f>
        <v>0.14268338865096522</v>
      </c>
      <c r="W72" s="510">
        <f t="shared" ref="W72:W73" si="51">W71</f>
        <v>0</v>
      </c>
      <c r="X72" s="510">
        <f t="shared" ref="X72:X73" si="52">X71</f>
        <v>8.973626520254116E-4</v>
      </c>
      <c r="Y72" s="499">
        <f t="shared" ref="Y72:Y73" si="53">SUM(U72:X72)</f>
        <v>1</v>
      </c>
      <c r="Z72" s="581">
        <f t="shared" ref="Z72:Z73" si="54">Z71</f>
        <v>0.49613166950665732</v>
      </c>
      <c r="AA72" s="655">
        <f t="shared" ref="AA72:AA73" si="55">AA71</f>
        <v>0.50386833049334279</v>
      </c>
      <c r="AC72" s="693">
        <f t="shared" si="35"/>
        <v>2016</v>
      </c>
      <c r="AD72" s="237">
        <f t="shared" si="36"/>
        <v>12499.261385037438</v>
      </c>
      <c r="AE72" s="238">
        <f t="shared" si="37"/>
        <v>6142.163746987485</v>
      </c>
      <c r="AF72" s="238">
        <f t="shared" si="38"/>
        <v>3130.2690826011199</v>
      </c>
      <c r="AG72" s="238">
        <f t="shared" si="39"/>
        <v>2899.7521791547715</v>
      </c>
      <c r="AH72" s="238">
        <f t="shared" si="40"/>
        <v>0</v>
      </c>
      <c r="AI72" s="239">
        <f t="shared" si="41"/>
        <v>24671.446393780818</v>
      </c>
      <c r="AK72" s="671">
        <f t="shared" si="42"/>
        <v>72699.845027371557</v>
      </c>
      <c r="AL72" s="672">
        <f t="shared" si="43"/>
        <v>6009.2106804415389</v>
      </c>
      <c r="AM72" s="672">
        <f t="shared" si="44"/>
        <v>6102.9181147570616</v>
      </c>
      <c r="AN72" s="238">
        <f t="shared" si="45"/>
        <v>0</v>
      </c>
      <c r="AO72" s="696">
        <f t="shared" si="46"/>
        <v>76.175454761034942</v>
      </c>
      <c r="AP72" s="674">
        <f t="shared" si="47"/>
        <v>84888.149277331191</v>
      </c>
      <c r="AR72" s="861">
        <f t="shared" ref="AR72:AR73" si="56">(AP72+AI72)*1000/10^6</f>
        <v>109.55959567111202</v>
      </c>
      <c r="AS72" s="713">
        <f t="shared" ref="AS72" si="57">(AP72+AI72-AK72-AD72)/(AD72+AK72)</f>
        <v>0.2859242342376842</v>
      </c>
      <c r="AT72" s="3">
        <f>'Input data'!D114/10^6</f>
        <v>49.408351657059349</v>
      </c>
    </row>
    <row r="73" spans="1:46" s="1" customFormat="1" ht="16.5" thickBot="1">
      <c r="A73" s="504">
        <f>'Input data'!A115</f>
        <v>2017</v>
      </c>
      <c r="B73" s="666">
        <f>'Input data'!I115</f>
        <v>424.26313389388866</v>
      </c>
      <c r="C73" s="667">
        <f>B73*'Input data'!B115</f>
        <v>23980.200853950373</v>
      </c>
      <c r="D73" s="668">
        <f>'Input data'!M115</f>
        <v>0.19892488097366726</v>
      </c>
      <c r="E73" s="668">
        <f>'Input data'!N115</f>
        <v>0.26585903447659598</v>
      </c>
      <c r="F73" s="668">
        <f>'Input data'!O115</f>
        <v>8.9228108703258049E-2</v>
      </c>
      <c r="G73" s="668">
        <f>'Input data'!P115</f>
        <v>0</v>
      </c>
      <c r="H73" s="668">
        <f>'Input data'!Q115</f>
        <v>0</v>
      </c>
      <c r="I73" s="668">
        <f>'Input data'!R115</f>
        <v>0</v>
      </c>
      <c r="J73" s="668">
        <f>'Input data'!S115</f>
        <v>0.4459879758464787</v>
      </c>
      <c r="K73" s="668">
        <f>'Input data'!T115</f>
        <v>1</v>
      </c>
      <c r="L73" s="668">
        <f>'Input data'!B33</f>
        <v>0.46471844811027063</v>
      </c>
      <c r="M73" s="668">
        <f>'Input data'!C33</f>
        <v>0.41381327103365251</v>
      </c>
      <c r="N73" s="668">
        <f>'Input data'!D33</f>
        <v>0.12146828085607692</v>
      </c>
      <c r="O73" s="668">
        <f>'Input data'!E33</f>
        <v>0</v>
      </c>
      <c r="P73" s="668">
        <f>SUM(L73:O73)</f>
        <v>1</v>
      </c>
      <c r="Q73" s="669">
        <f>'Input data'!G33</f>
        <v>0.66241124199764068</v>
      </c>
      <c r="R73" s="670">
        <f>'Input data'!H33</f>
        <v>0.33758875800235938</v>
      </c>
      <c r="S73" s="683">
        <f>'Input data'!J115</f>
        <v>11.504772374209397</v>
      </c>
      <c r="T73" s="684">
        <f>'Input data'!L115</f>
        <v>85896.153384615391</v>
      </c>
      <c r="U73" s="685">
        <f t="shared" si="49"/>
        <v>0.85641924869700936</v>
      </c>
      <c r="V73" s="685">
        <f t="shared" si="50"/>
        <v>0.14268338865096522</v>
      </c>
      <c r="W73" s="685">
        <f t="shared" si="51"/>
        <v>0</v>
      </c>
      <c r="X73" s="685">
        <f t="shared" si="52"/>
        <v>8.973626520254116E-4</v>
      </c>
      <c r="Y73" s="685">
        <f t="shared" si="53"/>
        <v>1</v>
      </c>
      <c r="Z73" s="686">
        <f t="shared" si="54"/>
        <v>0.49613166950665732</v>
      </c>
      <c r="AA73" s="687">
        <f t="shared" si="55"/>
        <v>0.50386833049334279</v>
      </c>
      <c r="AB73" s="501"/>
      <c r="AC73" s="694">
        <f t="shared" si="35"/>
        <v>2017</v>
      </c>
      <c r="AD73" s="688">
        <f t="shared" si="36"/>
        <v>11144.041726220405</v>
      </c>
      <c r="AE73" s="684">
        <f t="shared" si="37"/>
        <v>6573.32227342858</v>
      </c>
      <c r="AF73" s="684">
        <f t="shared" si="38"/>
        <v>3350.003081988611</v>
      </c>
      <c r="AG73" s="684">
        <f t="shared" si="39"/>
        <v>2912.8337723127793</v>
      </c>
      <c r="AH73" s="684">
        <f t="shared" si="40"/>
        <v>0</v>
      </c>
      <c r="AI73" s="689">
        <f t="shared" si="41"/>
        <v>23980.200853950377</v>
      </c>
      <c r="AJ73" s="501"/>
      <c r="AK73" s="690">
        <f t="shared" si="42"/>
        <v>73563.119147615391</v>
      </c>
      <c r="AL73" s="691">
        <f t="shared" si="43"/>
        <v>6080.5670370000007</v>
      </c>
      <c r="AM73" s="691">
        <f t="shared" si="44"/>
        <v>6175.387200000001</v>
      </c>
      <c r="AN73" s="684">
        <f t="shared" si="45"/>
        <v>0</v>
      </c>
      <c r="AO73" s="697">
        <f t="shared" si="46"/>
        <v>77.08</v>
      </c>
      <c r="AP73" s="692">
        <f t="shared" si="47"/>
        <v>85896.153384615391</v>
      </c>
      <c r="AR73" s="861">
        <f t="shared" si="56"/>
        <v>109.87635423856575</v>
      </c>
      <c r="AS73" s="713">
        <f>(AP73+AI73-AK73-AD73)/(AD73+AK73)</f>
        <v>0.29713182575222147</v>
      </c>
      <c r="AT73" s="3">
        <f>'Input data'!D115/10^6</f>
        <v>49.995050999999997</v>
      </c>
    </row>
    <row r="74" spans="1:46">
      <c r="B74" s="495"/>
      <c r="D74" s="104"/>
      <c r="E74" s="199"/>
      <c r="F74" s="186"/>
      <c r="G74" s="186"/>
      <c r="H74" s="186"/>
      <c r="I74" s="186"/>
      <c r="J74" s="305"/>
      <c r="K74" s="305"/>
      <c r="L74" s="305"/>
      <c r="M74" s="305"/>
      <c r="N74" s="305"/>
      <c r="O74" s="305"/>
      <c r="P74" s="305"/>
      <c r="Q74" s="104"/>
      <c r="R74" s="104"/>
    </row>
    <row r="75" spans="1:46">
      <c r="B75" s="495"/>
      <c r="D75" s="104"/>
      <c r="E75" s="199"/>
      <c r="F75" s="186"/>
      <c r="G75" s="186"/>
      <c r="H75" s="186"/>
      <c r="I75" s="186"/>
      <c r="J75" s="305"/>
      <c r="K75" s="305"/>
      <c r="L75" s="305"/>
      <c r="M75" s="305"/>
      <c r="N75" s="305"/>
      <c r="O75" s="305"/>
      <c r="P75" s="305"/>
      <c r="Q75" s="104"/>
      <c r="R75" s="104"/>
    </row>
    <row r="76" spans="1:46">
      <c r="B76" s="495"/>
      <c r="D76" s="104"/>
      <c r="E76" s="199"/>
      <c r="F76" s="186"/>
      <c r="G76" s="186"/>
      <c r="H76" s="186"/>
      <c r="I76" s="186"/>
      <c r="J76" s="305"/>
      <c r="K76" s="305"/>
      <c r="L76" s="305"/>
      <c r="M76" s="305"/>
      <c r="N76" s="305"/>
      <c r="O76" s="305"/>
      <c r="P76" s="305"/>
      <c r="Q76" s="104"/>
      <c r="R76" s="104"/>
    </row>
    <row r="77" spans="1:46">
      <c r="B77" s="495"/>
      <c r="D77" s="104"/>
      <c r="E77" s="199"/>
      <c r="F77" s="186"/>
      <c r="G77" s="186"/>
      <c r="H77" s="186"/>
      <c r="I77" s="186"/>
      <c r="J77" s="305"/>
      <c r="K77" s="305"/>
      <c r="L77" s="305"/>
      <c r="M77" s="305"/>
      <c r="N77" s="305"/>
      <c r="O77" s="305"/>
      <c r="P77" s="305"/>
      <c r="Q77" s="104"/>
      <c r="R77" s="104"/>
    </row>
    <row r="78" spans="1:46">
      <c r="B78" s="495"/>
      <c r="D78" s="104"/>
      <c r="E78" s="199"/>
      <c r="F78" s="186"/>
      <c r="G78" s="186"/>
      <c r="H78" s="186"/>
      <c r="I78" s="186"/>
      <c r="J78" s="305"/>
      <c r="K78" s="305"/>
      <c r="L78" s="305"/>
      <c r="M78" s="305"/>
      <c r="N78" s="305"/>
      <c r="O78" s="305"/>
      <c r="P78" s="305"/>
      <c r="Q78" s="104"/>
      <c r="R78" s="104"/>
    </row>
    <row r="79" spans="1:46">
      <c r="B79" s="495"/>
      <c r="D79" s="104"/>
      <c r="E79" s="199"/>
      <c r="F79" s="186"/>
      <c r="G79" s="186"/>
      <c r="H79" s="186"/>
      <c r="I79" s="186"/>
      <c r="J79" s="305"/>
      <c r="K79" s="305"/>
      <c r="L79" s="305"/>
      <c r="M79" s="305"/>
      <c r="N79" s="305"/>
      <c r="O79" s="305"/>
      <c r="P79" s="305"/>
      <c r="Q79" s="104"/>
      <c r="R79" s="104"/>
    </row>
    <row r="80" spans="1:46">
      <c r="B80" s="495"/>
      <c r="D80" s="104"/>
      <c r="E80" s="199"/>
      <c r="F80" s="186"/>
      <c r="G80" s="186"/>
      <c r="H80" s="186"/>
      <c r="I80" s="186"/>
      <c r="J80" s="305"/>
      <c r="K80" s="305"/>
      <c r="L80" s="305"/>
      <c r="M80" s="305"/>
      <c r="N80" s="305"/>
      <c r="O80" s="305"/>
      <c r="P80" s="305"/>
      <c r="Q80" s="104"/>
      <c r="R80" s="104"/>
    </row>
    <row r="81" spans="2:18" s="1" customFormat="1">
      <c r="B81" s="495"/>
      <c r="D81" s="165"/>
      <c r="E81" s="375"/>
      <c r="F81" s="186"/>
      <c r="G81" s="186"/>
      <c r="H81" s="186"/>
      <c r="I81" s="186"/>
      <c r="J81" s="305"/>
      <c r="K81" s="305"/>
      <c r="L81" s="305"/>
      <c r="M81" s="305"/>
      <c r="N81" s="305"/>
      <c r="O81" s="305"/>
      <c r="P81" s="305"/>
      <c r="Q81" s="165"/>
      <c r="R81" s="165"/>
    </row>
    <row r="82" spans="2:18">
      <c r="B82" s="495"/>
      <c r="D82" s="104"/>
      <c r="E82" s="199"/>
      <c r="F82" s="186"/>
      <c r="G82" s="186"/>
      <c r="H82" s="186"/>
      <c r="I82" s="186"/>
      <c r="J82" s="305"/>
      <c r="K82" s="305"/>
      <c r="L82" s="305"/>
      <c r="M82" s="305"/>
      <c r="N82" s="305"/>
      <c r="O82" s="305"/>
      <c r="P82" s="305"/>
      <c r="Q82" s="104"/>
      <c r="R82" s="104"/>
    </row>
    <row r="83" spans="2:18">
      <c r="B83" s="495"/>
      <c r="D83" s="104"/>
      <c r="E83" s="199"/>
      <c r="F83" s="186"/>
      <c r="G83" s="186"/>
      <c r="H83" s="186"/>
      <c r="I83" s="186"/>
      <c r="J83" s="305"/>
      <c r="K83" s="305"/>
      <c r="L83" s="305"/>
      <c r="M83" s="305"/>
      <c r="N83" s="305"/>
      <c r="O83" s="305"/>
      <c r="P83" s="305"/>
      <c r="Q83" s="104"/>
      <c r="R83" s="104"/>
    </row>
    <row r="84" spans="2:18">
      <c r="B84" s="495"/>
      <c r="D84" s="104"/>
      <c r="E84" s="199"/>
      <c r="F84" s="186"/>
      <c r="G84" s="186"/>
      <c r="H84" s="186"/>
      <c r="I84" s="186"/>
      <c r="J84" s="305"/>
      <c r="K84" s="305"/>
      <c r="L84" s="305"/>
      <c r="M84" s="305"/>
      <c r="N84" s="305"/>
      <c r="O84" s="305"/>
      <c r="P84" s="305"/>
      <c r="Q84" s="104"/>
      <c r="R84" s="104"/>
    </row>
    <row r="85" spans="2:18">
      <c r="B85" s="495"/>
      <c r="D85" s="104"/>
      <c r="E85" s="199"/>
      <c r="F85" s="186"/>
      <c r="G85" s="186"/>
      <c r="H85" s="186"/>
      <c r="I85" s="186"/>
      <c r="J85" s="305"/>
      <c r="K85" s="305"/>
      <c r="L85" s="305"/>
      <c r="M85" s="305"/>
      <c r="N85" s="305"/>
      <c r="O85" s="305"/>
      <c r="P85" s="305"/>
      <c r="Q85" s="104"/>
      <c r="R85" s="104"/>
    </row>
    <row r="86" spans="2:18">
      <c r="B86" s="495"/>
      <c r="D86" s="104"/>
      <c r="E86" s="199"/>
      <c r="F86" s="186"/>
      <c r="G86" s="186"/>
      <c r="H86" s="186"/>
      <c r="I86" s="186"/>
      <c r="J86" s="305"/>
      <c r="K86" s="305"/>
      <c r="L86" s="305"/>
      <c r="M86" s="305"/>
      <c r="N86" s="305"/>
      <c r="O86" s="305"/>
      <c r="P86" s="305"/>
      <c r="Q86" s="104"/>
      <c r="R86" s="104"/>
    </row>
    <row r="87" spans="2:18">
      <c r="B87" s="495"/>
      <c r="D87" s="104"/>
      <c r="E87" s="199"/>
      <c r="F87" s="186"/>
      <c r="G87" s="186"/>
      <c r="H87" s="186"/>
      <c r="I87" s="186"/>
      <c r="J87" s="305"/>
      <c r="K87" s="305"/>
      <c r="L87" s="305"/>
      <c r="M87" s="305"/>
      <c r="N87" s="305"/>
      <c r="O87" s="305"/>
      <c r="P87" s="305"/>
      <c r="Q87" s="104"/>
      <c r="R87" s="104"/>
    </row>
    <row r="88" spans="2:18">
      <c r="B88" s="495"/>
      <c r="D88" s="104"/>
      <c r="E88" s="199"/>
      <c r="F88" s="186"/>
      <c r="G88" s="186"/>
      <c r="H88" s="186"/>
      <c r="I88" s="186"/>
      <c r="J88" s="305"/>
      <c r="K88" s="305"/>
      <c r="L88" s="305"/>
      <c r="M88" s="305"/>
      <c r="N88" s="305"/>
      <c r="O88" s="305"/>
      <c r="P88" s="305"/>
      <c r="Q88" s="104"/>
      <c r="R88" s="104"/>
    </row>
    <row r="89" spans="2:18">
      <c r="B89" s="495"/>
      <c r="D89" s="104"/>
      <c r="E89" s="199"/>
      <c r="F89" s="186"/>
      <c r="G89" s="186"/>
      <c r="H89" s="186"/>
      <c r="I89" s="186"/>
      <c r="J89" s="305"/>
      <c r="K89" s="305"/>
      <c r="L89" s="305"/>
      <c r="M89" s="305"/>
      <c r="N89" s="305"/>
      <c r="O89" s="305"/>
      <c r="P89" s="305"/>
      <c r="Q89" s="104"/>
      <c r="R89" s="104"/>
    </row>
    <row r="90" spans="2:18">
      <c r="B90" s="495"/>
      <c r="D90" s="104"/>
      <c r="E90" s="199"/>
      <c r="F90" s="186"/>
      <c r="G90" s="186"/>
      <c r="H90" s="186"/>
      <c r="I90" s="186"/>
      <c r="J90" s="305"/>
      <c r="K90" s="305"/>
      <c r="L90" s="305"/>
      <c r="M90" s="305"/>
      <c r="N90" s="305"/>
      <c r="O90" s="305"/>
      <c r="P90" s="305"/>
      <c r="Q90" s="104"/>
      <c r="R90" s="104"/>
    </row>
    <row r="91" spans="2:18">
      <c r="B91" s="495"/>
      <c r="D91" s="104"/>
      <c r="E91" s="199"/>
      <c r="F91" s="186"/>
      <c r="G91" s="186"/>
      <c r="H91" s="186"/>
      <c r="I91" s="186"/>
      <c r="J91" s="305"/>
      <c r="K91" s="305"/>
      <c r="L91" s="305"/>
      <c r="M91" s="305"/>
      <c r="N91" s="305"/>
      <c r="O91" s="305"/>
      <c r="P91" s="305"/>
      <c r="Q91" s="104"/>
      <c r="R91" s="104"/>
    </row>
    <row r="92" spans="2:18">
      <c r="B92" s="495"/>
      <c r="D92" s="104"/>
      <c r="E92" s="199"/>
      <c r="F92" s="186"/>
      <c r="G92" s="186"/>
      <c r="H92" s="186"/>
      <c r="I92" s="186"/>
      <c r="J92" s="305"/>
      <c r="K92" s="305"/>
      <c r="L92" s="305"/>
      <c r="M92" s="305"/>
      <c r="N92" s="305"/>
      <c r="O92" s="305"/>
      <c r="P92" s="305"/>
      <c r="Q92" s="104"/>
      <c r="R92" s="104"/>
    </row>
    <row r="93" spans="2:18">
      <c r="B93" s="495"/>
      <c r="D93" s="104"/>
      <c r="E93" s="199"/>
      <c r="F93" s="186"/>
      <c r="G93" s="186"/>
      <c r="H93" s="186"/>
      <c r="I93" s="186"/>
      <c r="J93" s="305"/>
      <c r="K93" s="305"/>
      <c r="L93" s="305"/>
      <c r="M93" s="305"/>
      <c r="N93" s="305"/>
      <c r="O93" s="305"/>
      <c r="P93" s="305"/>
      <c r="Q93" s="104"/>
      <c r="R93" s="104"/>
    </row>
    <row r="94" spans="2:18">
      <c r="B94" s="495"/>
      <c r="D94" s="104"/>
      <c r="E94" s="199"/>
      <c r="F94" s="186"/>
      <c r="G94" s="186"/>
      <c r="H94" s="186"/>
      <c r="I94" s="186"/>
      <c r="J94" s="305"/>
      <c r="K94" s="305"/>
      <c r="L94" s="305"/>
      <c r="M94" s="305"/>
      <c r="N94" s="305"/>
      <c r="O94" s="305"/>
      <c r="P94" s="305"/>
      <c r="Q94" s="104"/>
      <c r="R94" s="104"/>
    </row>
    <row r="95" spans="2:18">
      <c r="B95" s="495"/>
      <c r="D95" s="104"/>
      <c r="E95" s="199"/>
      <c r="F95" s="186"/>
      <c r="G95" s="186"/>
      <c r="H95" s="186"/>
      <c r="I95" s="186"/>
      <c r="J95" s="305"/>
      <c r="K95" s="305"/>
      <c r="L95" s="305"/>
      <c r="M95" s="305"/>
      <c r="N95" s="305"/>
      <c r="O95" s="305"/>
      <c r="P95" s="305"/>
      <c r="Q95" s="104"/>
      <c r="R95" s="104"/>
    </row>
    <row r="96" spans="2:18">
      <c r="B96" s="495"/>
      <c r="D96" s="104"/>
      <c r="E96" s="199"/>
      <c r="F96" s="186"/>
      <c r="G96" s="186"/>
      <c r="H96" s="186"/>
      <c r="I96" s="186"/>
      <c r="J96" s="305"/>
      <c r="K96" s="305"/>
      <c r="L96" s="305"/>
      <c r="M96" s="305"/>
      <c r="N96" s="305"/>
      <c r="O96" s="305"/>
      <c r="P96" s="305"/>
      <c r="Q96" s="104"/>
      <c r="R96" s="104"/>
    </row>
    <row r="97" spans="2:18">
      <c r="B97" s="495"/>
      <c r="D97" s="104"/>
      <c r="E97" s="199"/>
      <c r="F97" s="186"/>
      <c r="G97" s="186"/>
      <c r="H97" s="186"/>
      <c r="I97" s="186"/>
      <c r="J97" s="305"/>
      <c r="K97" s="305"/>
      <c r="L97" s="305"/>
      <c r="M97" s="305"/>
      <c r="N97" s="305"/>
      <c r="O97" s="305"/>
      <c r="P97" s="305"/>
      <c r="Q97" s="104"/>
      <c r="R97" s="104"/>
    </row>
    <row r="98" spans="2:18">
      <c r="B98" s="495"/>
      <c r="D98" s="104"/>
      <c r="E98" s="199"/>
      <c r="F98" s="186"/>
      <c r="G98" s="186"/>
      <c r="H98" s="186"/>
      <c r="I98" s="186"/>
      <c r="J98" s="305"/>
      <c r="K98" s="305"/>
      <c r="L98" s="305"/>
      <c r="M98" s="305"/>
      <c r="N98" s="305"/>
      <c r="O98" s="305"/>
      <c r="P98" s="305"/>
      <c r="Q98" s="104"/>
      <c r="R98" s="104"/>
    </row>
    <row r="99" spans="2:18">
      <c r="B99" s="495"/>
      <c r="D99" s="104"/>
      <c r="E99" s="199"/>
      <c r="F99" s="186"/>
      <c r="G99" s="186"/>
      <c r="H99" s="186"/>
      <c r="I99" s="186"/>
      <c r="J99" s="305"/>
      <c r="K99" s="305"/>
      <c r="L99" s="305"/>
      <c r="M99" s="305"/>
      <c r="N99" s="305"/>
      <c r="O99" s="305"/>
      <c r="P99" s="305"/>
      <c r="Q99" s="104"/>
      <c r="R99" s="104"/>
    </row>
    <row r="100" spans="2:18">
      <c r="B100" s="495"/>
      <c r="D100" s="104"/>
      <c r="E100" s="199"/>
      <c r="F100" s="186"/>
      <c r="G100" s="186"/>
      <c r="H100" s="186"/>
      <c r="I100" s="186"/>
      <c r="J100" s="305"/>
      <c r="K100" s="305"/>
      <c r="L100" s="305"/>
      <c r="M100" s="305"/>
      <c r="N100" s="305"/>
      <c r="O100" s="305"/>
      <c r="P100" s="305"/>
      <c r="Q100" s="104"/>
      <c r="R100" s="104"/>
    </row>
    <row r="101" spans="2:18">
      <c r="B101" s="495"/>
      <c r="D101" s="104"/>
      <c r="E101" s="199"/>
      <c r="F101" s="186"/>
      <c r="G101" s="186"/>
      <c r="H101" s="186"/>
      <c r="I101" s="186"/>
      <c r="J101" s="305"/>
      <c r="K101" s="305"/>
      <c r="L101" s="305"/>
      <c r="M101" s="305"/>
      <c r="N101" s="305"/>
      <c r="O101" s="305"/>
      <c r="P101" s="305"/>
      <c r="Q101" s="104"/>
      <c r="R101" s="104"/>
    </row>
    <row r="102" spans="2:18">
      <c r="B102" s="495"/>
      <c r="D102" s="104"/>
      <c r="E102" s="199"/>
      <c r="F102" s="186"/>
      <c r="G102" s="186"/>
      <c r="H102" s="186"/>
      <c r="I102" s="186"/>
      <c r="J102" s="305"/>
      <c r="K102" s="305"/>
      <c r="L102" s="305"/>
      <c r="M102" s="305"/>
      <c r="N102" s="305"/>
      <c r="O102" s="305"/>
      <c r="P102" s="305"/>
      <c r="Q102" s="104"/>
      <c r="R102" s="104"/>
    </row>
    <row r="103" spans="2:18">
      <c r="B103" s="495"/>
      <c r="D103" s="104"/>
      <c r="E103" s="199"/>
      <c r="F103" s="186"/>
      <c r="G103" s="186"/>
      <c r="H103" s="186"/>
      <c r="I103" s="186"/>
      <c r="J103" s="305"/>
      <c r="K103" s="305"/>
      <c r="L103" s="305"/>
      <c r="M103" s="305"/>
      <c r="N103" s="305"/>
      <c r="O103" s="305"/>
      <c r="P103" s="305"/>
      <c r="Q103" s="104"/>
      <c r="R103" s="104"/>
    </row>
    <row r="104" spans="2:18">
      <c r="B104" s="495"/>
      <c r="D104" s="104"/>
      <c r="E104" s="199"/>
      <c r="F104" s="186"/>
      <c r="G104" s="186"/>
      <c r="H104" s="186"/>
      <c r="I104" s="186"/>
      <c r="J104" s="305"/>
      <c r="K104" s="305"/>
      <c r="L104" s="305"/>
      <c r="M104" s="305"/>
      <c r="N104" s="305"/>
      <c r="O104" s="305"/>
      <c r="P104" s="305"/>
      <c r="Q104" s="104"/>
      <c r="R104" s="104"/>
    </row>
    <row r="105" spans="2:18">
      <c r="B105" s="495"/>
      <c r="D105" s="104"/>
      <c r="E105" s="199"/>
      <c r="F105" s="186"/>
      <c r="G105" s="186"/>
      <c r="H105" s="186"/>
      <c r="I105" s="186"/>
      <c r="J105" s="305"/>
      <c r="K105" s="305"/>
      <c r="L105" s="305"/>
      <c r="M105" s="305"/>
      <c r="N105" s="305"/>
      <c r="O105" s="305"/>
      <c r="P105" s="305"/>
      <c r="Q105" s="104"/>
      <c r="R105" s="104"/>
    </row>
    <row r="106" spans="2:18">
      <c r="B106" s="495"/>
      <c r="D106" s="104"/>
      <c r="E106" s="199"/>
      <c r="F106" s="186"/>
      <c r="G106" s="186"/>
      <c r="H106" s="186"/>
      <c r="I106" s="186"/>
      <c r="J106" s="305"/>
      <c r="K106" s="305"/>
      <c r="L106" s="305"/>
      <c r="M106" s="305"/>
      <c r="N106" s="305"/>
      <c r="O106" s="305"/>
      <c r="P106" s="305"/>
      <c r="Q106" s="104"/>
      <c r="R106" s="104"/>
    </row>
    <row r="107" spans="2:18">
      <c r="D107" s="104"/>
      <c r="E107" s="184"/>
      <c r="F107" s="184"/>
      <c r="G107" s="184"/>
      <c r="H107" s="184"/>
      <c r="I107" s="184"/>
      <c r="J107" s="238"/>
      <c r="K107" s="238"/>
      <c r="L107" s="238"/>
      <c r="M107" s="238"/>
      <c r="N107" s="238"/>
      <c r="O107" s="238"/>
      <c r="P107" s="238"/>
      <c r="Q107" s="104"/>
      <c r="R107" s="104"/>
    </row>
    <row r="108" spans="2:18">
      <c r="D108" s="104"/>
      <c r="E108" s="104"/>
      <c r="F108" s="184"/>
      <c r="G108" s="184"/>
      <c r="H108" s="184"/>
      <c r="I108" s="184"/>
      <c r="J108" s="104"/>
      <c r="K108" s="104"/>
      <c r="L108" s="104"/>
      <c r="M108" s="104"/>
      <c r="N108" s="104"/>
      <c r="O108" s="104"/>
      <c r="P108" s="104"/>
      <c r="Q108" s="104"/>
      <c r="R108" s="104"/>
    </row>
  </sheetData>
  <mergeCells count="10">
    <mergeCell ref="AD4:AI4"/>
    <mergeCell ref="AK4:AP4"/>
    <mergeCell ref="AC4:AC5"/>
    <mergeCell ref="A4:A5"/>
    <mergeCell ref="B3:C3"/>
    <mergeCell ref="U4:Y4"/>
    <mergeCell ref="Z4:AA4"/>
    <mergeCell ref="D4:K4"/>
    <mergeCell ref="Q4:R4"/>
    <mergeCell ref="L4:P4"/>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3D2B7-323D-4531-AC3D-B1A3FE5B7D65}">
  <dimension ref="A1:AX5"/>
  <sheetViews>
    <sheetView zoomScale="24" zoomScaleNormal="70" workbookViewId="0">
      <selection activeCell="A121" sqref="A121"/>
    </sheetView>
  </sheetViews>
  <sheetFormatPr defaultRowHeight="15"/>
  <sheetData>
    <row r="1" spans="1:50">
      <c r="A1" t="s">
        <v>597</v>
      </c>
    </row>
    <row r="2" spans="1:50">
      <c r="A2" s="653" t="s">
        <v>598</v>
      </c>
    </row>
    <row r="5" spans="1:50" ht="21">
      <c r="AX5" s="1398" t="s">
        <v>723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Overview</vt:lpstr>
      <vt:lpstr>IndexG2E</vt:lpstr>
      <vt:lpstr>IndexE2G</vt:lpstr>
      <vt:lpstr>Drivers</vt:lpstr>
      <vt:lpstr>GHGSummary</vt:lpstr>
      <vt:lpstr>Input data</vt:lpstr>
      <vt:lpstr>Output data (results)</vt:lpstr>
      <vt:lpstr>Baseline data (from input)</vt:lpstr>
      <vt:lpstr>Results (plots)</vt:lpstr>
      <vt:lpstr>Recycling - Case 1</vt:lpstr>
      <vt:lpstr>Recycling - Case 2</vt:lpstr>
      <vt:lpstr>Recycling - Case 3</vt:lpstr>
      <vt:lpstr>Waste Summary 2017 SASOW</vt:lpstr>
      <vt:lpstr>Policies</vt:lpstr>
      <vt:lpstr>Parameters</vt:lpstr>
      <vt:lpstr>4A SWD Case 1</vt:lpstr>
      <vt:lpstr>4A SWD Case 2</vt:lpstr>
      <vt:lpstr>4A SWD Case 3</vt:lpstr>
      <vt:lpstr>4B Biological treatment </vt:lpstr>
      <vt:lpstr>4C2 Open-burning </vt:lpstr>
      <vt:lpstr>4D Wastewater treatment and dis</vt:lpstr>
      <vt:lpstr>MSW characteristics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Julla</dc:creator>
  <cp:lastModifiedBy>Bruno</cp:lastModifiedBy>
  <dcterms:created xsi:type="dcterms:W3CDTF">2020-04-24T15:45:05Z</dcterms:created>
  <dcterms:modified xsi:type="dcterms:W3CDTF">2020-07-24T13:45:15Z</dcterms:modified>
</cp:coreProperties>
</file>